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8.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AYANTIKA CHOWDHURY\Downloads\"/>
    </mc:Choice>
  </mc:AlternateContent>
  <xr:revisionPtr revIDLastSave="0" documentId="13_ncr:1_{7FB4FB08-65EA-4B96-B5C7-D71C23EE8C01}" xr6:coauthVersionLast="47" xr6:coauthVersionMax="47" xr10:uidLastSave="{00000000-0000-0000-0000-000000000000}"/>
  <bookViews>
    <workbookView xWindow="-108" yWindow="-108" windowWidth="23256" windowHeight="12456" firstSheet="3" activeTab="6" xr2:uid="{AB70DA44-5AC3-47E7-8979-50359B0C1B0D}"/>
  </bookViews>
  <sheets>
    <sheet name="Orders" sheetId="1" r:id="rId1"/>
    <sheet name="DAY 4 solution" sheetId="10" r:id="rId2"/>
    <sheet name="DAY 5 solution" sheetId="11" r:id="rId3"/>
    <sheet name="DAY 6 solution" sheetId="12" r:id="rId4"/>
    <sheet name="OrderLines" sheetId="2" r:id="rId5"/>
    <sheet name="pivots" sheetId="13" r:id="rId6"/>
    <sheet name="Correct Dashboard" sheetId="15" r:id="rId7"/>
    <sheet name="Dashboard" sheetId="14" r:id="rId8"/>
    <sheet name="Menu" sheetId="3" r:id="rId9"/>
    <sheet name="Staff" sheetId="4" r:id="rId10"/>
    <sheet name="Inventory" sheetId="5" r:id="rId11"/>
    <sheet name="Suppliers" sheetId="6" r:id="rId12"/>
    <sheet name="WasteLog" sheetId="7" r:id="rId13"/>
    <sheet name="Feedback" sheetId="8" r:id="rId14"/>
  </sheets>
  <definedNames>
    <definedName name="_14_July_2025">OrderLines!$G$3:$G$925</definedName>
    <definedName name="_xlnm._FilterDatabase" localSheetId="1" hidden="1">'DAY 4 solution'!$D$1:$H$20</definedName>
    <definedName name="_xlcn.WorksheetConnection_AyantikaChowdhury_Answers_Day6.xlsxorderlinesTABLE1" hidden="1">orderlinesTABLE[]</definedName>
    <definedName name="_xlcn.WorksheetConnection_OrderLinesA1M9251" hidden="1">OrderLines!$A$1:$M$925</definedName>
    <definedName name="Branch" localSheetId="13">Feedback!$B$2:$B$221</definedName>
    <definedName name="Branch" localSheetId="0">Orders!$C$2:$C$361</definedName>
    <definedName name="Branch">OrderLines!$H$2:$H$925</definedName>
    <definedName name="Breakfast">OrderLines!$L$3:$L$925</definedName>
    <definedName name="Category" localSheetId="8">Menu!$C$2:$C$20</definedName>
    <definedName name="Category">OrderLines!$E$2:$E$925</definedName>
    <definedName name="Combination">OrderLines!$S$2:$S$925</definedName>
    <definedName name="ComboFlag">OrderLines!$N$2:$N$925</definedName>
    <definedName name="Comment">Feedback!$D$2:$D$221</definedName>
    <definedName name="CustomerType">Orders!$D$2:$D$361</definedName>
    <definedName name="Date" localSheetId="13">Feedback!$A$2:$A$221</definedName>
    <definedName name="Date">WasteLog!$A$2:$A$121</definedName>
    <definedName name="DiscountFlag">OrderLines!$O$2:$O$925</definedName>
    <definedName name="DiscountPct" localSheetId="0">Orders!$G$2:$G$361</definedName>
    <definedName name="DiscountPct">OrderLines!$I$2:$I$925</definedName>
    <definedName name="FoodCost">OrderLines!$U$2:$U$925</definedName>
    <definedName name="GM">OrderLines!$T$2:$T$925</definedName>
    <definedName name="Head_Office_Café">OrderLines!$H$3:$H$925</definedName>
    <definedName name="id">OrderLines!$X$34:$X$40</definedName>
    <definedName name="item">OrderLines!$Y$34:$Y$40</definedName>
    <definedName name="ItemName" localSheetId="4">OrderLines!$R$2:$R$925</definedName>
    <definedName name="ItemName">Menu!$B$2:$B$20</definedName>
    <definedName name="July">OrderLines!$K$3:$K$925</definedName>
    <definedName name="LastRestockDate">Inventory!$E$2:$E$20</definedName>
    <definedName name="LeadTimeDays">Inventory!$D$2:$D$20</definedName>
    <definedName name="LineNetAmount">OrderLines!$J$2:$J$925</definedName>
    <definedName name="MonthName">OrderLines!$K$2:$K$925</definedName>
    <definedName name="O00001_">OrderLines!$A$3:$A$925</definedName>
    <definedName name="OK">OrderLines!$O$3:$O$925</definedName>
    <definedName name="OnHandQty">Inventory!$B$2:$B$20</definedName>
    <definedName name="OrderDate" localSheetId="0">Orders!$H$2:$H$361</definedName>
    <definedName name="OrderDate">OrderLines!$G$2:$G$925</definedName>
    <definedName name="OrderDateTime">Orders!$B$2:$B$361</definedName>
    <definedName name="OrderID" localSheetId="0">Orders!$A$2:$A$361</definedName>
    <definedName name="OrderID">OrderLines!$A$2:$A$925</definedName>
    <definedName name="PaymentType" localSheetId="0">Orders!$E$2:$E$361</definedName>
    <definedName name="PaymentType">OrderLines!$M$2:$M$925</definedName>
    <definedName name="Poha">OrderLines!$R$3:$R$925</definedName>
    <definedName name="Profit">OrderLines!$Q$2:$Q$925</definedName>
    <definedName name="Qty" localSheetId="12">WasteLog!$C$2:$C$121</definedName>
    <definedName name="Qty">OrderLines!$C$2:$C$925</definedName>
    <definedName name="Rating">Feedback!$C$2:$C$221</definedName>
    <definedName name="Reason">WasteLog!$D$2:$D$121</definedName>
    <definedName name="region">Orders!$Q$17:$Q$21</definedName>
    <definedName name="ReorderPoint">Inventory!$C$2:$C$20</definedName>
    <definedName name="sales">Orders!$R$17:$R$21</definedName>
    <definedName name="Shift" localSheetId="0">Orders!$F$2:$F$361</definedName>
    <definedName name="Shift">OrderLines!$L$2:$L$925</definedName>
    <definedName name="SHJ7XV">OrderLines!$B$3:$B$925</definedName>
    <definedName name="Single">OrderLines!$N$3:$N$925</definedName>
    <definedName name="SKU" localSheetId="10">Inventory!$A$2:$A$20</definedName>
    <definedName name="SKU" localSheetId="8">Menu!$A$2:$A$20</definedName>
    <definedName name="SKU" localSheetId="12">WasteLog!$B$2:$B$121</definedName>
    <definedName name="SKU">OrderLines!$B$2:$B$925</definedName>
    <definedName name="Slicer_Branch">#N/A</definedName>
    <definedName name="Slicer_Branch1">#N/A</definedName>
    <definedName name="Slicer_Branch2">#N/A</definedName>
    <definedName name="Slicer_Shift">#N/A</definedName>
    <definedName name="Slicer_Shift1">#N/A</definedName>
    <definedName name="Slicer_Shift2">#N/A</definedName>
    <definedName name="Snack">OrderLines!$E$3:$E$925</definedName>
    <definedName name="SupplierID">Menu!$D$2:$D$20</definedName>
    <definedName name="totalCOST">OrderLines!$P$2:$P$925</definedName>
    <definedName name="UnitCost" localSheetId="8">Menu!$E$2:$E$20</definedName>
    <definedName name="UnitCost">OrderLines!$F$2:$F$925</definedName>
    <definedName name="UnitPrice" localSheetId="8">Menu!$F$2:$F$20</definedName>
    <definedName name="UnitPrice">OrderLines!$D$2:$D$925</definedName>
    <definedName name="UPI">OrderLines!$M$3:$M$925</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 cacheId="10" r:id="rId25"/>
  </pivotCaches>
  <extLst>
    <ext xmlns:x14="http://schemas.microsoft.com/office/spreadsheetml/2009/9/main" uri="{876F7934-8845-4945-9796-88D515C7AA90}">
      <x14:pivotCaches>
        <pivotCache cacheId="11" r:id="rId26"/>
      </x14:pivotCaches>
    </ext>
    <ext xmlns:x14="http://schemas.microsoft.com/office/spreadsheetml/2009/9/main" uri="{BBE1A952-AA13-448e-AADC-164F8A28A991}">
      <x14:slicerCaches>
        <x14:slicerCache r:id="rId27"/>
        <x14:slicerCache r:id="rId28"/>
        <x14:slicerCache r:id="rId29"/>
        <x14:slicerCache r:id="rId30"/>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OrderLines!$A$1:$M$925"/>
          <x15:modelTable id="orderlinesTABLE" name="orderlinesTABLE" connection="WorksheetConnection_AyantikaChowdhury_Answers_Day6.xlsx!orderlines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5" i="15" l="1"/>
  <c r="S12" i="15"/>
  <c r="S11" i="15" l="1"/>
  <c r="F18" i="15"/>
  <c r="G18" i="15"/>
  <c r="F19" i="15"/>
  <c r="F20" i="15"/>
  <c r="F21" i="15"/>
  <c r="F22" i="15"/>
  <c r="E19" i="15"/>
  <c r="E20" i="15"/>
  <c r="E21" i="15"/>
  <c r="E22" i="15"/>
  <c r="E18" i="15"/>
  <c r="L4" i="15"/>
  <c r="E4" i="15"/>
  <c r="J4" i="15"/>
  <c r="G4" i="15"/>
  <c r="S14" i="15" l="1"/>
  <c r="S13" i="15"/>
  <c r="D98" i="13"/>
  <c r="G22" i="15" s="1"/>
  <c r="D96" i="13"/>
  <c r="G20" i="15" s="1"/>
  <c r="D97" i="13"/>
  <c r="G21" i="15" s="1"/>
  <c r="D95" i="13"/>
  <c r="G19" i="15" s="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K2" i="1" a="1"/>
  <c r="K2" i="1" s="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s="1"/>
  <c r="K337" i="1" a="1"/>
  <c r="K337" i="1" s="1"/>
  <c r="K338" i="1" a="1"/>
  <c r="K338" i="1" s="1"/>
  <c r="K339" i="1" a="1"/>
  <c r="K339" i="1" s="1"/>
  <c r="K340" i="1" a="1"/>
  <c r="K340" i="1" s="1"/>
  <c r="K341" i="1" a="1"/>
  <c r="K341" i="1" s="1"/>
  <c r="K342" i="1" a="1"/>
  <c r="K342" i="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Y76" i="2" a="1"/>
  <c r="Y76" i="2"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R22" i="1"/>
  <c r="H28" i="14"/>
  <c r="H27" i="14"/>
  <c r="H26" i="14"/>
  <c r="H25" i="14"/>
  <c r="B3" i="13"/>
  <c r="R2" i="2"/>
  <c r="S2" i="2" s="1" a="1"/>
  <c r="S2" i="2" s="1"/>
  <c r="R3" i="2"/>
  <c r="R4" i="2"/>
  <c r="R5" i="2"/>
  <c r="R6" i="2"/>
  <c r="R7" i="2"/>
  <c r="R8" i="2"/>
  <c r="R9" i="2"/>
  <c r="S9" i="2" s="1" a="1"/>
  <c r="S9" i="2" s="1"/>
  <c r="R10" i="2"/>
  <c r="R11" i="2"/>
  <c r="R12" i="2"/>
  <c r="S12" i="2" s="1" a="1"/>
  <c r="S12" i="2" s="1"/>
  <c r="R13" i="2"/>
  <c r="R14" i="2"/>
  <c r="R15" i="2"/>
  <c r="R16" i="2"/>
  <c r="R17" i="2"/>
  <c r="R18" i="2"/>
  <c r="R19" i="2"/>
  <c r="R20" i="2"/>
  <c r="R21" i="2"/>
  <c r="R22" i="2"/>
  <c r="R23" i="2"/>
  <c r="R24" i="2"/>
  <c r="R25" i="2"/>
  <c r="S25" i="2" s="1" a="1"/>
  <c r="S25" i="2" s="1"/>
  <c r="R26" i="2"/>
  <c r="R27" i="2"/>
  <c r="R28" i="2"/>
  <c r="R29" i="2"/>
  <c r="R30" i="2"/>
  <c r="R31" i="2"/>
  <c r="R32" i="2"/>
  <c r="R33" i="2"/>
  <c r="R34" i="2"/>
  <c r="R35" i="2"/>
  <c r="R36" i="2"/>
  <c r="R37" i="2"/>
  <c r="R38" i="2"/>
  <c r="R39" i="2"/>
  <c r="R40" i="2"/>
  <c r="R41" i="2"/>
  <c r="R42" i="2"/>
  <c r="S42" i="2" s="1" a="1"/>
  <c r="S42" i="2" s="1"/>
  <c r="R43" i="2"/>
  <c r="R44" i="2"/>
  <c r="R45" i="2"/>
  <c r="R46" i="2"/>
  <c r="R47" i="2"/>
  <c r="R48" i="2"/>
  <c r="R49" i="2"/>
  <c r="R50" i="2"/>
  <c r="R51" i="2"/>
  <c r="R52" i="2"/>
  <c r="R53" i="2"/>
  <c r="R54" i="2"/>
  <c r="R55" i="2"/>
  <c r="R56" i="2"/>
  <c r="R57" i="2"/>
  <c r="R58" i="2"/>
  <c r="R59" i="2"/>
  <c r="R60" i="2"/>
  <c r="S60" i="2" s="1" a="1"/>
  <c r="S60" i="2" s="1"/>
  <c r="R61" i="2"/>
  <c r="S61" i="2" s="1" a="1"/>
  <c r="S61" i="2" s="1"/>
  <c r="R62" i="2"/>
  <c r="R63" i="2"/>
  <c r="R64" i="2"/>
  <c r="R65" i="2"/>
  <c r="R66" i="2"/>
  <c r="R67" i="2"/>
  <c r="R68" i="2"/>
  <c r="R69" i="2"/>
  <c r="R70" i="2"/>
  <c r="R71" i="2"/>
  <c r="R72" i="2"/>
  <c r="S72" i="2" s="1" a="1"/>
  <c r="S72" i="2" s="1"/>
  <c r="R73" i="2"/>
  <c r="R74" i="2"/>
  <c r="R75" i="2"/>
  <c r="R76" i="2"/>
  <c r="R77" i="2"/>
  <c r="R78" i="2"/>
  <c r="R79" i="2"/>
  <c r="R80" i="2"/>
  <c r="R81" i="2"/>
  <c r="R82" i="2"/>
  <c r="R83" i="2"/>
  <c r="R84" i="2"/>
  <c r="R85" i="2"/>
  <c r="R86" i="2"/>
  <c r="R87" i="2"/>
  <c r="R88" i="2"/>
  <c r="R89" i="2"/>
  <c r="R90" i="2"/>
  <c r="R91" i="2"/>
  <c r="R92" i="2"/>
  <c r="R93" i="2"/>
  <c r="R94" i="2"/>
  <c r="S94" i="2" s="1" a="1"/>
  <c r="S94" i="2" s="1"/>
  <c r="R95" i="2"/>
  <c r="R96" i="2"/>
  <c r="R97" i="2"/>
  <c r="S97" i="2" s="1" a="1"/>
  <c r="S97" i="2" s="1"/>
  <c r="R98" i="2"/>
  <c r="R99" i="2"/>
  <c r="R100" i="2"/>
  <c r="R101" i="2"/>
  <c r="R102" i="2"/>
  <c r="R103" i="2"/>
  <c r="R104" i="2"/>
  <c r="R105" i="2"/>
  <c r="R106" i="2"/>
  <c r="R107" i="2"/>
  <c r="R108" i="2"/>
  <c r="S108" i="2" s="1" a="1"/>
  <c r="S108" i="2" s="1"/>
  <c r="R109" i="2"/>
  <c r="R110" i="2"/>
  <c r="R111" i="2"/>
  <c r="R112" i="2"/>
  <c r="R113" i="2"/>
  <c r="R114" i="2"/>
  <c r="R115" i="2"/>
  <c r="S115" i="2" s="1" a="1"/>
  <c r="S115" i="2" s="1"/>
  <c r="R116" i="2"/>
  <c r="R117" i="2"/>
  <c r="R118" i="2"/>
  <c r="R119" i="2"/>
  <c r="R120" i="2"/>
  <c r="R121" i="2"/>
  <c r="R122" i="2"/>
  <c r="R123" i="2"/>
  <c r="R124" i="2"/>
  <c r="R125" i="2"/>
  <c r="R126" i="2"/>
  <c r="R127" i="2"/>
  <c r="R128" i="2"/>
  <c r="R129" i="2"/>
  <c r="R130" i="2"/>
  <c r="R131" i="2"/>
  <c r="S131" i="2" s="1" a="1"/>
  <c r="S131" i="2" s="1"/>
  <c r="R132" i="2"/>
  <c r="R133" i="2"/>
  <c r="R134" i="2"/>
  <c r="R135" i="2"/>
  <c r="R136" i="2"/>
  <c r="R137" i="2"/>
  <c r="R138" i="2"/>
  <c r="R139" i="2"/>
  <c r="R140" i="2"/>
  <c r="R141" i="2"/>
  <c r="R142" i="2"/>
  <c r="S142" i="2" s="1" a="1"/>
  <c r="S142" i="2" s="1"/>
  <c r="R143" i="2"/>
  <c r="R144" i="2"/>
  <c r="R145" i="2"/>
  <c r="R146" i="2"/>
  <c r="R147" i="2"/>
  <c r="R148" i="2"/>
  <c r="R149" i="2"/>
  <c r="R150" i="2"/>
  <c r="R151" i="2"/>
  <c r="R152" i="2"/>
  <c r="R153" i="2"/>
  <c r="R154" i="2"/>
  <c r="R155" i="2"/>
  <c r="S155" i="2" s="1" a="1"/>
  <c r="S155" i="2" s="1"/>
  <c r="R156" i="2"/>
  <c r="S156" i="2" s="1" a="1"/>
  <c r="S156" i="2" s="1"/>
  <c r="R157" i="2"/>
  <c r="R158" i="2"/>
  <c r="R159" i="2"/>
  <c r="R160" i="2"/>
  <c r="R161" i="2"/>
  <c r="R162" i="2"/>
  <c r="R163" i="2"/>
  <c r="R164" i="2"/>
  <c r="R165" i="2"/>
  <c r="R166" i="2"/>
  <c r="R167" i="2"/>
  <c r="R168" i="2"/>
  <c r="R169" i="2"/>
  <c r="R170" i="2"/>
  <c r="R171" i="2"/>
  <c r="R172" i="2"/>
  <c r="R173" i="2"/>
  <c r="R174" i="2"/>
  <c r="R175" i="2"/>
  <c r="R176" i="2"/>
  <c r="S176" i="2" s="1" a="1"/>
  <c r="S176" i="2" s="1"/>
  <c r="R177" i="2"/>
  <c r="R178" i="2"/>
  <c r="R179" i="2"/>
  <c r="R180" i="2"/>
  <c r="R181" i="2"/>
  <c r="R182" i="2"/>
  <c r="S182" i="2" s="1" a="1"/>
  <c r="S182" i="2" s="1"/>
  <c r="R183" i="2"/>
  <c r="R184" i="2"/>
  <c r="R185" i="2"/>
  <c r="R186" i="2"/>
  <c r="R187" i="2"/>
  <c r="R188" i="2"/>
  <c r="R189" i="2"/>
  <c r="R190" i="2"/>
  <c r="R191" i="2"/>
  <c r="R192" i="2"/>
  <c r="R193" i="2"/>
  <c r="R194" i="2"/>
  <c r="R195" i="2"/>
  <c r="R196" i="2"/>
  <c r="R197" i="2"/>
  <c r="R198" i="2"/>
  <c r="R199" i="2"/>
  <c r="R200" i="2"/>
  <c r="R201" i="2"/>
  <c r="R202" i="2"/>
  <c r="R203" i="2"/>
  <c r="R204" i="2"/>
  <c r="S204" i="2" s="1" a="1"/>
  <c r="S204" i="2" s="1"/>
  <c r="R205" i="2"/>
  <c r="S205" i="2" s="1" a="1"/>
  <c r="S205" i="2" s="1"/>
  <c r="R206" i="2"/>
  <c r="R207" i="2"/>
  <c r="R208" i="2"/>
  <c r="R209" i="2"/>
  <c r="R210" i="2"/>
  <c r="R211" i="2"/>
  <c r="R212" i="2"/>
  <c r="R213" i="2"/>
  <c r="R214" i="2"/>
  <c r="R215" i="2"/>
  <c r="R216" i="2"/>
  <c r="R217" i="2"/>
  <c r="R218" i="2"/>
  <c r="R219" i="2"/>
  <c r="R220" i="2"/>
  <c r="R221" i="2"/>
  <c r="R222" i="2"/>
  <c r="R223" i="2"/>
  <c r="R224" i="2"/>
  <c r="R225" i="2"/>
  <c r="R226" i="2"/>
  <c r="S226" i="2" s="1" a="1"/>
  <c r="S226" i="2" s="1"/>
  <c r="R227" i="2"/>
  <c r="R228" i="2"/>
  <c r="R229" i="2"/>
  <c r="R230" i="2"/>
  <c r="R231" i="2"/>
  <c r="R232" i="2"/>
  <c r="R233" i="2"/>
  <c r="R234" i="2"/>
  <c r="R235" i="2"/>
  <c r="R236" i="2"/>
  <c r="R237" i="2"/>
  <c r="R238" i="2"/>
  <c r="R239" i="2"/>
  <c r="R240" i="2"/>
  <c r="S240" i="2" s="1" a="1"/>
  <c r="S240" i="2" s="1"/>
  <c r="R241" i="2"/>
  <c r="R242" i="2"/>
  <c r="R243" i="2"/>
  <c r="R244" i="2"/>
  <c r="R245" i="2"/>
  <c r="R246" i="2"/>
  <c r="R247" i="2"/>
  <c r="R248" i="2"/>
  <c r="R249" i="2"/>
  <c r="R250" i="2"/>
  <c r="S250" i="2" s="1" a="1"/>
  <c r="S250" i="2" s="1"/>
  <c r="R251" i="2"/>
  <c r="S251" i="2" s="1" a="1"/>
  <c r="S251" i="2" s="1"/>
  <c r="R252" i="2"/>
  <c r="S252" i="2" s="1" a="1"/>
  <c r="S252" i="2" s="1"/>
  <c r="R253" i="2"/>
  <c r="S253" i="2" s="1" a="1"/>
  <c r="S253" i="2" s="1"/>
  <c r="R254" i="2"/>
  <c r="R255" i="2"/>
  <c r="R256" i="2"/>
  <c r="R257" i="2"/>
  <c r="R258" i="2"/>
  <c r="R259" i="2"/>
  <c r="R260" i="2"/>
  <c r="R261" i="2"/>
  <c r="R262" i="2"/>
  <c r="R263" i="2"/>
  <c r="S263" i="2" s="1" a="1"/>
  <c r="S263" i="2" s="1"/>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S291" i="2" s="1" a="1"/>
  <c r="S291" i="2" s="1"/>
  <c r="R292" i="2"/>
  <c r="S292" i="2" s="1" a="1"/>
  <c r="S292" i="2" s="1"/>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S336" i="2" s="1" a="1"/>
  <c r="S336" i="2" s="1"/>
  <c r="R337" i="2"/>
  <c r="R338" i="2"/>
  <c r="R339" i="2"/>
  <c r="R340" i="2"/>
  <c r="R341" i="2"/>
  <c r="R342" i="2"/>
  <c r="R343" i="2"/>
  <c r="R344" i="2"/>
  <c r="R345" i="2"/>
  <c r="R346" i="2"/>
  <c r="S346" i="2" s="1" a="1"/>
  <c r="S346" i="2" s="1"/>
  <c r="R347" i="2"/>
  <c r="R348" i="2"/>
  <c r="R349" i="2"/>
  <c r="R350" i="2"/>
  <c r="R351" i="2"/>
  <c r="R352" i="2"/>
  <c r="R353" i="2"/>
  <c r="R354" i="2"/>
  <c r="R355" i="2"/>
  <c r="R356" i="2"/>
  <c r="R357" i="2"/>
  <c r="R358" i="2"/>
  <c r="S358" i="2" s="1" a="1"/>
  <c r="S358" i="2" s="1"/>
  <c r="R359" i="2"/>
  <c r="S359" i="2" s="1" a="1"/>
  <c r="S359" i="2" s="1"/>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S404" i="2" s="1" a="1"/>
  <c r="S404" i="2" s="1"/>
  <c r="R405" i="2"/>
  <c r="S405" i="2" s="1" a="1"/>
  <c r="S405" i="2" s="1"/>
  <c r="R406" i="2"/>
  <c r="R407" i="2"/>
  <c r="R408" i="2"/>
  <c r="R409" i="2"/>
  <c r="R410" i="2"/>
  <c r="R411" i="2"/>
  <c r="R412" i="2"/>
  <c r="R413" i="2"/>
  <c r="R414" i="2"/>
  <c r="R415" i="2"/>
  <c r="R416" i="2"/>
  <c r="R417" i="2"/>
  <c r="R418" i="2"/>
  <c r="R419" i="2"/>
  <c r="R420" i="2"/>
  <c r="R421" i="2"/>
  <c r="S421" i="2" s="1" a="1"/>
  <c r="S421" i="2" s="1"/>
  <c r="R422" i="2"/>
  <c r="S422" i="2" s="1" a="1"/>
  <c r="S422" i="2" s="1"/>
  <c r="R423" i="2"/>
  <c r="R424" i="2"/>
  <c r="R425" i="2"/>
  <c r="R426" i="2"/>
  <c r="R427" i="2"/>
  <c r="R428" i="2"/>
  <c r="R429" i="2"/>
  <c r="R430" i="2"/>
  <c r="R431" i="2"/>
  <c r="R432" i="2"/>
  <c r="R433" i="2"/>
  <c r="R434" i="2"/>
  <c r="R435" i="2"/>
  <c r="R436" i="2"/>
  <c r="R437" i="2"/>
  <c r="S437" i="2" s="1" a="1"/>
  <c r="S437" i="2" s="1"/>
  <c r="R438" i="2"/>
  <c r="S438" i="2" s="1" a="1"/>
  <c r="S438" i="2" s="1"/>
  <c r="R439" i="2"/>
  <c r="R440" i="2"/>
  <c r="R441" i="2"/>
  <c r="R442" i="2"/>
  <c r="R443" i="2"/>
  <c r="R444" i="2"/>
  <c r="R445" i="2"/>
  <c r="R446" i="2"/>
  <c r="R447" i="2"/>
  <c r="R448" i="2"/>
  <c r="R449" i="2"/>
  <c r="R450" i="2"/>
  <c r="R451" i="2"/>
  <c r="R452" i="2"/>
  <c r="R453" i="2"/>
  <c r="R454" i="2"/>
  <c r="R455" i="2"/>
  <c r="R456" i="2"/>
  <c r="R457" i="2"/>
  <c r="R458" i="2"/>
  <c r="S458" i="2" s="1" a="1"/>
  <c r="S458" i="2" s="1"/>
  <c r="R459" i="2"/>
  <c r="R460" i="2"/>
  <c r="R461" i="2"/>
  <c r="R462" i="2"/>
  <c r="R463" i="2"/>
  <c r="S463" i="2" s="1" a="1"/>
  <c r="S463" i="2" s="1"/>
  <c r="R464" i="2"/>
  <c r="R465" i="2"/>
  <c r="R466" i="2"/>
  <c r="R467" i="2"/>
  <c r="R468" i="2"/>
  <c r="R469" i="2"/>
  <c r="R470" i="2"/>
  <c r="R471" i="2"/>
  <c r="R472" i="2"/>
  <c r="S472" i="2" s="1" a="1"/>
  <c r="S472" i="2" s="1"/>
  <c r="R473" i="2"/>
  <c r="R474" i="2"/>
  <c r="R475" i="2"/>
  <c r="R476" i="2"/>
  <c r="R477" i="2"/>
  <c r="R478" i="2"/>
  <c r="R479" i="2"/>
  <c r="R480" i="2"/>
  <c r="R481" i="2"/>
  <c r="R482" i="2"/>
  <c r="R483" i="2"/>
  <c r="R484" i="2"/>
  <c r="S484" i="2" s="1" a="1"/>
  <c r="S484" i="2" s="1"/>
  <c r="R485" i="2"/>
  <c r="R486" i="2"/>
  <c r="R487" i="2"/>
  <c r="S487" i="2" s="1" a="1"/>
  <c r="S487" i="2" s="1"/>
  <c r="R488" i="2"/>
  <c r="R489" i="2"/>
  <c r="R490" i="2"/>
  <c r="R491" i="2"/>
  <c r="R492" i="2"/>
  <c r="R493" i="2"/>
  <c r="R494" i="2"/>
  <c r="R495" i="2"/>
  <c r="R496" i="2"/>
  <c r="R497" i="2"/>
  <c r="R498" i="2"/>
  <c r="R499" i="2"/>
  <c r="R500" i="2"/>
  <c r="R501" i="2"/>
  <c r="R502" i="2"/>
  <c r="R503" i="2"/>
  <c r="R504" i="2"/>
  <c r="R505" i="2"/>
  <c r="R506" i="2"/>
  <c r="R507" i="2"/>
  <c r="R508" i="2"/>
  <c r="R509" i="2"/>
  <c r="S509" i="2" s="1" a="1"/>
  <c r="S509" i="2" s="1"/>
  <c r="R510" i="2"/>
  <c r="S510" i="2" s="1" a="1"/>
  <c r="S510" i="2" s="1"/>
  <c r="R511" i="2"/>
  <c r="S511" i="2" s="1" a="1"/>
  <c r="S511" i="2" s="1"/>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S558" i="2" s="1" a="1"/>
  <c r="S558" i="2" s="1"/>
  <c r="R559" i="2"/>
  <c r="R560" i="2"/>
  <c r="R561" i="2"/>
  <c r="R562" i="2"/>
  <c r="R563" i="2"/>
  <c r="R564" i="2"/>
  <c r="R565" i="2"/>
  <c r="S565" i="2" s="1" a="1"/>
  <c r="S565" i="2" s="1"/>
  <c r="R566" i="2"/>
  <c r="R567" i="2"/>
  <c r="R568" i="2"/>
  <c r="R569" i="2"/>
  <c r="R570" i="2"/>
  <c r="R571" i="2"/>
  <c r="R572" i="2"/>
  <c r="R573" i="2"/>
  <c r="S573" i="2" s="1" a="1"/>
  <c r="S573" i="2" s="1"/>
  <c r="R574" i="2"/>
  <c r="R575" i="2"/>
  <c r="R576" i="2"/>
  <c r="R577" i="2"/>
  <c r="R578" i="2"/>
  <c r="R579" i="2"/>
  <c r="R580" i="2"/>
  <c r="R581" i="2"/>
  <c r="R582" i="2"/>
  <c r="R583" i="2"/>
  <c r="S583" i="2" s="1" a="1"/>
  <c r="S583" i="2" s="1"/>
  <c r="R584" i="2"/>
  <c r="R585" i="2"/>
  <c r="R586" i="2"/>
  <c r="R587" i="2"/>
  <c r="R588" i="2"/>
  <c r="R589" i="2"/>
  <c r="R590" i="2"/>
  <c r="R591" i="2"/>
  <c r="R592" i="2"/>
  <c r="R593" i="2"/>
  <c r="R594" i="2"/>
  <c r="R595" i="2"/>
  <c r="R596" i="2"/>
  <c r="R597" i="2"/>
  <c r="R598" i="2"/>
  <c r="S598" i="2" s="1" a="1"/>
  <c r="S598" i="2" s="1"/>
  <c r="R599" i="2"/>
  <c r="S599" i="2" s="1" a="1"/>
  <c r="S599" i="2" s="1"/>
  <c r="R600" i="2"/>
  <c r="R601" i="2"/>
  <c r="R602" i="2"/>
  <c r="S602" i="2" s="1" a="1"/>
  <c r="S602" i="2" s="1"/>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S630" i="2" s="1" a="1"/>
  <c r="S630" i="2" s="1"/>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S708" i="2" s="1" a="1"/>
  <c r="S708" i="2" s="1"/>
  <c r="R709" i="2"/>
  <c r="R710" i="2"/>
  <c r="R711" i="2"/>
  <c r="R712" i="2"/>
  <c r="R713" i="2"/>
  <c r="R714" i="2"/>
  <c r="R715" i="2"/>
  <c r="R716" i="2"/>
  <c r="R717" i="2"/>
  <c r="R718" i="2"/>
  <c r="R719" i="2"/>
  <c r="R720" i="2"/>
  <c r="R721" i="2"/>
  <c r="R722" i="2"/>
  <c r="R723" i="2"/>
  <c r="R724" i="2"/>
  <c r="R725" i="2"/>
  <c r="S725" i="2" s="1" a="1"/>
  <c r="S725" i="2" s="1"/>
  <c r="R726" i="2"/>
  <c r="R727" i="2"/>
  <c r="R728" i="2"/>
  <c r="R729" i="2"/>
  <c r="S729" i="2" s="1" a="1"/>
  <c r="S729" i="2" s="1"/>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S756" i="2" s="1" a="1"/>
  <c r="S756" i="2" s="1"/>
  <c r="R757" i="2"/>
  <c r="R758" i="2"/>
  <c r="R759" i="2"/>
  <c r="R760" i="2"/>
  <c r="R761" i="2"/>
  <c r="S761" i="2" s="1" a="1"/>
  <c r="S761" i="2" s="1"/>
  <c r="R762" i="2"/>
  <c r="R763" i="2"/>
  <c r="R764" i="2"/>
  <c r="R765" i="2"/>
  <c r="R766" i="2"/>
  <c r="S766" i="2" s="1" a="1"/>
  <c r="S766" i="2" s="1"/>
  <c r="R767" i="2"/>
  <c r="S767" i="2" s="1" a="1"/>
  <c r="S767" i="2" s="1"/>
  <c r="R768" i="2"/>
  <c r="R769" i="2"/>
  <c r="R770" i="2"/>
  <c r="R771" i="2"/>
  <c r="R772" i="2"/>
  <c r="R773" i="2"/>
  <c r="R774" i="2"/>
  <c r="R775" i="2"/>
  <c r="R776" i="2"/>
  <c r="R777" i="2"/>
  <c r="R778" i="2"/>
  <c r="R779" i="2"/>
  <c r="S779" i="2" s="1" a="1"/>
  <c r="S779" i="2" s="1"/>
  <c r="R780" i="2"/>
  <c r="R781" i="2"/>
  <c r="R782" i="2"/>
  <c r="S782" i="2" s="1" a="1"/>
  <c r="S782" i="2" s="1"/>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S808" i="2" s="1" a="1"/>
  <c r="S808" i="2" s="1"/>
  <c r="R809" i="2"/>
  <c r="S809" i="2" s="1" a="1"/>
  <c r="S809" i="2" s="1"/>
  <c r="R810" i="2"/>
  <c r="R811" i="2"/>
  <c r="R812" i="2"/>
  <c r="S812" i="2" s="1" a="1"/>
  <c r="S812" i="2" s="1"/>
  <c r="R813" i="2"/>
  <c r="R814" i="2"/>
  <c r="S813" i="2" s="1" a="1"/>
  <c r="S813" i="2" s="1"/>
  <c r="R815" i="2"/>
  <c r="R816" i="2"/>
  <c r="R817" i="2"/>
  <c r="R818" i="2"/>
  <c r="R819" i="2"/>
  <c r="R820" i="2"/>
  <c r="R821" i="2"/>
  <c r="S821" i="2" s="1" a="1"/>
  <c r="S821" i="2" s="1"/>
  <c r="R822" i="2"/>
  <c r="R823" i="2"/>
  <c r="R824" i="2"/>
  <c r="R825" i="2"/>
  <c r="R826" i="2"/>
  <c r="R827" i="2"/>
  <c r="R828" i="2"/>
  <c r="R829" i="2"/>
  <c r="R830" i="2"/>
  <c r="R831" i="2"/>
  <c r="R832" i="2"/>
  <c r="R833" i="2"/>
  <c r="R834" i="2"/>
  <c r="R835" i="2"/>
  <c r="S835" i="2" s="1" a="1"/>
  <c r="S835" i="2" s="1"/>
  <c r="R836" i="2"/>
  <c r="S836" i="2" s="1" a="1"/>
  <c r="S836" i="2" s="1"/>
  <c r="R837" i="2"/>
  <c r="R838" i="2"/>
  <c r="R839" i="2"/>
  <c r="R840" i="2"/>
  <c r="S840" i="2" s="1" a="1"/>
  <c r="S840" i="2" s="1"/>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S866" i="2" s="1" a="1"/>
  <c r="S866" i="2" s="1"/>
  <c r="R867" i="2"/>
  <c r="R868" i="2"/>
  <c r="R869" i="2"/>
  <c r="R870" i="2"/>
  <c r="R871" i="2"/>
  <c r="R872" i="2"/>
  <c r="R873" i="2"/>
  <c r="R874" i="2"/>
  <c r="R875" i="2"/>
  <c r="R876" i="2"/>
  <c r="R877" i="2"/>
  <c r="R878" i="2"/>
  <c r="R879" i="2"/>
  <c r="R880" i="2"/>
  <c r="R881" i="2"/>
  <c r="S881" i="2" s="1" a="1"/>
  <c r="S881" i="2" s="1"/>
  <c r="R882" i="2"/>
  <c r="R883" i="2"/>
  <c r="R884" i="2"/>
  <c r="R885" i="2"/>
  <c r="R886" i="2"/>
  <c r="R887" i="2"/>
  <c r="R888" i="2"/>
  <c r="R889" i="2"/>
  <c r="R890" i="2"/>
  <c r="R891" i="2"/>
  <c r="R892" i="2"/>
  <c r="R893" i="2"/>
  <c r="R894" i="2"/>
  <c r="R895" i="2"/>
  <c r="R896" i="2"/>
  <c r="R897" i="2"/>
  <c r="R898" i="2"/>
  <c r="R899" i="2"/>
  <c r="R900" i="2"/>
  <c r="R901" i="2"/>
  <c r="R902" i="2"/>
  <c r="R903" i="2"/>
  <c r="S903" i="2" s="1" a="1"/>
  <c r="S903" i="2" s="1"/>
  <c r="R904" i="2"/>
  <c r="R905" i="2"/>
  <c r="R906" i="2"/>
  <c r="R907" i="2"/>
  <c r="R908" i="2"/>
  <c r="S908" i="2" s="1" a="1"/>
  <c r="S908" i="2" s="1"/>
  <c r="R909" i="2"/>
  <c r="R910" i="2"/>
  <c r="R911" i="2"/>
  <c r="R912" i="2"/>
  <c r="R913" i="2"/>
  <c r="R914" i="2"/>
  <c r="R915" i="2"/>
  <c r="R916" i="2"/>
  <c r="R917" i="2"/>
  <c r="R918" i="2"/>
  <c r="R919" i="2"/>
  <c r="R920" i="2"/>
  <c r="R921" i="2"/>
  <c r="R922" i="2"/>
  <c r="S922" i="2" s="1" a="1"/>
  <c r="S922" i="2" s="1"/>
  <c r="R923" i="2"/>
  <c r="R924" i="2"/>
  <c r="R925" i="2"/>
  <c r="F2" i="2"/>
  <c r="D2" i="2"/>
  <c r="I21" i="2"/>
  <c r="J1" i="12" a="1"/>
  <c r="J1" i="12" s="1"/>
  <c r="AB42" i="2"/>
  <c r="S830" i="2" l="1" a="1"/>
  <c r="S830" i="2" s="1"/>
  <c r="S632" i="2" a="1"/>
  <c r="S632" i="2" s="1"/>
  <c r="S378" i="2" a="1"/>
  <c r="S378" i="2" s="1"/>
  <c r="S914" i="2" a="1"/>
  <c r="S914" i="2" s="1"/>
  <c r="S841" i="2" a="1"/>
  <c r="S841" i="2" s="1"/>
  <c r="S805" i="2" a="1"/>
  <c r="S805" i="2" s="1"/>
  <c r="S757" i="2" a="1"/>
  <c r="S757" i="2" s="1"/>
  <c r="S918" i="2" a="1"/>
  <c r="S918" i="2" s="1"/>
  <c r="S900" i="2" a="1"/>
  <c r="S900" i="2" s="1"/>
  <c r="S888" i="2" a="1"/>
  <c r="S888" i="2" s="1"/>
  <c r="S878" i="2" a="1"/>
  <c r="S878" i="2" s="1"/>
  <c r="S864" i="2" a="1"/>
  <c r="S864" i="2" s="1"/>
  <c r="S770" i="2" a="1"/>
  <c r="S770" i="2" s="1"/>
  <c r="S224" i="2" a="1"/>
  <c r="S224" i="2" s="1"/>
  <c r="S920" i="2" a="1"/>
  <c r="S920" i="2" s="1"/>
  <c r="S786" i="2" a="1"/>
  <c r="S786" i="2" s="1"/>
  <c r="S655" i="2" a="1"/>
  <c r="S655" i="2" s="1"/>
  <c r="S823" i="2" a="1"/>
  <c r="S823" i="2" s="1"/>
  <c r="S800" i="2" a="1"/>
  <c r="S800" i="2" s="1"/>
  <c r="S751" i="2" a="1"/>
  <c r="S751" i="2" s="1"/>
  <c r="S834" i="2" a="1"/>
  <c r="S834" i="2" s="1"/>
  <c r="S773" i="2" a="1"/>
  <c r="S773" i="2" s="1"/>
  <c r="S137" i="2" a="1"/>
  <c r="S137" i="2" s="1"/>
  <c r="S819" i="2" a="1"/>
  <c r="S819" i="2" s="1"/>
  <c r="S700" i="2" a="1"/>
  <c r="S700" i="2" s="1"/>
  <c r="S15" i="2" a="1"/>
  <c r="S15" i="2" s="1"/>
  <c r="S639" i="2" a="1"/>
  <c r="S639" i="2" s="1"/>
  <c r="S578" i="2" a="1"/>
  <c r="S578" i="2" s="1"/>
  <c r="S734" i="2" a="1"/>
  <c r="S734" i="2" s="1"/>
  <c r="S709" i="2" a="1"/>
  <c r="S709" i="2" s="1"/>
  <c r="S506" i="2" a="1"/>
  <c r="S506" i="2" s="1"/>
  <c r="S87" i="2" a="1"/>
  <c r="S87" i="2" s="1"/>
  <c r="S745" i="2" a="1"/>
  <c r="S745" i="2" s="1"/>
  <c r="S793" i="2" a="1"/>
  <c r="S793" i="2" s="1"/>
  <c r="S861" i="2" a="1"/>
  <c r="S861" i="2" s="1"/>
  <c r="S707" i="2" a="1"/>
  <c r="S707" i="2" s="1"/>
  <c r="S803" i="2" a="1"/>
  <c r="S803" i="2" s="1"/>
  <c r="S885" i="2" a="1"/>
  <c r="S885" i="2" s="1"/>
  <c r="S894" i="2" a="1"/>
  <c r="S894" i="2" s="1"/>
  <c r="S619" i="2" a="1"/>
  <c r="S619" i="2" s="1"/>
  <c r="S904" i="2" a="1"/>
  <c r="S904" i="2" s="1"/>
  <c r="S828" i="2" a="1"/>
  <c r="S828" i="2" s="1"/>
  <c r="S868" i="2" a="1"/>
  <c r="S868" i="2" s="1"/>
  <c r="S724" i="2" a="1"/>
  <c r="S724" i="2" s="1"/>
  <c r="S496" i="2" a="1"/>
  <c r="S496" i="2" s="1"/>
  <c r="S817" i="2" a="1"/>
  <c r="S817" i="2" s="1"/>
  <c r="S721" i="2" a="1"/>
  <c r="S721" i="2" s="1"/>
  <c r="S672" i="2" a="1"/>
  <c r="S672" i="2" s="1"/>
  <c r="S362" i="2" a="1"/>
  <c r="S362" i="2" s="1"/>
  <c r="S324" i="2" a="1"/>
  <c r="S324" i="2" s="1"/>
  <c r="S13" i="2" a="1"/>
  <c r="S13" i="2" s="1"/>
  <c r="S921" i="2" a="1"/>
  <c r="S921" i="2" s="1"/>
  <c r="S865" i="2" a="1"/>
  <c r="S865" i="2" s="1"/>
  <c r="S730" i="2" a="1"/>
  <c r="S730" i="2" s="1"/>
  <c r="S420" i="2" a="1"/>
  <c r="S420" i="2" s="1"/>
  <c r="S407" i="2" a="1"/>
  <c r="S407" i="2" s="1"/>
  <c r="S910" i="2" a="1"/>
  <c r="S910" i="2" s="1"/>
  <c r="S886" i="2" a="1"/>
  <c r="S886" i="2" s="1"/>
  <c r="S862" i="2" a="1"/>
  <c r="S862" i="2" s="1"/>
  <c r="S839" i="2" a="1"/>
  <c r="S839" i="2" s="1"/>
  <c r="S790" i="2" a="1"/>
  <c r="S790" i="2" s="1"/>
  <c r="S718" i="2" a="1"/>
  <c r="S718" i="2" s="1"/>
  <c r="S525" i="2" a="1"/>
  <c r="S525" i="2" s="1"/>
  <c r="S479" i="2" a="1"/>
  <c r="S479" i="2" s="1"/>
  <c r="S213" i="2" a="1"/>
  <c r="S213" i="2" s="1"/>
  <c r="S712" i="2" a="1"/>
  <c r="S712" i="2" s="1"/>
  <c r="S720" i="2" a="1"/>
  <c r="S720" i="2" s="1"/>
  <c r="S265" i="2" a="1"/>
  <c r="S265" i="2" s="1"/>
  <c r="S851" i="2" a="1"/>
  <c r="S851" i="2" s="1"/>
  <c r="S636" i="2" a="1"/>
  <c r="S636" i="2" s="1"/>
  <c r="S467" i="2" a="1"/>
  <c r="S467" i="2" s="1"/>
  <c r="S829" i="2" a="1"/>
  <c r="S829" i="2" s="1"/>
  <c r="S613" i="2" a="1"/>
  <c r="S613" i="2" s="1"/>
  <c r="S810" i="2" a="1"/>
  <c r="S810" i="2" s="1"/>
  <c r="S198" i="2" a="1"/>
  <c r="S198" i="2" s="1"/>
  <c r="S780" i="2" a="1"/>
  <c r="S780" i="2" s="1"/>
  <c r="S588" i="2" a="1"/>
  <c r="S588" i="2" s="1"/>
  <c r="S818" i="2" a="1"/>
  <c r="S818" i="2" s="1"/>
  <c r="S575" i="2" a="1"/>
  <c r="S575" i="2" s="1"/>
  <c r="S849" i="2" a="1"/>
  <c r="S849" i="2" s="1"/>
  <c r="S906" i="2" a="1"/>
  <c r="S906" i="2" s="1"/>
  <c r="S678" i="2" a="1"/>
  <c r="S678" i="2" s="1"/>
  <c r="S917" i="2" a="1"/>
  <c r="S917" i="2" s="1"/>
  <c r="S858" i="2" a="1"/>
  <c r="S858" i="2" s="1"/>
  <c r="S798" i="2" a="1"/>
  <c r="S798" i="2" s="1"/>
  <c r="S748" i="2" a="1"/>
  <c r="S748" i="2" s="1"/>
  <c r="S629" i="2" a="1"/>
  <c r="S629" i="2" s="1"/>
  <c r="S604" i="2" a="1"/>
  <c r="S604" i="2" s="1"/>
  <c r="S486" i="2" a="1"/>
  <c r="S486" i="2" s="1"/>
  <c r="S294" i="2" a="1"/>
  <c r="S294" i="2" s="1"/>
  <c r="S797" i="2" a="1"/>
  <c r="S797" i="2" s="1"/>
  <c r="S902" i="2" a="1"/>
  <c r="S902" i="2" s="1"/>
  <c r="S744" i="2" a="1"/>
  <c r="S744" i="2" s="1"/>
  <c r="S923" i="2" a="1"/>
  <c r="S923" i="2" s="1"/>
  <c r="S802" i="2" a="1"/>
  <c r="S802" i="2" s="1"/>
  <c r="S685" i="2" a="1"/>
  <c r="S685" i="2" s="1"/>
  <c r="S540" i="2" a="1"/>
  <c r="S540" i="2" s="1"/>
  <c r="S735" i="2" a="1"/>
  <c r="S735" i="2" s="1"/>
  <c r="S754" i="2" a="1"/>
  <c r="S754" i="2" s="1"/>
  <c r="S574" i="2" a="1"/>
  <c r="S574" i="2" s="1"/>
  <c r="S870" i="2" a="1"/>
  <c r="S870" i="2" s="1"/>
  <c r="S905" i="2" a="1"/>
  <c r="S905" i="2" s="1"/>
  <c r="S892" i="2" a="1"/>
  <c r="S892" i="2" s="1"/>
  <c r="S879" i="2" a="1"/>
  <c r="S879" i="2" s="1"/>
  <c r="S867" i="2" a="1"/>
  <c r="S867" i="2" s="1"/>
  <c r="S855" i="2" a="1"/>
  <c r="S855" i="2" s="1"/>
  <c r="S844" i="2" a="1"/>
  <c r="S844" i="2" s="1"/>
  <c r="S820" i="2" a="1"/>
  <c r="S820" i="2" s="1"/>
  <c r="S783" i="2" a="1"/>
  <c r="S783" i="2" s="1"/>
  <c r="S772" i="2" a="1"/>
  <c r="S772" i="2" s="1"/>
  <c r="S759" i="2" a="1"/>
  <c r="S759" i="2" s="1"/>
  <c r="S749" i="2" a="1"/>
  <c r="S749" i="2" s="1"/>
  <c r="S699" i="2" a="1"/>
  <c r="S699" i="2" s="1"/>
  <c r="S664" i="2" a="1"/>
  <c r="S664" i="2" s="1"/>
  <c r="S654" i="2" a="1"/>
  <c r="S654" i="2" s="1"/>
  <c r="S603" i="2" a="1"/>
  <c r="S603" i="2" s="1"/>
  <c r="S495" i="2" a="1"/>
  <c r="S495" i="2" s="1"/>
  <c r="S377" i="2" a="1"/>
  <c r="S377" i="2" s="1"/>
  <c r="S363" i="2" a="1"/>
  <c r="S363" i="2" s="1"/>
  <c r="S306" i="2" a="1"/>
  <c r="S306" i="2" s="1"/>
  <c r="S869" i="2" a="1"/>
  <c r="S869" i="2" s="1"/>
  <c r="S485" i="2" a="1"/>
  <c r="S485" i="2" s="1"/>
  <c r="S768" i="2" a="1"/>
  <c r="S768" i="2" s="1"/>
  <c r="S494" i="2" a="1"/>
  <c r="S494" i="2" s="1"/>
  <c r="S911" i="2" a="1"/>
  <c r="S911" i="2" s="1"/>
  <c r="S789" i="2" a="1"/>
  <c r="S789" i="2" s="1"/>
  <c r="S646" i="2" a="1"/>
  <c r="S646" i="2" s="1"/>
  <c r="S551" i="2" a="1"/>
  <c r="S551" i="2" s="1"/>
  <c r="S913" i="2" a="1"/>
  <c r="S913" i="2" s="1"/>
  <c r="S804" i="2" a="1"/>
  <c r="S804" i="2" s="1"/>
  <c r="S658" i="2" a="1"/>
  <c r="S658" i="2" s="1"/>
  <c r="S777" i="2" a="1"/>
  <c r="S777" i="2" s="1"/>
  <c r="S763" i="2" a="1"/>
  <c r="S763" i="2" s="1"/>
  <c r="S364" i="2" a="1"/>
  <c r="S364" i="2" s="1"/>
  <c r="S327" i="2" a="1"/>
  <c r="S327" i="2" s="1"/>
  <c r="S303" i="2" a="1"/>
  <c r="S303" i="2" s="1"/>
  <c r="S890" i="2" a="1"/>
  <c r="S890" i="2" s="1"/>
  <c r="S831" i="2" a="1"/>
  <c r="S831" i="2" s="1"/>
  <c r="S747" i="2" a="1"/>
  <c r="S747" i="2" s="1"/>
  <c r="S723" i="2" a="1"/>
  <c r="S723" i="2" s="1"/>
  <c r="S640" i="2" a="1"/>
  <c r="S640" i="2" s="1"/>
  <c r="S593" i="2" a="1"/>
  <c r="S593" i="2" s="1"/>
  <c r="S350" i="2" a="1"/>
  <c r="S350" i="2" s="1"/>
  <c r="S279" i="2" a="1"/>
  <c r="S279" i="2" s="1"/>
  <c r="S122" i="2" a="1"/>
  <c r="S122" i="2" s="1"/>
  <c r="S62" i="2" a="1"/>
  <c r="S62" i="2" s="1"/>
  <c r="S853" i="2" a="1"/>
  <c r="S853" i="2" s="1"/>
  <c r="S762" i="2" a="1"/>
  <c r="S762" i="2" s="1"/>
  <c r="S896" i="2" a="1"/>
  <c r="S896" i="2" s="1"/>
  <c r="S897" i="2" a="1"/>
  <c r="S897" i="2" s="1"/>
  <c r="S898" i="2" a="1"/>
  <c r="S898" i="2" s="1"/>
  <c r="S873" i="2" a="1"/>
  <c r="S873" i="2" s="1"/>
  <c r="S874" i="2" a="1"/>
  <c r="S874" i="2" s="1"/>
  <c r="S875" i="2" a="1"/>
  <c r="S875" i="2" s="1"/>
  <c r="S764" i="2" a="1"/>
  <c r="S764" i="2" s="1"/>
  <c r="S765" i="2" a="1"/>
  <c r="S765" i="2" s="1"/>
  <c r="S799" i="2" a="1"/>
  <c r="S799" i="2" s="1"/>
  <c r="S778" i="2" a="1"/>
  <c r="S778" i="2" s="1"/>
  <c r="S752" i="2" a="1"/>
  <c r="S752" i="2" s="1"/>
  <c r="S656" i="2" a="1"/>
  <c r="S656" i="2" s="1"/>
  <c r="S631" i="2" a="1"/>
  <c r="S631" i="2" s="1"/>
  <c r="S882" i="2" a="1"/>
  <c r="S882" i="2" s="1"/>
  <c r="S860" i="2" a="1"/>
  <c r="S860" i="2" s="1"/>
  <c r="S825" i="2" a="1"/>
  <c r="S825" i="2" s="1"/>
  <c r="S643" i="2" a="1"/>
  <c r="S643" i="2" s="1"/>
  <c r="S899" i="2" a="1"/>
  <c r="S899" i="2" s="1"/>
  <c r="S872" i="2" a="1"/>
  <c r="S872" i="2" s="1"/>
  <c r="S740" i="2" a="1"/>
  <c r="S740" i="2" s="1"/>
  <c r="S741" i="2" a="1"/>
  <c r="S741" i="2" s="1"/>
  <c r="S742" i="2" a="1"/>
  <c r="S742" i="2" s="1"/>
  <c r="S743" i="2" a="1"/>
  <c r="S743" i="2" s="1"/>
  <c r="S692" i="2" a="1"/>
  <c r="S692" i="2" s="1"/>
  <c r="S693" i="2" a="1"/>
  <c r="S693" i="2" s="1"/>
  <c r="S694" i="2" a="1"/>
  <c r="S694" i="2" s="1"/>
  <c r="S680" i="2" a="1"/>
  <c r="S680" i="2" s="1"/>
  <c r="S681" i="2" a="1"/>
  <c r="S681" i="2" s="1"/>
  <c r="S682" i="2" a="1"/>
  <c r="S682" i="2" s="1"/>
  <c r="S669" i="2" a="1"/>
  <c r="S669" i="2" s="1"/>
  <c r="S668" i="2" a="1"/>
  <c r="S668" i="2" s="1"/>
  <c r="S620" i="2" a="1"/>
  <c r="S620" i="2" s="1"/>
  <c r="S621" i="2" a="1"/>
  <c r="S621" i="2" s="1"/>
  <c r="S596" i="2" a="1"/>
  <c r="S596" i="2" s="1"/>
  <c r="S597" i="2" a="1"/>
  <c r="S597" i="2" s="1"/>
  <c r="S584" i="2" a="1"/>
  <c r="S584" i="2" s="1"/>
  <c r="S585" i="2" a="1"/>
  <c r="S585" i="2" s="1"/>
  <c r="S586" i="2" a="1"/>
  <c r="S586" i="2" s="1"/>
  <c r="S587" i="2" a="1"/>
  <c r="S587" i="2" s="1"/>
  <c r="S512" i="2" a="1"/>
  <c r="S512" i="2" s="1"/>
  <c r="S513" i="2" a="1"/>
  <c r="S513" i="2" s="1"/>
  <c r="S490" i="2" a="1"/>
  <c r="S490" i="2" s="1"/>
  <c r="S491" i="2" a="1"/>
  <c r="S491" i="2" s="1"/>
  <c r="S488" i="2" a="1"/>
  <c r="S488" i="2" s="1"/>
  <c r="S489" i="2" a="1"/>
  <c r="S489" i="2" s="1"/>
  <c r="S464" i="2" a="1"/>
  <c r="S464" i="2" s="1"/>
  <c r="S465" i="2" a="1"/>
  <c r="S465" i="2" s="1"/>
  <c r="S416" i="2" a="1"/>
  <c r="S416" i="2" s="1"/>
  <c r="S417" i="2" a="1"/>
  <c r="S417" i="2" s="1"/>
  <c r="S356" i="2" a="1"/>
  <c r="S356" i="2" s="1"/>
  <c r="S357" i="2" a="1"/>
  <c r="S357" i="2" s="1"/>
  <c r="S284" i="2" a="1"/>
  <c r="S284" i="2" s="1"/>
  <c r="S285" i="2" a="1"/>
  <c r="S285" i="2" s="1"/>
  <c r="S286" i="2" a="1"/>
  <c r="S286" i="2" s="1"/>
  <c r="S200" i="2" a="1"/>
  <c r="S200" i="2" s="1"/>
  <c r="S201" i="2" a="1"/>
  <c r="S201" i="2" s="1"/>
  <c r="S202" i="2" a="1"/>
  <c r="S202" i="2" s="1"/>
  <c r="S203" i="2" a="1"/>
  <c r="S203" i="2" s="1"/>
  <c r="S167" i="2" a="1"/>
  <c r="S167" i="2" s="1"/>
  <c r="S164" i="2" a="1"/>
  <c r="S164" i="2" s="1"/>
  <c r="S165" i="2" a="1"/>
  <c r="S165" i="2" s="1"/>
  <c r="S166" i="2" a="1"/>
  <c r="S166" i="2" s="1"/>
  <c r="S116" i="2" a="1"/>
  <c r="S116" i="2" s="1"/>
  <c r="S117" i="2" a="1"/>
  <c r="S117" i="2" s="1"/>
  <c r="S118" i="2" a="1"/>
  <c r="S118" i="2" s="1"/>
  <c r="S106" i="2" a="1"/>
  <c r="S106" i="2" s="1"/>
  <c r="S107" i="2" a="1"/>
  <c r="S107" i="2" s="1"/>
  <c r="S104" i="2" a="1"/>
  <c r="S104" i="2" s="1"/>
  <c r="S105" i="2" a="1"/>
  <c r="S105" i="2" s="1"/>
  <c r="S92" i="2" a="1"/>
  <c r="S92" i="2" s="1"/>
  <c r="S93" i="2" a="1"/>
  <c r="S93" i="2" s="1"/>
  <c r="S68" i="2" a="1"/>
  <c r="S68" i="2" s="1"/>
  <c r="S69" i="2" a="1"/>
  <c r="S69" i="2" s="1"/>
  <c r="S70" i="2" a="1"/>
  <c r="S70" i="2" s="1"/>
  <c r="S71" i="2" a="1"/>
  <c r="S71" i="2" s="1"/>
  <c r="S32" i="2" a="1"/>
  <c r="S32" i="2" s="1"/>
  <c r="S33" i="2" a="1"/>
  <c r="S33" i="2" s="1"/>
  <c r="S34" i="2" a="1"/>
  <c r="S34" i="2" s="1"/>
  <c r="S507" i="2" a="1"/>
  <c r="S507" i="2" s="1"/>
  <c r="S850" i="2" a="1"/>
  <c r="S850" i="2" s="1"/>
  <c r="S607" i="2" a="1"/>
  <c r="S607" i="2" s="1"/>
  <c r="S608" i="2" a="1"/>
  <c r="S608" i="2" s="1"/>
  <c r="S609" i="2" a="1"/>
  <c r="S609" i="2" s="1"/>
  <c r="S559" i="2" a="1"/>
  <c r="S559" i="2" s="1"/>
  <c r="S560" i="2" a="1"/>
  <c r="S560" i="2" s="1"/>
  <c r="S547" i="2" a="1"/>
  <c r="S547" i="2" s="1"/>
  <c r="S548" i="2" a="1"/>
  <c r="S548" i="2" s="1"/>
  <c r="S535" i="2" a="1"/>
  <c r="S535" i="2" s="1"/>
  <c r="S536" i="2" a="1"/>
  <c r="S536" i="2" s="1"/>
  <c r="S452" i="2" a="1"/>
  <c r="S452" i="2" s="1"/>
  <c r="S453" i="2" a="1"/>
  <c r="S453" i="2" s="1"/>
  <c r="S454" i="2" a="1"/>
  <c r="S454" i="2" s="1"/>
  <c r="S439" i="2" a="1"/>
  <c r="S439" i="2" s="1"/>
  <c r="S440" i="2" a="1"/>
  <c r="S440" i="2" s="1"/>
  <c r="S441" i="2" a="1"/>
  <c r="S441" i="2" s="1"/>
  <c r="S442" i="2" a="1"/>
  <c r="S442" i="2" s="1"/>
  <c r="S367" i="2" a="1"/>
  <c r="S367" i="2" s="1"/>
  <c r="S368" i="2" a="1"/>
  <c r="S368" i="2" s="1"/>
  <c r="S369" i="2" a="1"/>
  <c r="S369" i="2" s="1"/>
  <c r="S370" i="2" a="1"/>
  <c r="S370" i="2" s="1"/>
  <c r="S331" i="2" a="1"/>
  <c r="S331" i="2" s="1"/>
  <c r="S332" i="2" a="1"/>
  <c r="S332" i="2" s="1"/>
  <c r="S308" i="2" a="1"/>
  <c r="S308" i="2" s="1"/>
  <c r="S309" i="2" a="1"/>
  <c r="S309" i="2" s="1"/>
  <c r="S310" i="2" a="1"/>
  <c r="S310" i="2" s="1"/>
  <c r="S307" i="2" a="1"/>
  <c r="S307" i="2" s="1"/>
  <c r="S295" i="2" a="1"/>
  <c r="S295" i="2" s="1"/>
  <c r="S296" i="2" a="1"/>
  <c r="S296" i="2" s="1"/>
  <c r="S297" i="2" a="1"/>
  <c r="S297" i="2" s="1"/>
  <c r="S298" i="2" a="1"/>
  <c r="S298" i="2" s="1"/>
  <c r="S271" i="2" a="1"/>
  <c r="S271" i="2" s="1"/>
  <c r="S272" i="2" a="1"/>
  <c r="S272" i="2" s="1"/>
  <c r="S273" i="2" a="1"/>
  <c r="S273" i="2" s="1"/>
  <c r="S261" i="2" a="1"/>
  <c r="S261" i="2" s="1"/>
  <c r="S262" i="2" a="1"/>
  <c r="S262" i="2" s="1"/>
  <c r="S259" i="2" a="1"/>
  <c r="S259" i="2" s="1"/>
  <c r="S260" i="2" a="1"/>
  <c r="S260" i="2" s="1"/>
  <c r="S247" i="2" a="1"/>
  <c r="S247" i="2" s="1"/>
  <c r="S248" i="2" a="1"/>
  <c r="S248" i="2" s="1"/>
  <c r="S249" i="2" a="1"/>
  <c r="S249" i="2" s="1"/>
  <c r="S235" i="2" a="1"/>
  <c r="S235" i="2" s="1"/>
  <c r="S236" i="2" a="1"/>
  <c r="S236" i="2" s="1"/>
  <c r="S223" i="2" a="1"/>
  <c r="S223" i="2" s="1"/>
  <c r="S225" i="2" a="1"/>
  <c r="S225" i="2" s="1"/>
  <c r="S211" i="2" a="1"/>
  <c r="S211" i="2" s="1"/>
  <c r="S212" i="2" a="1"/>
  <c r="S212" i="2" s="1"/>
  <c r="S187" i="2" a="1"/>
  <c r="S187" i="2" s="1"/>
  <c r="S188" i="2" a="1"/>
  <c r="S188" i="2" s="1"/>
  <c r="S189" i="2" a="1"/>
  <c r="S189" i="2" s="1"/>
  <c r="S190" i="2" a="1"/>
  <c r="S190" i="2" s="1"/>
  <c r="S80" i="2" a="1"/>
  <c r="S80" i="2" s="1"/>
  <c r="S81" i="2" a="1"/>
  <c r="S81" i="2" s="1"/>
  <c r="S82" i="2" a="1"/>
  <c r="S82" i="2" s="1"/>
  <c r="S79" i="2" a="1"/>
  <c r="S79" i="2" s="1"/>
  <c r="S56" i="2" a="1"/>
  <c r="S56" i="2" s="1"/>
  <c r="S57" i="2" a="1"/>
  <c r="S57" i="2" s="1"/>
  <c r="S55" i="2" a="1"/>
  <c r="S55" i="2" s="1"/>
  <c r="S43" i="2" a="1"/>
  <c r="S43" i="2" s="1"/>
  <c r="S44" i="2" a="1"/>
  <c r="S44" i="2" s="1"/>
  <c r="S912" i="2" a="1"/>
  <c r="S912" i="2" s="1"/>
  <c r="S857" i="2" a="1"/>
  <c r="S857" i="2" s="1"/>
  <c r="S847" i="2" a="1"/>
  <c r="S847" i="2" s="1"/>
  <c r="S838" i="2" a="1"/>
  <c r="S838" i="2" s="1"/>
  <c r="S827" i="2" a="1"/>
  <c r="S827" i="2" s="1"/>
  <c r="S807" i="2" a="1"/>
  <c r="S807" i="2" s="1"/>
  <c r="S796" i="2" a="1"/>
  <c r="S796" i="2" s="1"/>
  <c r="S776" i="2" a="1"/>
  <c r="S776" i="2" s="1"/>
  <c r="S755" i="2" a="1"/>
  <c r="S755" i="2" s="1"/>
  <c r="S684" i="2" a="1"/>
  <c r="S684" i="2" s="1"/>
  <c r="S667" i="2" a="1"/>
  <c r="S667" i="2" s="1"/>
  <c r="S645" i="2" a="1"/>
  <c r="S645" i="2" s="1"/>
  <c r="S553" i="2" a="1"/>
  <c r="S553" i="2" s="1"/>
  <c r="S123" i="2" a="1"/>
  <c r="S123" i="2" s="1"/>
  <c r="S500" i="2" a="1"/>
  <c r="S500" i="2" s="1"/>
  <c r="S498" i="2" a="1"/>
  <c r="S498" i="2" s="1"/>
  <c r="S499" i="2" a="1"/>
  <c r="S499" i="2" s="1"/>
  <c r="S426" i="2" a="1"/>
  <c r="S426" i="2" s="1"/>
  <c r="S427" i="2" a="1"/>
  <c r="S427" i="2" s="1"/>
  <c r="S428" i="2" a="1"/>
  <c r="S428" i="2" s="1"/>
  <c r="S429" i="2" a="1"/>
  <c r="S429" i="2" s="1"/>
  <c r="S414" i="2" a="1"/>
  <c r="S414" i="2" s="1"/>
  <c r="S415" i="2" a="1"/>
  <c r="S415" i="2" s="1"/>
  <c r="S379" i="2" a="1"/>
  <c r="S379" i="2" s="1"/>
  <c r="S380" i="2" a="1"/>
  <c r="S380" i="2" s="1"/>
  <c r="S355" i="2" a="1"/>
  <c r="S355" i="2" s="1"/>
  <c r="S354" i="2" a="1"/>
  <c r="S354" i="2" s="1"/>
  <c r="S343" i="2" a="1"/>
  <c r="S343" i="2" s="1"/>
  <c r="S344" i="2" a="1"/>
  <c r="S344" i="2" s="1"/>
  <c r="S345" i="2" a="1"/>
  <c r="S345" i="2" s="1"/>
  <c r="S342" i="2" a="1"/>
  <c r="S342" i="2" s="1"/>
  <c r="S319" i="2" a="1"/>
  <c r="S319" i="2" s="1"/>
  <c r="S320" i="2" a="1"/>
  <c r="S320" i="2" s="1"/>
  <c r="S318" i="2" a="1"/>
  <c r="S318" i="2" s="1"/>
  <c r="S138" i="2" a="1"/>
  <c r="S138" i="2" s="1"/>
  <c r="S139" i="2" a="1"/>
  <c r="S139" i="2" s="1"/>
  <c r="S140" i="2" a="1"/>
  <c r="S140" i="2" s="1"/>
  <c r="S141" i="2" a="1"/>
  <c r="S141" i="2" s="1"/>
  <c r="S126" i="2" a="1"/>
  <c r="S126" i="2" s="1"/>
  <c r="S127" i="2" a="1"/>
  <c r="S127" i="2" s="1"/>
  <c r="S128" i="2" a="1"/>
  <c r="S128" i="2" s="1"/>
  <c r="S102" i="2" a="1"/>
  <c r="S102" i="2" s="1"/>
  <c r="S103" i="2" a="1"/>
  <c r="S103" i="2" s="1"/>
  <c r="S19" i="2" a="1"/>
  <c r="S19" i="2" s="1"/>
  <c r="S20" i="2" a="1"/>
  <c r="S20" i="2" s="1"/>
  <c r="S18" i="2" a="1"/>
  <c r="S18" i="2" s="1"/>
  <c r="S883" i="2" a="1"/>
  <c r="S883" i="2" s="1"/>
  <c r="S856" i="2" a="1"/>
  <c r="S856" i="2" s="1"/>
  <c r="S837" i="2" a="1"/>
  <c r="S837" i="2" s="1"/>
  <c r="S826" i="2" a="1"/>
  <c r="S826" i="2" s="1"/>
  <c r="S816" i="2" a="1"/>
  <c r="S816" i="2" s="1"/>
  <c r="S795" i="2" a="1"/>
  <c r="S795" i="2" s="1"/>
  <c r="S784" i="2" a="1"/>
  <c r="S784" i="2" s="1"/>
  <c r="S775" i="2" a="1"/>
  <c r="S775" i="2" s="1"/>
  <c r="S733" i="2" a="1"/>
  <c r="S733" i="2" s="1"/>
  <c r="S683" i="2" a="1"/>
  <c r="S683" i="2" s="1"/>
  <c r="S666" i="2" a="1"/>
  <c r="S666" i="2" s="1"/>
  <c r="S644" i="2" a="1"/>
  <c r="S644" i="2" s="1"/>
  <c r="S552" i="2" a="1"/>
  <c r="S552" i="2" s="1"/>
  <c r="S738" i="2" a="1"/>
  <c r="S738" i="2" s="1"/>
  <c r="S713" i="2" a="1"/>
  <c r="S713" i="2" s="1"/>
  <c r="S714" i="2" a="1"/>
  <c r="S714" i="2" s="1"/>
  <c r="S715" i="2" a="1"/>
  <c r="S715" i="2" s="1"/>
  <c r="S716" i="2" a="1"/>
  <c r="S716" i="2" s="1"/>
  <c r="S581" i="2" a="1"/>
  <c r="S581" i="2" s="1"/>
  <c r="S582" i="2" a="1"/>
  <c r="S582" i="2" s="1"/>
  <c r="S521" i="2" a="1"/>
  <c r="S521" i="2" s="1"/>
  <c r="S524" i="2" a="1"/>
  <c r="S524" i="2" s="1"/>
  <c r="S473" i="2" a="1"/>
  <c r="S473" i="2" s="1"/>
  <c r="S474" i="2" a="1"/>
  <c r="S474" i="2" s="1"/>
  <c r="S475" i="2" a="1"/>
  <c r="S475" i="2" s="1"/>
  <c r="S476" i="2" a="1"/>
  <c r="S476" i="2" s="1"/>
  <c r="S389" i="2" a="1"/>
  <c r="S389" i="2" s="1"/>
  <c r="S390" i="2" a="1"/>
  <c r="S390" i="2" s="1"/>
  <c r="S392" i="2" a="1"/>
  <c r="S392" i="2" s="1"/>
  <c r="S258" i="2" a="1"/>
  <c r="S258" i="2" s="1"/>
  <c r="S257" i="2" a="1"/>
  <c r="S257" i="2" s="1"/>
  <c r="S245" i="2" a="1"/>
  <c r="S245" i="2" s="1"/>
  <c r="S246" i="2" a="1"/>
  <c r="S246" i="2" s="1"/>
  <c r="S150" i="2" a="1"/>
  <c r="S150" i="2" s="1"/>
  <c r="S151" i="2" a="1"/>
  <c r="S151" i="2" s="1"/>
  <c r="S152" i="2" a="1"/>
  <c r="S152" i="2" s="1"/>
  <c r="S149" i="2" a="1"/>
  <c r="S149" i="2" s="1"/>
  <c r="S8" i="2" a="1"/>
  <c r="S8" i="2" s="1"/>
  <c r="S5" i="2" a="1"/>
  <c r="S5" i="2" s="1"/>
  <c r="S6" i="2" a="1"/>
  <c r="S6" i="2" s="1"/>
  <c r="S7" i="2" a="1"/>
  <c r="S7" i="2" s="1"/>
  <c r="S901" i="2" a="1"/>
  <c r="S901" i="2" s="1"/>
  <c r="S846" i="2" a="1"/>
  <c r="S846" i="2" s="1"/>
  <c r="S815" i="2" a="1"/>
  <c r="S815" i="2" s="1"/>
  <c r="S806" i="2" a="1"/>
  <c r="S806" i="2" s="1"/>
  <c r="S794" i="2" a="1"/>
  <c r="S794" i="2" s="1"/>
  <c r="S774" i="2" a="1"/>
  <c r="S774" i="2" s="1"/>
  <c r="S753" i="2" a="1"/>
  <c r="S753" i="2" s="1"/>
  <c r="S732" i="2" a="1"/>
  <c r="S732" i="2" s="1"/>
  <c r="S719" i="2" a="1"/>
  <c r="S719" i="2" s="1"/>
  <c r="S701" i="2" a="1"/>
  <c r="S701" i="2" s="1"/>
  <c r="S550" i="2" a="1"/>
  <c r="S550" i="2" s="1"/>
  <c r="S884" i="2" a="1"/>
  <c r="S884" i="2" s="1"/>
  <c r="S822" i="2" a="1"/>
  <c r="S822" i="2" s="1"/>
  <c r="S726" i="2" a="1"/>
  <c r="S726" i="2" s="1"/>
  <c r="S727" i="2" a="1"/>
  <c r="S727" i="2" s="1"/>
  <c r="S728" i="2" a="1"/>
  <c r="S728" i="2" s="1"/>
  <c r="S702" i="2" a="1"/>
  <c r="S702" i="2" s="1"/>
  <c r="S703" i="2" a="1"/>
  <c r="S703" i="2" s="1"/>
  <c r="S704" i="2" a="1"/>
  <c r="S704" i="2" s="1"/>
  <c r="S642" i="2" a="1"/>
  <c r="S642" i="2" s="1"/>
  <c r="S595" i="2" a="1"/>
  <c r="S595" i="2" s="1"/>
  <c r="S594" i="2" a="1"/>
  <c r="S594" i="2" s="1"/>
  <c r="S570" i="2" a="1"/>
  <c r="S570" i="2" s="1"/>
  <c r="S571" i="2" a="1"/>
  <c r="S571" i="2" s="1"/>
  <c r="S572" i="2" a="1"/>
  <c r="S572" i="2" s="1"/>
  <c r="S785" i="2" a="1"/>
  <c r="S785" i="2" s="1"/>
  <c r="S893" i="2" a="1"/>
  <c r="S893" i="2" s="1"/>
  <c r="S832" i="2" a="1"/>
  <c r="S832" i="2" s="1"/>
  <c r="S688" i="2" a="1"/>
  <c r="S688" i="2" s="1"/>
  <c r="S690" i="2" a="1"/>
  <c r="S690" i="2" s="1"/>
  <c r="S691" i="2" a="1"/>
  <c r="S691" i="2" s="1"/>
  <c r="S665" i="2" a="1"/>
  <c r="S665" i="2" s="1"/>
  <c r="S616" i="2" a="1"/>
  <c r="S616" i="2" s="1"/>
  <c r="S617" i="2" a="1"/>
  <c r="S617" i="2" s="1"/>
  <c r="S618" i="2" a="1"/>
  <c r="S618" i="2" s="1"/>
  <c r="S544" i="2" a="1"/>
  <c r="S544" i="2" s="1"/>
  <c r="S545" i="2" a="1"/>
  <c r="S545" i="2" s="1"/>
  <c r="S546" i="2" a="1"/>
  <c r="S546" i="2" s="1"/>
  <c r="S532" i="2" a="1"/>
  <c r="S532" i="2" s="1"/>
  <c r="S534" i="2" a="1"/>
  <c r="S534" i="2" s="1"/>
  <c r="S448" i="2" a="1"/>
  <c r="S448" i="2" s="1"/>
  <c r="S449" i="2" a="1"/>
  <c r="S449" i="2" s="1"/>
  <c r="S450" i="2" a="1"/>
  <c r="S450" i="2" s="1"/>
  <c r="S402" i="2" a="1"/>
  <c r="S402" i="2" s="1"/>
  <c r="S403" i="2" a="1"/>
  <c r="S403" i="2" s="1"/>
  <c r="S400" i="2" a="1"/>
  <c r="S400" i="2" s="1"/>
  <c r="S401" i="2" a="1"/>
  <c r="S401" i="2" s="1"/>
  <c r="S340" i="2" a="1"/>
  <c r="S340" i="2" s="1"/>
  <c r="S341" i="2" a="1"/>
  <c r="S341" i="2" s="1"/>
  <c r="S316" i="2" a="1"/>
  <c r="S316" i="2" s="1"/>
  <c r="S317" i="2" a="1"/>
  <c r="S317" i="2" s="1"/>
  <c r="S280" i="2" a="1"/>
  <c r="S280" i="2" s="1"/>
  <c r="S281" i="2" a="1"/>
  <c r="S281" i="2" s="1"/>
  <c r="S282" i="2" a="1"/>
  <c r="S282" i="2" s="1"/>
  <c r="S283" i="2" a="1"/>
  <c r="S283" i="2" s="1"/>
  <c r="S270" i="2" a="1"/>
  <c r="S270" i="2" s="1"/>
  <c r="S268" i="2" a="1"/>
  <c r="S268" i="2" s="1"/>
  <c r="S269" i="2" a="1"/>
  <c r="S269" i="2" s="1"/>
  <c r="S234" i="2" a="1"/>
  <c r="S234" i="2" s="1"/>
  <c r="S232" i="2" a="1"/>
  <c r="S232" i="2" s="1"/>
  <c r="S233" i="2" a="1"/>
  <c r="S233" i="2" s="1"/>
  <c r="S220" i="2" a="1"/>
  <c r="S220" i="2" s="1"/>
  <c r="S221" i="2" a="1"/>
  <c r="S221" i="2" s="1"/>
  <c r="S222" i="2" a="1"/>
  <c r="S222" i="2" s="1"/>
  <c r="S209" i="2" a="1"/>
  <c r="S209" i="2" s="1"/>
  <c r="S210" i="2" a="1"/>
  <c r="S210" i="2" s="1"/>
  <c r="S208" i="2" a="1"/>
  <c r="S208" i="2" s="1"/>
  <c r="S196" i="2" a="1"/>
  <c r="S196" i="2" s="1"/>
  <c r="S197" i="2" a="1"/>
  <c r="S197" i="2" s="1"/>
  <c r="S172" i="2" a="1"/>
  <c r="S172" i="2" s="1"/>
  <c r="S173" i="2" a="1"/>
  <c r="S173" i="2" s="1"/>
  <c r="S174" i="2" a="1"/>
  <c r="S174" i="2" s="1"/>
  <c r="S175" i="2" a="1"/>
  <c r="S175" i="2" s="1"/>
  <c r="S160" i="2" a="1"/>
  <c r="S160" i="2" s="1"/>
  <c r="S161" i="2" a="1"/>
  <c r="S161" i="2" s="1"/>
  <c r="S162" i="2" a="1"/>
  <c r="S162" i="2" s="1"/>
  <c r="S136" i="2" a="1"/>
  <c r="S136" i="2" s="1"/>
  <c r="S125" i="2" a="1"/>
  <c r="S125" i="2" s="1"/>
  <c r="S124" i="2" a="1"/>
  <c r="S124" i="2" s="1"/>
  <c r="S112" i="2" a="1"/>
  <c r="S112" i="2" s="1"/>
  <c r="S113" i="2" a="1"/>
  <c r="S113" i="2" s="1"/>
  <c r="S114" i="2" a="1"/>
  <c r="S114" i="2" s="1"/>
  <c r="S91" i="2" a="1"/>
  <c r="S91" i="2" s="1"/>
  <c r="S88" i="2" a="1"/>
  <c r="S88" i="2" s="1"/>
  <c r="S89" i="2" a="1"/>
  <c r="S89" i="2" s="1"/>
  <c r="S90" i="2" a="1"/>
  <c r="S90" i="2" s="1"/>
  <c r="S76" i="2" a="1"/>
  <c r="S76" i="2" s="1"/>
  <c r="S77" i="2" a="1"/>
  <c r="S77" i="2" s="1"/>
  <c r="S78" i="2" a="1"/>
  <c r="S78" i="2" s="1"/>
  <c r="S67" i="2" a="1"/>
  <c r="S67" i="2" s="1"/>
  <c r="S64" i="2" a="1"/>
  <c r="S64" i="2" s="1"/>
  <c r="S65" i="2" a="1"/>
  <c r="S65" i="2" s="1"/>
  <c r="S66" i="2" a="1"/>
  <c r="S66" i="2" s="1"/>
  <c r="S52" i="2" a="1"/>
  <c r="S52" i="2" s="1"/>
  <c r="S53" i="2" a="1"/>
  <c r="S53" i="2" s="1"/>
  <c r="S54" i="2" a="1"/>
  <c r="S54" i="2" s="1"/>
  <c r="S28" i="2" a="1"/>
  <c r="S28" i="2" s="1"/>
  <c r="S31" i="2" a="1"/>
  <c r="S31" i="2" s="1"/>
  <c r="S29" i="2" a="1"/>
  <c r="S29" i="2" s="1"/>
  <c r="S30" i="2" a="1"/>
  <c r="S30" i="2" s="1"/>
  <c r="S919" i="2" a="1"/>
  <c r="S919" i="2" s="1"/>
  <c r="S909" i="2" a="1"/>
  <c r="S909" i="2" s="1"/>
  <c r="S891" i="2" a="1"/>
  <c r="S891" i="2" s="1"/>
  <c r="S863" i="2" a="1"/>
  <c r="S863" i="2" s="1"/>
  <c r="S854" i="2" a="1"/>
  <c r="S854" i="2" s="1"/>
  <c r="S845" i="2" a="1"/>
  <c r="S845" i="2" s="1"/>
  <c r="S824" i="2" a="1"/>
  <c r="S824" i="2" s="1"/>
  <c r="S731" i="2" a="1"/>
  <c r="S731" i="2" s="1"/>
  <c r="S659" i="2" a="1"/>
  <c r="S659" i="2" s="1"/>
  <c r="S549" i="2" a="1"/>
  <c r="S549" i="2" s="1"/>
  <c r="S686" i="2" a="1"/>
  <c r="S686" i="2" s="1"/>
  <c r="S687" i="2" a="1"/>
  <c r="S687" i="2" s="1"/>
  <c r="S641" i="2" a="1"/>
  <c r="S641" i="2" s="1"/>
  <c r="S638" i="2" a="1"/>
  <c r="S638" i="2" s="1"/>
  <c r="S626" i="2" a="1"/>
  <c r="S626" i="2" s="1"/>
  <c r="S627" i="2" a="1"/>
  <c r="S627" i="2" s="1"/>
  <c r="S628" i="2" a="1"/>
  <c r="S628" i="2" s="1"/>
  <c r="S615" i="2" a="1"/>
  <c r="S615" i="2" s="1"/>
  <c r="S614" i="2" a="1"/>
  <c r="S614" i="2" s="1"/>
  <c r="S590" i="2" a="1"/>
  <c r="S590" i="2" s="1"/>
  <c r="S591" i="2" a="1"/>
  <c r="S591" i="2" s="1"/>
  <c r="S592" i="2" a="1"/>
  <c r="S592" i="2" s="1"/>
  <c r="S579" i="2" a="1"/>
  <c r="S579" i="2" s="1"/>
  <c r="S580" i="2" a="1"/>
  <c r="S580" i="2" s="1"/>
  <c r="S567" i="2" a="1"/>
  <c r="S567" i="2" s="1"/>
  <c r="S568" i="2" a="1"/>
  <c r="S568" i="2" s="1"/>
  <c r="S569" i="2" a="1"/>
  <c r="S569" i="2" s="1"/>
  <c r="S555" i="2" a="1"/>
  <c r="S555" i="2" s="1"/>
  <c r="S556" i="2" a="1"/>
  <c r="S556" i="2" s="1"/>
  <c r="S557" i="2" a="1"/>
  <c r="S557" i="2" s="1"/>
  <c r="S554" i="2" a="1"/>
  <c r="S554" i="2" s="1"/>
  <c r="S434" i="2" a="1"/>
  <c r="S434" i="2" s="1"/>
  <c r="S435" i="2" a="1"/>
  <c r="S435" i="2" s="1"/>
  <c r="S436" i="2" a="1"/>
  <c r="S436" i="2" s="1"/>
  <c r="S413" i="2" a="1"/>
  <c r="S413" i="2" s="1"/>
  <c r="S410" i="2" a="1"/>
  <c r="S410" i="2" s="1"/>
  <c r="S411" i="2" a="1"/>
  <c r="S411" i="2" s="1"/>
  <c r="S412" i="2" a="1"/>
  <c r="S412" i="2" s="1"/>
  <c r="S351" i="2" a="1"/>
  <c r="S351" i="2" s="1"/>
  <c r="S352" i="2" a="1"/>
  <c r="S352" i="2" s="1"/>
  <c r="S353" i="2" a="1"/>
  <c r="S353" i="2" s="1"/>
  <c r="S254" i="2" a="1"/>
  <c r="S254" i="2" s="1"/>
  <c r="S255" i="2" a="1"/>
  <c r="S255" i="2" s="1"/>
  <c r="S256" i="2" a="1"/>
  <c r="S256" i="2" s="1"/>
  <c r="S231" i="2" a="1"/>
  <c r="S231" i="2" s="1"/>
  <c r="S230" i="2" a="1"/>
  <c r="S230" i="2" s="1"/>
  <c r="S218" i="2" a="1"/>
  <c r="S218" i="2" s="1"/>
  <c r="S219" i="2" a="1"/>
  <c r="S219" i="2" s="1"/>
  <c r="S206" i="2" a="1"/>
  <c r="S206" i="2" s="1"/>
  <c r="S207" i="2" a="1"/>
  <c r="S207" i="2" s="1"/>
  <c r="S194" i="2" a="1"/>
  <c r="S194" i="2" s="1"/>
  <c r="S195" i="2" a="1"/>
  <c r="S195" i="2" s="1"/>
  <c r="S146" i="2" a="1"/>
  <c r="S146" i="2" s="1"/>
  <c r="S147" i="2" a="1"/>
  <c r="S147" i="2" s="1"/>
  <c r="S148" i="2" a="1"/>
  <c r="S148" i="2" s="1"/>
  <c r="S134" i="2" a="1"/>
  <c r="S134" i="2" s="1"/>
  <c r="S135" i="2" a="1"/>
  <c r="S135" i="2" s="1"/>
  <c r="S99" i="2" a="1"/>
  <c r="S99" i="2" s="1"/>
  <c r="S100" i="2" a="1"/>
  <c r="S100" i="2" s="1"/>
  <c r="S101" i="2" a="1"/>
  <c r="S101" i="2" s="1"/>
  <c r="S98" i="2" a="1"/>
  <c r="S98" i="2" s="1"/>
  <c r="S38" i="2" a="1"/>
  <c r="S38" i="2" s="1"/>
  <c r="S39" i="2" a="1"/>
  <c r="S39" i="2" s="1"/>
  <c r="S40" i="2" a="1"/>
  <c r="S40" i="2" s="1"/>
  <c r="S41" i="2" a="1"/>
  <c r="S41" i="2" s="1"/>
  <c r="S26" i="2" a="1"/>
  <c r="S26" i="2" s="1"/>
  <c r="S27" i="2" a="1"/>
  <c r="S27" i="2" s="1"/>
  <c r="S871" i="2" a="1"/>
  <c r="S871" i="2" s="1"/>
  <c r="S852" i="2" a="1"/>
  <c r="S852" i="2" s="1"/>
  <c r="S833" i="2" a="1"/>
  <c r="S833" i="2" s="1"/>
  <c r="S792" i="2" a="1"/>
  <c r="S792" i="2" s="1"/>
  <c r="S781" i="2" a="1"/>
  <c r="S781" i="2" s="1"/>
  <c r="S750" i="2" a="1"/>
  <c r="S750" i="2" s="1"/>
  <c r="S711" i="2" a="1"/>
  <c r="S711" i="2" s="1"/>
  <c r="S679" i="2" a="1"/>
  <c r="S679" i="2" s="1"/>
  <c r="S577" i="2" a="1"/>
  <c r="S577" i="2" s="1"/>
  <c r="S214" i="2" a="1"/>
  <c r="S214" i="2" s="1"/>
  <c r="S63" i="2" a="1"/>
  <c r="S63" i="2" s="1"/>
  <c r="S661" i="2" a="1"/>
  <c r="S661" i="2" s="1"/>
  <c r="S662" i="2" a="1"/>
  <c r="S662" i="2" s="1"/>
  <c r="S663" i="2" a="1"/>
  <c r="S663" i="2" s="1"/>
  <c r="S650" i="2" a="1"/>
  <c r="S650" i="2" s="1"/>
  <c r="S649" i="2" a="1"/>
  <c r="S649" i="2" s="1"/>
  <c r="S541" i="2" a="1"/>
  <c r="S541" i="2" s="1"/>
  <c r="S542" i="2" a="1"/>
  <c r="S542" i="2" s="1"/>
  <c r="S543" i="2" a="1"/>
  <c r="S543" i="2" s="1"/>
  <c r="S529" i="2" a="1"/>
  <c r="S529" i="2" s="1"/>
  <c r="S530" i="2" a="1"/>
  <c r="S530" i="2" s="1"/>
  <c r="S531" i="2" a="1"/>
  <c r="S531" i="2" s="1"/>
  <c r="S519" i="2" a="1"/>
  <c r="S519" i="2" s="1"/>
  <c r="S520" i="2" a="1"/>
  <c r="S520" i="2" s="1"/>
  <c r="S517" i="2" a="1"/>
  <c r="S517" i="2" s="1"/>
  <c r="S518" i="2" a="1"/>
  <c r="S518" i="2" s="1"/>
  <c r="S505" i="2" a="1"/>
  <c r="S505" i="2" s="1"/>
  <c r="S508" i="2" a="1"/>
  <c r="S508" i="2" s="1"/>
  <c r="S481" i="2" a="1"/>
  <c r="S481" i="2" s="1"/>
  <c r="S482" i="2" a="1"/>
  <c r="S482" i="2" s="1"/>
  <c r="S483" i="2" a="1"/>
  <c r="S483" i="2" s="1"/>
  <c r="S469" i="2" a="1"/>
  <c r="S469" i="2" s="1"/>
  <c r="S471" i="2" a="1"/>
  <c r="S471" i="2" s="1"/>
  <c r="S445" i="2" a="1"/>
  <c r="S445" i="2" s="1"/>
  <c r="S446" i="2" a="1"/>
  <c r="S446" i="2" s="1"/>
  <c r="S447" i="2" a="1"/>
  <c r="S447" i="2" s="1"/>
  <c r="S398" i="2" a="1"/>
  <c r="S398" i="2" s="1"/>
  <c r="S399" i="2" a="1"/>
  <c r="S399" i="2" s="1"/>
  <c r="S397" i="2" a="1"/>
  <c r="S397" i="2" s="1"/>
  <c r="S385" i="2" a="1"/>
  <c r="S385" i="2" s="1"/>
  <c r="S386" i="2" a="1"/>
  <c r="S386" i="2" s="1"/>
  <c r="S387" i="2" a="1"/>
  <c r="S387" i="2" s="1"/>
  <c r="S388" i="2" a="1"/>
  <c r="S388" i="2" s="1"/>
  <c r="S373" i="2" a="1"/>
  <c r="S373" i="2" s="1"/>
  <c r="S374" i="2" a="1"/>
  <c r="S374" i="2" s="1"/>
  <c r="S338" i="2" a="1"/>
  <c r="S338" i="2" s="1"/>
  <c r="S339" i="2" a="1"/>
  <c r="S339" i="2" s="1"/>
  <c r="S337" i="2" a="1"/>
  <c r="S337" i="2" s="1"/>
  <c r="S315" i="2" a="1"/>
  <c r="S315" i="2" s="1"/>
  <c r="S313" i="2" a="1"/>
  <c r="S313" i="2" s="1"/>
  <c r="S314" i="2" a="1"/>
  <c r="S314" i="2" s="1"/>
  <c r="S242" i="2" a="1"/>
  <c r="S242" i="2" s="1"/>
  <c r="S241" i="2" a="1"/>
  <c r="S241" i="2" s="1"/>
  <c r="S159" i="2" a="1"/>
  <c r="S159" i="2" s="1"/>
  <c r="S157" i="2" a="1"/>
  <c r="S157" i="2" s="1"/>
  <c r="S158" i="2" a="1"/>
  <c r="S158" i="2" s="1"/>
  <c r="S109" i="2" a="1"/>
  <c r="S109" i="2" s="1"/>
  <c r="S110" i="2" a="1"/>
  <c r="S110" i="2" s="1"/>
  <c r="S111" i="2" a="1"/>
  <c r="S111" i="2" s="1"/>
  <c r="S85" i="2" a="1"/>
  <c r="S85" i="2" s="1"/>
  <c r="S86" i="2" a="1"/>
  <c r="S86" i="2" s="1"/>
  <c r="S75" i="2" a="1"/>
  <c r="S75" i="2" s="1"/>
  <c r="S73" i="2" a="1"/>
  <c r="S73" i="2" s="1"/>
  <c r="S74" i="2" a="1"/>
  <c r="S74" i="2" s="1"/>
  <c r="S925" i="2" a="1"/>
  <c r="S925" i="2" s="1"/>
  <c r="S907" i="2" a="1"/>
  <c r="S907" i="2" s="1"/>
  <c r="S889" i="2" a="1"/>
  <c r="S889" i="2" s="1"/>
  <c r="S880" i="2" a="1"/>
  <c r="S880" i="2" s="1"/>
  <c r="S843" i="2" a="1"/>
  <c r="S843" i="2" s="1"/>
  <c r="S791" i="2" a="1"/>
  <c r="S791" i="2" s="1"/>
  <c r="S771" i="2" a="1"/>
  <c r="S771" i="2" s="1"/>
  <c r="S760" i="2" a="1"/>
  <c r="S760" i="2" s="1"/>
  <c r="S674" i="2" a="1"/>
  <c r="S674" i="2" s="1"/>
  <c r="S657" i="2" a="1"/>
  <c r="S657" i="2" s="1"/>
  <c r="S533" i="2" a="1"/>
  <c r="S533" i="2" s="1"/>
  <c r="S391" i="2" a="1"/>
  <c r="S391" i="2" s="1"/>
  <c r="S199" i="2" a="1"/>
  <c r="S199" i="2" s="1"/>
  <c r="S876" i="2" a="1"/>
  <c r="S876" i="2" s="1"/>
  <c r="S673" i="2" a="1"/>
  <c r="S673" i="2" s="1"/>
  <c r="S600" i="2" a="1"/>
  <c r="S600" i="2" s="1"/>
  <c r="S589" i="2" a="1"/>
  <c r="S589" i="2" s="1"/>
  <c r="S492" i="2" a="1"/>
  <c r="S492" i="2" s="1"/>
  <c r="S493" i="2" a="1"/>
  <c r="S493" i="2" s="1"/>
  <c r="S360" i="2" a="1"/>
  <c r="S360" i="2" s="1"/>
  <c r="S361" i="2" a="1"/>
  <c r="S361" i="2" s="1"/>
  <c r="S325" i="2" a="1"/>
  <c r="S325" i="2" s="1"/>
  <c r="S326" i="2" a="1"/>
  <c r="S326" i="2" s="1"/>
  <c r="S264" i="2" a="1"/>
  <c r="S264" i="2" s="1"/>
  <c r="S266" i="2" a="1"/>
  <c r="S266" i="2" s="1"/>
  <c r="S267" i="2" a="1"/>
  <c r="S267" i="2" s="1"/>
  <c r="S168" i="2" a="1"/>
  <c r="S168" i="2" s="1"/>
  <c r="S169" i="2" a="1"/>
  <c r="S169" i="2" s="1"/>
  <c r="S170" i="2" a="1"/>
  <c r="S170" i="2" s="1"/>
  <c r="S171" i="2" a="1"/>
  <c r="S171" i="2" s="1"/>
  <c r="S133" i="2" a="1"/>
  <c r="S133" i="2" s="1"/>
  <c r="S132" i="2" a="1"/>
  <c r="S132" i="2" s="1"/>
  <c r="S51" i="2" a="1"/>
  <c r="S51" i="2" s="1"/>
  <c r="S48" i="2" a="1"/>
  <c r="S48" i="2" s="1"/>
  <c r="S49" i="2" a="1"/>
  <c r="S49" i="2" s="1"/>
  <c r="S50" i="2" a="1"/>
  <c r="S50" i="2" s="1"/>
  <c r="S924" i="2" a="1"/>
  <c r="S924" i="2" s="1"/>
  <c r="S916" i="2" a="1"/>
  <c r="S916" i="2" s="1"/>
  <c r="S842" i="2" a="1"/>
  <c r="S842" i="2" s="1"/>
  <c r="S811" i="2" a="1"/>
  <c r="S811" i="2" s="1"/>
  <c r="S801" i="2" a="1"/>
  <c r="S801" i="2" s="1"/>
  <c r="S739" i="2" a="1"/>
  <c r="S739" i="2" s="1"/>
  <c r="S710" i="2" a="1"/>
  <c r="S710" i="2" s="1"/>
  <c r="S605" i="2" a="1"/>
  <c r="S605" i="2" s="1"/>
  <c r="S526" i="2" a="1"/>
  <c r="S526" i="2" s="1"/>
  <c r="S470" i="2" a="1"/>
  <c r="S470" i="2" s="1"/>
  <c r="S695" i="2" a="1"/>
  <c r="S695" i="2" s="1"/>
  <c r="S696" i="2" a="1"/>
  <c r="S696" i="2" s="1"/>
  <c r="S697" i="2" a="1"/>
  <c r="S697" i="2" s="1"/>
  <c r="S698" i="2" a="1"/>
  <c r="S698" i="2" s="1"/>
  <c r="S527" i="2" a="1"/>
  <c r="S527" i="2" s="1"/>
  <c r="S528" i="2" a="1"/>
  <c r="S528" i="2" s="1"/>
  <c r="S503" i="2" a="1"/>
  <c r="S503" i="2" s="1"/>
  <c r="S504" i="2" a="1"/>
  <c r="S504" i="2" s="1"/>
  <c r="S455" i="2" a="1"/>
  <c r="S455" i="2" s="1"/>
  <c r="S456" i="2" a="1"/>
  <c r="S456" i="2" s="1"/>
  <c r="S457" i="2" a="1"/>
  <c r="S457" i="2" s="1"/>
  <c r="S383" i="2" a="1"/>
  <c r="S383" i="2" s="1"/>
  <c r="S384" i="2" a="1"/>
  <c r="S384" i="2" s="1"/>
  <c r="S371" i="2" a="1"/>
  <c r="S371" i="2" s="1"/>
  <c r="S372" i="2" a="1"/>
  <c r="S372" i="2" s="1"/>
  <c r="S227" i="2" a="1"/>
  <c r="S227" i="2" s="1"/>
  <c r="S228" i="2" a="1"/>
  <c r="S228" i="2" s="1"/>
  <c r="S229" i="2" a="1"/>
  <c r="S229" i="2" s="1"/>
  <c r="S215" i="2" a="1"/>
  <c r="S215" i="2" s="1"/>
  <c r="S216" i="2" a="1"/>
  <c r="S216" i="2" s="1"/>
  <c r="S217" i="2" a="1"/>
  <c r="S217" i="2" s="1"/>
  <c r="S192" i="2" a="1"/>
  <c r="S192" i="2" s="1"/>
  <c r="S193" i="2" a="1"/>
  <c r="S193" i="2" s="1"/>
  <c r="S191" i="2" a="1"/>
  <c r="S191" i="2" s="1"/>
  <c r="S181" i="2" a="1"/>
  <c r="S181" i="2" s="1"/>
  <c r="S179" i="2" a="1"/>
  <c r="S179" i="2" s="1"/>
  <c r="S180" i="2" a="1"/>
  <c r="S180" i="2" s="1"/>
  <c r="S119" i="2" a="1"/>
  <c r="S119" i="2" s="1"/>
  <c r="S120" i="2" a="1"/>
  <c r="S120" i="2" s="1"/>
  <c r="S121" i="2" a="1"/>
  <c r="S121" i="2" s="1"/>
  <c r="S95" i="2" a="1"/>
  <c r="S95" i="2" s="1"/>
  <c r="S96" i="2" a="1"/>
  <c r="S96" i="2" s="1"/>
  <c r="S83" i="2" a="1"/>
  <c r="S83" i="2" s="1"/>
  <c r="S84" i="2" a="1"/>
  <c r="S84" i="2" s="1"/>
  <c r="S35" i="2" a="1"/>
  <c r="S35" i="2" s="1"/>
  <c r="S36" i="2" a="1"/>
  <c r="S36" i="2" s="1"/>
  <c r="S37" i="2" a="1"/>
  <c r="S37" i="2" s="1"/>
  <c r="S523" i="2" a="1"/>
  <c r="S523" i="2" s="1"/>
  <c r="S670" i="2" a="1"/>
  <c r="S670" i="2" s="1"/>
  <c r="S660" i="2" a="1"/>
  <c r="S660" i="2" s="1"/>
  <c r="S647" i="2" a="1"/>
  <c r="S647" i="2" s="1"/>
  <c r="S625" i="2" a="1"/>
  <c r="S625" i="2" s="1"/>
  <c r="S622" i="2" a="1"/>
  <c r="S622" i="2" s="1"/>
  <c r="S623" i="2" a="1"/>
  <c r="S623" i="2" s="1"/>
  <c r="S624" i="2" a="1"/>
  <c r="S624" i="2" s="1"/>
  <c r="S610" i="2" a="1"/>
  <c r="S610" i="2" s="1"/>
  <c r="S611" i="2" a="1"/>
  <c r="S611" i="2" s="1"/>
  <c r="S612" i="2" a="1"/>
  <c r="S612" i="2" s="1"/>
  <c r="S576" i="2" a="1"/>
  <c r="S576" i="2" s="1"/>
  <c r="S563" i="2" a="1"/>
  <c r="S563" i="2" s="1"/>
  <c r="S564" i="2" a="1"/>
  <c r="S564" i="2" s="1"/>
  <c r="S562" i="2" a="1"/>
  <c r="S562" i="2" s="1"/>
  <c r="S516" i="2" a="1"/>
  <c r="S516" i="2" s="1"/>
  <c r="S514" i="2" a="1"/>
  <c r="S514" i="2" s="1"/>
  <c r="S515" i="2" a="1"/>
  <c r="S515" i="2" s="1"/>
  <c r="S468" i="2" a="1"/>
  <c r="S468" i="2" s="1"/>
  <c r="S431" i="2" a="1"/>
  <c r="S431" i="2" s="1"/>
  <c r="S432" i="2" a="1"/>
  <c r="S432" i="2" s="1"/>
  <c r="S433" i="2" a="1"/>
  <c r="S433" i="2" s="1"/>
  <c r="S430" i="2" a="1"/>
  <c r="S430" i="2" s="1"/>
  <c r="S418" i="2" a="1"/>
  <c r="S418" i="2" s="1"/>
  <c r="S419" i="2" a="1"/>
  <c r="S419" i="2" s="1"/>
  <c r="S406" i="2" a="1"/>
  <c r="S406" i="2" s="1"/>
  <c r="S408" i="2" a="1"/>
  <c r="S408" i="2" s="1"/>
  <c r="S409" i="2" a="1"/>
  <c r="S409" i="2" s="1"/>
  <c r="S274" i="2" a="1"/>
  <c r="S274" i="2" s="1"/>
  <c r="S275" i="2" a="1"/>
  <c r="S275" i="2" s="1"/>
  <c r="S276" i="2" a="1"/>
  <c r="S276" i="2" s="1"/>
  <c r="S277" i="2" a="1"/>
  <c r="S277" i="2" s="1"/>
  <c r="S59" i="2" a="1"/>
  <c r="S59" i="2" s="1"/>
  <c r="S58" i="2" a="1"/>
  <c r="S58" i="2" s="1"/>
  <c r="S11" i="2" a="1"/>
  <c r="S11" i="2" s="1"/>
  <c r="S10" i="2" a="1"/>
  <c r="S10" i="2" s="1"/>
  <c r="S895" i="2" a="1"/>
  <c r="S895" i="2" s="1"/>
  <c r="S887" i="2" a="1"/>
  <c r="S887" i="2" s="1"/>
  <c r="S859" i="2" a="1"/>
  <c r="S859" i="2" s="1"/>
  <c r="S788" i="2" a="1"/>
  <c r="S788" i="2" s="1"/>
  <c r="S769" i="2" a="1"/>
  <c r="S769" i="2" s="1"/>
  <c r="S758" i="2" a="1"/>
  <c r="S758" i="2" s="1"/>
  <c r="S737" i="2" a="1"/>
  <c r="S737" i="2" s="1"/>
  <c r="S522" i="2" a="1"/>
  <c r="S522" i="2" s="1"/>
  <c r="S466" i="2" a="1"/>
  <c r="S466" i="2" s="1"/>
  <c r="S163" i="2" a="1"/>
  <c r="S163" i="2" s="1"/>
  <c r="S14" i="2" a="1"/>
  <c r="S14" i="2" s="1"/>
  <c r="S635" i="2" a="1"/>
  <c r="S635" i="2" s="1"/>
  <c r="S637" i="2" a="1"/>
  <c r="S637" i="2" s="1"/>
  <c r="S444" i="2" a="1"/>
  <c r="S444" i="2" s="1"/>
  <c r="S443" i="2" a="1"/>
  <c r="S443" i="2" s="1"/>
  <c r="S347" i="2" a="1"/>
  <c r="S347" i="2" s="1"/>
  <c r="S348" i="2" a="1"/>
  <c r="S348" i="2" s="1"/>
  <c r="S349" i="2" a="1"/>
  <c r="S349" i="2" s="1"/>
  <c r="S311" i="2" a="1"/>
  <c r="S311" i="2" s="1"/>
  <c r="S312" i="2" a="1"/>
  <c r="S312" i="2" s="1"/>
  <c r="S299" i="2" a="1"/>
  <c r="S299" i="2" s="1"/>
  <c r="S300" i="2" a="1"/>
  <c r="S300" i="2" s="1"/>
  <c r="S301" i="2" a="1"/>
  <c r="S301" i="2" s="1"/>
  <c r="S302" i="2" a="1"/>
  <c r="S302" i="2" s="1"/>
  <c r="S289" i="2" a="1"/>
  <c r="S289" i="2" s="1"/>
  <c r="S290" i="2" a="1"/>
  <c r="S290" i="2" s="1"/>
  <c r="S287" i="2" a="1"/>
  <c r="S287" i="2" s="1"/>
  <c r="S288" i="2" a="1"/>
  <c r="S288" i="2" s="1"/>
  <c r="S143" i="2" a="1"/>
  <c r="S143" i="2" s="1"/>
  <c r="S144" i="2" a="1"/>
  <c r="S144" i="2" s="1"/>
  <c r="S145" i="2" a="1"/>
  <c r="S145" i="2" s="1"/>
  <c r="S915" i="2" a="1"/>
  <c r="S915" i="2" s="1"/>
  <c r="S566" i="2" a="1"/>
  <c r="S566" i="2" s="1"/>
  <c r="S293" i="2" a="1"/>
  <c r="S293" i="2" s="1"/>
  <c r="S814" i="2" a="1"/>
  <c r="S814" i="2" s="1"/>
  <c r="S717" i="2" a="1"/>
  <c r="S717" i="2" s="1"/>
  <c r="S705" i="2" a="1"/>
  <c r="S705" i="2" s="1"/>
  <c r="S706" i="2" a="1"/>
  <c r="S706" i="2" s="1"/>
  <c r="S633" i="2" a="1"/>
  <c r="S633" i="2" s="1"/>
  <c r="S634" i="2" a="1"/>
  <c r="S634" i="2" s="1"/>
  <c r="S537" i="2" a="1"/>
  <c r="S537" i="2" s="1"/>
  <c r="S538" i="2" a="1"/>
  <c r="S538" i="2" s="1"/>
  <c r="S539" i="2" a="1"/>
  <c r="S539" i="2" s="1"/>
  <c r="S501" i="2" a="1"/>
  <c r="S501" i="2" s="1"/>
  <c r="S502" i="2" a="1"/>
  <c r="S502" i="2" s="1"/>
  <c r="S477" i="2" a="1"/>
  <c r="S477" i="2" s="1"/>
  <c r="S478" i="2" a="1"/>
  <c r="S478" i="2" s="1"/>
  <c r="S480" i="2" a="1"/>
  <c r="S480" i="2" s="1"/>
  <c r="S393" i="2" a="1"/>
  <c r="S393" i="2" s="1"/>
  <c r="S394" i="2" a="1"/>
  <c r="S394" i="2" s="1"/>
  <c r="S395" i="2" a="1"/>
  <c r="S395" i="2" s="1"/>
  <c r="S396" i="2" a="1"/>
  <c r="S396" i="2" s="1"/>
  <c r="S381" i="2" a="1"/>
  <c r="S381" i="2" s="1"/>
  <c r="S382" i="2" a="1"/>
  <c r="S382" i="2" s="1"/>
  <c r="S333" i="2" a="1"/>
  <c r="S333" i="2" s="1"/>
  <c r="S334" i="2" a="1"/>
  <c r="S334" i="2" s="1"/>
  <c r="S335" i="2" a="1"/>
  <c r="S335" i="2" s="1"/>
  <c r="S321" i="2" a="1"/>
  <c r="S321" i="2" s="1"/>
  <c r="S322" i="2" a="1"/>
  <c r="S322" i="2" s="1"/>
  <c r="S323" i="2" a="1"/>
  <c r="S323" i="2" s="1"/>
  <c r="S237" i="2" a="1"/>
  <c r="S237" i="2" s="1"/>
  <c r="S238" i="2" a="1"/>
  <c r="S238" i="2" s="1"/>
  <c r="S239" i="2" a="1"/>
  <c r="S239" i="2" s="1"/>
  <c r="S177" i="2" a="1"/>
  <c r="S177" i="2" s="1"/>
  <c r="S178" i="2" a="1"/>
  <c r="S178" i="2" s="1"/>
  <c r="S153" i="2" a="1"/>
  <c r="S153" i="2" s="1"/>
  <c r="S154" i="2" a="1"/>
  <c r="S154" i="2" s="1"/>
  <c r="S129" i="2" a="1"/>
  <c r="S129" i="2" s="1"/>
  <c r="S130" i="2" a="1"/>
  <c r="S130" i="2" s="1"/>
  <c r="S45" i="2" a="1"/>
  <c r="S45" i="2" s="1"/>
  <c r="S46" i="2" a="1"/>
  <c r="S46" i="2" s="1"/>
  <c r="S47" i="2" a="1"/>
  <c r="S47" i="2" s="1"/>
  <c r="S21" i="2" a="1"/>
  <c r="S21" i="2" s="1"/>
  <c r="S22" i="2" a="1"/>
  <c r="S22" i="2" s="1"/>
  <c r="S23" i="2" a="1"/>
  <c r="S23" i="2" s="1"/>
  <c r="S24" i="2" a="1"/>
  <c r="S24" i="2" s="1"/>
  <c r="S877" i="2" a="1"/>
  <c r="S877" i="2" s="1"/>
  <c r="S848" i="2" a="1"/>
  <c r="S848" i="2" s="1"/>
  <c r="S787" i="2" a="1"/>
  <c r="S787" i="2" s="1"/>
  <c r="S746" i="2" a="1"/>
  <c r="S746" i="2" s="1"/>
  <c r="S736" i="2" a="1"/>
  <c r="S736" i="2" s="1"/>
  <c r="S722" i="2" a="1"/>
  <c r="S722" i="2" s="1"/>
  <c r="S689" i="2" a="1"/>
  <c r="S689" i="2" s="1"/>
  <c r="S671" i="2" a="1"/>
  <c r="S671" i="2" s="1"/>
  <c r="S648" i="2" a="1"/>
  <c r="S648" i="2" s="1"/>
  <c r="S601" i="2" a="1"/>
  <c r="S601" i="2" s="1"/>
  <c r="S561" i="2" a="1"/>
  <c r="S561" i="2" s="1"/>
  <c r="S451" i="2" a="1"/>
  <c r="S451" i="2" s="1"/>
  <c r="S278" i="2" a="1"/>
  <c r="S278" i="2" s="1"/>
  <c r="S328" i="2" a="1"/>
  <c r="S328" i="2" s="1"/>
  <c r="S17" i="2" a="1"/>
  <c r="S17" i="2" s="1"/>
  <c r="S497" i="2" a="1"/>
  <c r="S497" i="2" s="1"/>
  <c r="S16" i="2" a="1"/>
  <c r="S16" i="2" s="1"/>
  <c r="S676" i="2" a="1"/>
  <c r="S676" i="2" s="1"/>
  <c r="S677" i="2" a="1"/>
  <c r="S677" i="2" s="1"/>
  <c r="S651" i="2" a="1"/>
  <c r="S651" i="2" s="1"/>
  <c r="S652" i="2" a="1"/>
  <c r="S652" i="2" s="1"/>
  <c r="S606" i="2" a="1"/>
  <c r="S606" i="2" s="1"/>
  <c r="S462" i="2" a="1"/>
  <c r="S462" i="2" s="1"/>
  <c r="S423" i="2" a="1"/>
  <c r="S423" i="2" s="1"/>
  <c r="S424" i="2" a="1"/>
  <c r="S424" i="2" s="1"/>
  <c r="S425" i="2" a="1"/>
  <c r="S425" i="2" s="1"/>
  <c r="S375" i="2" a="1"/>
  <c r="S375" i="2" s="1"/>
  <c r="S365" i="2" a="1"/>
  <c r="S365" i="2" s="1"/>
  <c r="S366" i="2" a="1"/>
  <c r="S366" i="2" s="1"/>
  <c r="S329" i="2" a="1"/>
  <c r="S329" i="2" s="1"/>
  <c r="S330" i="2" a="1"/>
  <c r="S330" i="2" s="1"/>
  <c r="S243" i="2" a="1"/>
  <c r="S243" i="2" s="1"/>
  <c r="S244" i="2" a="1"/>
  <c r="S244" i="2" s="1"/>
  <c r="S185" i="2" a="1"/>
  <c r="S185" i="2" s="1"/>
  <c r="S186" i="2" a="1"/>
  <c r="S186" i="2" s="1"/>
  <c r="S3" i="2" a="1"/>
  <c r="S3" i="2" s="1"/>
  <c r="S4" i="2" a="1"/>
  <c r="S4" i="2" s="1"/>
  <c r="S653" i="2" a="1"/>
  <c r="S653" i="2" s="1"/>
  <c r="S376" i="2" a="1"/>
  <c r="S376" i="2" s="1"/>
  <c r="S305" i="2" a="1"/>
  <c r="S305" i="2" s="1"/>
  <c r="S675" i="2" a="1"/>
  <c r="S675" i="2" s="1"/>
  <c r="S461" i="2" a="1"/>
  <c r="S461" i="2" s="1"/>
  <c r="S184" i="2" a="1"/>
  <c r="S184" i="2" s="1"/>
  <c r="S304" i="2" a="1"/>
  <c r="S304" i="2" s="1"/>
  <c r="S183" i="2" a="1"/>
  <c r="S183" i="2" s="1"/>
  <c r="S460" i="2" a="1"/>
  <c r="S460" i="2" s="1"/>
  <c r="S459" i="2" a="1"/>
  <c r="S459" i="2" s="1"/>
  <c r="W51" i="2" a="1"/>
  <c r="W51" i="2" s="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2" i="2"/>
  <c r="I3" i="2"/>
  <c r="I4" i="2"/>
  <c r="I5" i="2"/>
  <c r="I6" i="2"/>
  <c r="I7" i="2"/>
  <c r="I8" i="2"/>
  <c r="I9" i="2"/>
  <c r="I10" i="2"/>
  <c r="I11" i="2"/>
  <c r="I12" i="2"/>
  <c r="I13" i="2"/>
  <c r="I14" i="2"/>
  <c r="I15" i="2"/>
  <c r="I16" i="2"/>
  <c r="I17" i="2"/>
  <c r="I18" i="2"/>
  <c r="I19" i="2"/>
  <c r="I20"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2" i="2"/>
  <c r="H3" i="1"/>
  <c r="G3" i="2" s="1"/>
  <c r="K3" i="2" s="1"/>
  <c r="H4" i="1"/>
  <c r="G8" i="2" s="1"/>
  <c r="K8" i="2" s="1"/>
  <c r="H5" i="1"/>
  <c r="G9" i="2" s="1"/>
  <c r="K9" i="2" s="1"/>
  <c r="H6" i="1"/>
  <c r="G10" i="2" s="1"/>
  <c r="K10" i="2" s="1"/>
  <c r="H7" i="1"/>
  <c r="G12" i="2" s="1"/>
  <c r="K12" i="2" s="1"/>
  <c r="H8" i="1"/>
  <c r="G13" i="2" s="1"/>
  <c r="K13" i="2" s="1"/>
  <c r="H9" i="1"/>
  <c r="G15" i="2" s="1"/>
  <c r="K15" i="2" s="1"/>
  <c r="H10" i="1"/>
  <c r="G20" i="2" s="1"/>
  <c r="K20" i="2" s="1"/>
  <c r="H11" i="1"/>
  <c r="G21" i="2" s="1"/>
  <c r="K21" i="2" s="1"/>
  <c r="H12" i="1"/>
  <c r="G25" i="2" s="1"/>
  <c r="K25" i="2" s="1"/>
  <c r="H13" i="1"/>
  <c r="G27" i="2" s="1"/>
  <c r="K27" i="2" s="1"/>
  <c r="H14" i="1"/>
  <c r="G28" i="2" s="1"/>
  <c r="K28" i="2" s="1"/>
  <c r="H15" i="1"/>
  <c r="G32" i="2" s="1"/>
  <c r="K32" i="2" s="1"/>
  <c r="H16" i="1"/>
  <c r="G35" i="2" s="1"/>
  <c r="K35" i="2" s="1"/>
  <c r="H17" i="1"/>
  <c r="G39" i="2" s="1"/>
  <c r="K39" i="2" s="1"/>
  <c r="H18" i="1"/>
  <c r="G42" i="2" s="1"/>
  <c r="K42" i="2" s="1"/>
  <c r="H19" i="1"/>
  <c r="G44" i="2" s="1"/>
  <c r="K44" i="2" s="1"/>
  <c r="H20" i="1"/>
  <c r="G45" i="2" s="1"/>
  <c r="K45" i="2" s="1"/>
  <c r="H21" i="1"/>
  <c r="G48" i="2" s="1"/>
  <c r="K48" i="2" s="1"/>
  <c r="H22" i="1"/>
  <c r="G52" i="2" s="1"/>
  <c r="K52" i="2" s="1"/>
  <c r="H23" i="1"/>
  <c r="G56" i="2" s="1"/>
  <c r="K56" i="2" s="1"/>
  <c r="H24" i="1"/>
  <c r="G58" i="2" s="1"/>
  <c r="K58" i="2" s="1"/>
  <c r="H25" i="1"/>
  <c r="G60" i="2" s="1"/>
  <c r="K60" i="2" s="1"/>
  <c r="H26" i="1"/>
  <c r="G61" i="2" s="1"/>
  <c r="K61" i="2" s="1"/>
  <c r="H27" i="1"/>
  <c r="G63" i="2" s="1"/>
  <c r="K63" i="2" s="1"/>
  <c r="H28" i="1"/>
  <c r="G64" i="2" s="1"/>
  <c r="K64" i="2" s="1"/>
  <c r="H29" i="1"/>
  <c r="G68" i="2" s="1"/>
  <c r="K68" i="2" s="1"/>
  <c r="H30" i="1"/>
  <c r="G72" i="2" s="1"/>
  <c r="K72" i="2" s="1"/>
  <c r="H31" i="1"/>
  <c r="G74" i="2" s="1"/>
  <c r="K74" i="2" s="1"/>
  <c r="H32" i="1"/>
  <c r="G76" i="2" s="1"/>
  <c r="K76" i="2" s="1"/>
  <c r="H33" i="1"/>
  <c r="G80" i="2" s="1"/>
  <c r="K80" i="2" s="1"/>
  <c r="H34" i="1"/>
  <c r="G83" i="2" s="1"/>
  <c r="K83" i="2" s="1"/>
  <c r="H35" i="1"/>
  <c r="G85" i="2" s="1"/>
  <c r="K85" i="2" s="1"/>
  <c r="H36" i="1"/>
  <c r="G88" i="2" s="1"/>
  <c r="K88" i="2" s="1"/>
  <c r="H37" i="1"/>
  <c r="G92" i="2" s="1"/>
  <c r="K92" i="2" s="1"/>
  <c r="H38" i="1"/>
  <c r="G94" i="2" s="1"/>
  <c r="K94" i="2" s="1"/>
  <c r="H39" i="1"/>
  <c r="G95" i="2" s="1"/>
  <c r="K95" i="2" s="1"/>
  <c r="H40" i="1"/>
  <c r="G97" i="2" s="1"/>
  <c r="K97" i="2" s="1"/>
  <c r="H41" i="1"/>
  <c r="G99" i="2" s="1"/>
  <c r="K99" i="2" s="1"/>
  <c r="H42" i="1"/>
  <c r="G102" i="2" s="1"/>
  <c r="K102" i="2" s="1"/>
  <c r="H43" i="1"/>
  <c r="G104" i="2" s="1"/>
  <c r="K104" i="2" s="1"/>
  <c r="H44" i="1"/>
  <c r="G108" i="2" s="1"/>
  <c r="K108" i="2" s="1"/>
  <c r="H45" i="1"/>
  <c r="G109" i="2" s="1"/>
  <c r="K109" i="2" s="1"/>
  <c r="H46" i="1"/>
  <c r="G112" i="2" s="1"/>
  <c r="K112" i="2" s="1"/>
  <c r="H47" i="1"/>
  <c r="G115" i="2" s="1"/>
  <c r="K115" i="2" s="1"/>
  <c r="H48" i="1"/>
  <c r="G116" i="2" s="1"/>
  <c r="K116" i="2" s="1"/>
  <c r="H49" i="1"/>
  <c r="G119" i="2" s="1"/>
  <c r="K119" i="2" s="1"/>
  <c r="H50" i="1"/>
  <c r="G122" i="2" s="1"/>
  <c r="K122" i="2" s="1"/>
  <c r="H51" i="1"/>
  <c r="G124" i="2" s="1"/>
  <c r="K124" i="2" s="1"/>
  <c r="H52" i="1"/>
  <c r="G128" i="2" s="1"/>
  <c r="K128" i="2" s="1"/>
  <c r="H53" i="1"/>
  <c r="G129" i="2" s="1"/>
  <c r="K129" i="2" s="1"/>
  <c r="H54" i="1"/>
  <c r="G131" i="2" s="1"/>
  <c r="K131" i="2" s="1"/>
  <c r="H55" i="1"/>
  <c r="G132" i="2" s="1"/>
  <c r="K132" i="2" s="1"/>
  <c r="H56" i="1"/>
  <c r="G135" i="2" s="1"/>
  <c r="K135" i="2" s="1"/>
  <c r="H57" i="1"/>
  <c r="G136" i="2" s="1"/>
  <c r="K136" i="2" s="1"/>
  <c r="H58" i="1"/>
  <c r="G140" i="2" s="1"/>
  <c r="K140" i="2" s="1"/>
  <c r="H59" i="1"/>
  <c r="G142" i="2" s="1"/>
  <c r="K142" i="2" s="1"/>
  <c r="H60" i="1"/>
  <c r="G143" i="2" s="1"/>
  <c r="K143" i="2" s="1"/>
  <c r="H61" i="1"/>
  <c r="G147" i="2" s="1"/>
  <c r="K147" i="2" s="1"/>
  <c r="H62" i="1"/>
  <c r="G152" i="2" s="1"/>
  <c r="K152" i="2" s="1"/>
  <c r="H63" i="1"/>
  <c r="G153" i="2" s="1"/>
  <c r="K153" i="2" s="1"/>
  <c r="H64" i="1"/>
  <c r="G155" i="2" s="1"/>
  <c r="K155" i="2" s="1"/>
  <c r="H65" i="1"/>
  <c r="G156" i="2" s="1"/>
  <c r="K156" i="2" s="1"/>
  <c r="H66" i="1"/>
  <c r="G157" i="2" s="1"/>
  <c r="K157" i="2" s="1"/>
  <c r="H67" i="1"/>
  <c r="G160" i="2" s="1"/>
  <c r="K160" i="2" s="1"/>
  <c r="H68" i="1"/>
  <c r="G164" i="2" s="1"/>
  <c r="K164" i="2" s="1"/>
  <c r="H69" i="1"/>
  <c r="G168" i="2" s="1"/>
  <c r="K168" i="2" s="1"/>
  <c r="H70" i="1"/>
  <c r="G172" i="2" s="1"/>
  <c r="K172" i="2" s="1"/>
  <c r="H71" i="1"/>
  <c r="G176" i="2" s="1"/>
  <c r="K176" i="2" s="1"/>
  <c r="H72" i="1"/>
  <c r="G177" i="2" s="1"/>
  <c r="K177" i="2" s="1"/>
  <c r="H73" i="1"/>
  <c r="G179" i="2" s="1"/>
  <c r="K179" i="2" s="1"/>
  <c r="H74" i="1"/>
  <c r="G182" i="2" s="1"/>
  <c r="K182" i="2" s="1"/>
  <c r="H75" i="1"/>
  <c r="G183" i="2" s="1"/>
  <c r="K183" i="2" s="1"/>
  <c r="H76" i="1"/>
  <c r="G188" i="2" s="1"/>
  <c r="K188" i="2" s="1"/>
  <c r="H77" i="1"/>
  <c r="G191" i="2" s="1"/>
  <c r="K191" i="2" s="1"/>
  <c r="H78" i="1"/>
  <c r="G195" i="2" s="1"/>
  <c r="K195" i="2" s="1"/>
  <c r="H79" i="1"/>
  <c r="G196" i="2" s="1"/>
  <c r="K196" i="2" s="1"/>
  <c r="H80" i="1"/>
  <c r="G199" i="2" s="1"/>
  <c r="K199" i="2" s="1"/>
  <c r="H81" i="1"/>
  <c r="G200" i="2" s="1"/>
  <c r="K200" i="2" s="1"/>
  <c r="H82" i="1"/>
  <c r="G204" i="2" s="1"/>
  <c r="K204" i="2" s="1"/>
  <c r="H83" i="1"/>
  <c r="G205" i="2" s="1"/>
  <c r="K205" i="2" s="1"/>
  <c r="H84" i="1"/>
  <c r="G207" i="2" s="1"/>
  <c r="K207" i="2" s="1"/>
  <c r="H85" i="1"/>
  <c r="G208" i="2" s="1"/>
  <c r="K208" i="2" s="1"/>
  <c r="H86" i="1"/>
  <c r="G212" i="2" s="1"/>
  <c r="K212" i="2" s="1"/>
  <c r="H87" i="1"/>
  <c r="G213" i="2" s="1"/>
  <c r="K213" i="2" s="1"/>
  <c r="H88" i="1"/>
  <c r="G215" i="2" s="1"/>
  <c r="K215" i="2" s="1"/>
  <c r="H89" i="1"/>
  <c r="G219" i="2" s="1"/>
  <c r="K219" i="2" s="1"/>
  <c r="H90" i="1"/>
  <c r="G220" i="2" s="1"/>
  <c r="K220" i="2" s="1"/>
  <c r="H91" i="1"/>
  <c r="G224" i="2" s="1"/>
  <c r="K224" i="2" s="1"/>
  <c r="H92" i="1"/>
  <c r="G226" i="2" s="1"/>
  <c r="K226" i="2" s="1"/>
  <c r="H93" i="1"/>
  <c r="G227" i="2" s="1"/>
  <c r="K227" i="2" s="1"/>
  <c r="H94" i="1"/>
  <c r="G231" i="2" s="1"/>
  <c r="K231" i="2" s="1"/>
  <c r="H95" i="1"/>
  <c r="G232" i="2" s="1"/>
  <c r="K232" i="2" s="1"/>
  <c r="H96" i="1"/>
  <c r="G236" i="2" s="1"/>
  <c r="K236" i="2" s="1"/>
  <c r="H97" i="1"/>
  <c r="G237" i="2" s="1"/>
  <c r="K237" i="2" s="1"/>
  <c r="H98" i="1"/>
  <c r="G240" i="2" s="1"/>
  <c r="K240" i="2" s="1"/>
  <c r="H99" i="1"/>
  <c r="G241" i="2" s="1"/>
  <c r="K241" i="2" s="1"/>
  <c r="H100" i="1"/>
  <c r="G243" i="2" s="1"/>
  <c r="K243" i="2" s="1"/>
  <c r="H101" i="1"/>
  <c r="G245" i="2" s="1"/>
  <c r="K245" i="2" s="1"/>
  <c r="H102" i="1"/>
  <c r="G248" i="2" s="1"/>
  <c r="K248" i="2" s="1"/>
  <c r="H103" i="1"/>
  <c r="G250" i="2" s="1"/>
  <c r="K250" i="2" s="1"/>
  <c r="H104" i="1"/>
  <c r="G251" i="2" s="1"/>
  <c r="K251" i="2" s="1"/>
  <c r="H105" i="1"/>
  <c r="G252" i="2" s="1"/>
  <c r="K252" i="2" s="1"/>
  <c r="H106" i="1"/>
  <c r="G253" i="2" s="1"/>
  <c r="K253" i="2" s="1"/>
  <c r="H107" i="1"/>
  <c r="G255" i="2" s="1"/>
  <c r="K255" i="2" s="1"/>
  <c r="H108" i="1"/>
  <c r="G257" i="2" s="1"/>
  <c r="K257" i="2" s="1"/>
  <c r="H109" i="1"/>
  <c r="G260" i="2" s="1"/>
  <c r="K260" i="2" s="1"/>
  <c r="H110" i="1"/>
  <c r="G263" i="2" s="1"/>
  <c r="K263" i="2" s="1"/>
  <c r="H111" i="1"/>
  <c r="G264" i="2" s="1"/>
  <c r="K264" i="2" s="1"/>
  <c r="H112" i="1"/>
  <c r="G268" i="2" s="1"/>
  <c r="K268" i="2" s="1"/>
  <c r="H113" i="1"/>
  <c r="G272" i="2" s="1"/>
  <c r="K272" i="2" s="1"/>
  <c r="H114" i="1"/>
  <c r="G274" i="2" s="1"/>
  <c r="K274" i="2" s="1"/>
  <c r="H115" i="1"/>
  <c r="G278" i="2" s="1"/>
  <c r="K278" i="2" s="1"/>
  <c r="H116" i="1"/>
  <c r="G280" i="2" s="1"/>
  <c r="K280" i="2" s="1"/>
  <c r="H117" i="1"/>
  <c r="G284" i="2" s="1"/>
  <c r="K284" i="2" s="1"/>
  <c r="H118" i="1"/>
  <c r="G287" i="2" s="1"/>
  <c r="K287" i="2" s="1"/>
  <c r="H119" i="1"/>
  <c r="G291" i="2" s="1"/>
  <c r="K291" i="2" s="1"/>
  <c r="H120" i="1"/>
  <c r="G292" i="2" s="1"/>
  <c r="K292" i="2" s="1"/>
  <c r="H121" i="1"/>
  <c r="G293" i="2" s="1"/>
  <c r="K293" i="2" s="1"/>
  <c r="H122" i="1"/>
  <c r="G296" i="2" s="1"/>
  <c r="K296" i="2" s="1"/>
  <c r="H123" i="1"/>
  <c r="G299" i="2" s="1"/>
  <c r="K299" i="2" s="1"/>
  <c r="H124" i="1"/>
  <c r="G303" i="2" s="1"/>
  <c r="K303" i="2" s="1"/>
  <c r="H125" i="1"/>
  <c r="G308" i="2" s="1"/>
  <c r="K308" i="2" s="1"/>
  <c r="H126" i="1"/>
  <c r="G311" i="2" s="1"/>
  <c r="K311" i="2" s="1"/>
  <c r="H127" i="1"/>
  <c r="G314" i="2" s="1"/>
  <c r="K314" i="2" s="1"/>
  <c r="H128" i="1"/>
  <c r="G316" i="2" s="1"/>
  <c r="K316" i="2" s="1"/>
  <c r="H129" i="1"/>
  <c r="G320" i="2" s="1"/>
  <c r="K320" i="2" s="1"/>
  <c r="H130" i="1"/>
  <c r="G321" i="2" s="1"/>
  <c r="K321" i="2" s="1"/>
  <c r="H131" i="1"/>
  <c r="G324" i="2" s="1"/>
  <c r="K324" i="2" s="1"/>
  <c r="H132" i="1"/>
  <c r="G327" i="2" s="1"/>
  <c r="K327" i="2" s="1"/>
  <c r="H133" i="1"/>
  <c r="G332" i="2" s="1"/>
  <c r="K332" i="2" s="1"/>
  <c r="H134" i="1"/>
  <c r="G333" i="2" s="1"/>
  <c r="K333" i="2" s="1"/>
  <c r="H135" i="1"/>
  <c r="G336" i="2" s="1"/>
  <c r="K336" i="2" s="1"/>
  <c r="H136" i="1"/>
  <c r="G337" i="2" s="1"/>
  <c r="K337" i="2" s="1"/>
  <c r="H137" i="1"/>
  <c r="G340" i="2" s="1"/>
  <c r="K340" i="2" s="1"/>
  <c r="H138" i="1"/>
  <c r="G344" i="2" s="1"/>
  <c r="K344" i="2" s="1"/>
  <c r="H139" i="1"/>
  <c r="G346" i="2" s="1"/>
  <c r="K346" i="2" s="1"/>
  <c r="H140" i="1"/>
  <c r="G347" i="2" s="1"/>
  <c r="K347" i="2" s="1"/>
  <c r="H141" i="1"/>
  <c r="G351" i="2" s="1"/>
  <c r="K351" i="2" s="1"/>
  <c r="H142" i="1"/>
  <c r="G354" i="2" s="1"/>
  <c r="K354" i="2" s="1"/>
  <c r="H143" i="1"/>
  <c r="G356" i="2" s="1"/>
  <c r="K356" i="2" s="1"/>
  <c r="H144" i="1"/>
  <c r="G358" i="2" s="1"/>
  <c r="K358" i="2" s="1"/>
  <c r="H145" i="1"/>
  <c r="G359" i="2" s="1"/>
  <c r="K359" i="2" s="1"/>
  <c r="H146" i="1"/>
  <c r="G360" i="2" s="1"/>
  <c r="K360" i="2" s="1"/>
  <c r="H147" i="1"/>
  <c r="G363" i="2" s="1"/>
  <c r="K363" i="2" s="1"/>
  <c r="H148" i="1"/>
  <c r="G368" i="2" s="1"/>
  <c r="K368" i="2" s="1"/>
  <c r="H149" i="1"/>
  <c r="G371" i="2" s="1"/>
  <c r="K371" i="2" s="1"/>
  <c r="H150" i="1"/>
  <c r="G373" i="2" s="1"/>
  <c r="K373" i="2" s="1"/>
  <c r="H151" i="1"/>
  <c r="G375" i="2" s="1"/>
  <c r="K375" i="2" s="1"/>
  <c r="H152" i="1"/>
  <c r="G380" i="2" s="1"/>
  <c r="K380" i="2" s="1"/>
  <c r="H153" i="1"/>
  <c r="G381" i="2" s="1"/>
  <c r="K381" i="2" s="1"/>
  <c r="H154" i="1"/>
  <c r="G383" i="2" s="1"/>
  <c r="K383" i="2" s="1"/>
  <c r="H155" i="1"/>
  <c r="G385" i="2" s="1"/>
  <c r="K385" i="2" s="1"/>
  <c r="H156" i="1"/>
  <c r="G392" i="2" s="1"/>
  <c r="K392" i="2" s="1"/>
  <c r="H157" i="1"/>
  <c r="G393" i="2" s="1"/>
  <c r="K393" i="2" s="1"/>
  <c r="H158" i="1"/>
  <c r="G398" i="2" s="1"/>
  <c r="K398" i="2" s="1"/>
  <c r="H159" i="1"/>
  <c r="G400" i="2" s="1"/>
  <c r="K400" i="2" s="1"/>
  <c r="H160" i="1"/>
  <c r="G404" i="2" s="1"/>
  <c r="K404" i="2" s="1"/>
  <c r="H161" i="1"/>
  <c r="G405" i="2" s="1"/>
  <c r="K405" i="2" s="1"/>
  <c r="H162" i="1"/>
  <c r="G406" i="2" s="1"/>
  <c r="K406" i="2" s="1"/>
  <c r="H163" i="1"/>
  <c r="G410" i="2" s="1"/>
  <c r="K410" i="2" s="1"/>
  <c r="H164" i="1"/>
  <c r="G414" i="2" s="1"/>
  <c r="K414" i="2" s="1"/>
  <c r="H165" i="1"/>
  <c r="G416" i="2" s="1"/>
  <c r="K416" i="2" s="1"/>
  <c r="H166" i="1"/>
  <c r="G418" i="2" s="1"/>
  <c r="K418" i="2" s="1"/>
  <c r="H167" i="1"/>
  <c r="G421" i="2" s="1"/>
  <c r="K421" i="2" s="1"/>
  <c r="H168" i="1"/>
  <c r="G422" i="2" s="1"/>
  <c r="K422" i="2" s="1"/>
  <c r="H169" i="1"/>
  <c r="G423" i="2" s="1"/>
  <c r="K423" i="2" s="1"/>
  <c r="H170" i="1"/>
  <c r="G428" i="2" s="1"/>
  <c r="K428" i="2" s="1"/>
  <c r="H171" i="1"/>
  <c r="G430" i="2" s="1"/>
  <c r="K430" i="2" s="1"/>
  <c r="H172" i="1"/>
  <c r="G435" i="2" s="1"/>
  <c r="K435" i="2" s="1"/>
  <c r="H173" i="1"/>
  <c r="G437" i="2" s="1"/>
  <c r="K437" i="2" s="1"/>
  <c r="H174" i="1"/>
  <c r="G438" i="2" s="1"/>
  <c r="K438" i="2" s="1"/>
  <c r="H175" i="1"/>
  <c r="G440" i="2" s="1"/>
  <c r="K440" i="2" s="1"/>
  <c r="H176" i="1"/>
  <c r="G443" i="2" s="1"/>
  <c r="K443" i="2" s="1"/>
  <c r="H177" i="1"/>
  <c r="G445" i="2" s="1"/>
  <c r="K445" i="2" s="1"/>
  <c r="H178" i="1"/>
  <c r="G448" i="2" s="1"/>
  <c r="K448" i="2" s="1"/>
  <c r="H179" i="1"/>
  <c r="G452" i="2" s="1"/>
  <c r="K452" i="2" s="1"/>
  <c r="H180" i="1"/>
  <c r="G455" i="2" s="1"/>
  <c r="K455" i="2" s="1"/>
  <c r="H181" i="1"/>
  <c r="G458" i="2" s="1"/>
  <c r="K458" i="2" s="1"/>
  <c r="H182" i="1"/>
  <c r="G459" i="2" s="1"/>
  <c r="K459" i="2" s="1"/>
  <c r="H183" i="1"/>
  <c r="G463" i="2" s="1"/>
  <c r="K463" i="2" s="1"/>
  <c r="H184" i="1"/>
  <c r="G464" i="2" s="1"/>
  <c r="K464" i="2" s="1"/>
  <c r="H185" i="1"/>
  <c r="G466" i="2" s="1"/>
  <c r="K466" i="2" s="1"/>
  <c r="H186" i="1"/>
  <c r="G469" i="2" s="1"/>
  <c r="K469" i="2" s="1"/>
  <c r="H187" i="1"/>
  <c r="G472" i="2" s="1"/>
  <c r="K472" i="2" s="1"/>
  <c r="H188" i="1"/>
  <c r="G476" i="2" s="1"/>
  <c r="K476" i="2" s="1"/>
  <c r="H189" i="1"/>
  <c r="G477" i="2" s="1"/>
  <c r="K477" i="2" s="1"/>
  <c r="H190" i="1"/>
  <c r="G483" i="2" s="1"/>
  <c r="K483" i="2" s="1"/>
  <c r="H191" i="1"/>
  <c r="G484" i="2" s="1"/>
  <c r="K484" i="2" s="1"/>
  <c r="H192" i="1"/>
  <c r="G485" i="2" s="1"/>
  <c r="K485" i="2" s="1"/>
  <c r="H193" i="1"/>
  <c r="G487" i="2" s="1"/>
  <c r="K487" i="2" s="1"/>
  <c r="H194" i="1"/>
  <c r="G488" i="2" s="1"/>
  <c r="K488" i="2" s="1"/>
  <c r="H195" i="1"/>
  <c r="G492" i="2" s="1"/>
  <c r="K492" i="2" s="1"/>
  <c r="H196" i="1"/>
  <c r="G495" i="2" s="1"/>
  <c r="K495" i="2" s="1"/>
  <c r="H197" i="1"/>
  <c r="G500" i="2" s="1"/>
  <c r="K500" i="2" s="1"/>
  <c r="H198" i="1"/>
  <c r="G501" i="2" s="1"/>
  <c r="K501" i="2" s="1"/>
  <c r="H199" i="1"/>
  <c r="G503" i="2" s="1"/>
  <c r="K503" i="2" s="1"/>
  <c r="H200" i="1"/>
  <c r="G505" i="2" s="1"/>
  <c r="K505" i="2" s="1"/>
  <c r="H201" i="1"/>
  <c r="G509" i="2" s="1"/>
  <c r="K509" i="2" s="1"/>
  <c r="H202" i="1"/>
  <c r="G510" i="2" s="1"/>
  <c r="K510" i="2" s="1"/>
  <c r="H203" i="1"/>
  <c r="G511" i="2" s="1"/>
  <c r="K511" i="2" s="1"/>
  <c r="H204" i="1"/>
  <c r="G512" i="2" s="1"/>
  <c r="K512" i="2" s="1"/>
  <c r="H205" i="1"/>
  <c r="G514" i="2" s="1"/>
  <c r="K514" i="2" s="1"/>
  <c r="H206" i="1"/>
  <c r="G518" i="2" s="1"/>
  <c r="K518" i="2" s="1"/>
  <c r="H207" i="1"/>
  <c r="G524" i="2" s="1"/>
  <c r="K524" i="2" s="1"/>
  <c r="H208" i="1"/>
  <c r="G525" i="2" s="1"/>
  <c r="K525" i="2" s="1"/>
  <c r="H209" i="1"/>
  <c r="G527" i="2" s="1"/>
  <c r="K527" i="2" s="1"/>
  <c r="H210" i="1"/>
  <c r="G529" i="2" s="1"/>
  <c r="K529" i="2" s="1"/>
  <c r="H211" i="1"/>
  <c r="G534" i="2" s="1"/>
  <c r="K534" i="2" s="1"/>
  <c r="H212" i="1"/>
  <c r="G536" i="2" s="1"/>
  <c r="K536" i="2" s="1"/>
  <c r="H213" i="1"/>
  <c r="G537" i="2" s="1"/>
  <c r="K537" i="2" s="1"/>
  <c r="H214" i="1"/>
  <c r="G543" i="2" s="1"/>
  <c r="K543" i="2" s="1"/>
  <c r="H215" i="1"/>
  <c r="G544" i="2" s="1"/>
  <c r="K544" i="2" s="1"/>
  <c r="H216" i="1"/>
  <c r="G548" i="2" s="1"/>
  <c r="K548" i="2" s="1"/>
  <c r="H217" i="1"/>
  <c r="G551" i="2" s="1"/>
  <c r="K551" i="2" s="1"/>
  <c r="H218" i="1"/>
  <c r="G554" i="2" s="1"/>
  <c r="K554" i="2" s="1"/>
  <c r="H219" i="1"/>
  <c r="G558" i="2" s="1"/>
  <c r="K558" i="2" s="1"/>
  <c r="H220" i="1"/>
  <c r="G560" i="2" s="1"/>
  <c r="K560" i="2" s="1"/>
  <c r="H221" i="1"/>
  <c r="G562" i="2" s="1"/>
  <c r="K562" i="2" s="1"/>
  <c r="H222" i="1"/>
  <c r="G565" i="2" s="1"/>
  <c r="K565" i="2" s="1"/>
  <c r="H223" i="1"/>
  <c r="G566" i="2" s="1"/>
  <c r="K566" i="2" s="1"/>
  <c r="H224" i="1"/>
  <c r="G572" i="2" s="1"/>
  <c r="K572" i="2" s="1"/>
  <c r="H225" i="1"/>
  <c r="G573" i="2" s="1"/>
  <c r="K573" i="2" s="1"/>
  <c r="H226" i="1"/>
  <c r="G574" i="2" s="1"/>
  <c r="K574" i="2" s="1"/>
  <c r="H227" i="1"/>
  <c r="G579" i="2" s="1"/>
  <c r="K579" i="2" s="1"/>
  <c r="H228" i="1"/>
  <c r="G581" i="2" s="1"/>
  <c r="K581" i="2" s="1"/>
  <c r="H229" i="1"/>
  <c r="G583" i="2" s="1"/>
  <c r="K583" i="2" s="1"/>
  <c r="H230" i="1"/>
  <c r="G584" i="2" s="1"/>
  <c r="K584" i="2" s="1"/>
  <c r="H231" i="1"/>
  <c r="G588" i="2" s="1"/>
  <c r="K588" i="2" s="1"/>
  <c r="H232" i="1"/>
  <c r="G591" i="2" s="1"/>
  <c r="K591" i="2" s="1"/>
  <c r="H233" i="1"/>
  <c r="G595" i="2" s="1"/>
  <c r="K595" i="2" s="1"/>
  <c r="H234" i="1"/>
  <c r="G596" i="2" s="1"/>
  <c r="K596" i="2" s="1"/>
  <c r="H235" i="1"/>
  <c r="G598" i="2" s="1"/>
  <c r="K598" i="2" s="1"/>
  <c r="H236" i="1"/>
  <c r="G599" i="2" s="1"/>
  <c r="K599" i="2" s="1"/>
  <c r="H237" i="1"/>
  <c r="G600" i="2" s="1"/>
  <c r="K600" i="2" s="1"/>
  <c r="H238" i="1"/>
  <c r="G602" i="2" s="1"/>
  <c r="K602" i="2" s="1"/>
  <c r="H239" i="1"/>
  <c r="G603" i="2" s="1"/>
  <c r="K603" i="2" s="1"/>
  <c r="H240" i="1"/>
  <c r="G608" i="2" s="1"/>
  <c r="K608" i="2" s="1"/>
  <c r="H241" i="1"/>
  <c r="G610" i="2" s="1"/>
  <c r="K610" i="2" s="1"/>
  <c r="H242" i="1"/>
  <c r="G614" i="2" s="1"/>
  <c r="K614" i="2" s="1"/>
  <c r="H243" i="1"/>
  <c r="G616" i="2" s="1"/>
  <c r="K616" i="2" s="1"/>
  <c r="H244" i="1"/>
  <c r="G620" i="2" s="1"/>
  <c r="K620" i="2" s="1"/>
  <c r="H245" i="1"/>
  <c r="G622" i="2" s="1"/>
  <c r="K622" i="2" s="1"/>
  <c r="H246" i="1"/>
  <c r="G627" i="2" s="1"/>
  <c r="K627" i="2" s="1"/>
  <c r="H247" i="1"/>
  <c r="G630" i="2" s="1"/>
  <c r="K630" i="2" s="1"/>
  <c r="H248" i="1"/>
  <c r="G632" i="2" s="1"/>
  <c r="K632" i="2" s="1"/>
  <c r="H249" i="1"/>
  <c r="G633" i="2" s="1"/>
  <c r="K633" i="2" s="1"/>
  <c r="H250" i="1"/>
  <c r="G635" i="2" s="1"/>
  <c r="K635" i="2" s="1"/>
  <c r="H251" i="1"/>
  <c r="G639" i="2" s="1"/>
  <c r="K639" i="2" s="1"/>
  <c r="H252" i="1"/>
  <c r="G644" i="2" s="1"/>
  <c r="K644" i="2" s="1"/>
  <c r="H253" i="1"/>
  <c r="G646" i="2" s="1"/>
  <c r="K646" i="2" s="1"/>
  <c r="H254" i="1"/>
  <c r="G649" i="2" s="1"/>
  <c r="K649" i="2" s="1"/>
  <c r="H255" i="1"/>
  <c r="G651" i="2" s="1"/>
  <c r="K651" i="2" s="1"/>
  <c r="H256" i="1"/>
  <c r="G656" i="2" s="1"/>
  <c r="K656" i="2" s="1"/>
  <c r="H257" i="1"/>
  <c r="G658" i="2" s="1"/>
  <c r="K658" i="2" s="1"/>
  <c r="H258" i="1"/>
  <c r="G661" i="2" s="1"/>
  <c r="K661" i="2" s="1"/>
  <c r="H259" i="1"/>
  <c r="G664" i="2" s="1"/>
  <c r="K664" i="2" s="1"/>
  <c r="H260" i="1"/>
  <c r="G668" i="2" s="1"/>
  <c r="K668" i="2" s="1"/>
  <c r="H261" i="1"/>
  <c r="G670" i="2" s="1"/>
  <c r="K670" i="2" s="1"/>
  <c r="H262" i="1"/>
  <c r="G672" i="2" s="1"/>
  <c r="K672" i="2" s="1"/>
  <c r="H263" i="1"/>
  <c r="G675" i="2" s="1"/>
  <c r="K675" i="2" s="1"/>
  <c r="H264" i="1"/>
  <c r="G678" i="2" s="1"/>
  <c r="K678" i="2" s="1"/>
  <c r="H265" i="1"/>
  <c r="G680" i="2" s="1"/>
  <c r="K680" i="2" s="1"/>
  <c r="H266" i="1"/>
  <c r="G683" i="2" s="1"/>
  <c r="K683" i="2" s="1"/>
  <c r="H267" i="1"/>
  <c r="G687" i="2" s="1"/>
  <c r="K687" i="2" s="1"/>
  <c r="H268" i="1"/>
  <c r="G688" i="2" s="1"/>
  <c r="K688" i="2" s="1"/>
  <c r="H269" i="1"/>
  <c r="G692" i="2" s="1"/>
  <c r="K692" i="2" s="1"/>
  <c r="H270" i="1"/>
  <c r="G695" i="2" s="1"/>
  <c r="K695" i="2" s="1"/>
  <c r="H271" i="1"/>
  <c r="G699" i="2" s="1"/>
  <c r="K699" i="2" s="1"/>
  <c r="H272" i="1"/>
  <c r="G704" i="2" s="1"/>
  <c r="K704" i="2" s="1"/>
  <c r="H273" i="1"/>
  <c r="G705" i="2" s="1"/>
  <c r="K705" i="2" s="1"/>
  <c r="H274" i="1"/>
  <c r="G708" i="2" s="1"/>
  <c r="K708" i="2" s="1"/>
  <c r="H275" i="1"/>
  <c r="G709" i="2" s="1"/>
  <c r="K709" i="2" s="1"/>
  <c r="H276" i="1"/>
  <c r="G716" i="2" s="1"/>
  <c r="K716" i="2" s="1"/>
  <c r="H277" i="1"/>
  <c r="G717" i="2" s="1"/>
  <c r="K717" i="2" s="1"/>
  <c r="H278" i="1"/>
  <c r="G720" i="2" s="1"/>
  <c r="K720" i="2" s="1"/>
  <c r="H279" i="1"/>
  <c r="G723" i="2" s="1"/>
  <c r="K723" i="2" s="1"/>
  <c r="H280" i="1"/>
  <c r="G725" i="2" s="1"/>
  <c r="K725" i="2" s="1"/>
  <c r="H281" i="1"/>
  <c r="G728" i="2" s="1"/>
  <c r="K728" i="2" s="1"/>
  <c r="H282" i="1"/>
  <c r="G729" i="2" s="1"/>
  <c r="K729" i="2" s="1"/>
  <c r="H283" i="1"/>
  <c r="G730" i="2" s="1"/>
  <c r="K730" i="2" s="1"/>
  <c r="H284" i="1"/>
  <c r="G735" i="2" s="1"/>
  <c r="K735" i="2" s="1"/>
  <c r="H285" i="1"/>
  <c r="G737" i="2" s="1"/>
  <c r="K737" i="2" s="1"/>
  <c r="H286" i="1"/>
  <c r="G742" i="2" s="1"/>
  <c r="K742" i="2" s="1"/>
  <c r="H287" i="1"/>
  <c r="G744" i="2" s="1"/>
  <c r="K744" i="2" s="1"/>
  <c r="H288" i="1"/>
  <c r="G747" i="2" s="1"/>
  <c r="K747" i="2" s="1"/>
  <c r="H289" i="1"/>
  <c r="G748" i="2" s="1"/>
  <c r="K748" i="2" s="1"/>
  <c r="H290" i="1"/>
  <c r="G752" i="2" s="1"/>
  <c r="K752" i="2" s="1"/>
  <c r="H291" i="1"/>
  <c r="G754" i="2" s="1"/>
  <c r="K754" i="2" s="1"/>
  <c r="H292" i="1"/>
  <c r="G756" i="2" s="1"/>
  <c r="K756" i="2" s="1"/>
  <c r="H293" i="1"/>
  <c r="G757" i="2" s="1"/>
  <c r="K757" i="2" s="1"/>
  <c r="H294" i="1"/>
  <c r="G759" i="2" s="1"/>
  <c r="K759" i="2" s="1"/>
  <c r="H295" i="1"/>
  <c r="G761" i="2" s="1"/>
  <c r="K761" i="2" s="1"/>
  <c r="H296" i="1"/>
  <c r="G763" i="2" s="1"/>
  <c r="K763" i="2" s="1"/>
  <c r="H297" i="1"/>
  <c r="G764" i="2" s="1"/>
  <c r="K764" i="2" s="1"/>
  <c r="H298" i="1"/>
  <c r="G766" i="2" s="1"/>
  <c r="K766" i="2" s="1"/>
  <c r="H299" i="1"/>
  <c r="G767" i="2" s="1"/>
  <c r="K767" i="2" s="1"/>
  <c r="H300" i="1"/>
  <c r="G768" i="2" s="1"/>
  <c r="K768" i="2" s="1"/>
  <c r="H301" i="1"/>
  <c r="G772" i="2" s="1"/>
  <c r="K772" i="2" s="1"/>
  <c r="H302" i="1"/>
  <c r="G776" i="2" s="1"/>
  <c r="K776" i="2" s="1"/>
  <c r="H303" i="1"/>
  <c r="G779" i="2" s="1"/>
  <c r="K779" i="2" s="1"/>
  <c r="H304" i="1"/>
  <c r="G780" i="2" s="1"/>
  <c r="K780" i="2" s="1"/>
  <c r="H305" i="1"/>
  <c r="G782" i="2" s="1"/>
  <c r="K782" i="2" s="1"/>
  <c r="H306" i="1"/>
  <c r="G783" i="2" s="1"/>
  <c r="K783" i="2" s="1"/>
  <c r="H307" i="1"/>
  <c r="G788" i="2" s="1"/>
  <c r="K788" i="2" s="1"/>
  <c r="H308" i="1"/>
  <c r="G789" i="2" s="1"/>
  <c r="K789" i="2" s="1"/>
  <c r="H309" i="1"/>
  <c r="G793" i="2" s="1"/>
  <c r="K793" i="2" s="1"/>
  <c r="H310" i="1"/>
  <c r="G797" i="2" s="1"/>
  <c r="K797" i="2" s="1"/>
  <c r="H311" i="1"/>
  <c r="G800" i="2" s="1"/>
  <c r="K800" i="2" s="1"/>
  <c r="H312" i="1"/>
  <c r="G802" i="2" s="1"/>
  <c r="K802" i="2" s="1"/>
  <c r="H313" i="1"/>
  <c r="G805" i="2" s="1"/>
  <c r="K805" i="2" s="1"/>
  <c r="H314" i="1"/>
  <c r="G808" i="2" s="1"/>
  <c r="K808" i="2" s="1"/>
  <c r="H315" i="1"/>
  <c r="G809" i="2" s="1"/>
  <c r="K809" i="2" s="1"/>
  <c r="H316" i="1"/>
  <c r="G810" i="2" s="1"/>
  <c r="K810" i="2" s="1"/>
  <c r="H317" i="1"/>
  <c r="G812" i="2" s="1"/>
  <c r="K812" i="2" s="1"/>
  <c r="H318" i="1"/>
  <c r="G813" i="2" s="1"/>
  <c r="K813" i="2" s="1"/>
  <c r="H319" i="1"/>
  <c r="G815" i="2" s="1"/>
  <c r="K815" i="2" s="1"/>
  <c r="H320" i="1"/>
  <c r="G819" i="2" s="1"/>
  <c r="K819" i="2" s="1"/>
  <c r="H321" i="1"/>
  <c r="G821" i="2" s="1"/>
  <c r="K821" i="2" s="1"/>
  <c r="H322" i="1"/>
  <c r="G822" i="2" s="1"/>
  <c r="K822" i="2" s="1"/>
  <c r="H323" i="1"/>
  <c r="G826" i="2" s="1"/>
  <c r="K826" i="2" s="1"/>
  <c r="H324" i="1"/>
  <c r="G830" i="2" s="1"/>
  <c r="K830" i="2" s="1"/>
  <c r="H325" i="1"/>
  <c r="G832" i="2" s="1"/>
  <c r="K832" i="2" s="1"/>
  <c r="H326" i="1"/>
  <c r="G835" i="2" s="1"/>
  <c r="K835" i="2" s="1"/>
  <c r="H327" i="1"/>
  <c r="G836" i="2" s="1"/>
  <c r="K836" i="2" s="1"/>
  <c r="H328" i="1"/>
  <c r="G838" i="2" s="1"/>
  <c r="K838" i="2" s="1"/>
  <c r="H329" i="1"/>
  <c r="G840" i="2" s="1"/>
  <c r="K840" i="2" s="1"/>
  <c r="H330" i="1"/>
  <c r="G841" i="2" s="1"/>
  <c r="K841" i="2" s="1"/>
  <c r="H331" i="1"/>
  <c r="G846" i="2" s="1"/>
  <c r="K846" i="2" s="1"/>
  <c r="H332" i="1"/>
  <c r="G848" i="2" s="1"/>
  <c r="K848" i="2" s="1"/>
  <c r="H333" i="1"/>
  <c r="G851" i="2" s="1"/>
  <c r="K851" i="2" s="1"/>
  <c r="H334" i="1"/>
  <c r="G855" i="2" s="1"/>
  <c r="K855" i="2" s="1"/>
  <c r="H335" i="1"/>
  <c r="G860" i="2" s="1"/>
  <c r="K860" i="2" s="1"/>
  <c r="H336" i="1"/>
  <c r="G862" i="2" s="1"/>
  <c r="K862" i="2" s="1"/>
  <c r="H337" i="1"/>
  <c r="G864" i="2" s="1"/>
  <c r="K864" i="2" s="1"/>
  <c r="H338" i="1"/>
  <c r="G866" i="2" s="1"/>
  <c r="K866" i="2" s="1"/>
  <c r="H339" i="1"/>
  <c r="G867" i="2" s="1"/>
  <c r="K867" i="2" s="1"/>
  <c r="H340" i="1"/>
  <c r="G870" i="2" s="1"/>
  <c r="K870" i="2" s="1"/>
  <c r="H341" i="1"/>
  <c r="G872" i="2" s="1"/>
  <c r="K872" i="2" s="1"/>
  <c r="H342" i="1"/>
  <c r="G876" i="2" s="1"/>
  <c r="K876" i="2" s="1"/>
  <c r="H343" i="1"/>
  <c r="G879" i="2" s="1"/>
  <c r="K879" i="2" s="1"/>
  <c r="H344" i="1"/>
  <c r="G881" i="2" s="1"/>
  <c r="K881" i="2" s="1"/>
  <c r="H345" i="1"/>
  <c r="G884" i="2" s="1"/>
  <c r="K884" i="2" s="1"/>
  <c r="H346" i="1"/>
  <c r="G886" i="2" s="1"/>
  <c r="K886" i="2" s="1"/>
  <c r="H347" i="1"/>
  <c r="G888" i="2" s="1"/>
  <c r="K888" i="2" s="1"/>
  <c r="H348" i="1"/>
  <c r="G890" i="2" s="1"/>
  <c r="K890" i="2" s="1"/>
  <c r="H349" i="1"/>
  <c r="G892" i="2" s="1"/>
  <c r="K892" i="2" s="1"/>
  <c r="H350" i="1"/>
  <c r="G896" i="2" s="1"/>
  <c r="K896" i="2" s="1"/>
  <c r="H351" i="1"/>
  <c r="G900" i="2" s="1"/>
  <c r="K900" i="2" s="1"/>
  <c r="H352" i="1"/>
  <c r="G903" i="2" s="1"/>
  <c r="K903" i="2" s="1"/>
  <c r="H353" i="1"/>
  <c r="G904" i="2" s="1"/>
  <c r="K904" i="2" s="1"/>
  <c r="H354" i="1"/>
  <c r="G908" i="2" s="1"/>
  <c r="K908" i="2" s="1"/>
  <c r="H355" i="1"/>
  <c r="G909" i="2" s="1"/>
  <c r="K909" i="2" s="1"/>
  <c r="H356" i="1"/>
  <c r="G912" i="2" s="1"/>
  <c r="K912" i="2" s="1"/>
  <c r="H357" i="1"/>
  <c r="G915" i="2" s="1"/>
  <c r="K915" i="2" s="1"/>
  <c r="H358" i="1"/>
  <c r="G917" i="2" s="1"/>
  <c r="K917" i="2" s="1"/>
  <c r="H359" i="1"/>
  <c r="G920" i="2" s="1"/>
  <c r="K920" i="2" s="1"/>
  <c r="H360" i="1"/>
  <c r="G922" i="2" s="1"/>
  <c r="K922" i="2" s="1"/>
  <c r="H361" i="1"/>
  <c r="G923" i="2" s="1"/>
  <c r="K923" i="2" s="1"/>
  <c r="H2" i="1"/>
  <c r="G2" i="2" s="1"/>
  <c r="K2" i="2" s="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2" i="2"/>
  <c r="E3" i="2"/>
  <c r="F3" i="2"/>
  <c r="E4" i="2"/>
  <c r="F4" i="2"/>
  <c r="E5" i="2"/>
  <c r="F5" i="2"/>
  <c r="E6" i="2"/>
  <c r="F6" i="2"/>
  <c r="P6" i="2" s="1"/>
  <c r="E7" i="2"/>
  <c r="F7" i="2"/>
  <c r="E8" i="2"/>
  <c r="F8" i="2"/>
  <c r="E9" i="2"/>
  <c r="N9" i="2" s="1"/>
  <c r="F9" i="2"/>
  <c r="E10" i="2"/>
  <c r="F10" i="2"/>
  <c r="E11" i="2"/>
  <c r="F11" i="2"/>
  <c r="E12" i="2"/>
  <c r="N12" i="2" s="1"/>
  <c r="F12" i="2"/>
  <c r="E13" i="2"/>
  <c r="F13" i="2"/>
  <c r="P13" i="2" s="1"/>
  <c r="E14" i="2"/>
  <c r="F14" i="2"/>
  <c r="P14" i="2" s="1"/>
  <c r="E15" i="2"/>
  <c r="F15" i="2"/>
  <c r="E16" i="2"/>
  <c r="F16" i="2"/>
  <c r="E17" i="2"/>
  <c r="F17" i="2"/>
  <c r="P17" i="2" s="1"/>
  <c r="E18" i="2"/>
  <c r="F18" i="2"/>
  <c r="P18" i="2" s="1"/>
  <c r="E19" i="2"/>
  <c r="F19" i="2"/>
  <c r="P19" i="2" s="1"/>
  <c r="E20" i="2"/>
  <c r="F20" i="2"/>
  <c r="P20" i="2" s="1"/>
  <c r="E21" i="2"/>
  <c r="F21" i="2"/>
  <c r="P21" i="2" s="1"/>
  <c r="E22" i="2"/>
  <c r="F22" i="2"/>
  <c r="P22" i="2" s="1"/>
  <c r="E23" i="2"/>
  <c r="F23" i="2"/>
  <c r="P23" i="2" s="1"/>
  <c r="E24" i="2"/>
  <c r="F24" i="2"/>
  <c r="P24" i="2" s="1"/>
  <c r="E25" i="2"/>
  <c r="N25" i="2" s="1"/>
  <c r="F25" i="2"/>
  <c r="P25" i="2" s="1"/>
  <c r="E26" i="2"/>
  <c r="F26" i="2"/>
  <c r="E27" i="2"/>
  <c r="F27" i="2"/>
  <c r="P27" i="2" s="1"/>
  <c r="E28" i="2"/>
  <c r="F28" i="2"/>
  <c r="P28" i="2" s="1"/>
  <c r="E29" i="2"/>
  <c r="F29" i="2"/>
  <c r="P29" i="2" s="1"/>
  <c r="E30" i="2"/>
  <c r="F30" i="2"/>
  <c r="E31" i="2"/>
  <c r="F31" i="2"/>
  <c r="E32" i="2"/>
  <c r="F32" i="2"/>
  <c r="P32" i="2" s="1"/>
  <c r="E33" i="2"/>
  <c r="F33" i="2"/>
  <c r="P33" i="2" s="1"/>
  <c r="E34" i="2"/>
  <c r="F34" i="2"/>
  <c r="P34" i="2" s="1"/>
  <c r="E35" i="2"/>
  <c r="F35" i="2"/>
  <c r="P35" i="2" s="1"/>
  <c r="E36" i="2"/>
  <c r="F36" i="2"/>
  <c r="P36" i="2" s="1"/>
  <c r="E37" i="2"/>
  <c r="F37" i="2"/>
  <c r="P37" i="2" s="1"/>
  <c r="E38" i="2"/>
  <c r="F38" i="2"/>
  <c r="P38" i="2" s="1"/>
  <c r="E39" i="2"/>
  <c r="F39" i="2"/>
  <c r="P39" i="2" s="1"/>
  <c r="E40" i="2"/>
  <c r="F40" i="2"/>
  <c r="P40" i="2" s="1"/>
  <c r="E41" i="2"/>
  <c r="F41" i="2"/>
  <c r="E42" i="2"/>
  <c r="N42" i="2" s="1"/>
  <c r="F42" i="2"/>
  <c r="P42" i="2" s="1"/>
  <c r="E43" i="2"/>
  <c r="F43" i="2"/>
  <c r="P43" i="2" s="1"/>
  <c r="E44" i="2"/>
  <c r="F44" i="2"/>
  <c r="P44" i="2" s="1"/>
  <c r="E45" i="2"/>
  <c r="F45" i="2"/>
  <c r="E46" i="2"/>
  <c r="F46" i="2"/>
  <c r="P46" i="2" s="1"/>
  <c r="E47" i="2"/>
  <c r="F47" i="2"/>
  <c r="P47" i="2" s="1"/>
  <c r="E48" i="2"/>
  <c r="F48" i="2"/>
  <c r="P48" i="2" s="1"/>
  <c r="E49" i="2"/>
  <c r="F49" i="2"/>
  <c r="P49" i="2" s="1"/>
  <c r="E50" i="2"/>
  <c r="F50" i="2"/>
  <c r="P50" i="2" s="1"/>
  <c r="E51" i="2"/>
  <c r="F51" i="2"/>
  <c r="P51" i="2" s="1"/>
  <c r="E52" i="2"/>
  <c r="F52" i="2"/>
  <c r="P52" i="2" s="1"/>
  <c r="E53" i="2"/>
  <c r="F53" i="2"/>
  <c r="E54" i="2"/>
  <c r="F54" i="2"/>
  <c r="E55" i="2"/>
  <c r="F55" i="2"/>
  <c r="P55" i="2" s="1"/>
  <c r="E56" i="2"/>
  <c r="F56" i="2"/>
  <c r="P56" i="2" s="1"/>
  <c r="E57" i="2"/>
  <c r="F57" i="2"/>
  <c r="P57" i="2" s="1"/>
  <c r="E58" i="2"/>
  <c r="F58" i="2"/>
  <c r="P58" i="2" s="1"/>
  <c r="E59" i="2"/>
  <c r="F59" i="2"/>
  <c r="P59" i="2" s="1"/>
  <c r="E60" i="2"/>
  <c r="N60" i="2" s="1"/>
  <c r="F60" i="2"/>
  <c r="P60" i="2" s="1"/>
  <c r="E61" i="2"/>
  <c r="N61" i="2" s="1"/>
  <c r="F61" i="2"/>
  <c r="P61" i="2" s="1"/>
  <c r="E62" i="2"/>
  <c r="F62" i="2"/>
  <c r="P62" i="2" s="1"/>
  <c r="E63" i="2"/>
  <c r="F63" i="2"/>
  <c r="P63" i="2" s="1"/>
  <c r="E64" i="2"/>
  <c r="F64" i="2"/>
  <c r="P64" i="2" s="1"/>
  <c r="E65" i="2"/>
  <c r="F65" i="2"/>
  <c r="P65" i="2" s="1"/>
  <c r="E66" i="2"/>
  <c r="F66" i="2"/>
  <c r="P66" i="2" s="1"/>
  <c r="E67" i="2"/>
  <c r="F67" i="2"/>
  <c r="P67" i="2" s="1"/>
  <c r="E68" i="2"/>
  <c r="F68" i="2"/>
  <c r="P68" i="2" s="1"/>
  <c r="E69" i="2"/>
  <c r="F69" i="2"/>
  <c r="P69" i="2" s="1"/>
  <c r="E70" i="2"/>
  <c r="F70" i="2"/>
  <c r="P70" i="2" s="1"/>
  <c r="E71" i="2"/>
  <c r="F71" i="2"/>
  <c r="P71" i="2" s="1"/>
  <c r="E72" i="2"/>
  <c r="N72" i="2" s="1"/>
  <c r="F72" i="2"/>
  <c r="P72" i="2" s="1"/>
  <c r="E73" i="2"/>
  <c r="F73" i="2"/>
  <c r="P73" i="2" s="1"/>
  <c r="E74" i="2"/>
  <c r="F74" i="2"/>
  <c r="P74" i="2" s="1"/>
  <c r="E75" i="2"/>
  <c r="F75" i="2"/>
  <c r="P75" i="2" s="1"/>
  <c r="E76" i="2"/>
  <c r="F76" i="2"/>
  <c r="P76" i="2" s="1"/>
  <c r="E77" i="2"/>
  <c r="F77" i="2"/>
  <c r="P77" i="2" s="1"/>
  <c r="E78" i="2"/>
  <c r="F78" i="2"/>
  <c r="P78" i="2" s="1"/>
  <c r="E79" i="2"/>
  <c r="F79" i="2"/>
  <c r="P79" i="2" s="1"/>
  <c r="E80" i="2"/>
  <c r="F80" i="2"/>
  <c r="P80" i="2" s="1"/>
  <c r="E81" i="2"/>
  <c r="F81" i="2"/>
  <c r="P81" i="2" s="1"/>
  <c r="E82" i="2"/>
  <c r="F82" i="2"/>
  <c r="P82" i="2" s="1"/>
  <c r="E83" i="2"/>
  <c r="F83" i="2"/>
  <c r="P83" i="2" s="1"/>
  <c r="E84" i="2"/>
  <c r="F84" i="2"/>
  <c r="P84" i="2" s="1"/>
  <c r="E85" i="2"/>
  <c r="F85" i="2"/>
  <c r="P85" i="2" s="1"/>
  <c r="E86" i="2"/>
  <c r="F86" i="2"/>
  <c r="P86" i="2" s="1"/>
  <c r="E87" i="2"/>
  <c r="F87" i="2"/>
  <c r="P87" i="2" s="1"/>
  <c r="E88" i="2"/>
  <c r="F88" i="2"/>
  <c r="P88" i="2" s="1"/>
  <c r="E89" i="2"/>
  <c r="F89" i="2"/>
  <c r="P89" i="2" s="1"/>
  <c r="E90" i="2"/>
  <c r="F90" i="2"/>
  <c r="P90" i="2" s="1"/>
  <c r="E91" i="2"/>
  <c r="F91" i="2"/>
  <c r="P91" i="2" s="1"/>
  <c r="E92" i="2"/>
  <c r="F92" i="2"/>
  <c r="P92" i="2" s="1"/>
  <c r="E93" i="2"/>
  <c r="F93" i="2"/>
  <c r="P93" i="2" s="1"/>
  <c r="E94" i="2"/>
  <c r="N94" i="2" s="1"/>
  <c r="F94" i="2"/>
  <c r="P94" i="2" s="1"/>
  <c r="E95" i="2"/>
  <c r="F95" i="2"/>
  <c r="P95" i="2" s="1"/>
  <c r="E96" i="2"/>
  <c r="F96" i="2"/>
  <c r="P96" i="2" s="1"/>
  <c r="E97" i="2"/>
  <c r="N97" i="2" s="1"/>
  <c r="F97" i="2"/>
  <c r="P97" i="2" s="1"/>
  <c r="E98" i="2"/>
  <c r="F98" i="2"/>
  <c r="P98" i="2" s="1"/>
  <c r="E99" i="2"/>
  <c r="F99" i="2"/>
  <c r="P99" i="2" s="1"/>
  <c r="E100" i="2"/>
  <c r="F100" i="2"/>
  <c r="P100" i="2" s="1"/>
  <c r="E101" i="2"/>
  <c r="F101" i="2"/>
  <c r="P101" i="2" s="1"/>
  <c r="E102" i="2"/>
  <c r="F102" i="2"/>
  <c r="P102" i="2" s="1"/>
  <c r="E103" i="2"/>
  <c r="F103" i="2"/>
  <c r="P103" i="2" s="1"/>
  <c r="E104" i="2"/>
  <c r="F104" i="2"/>
  <c r="P104" i="2" s="1"/>
  <c r="E105" i="2"/>
  <c r="F105" i="2"/>
  <c r="P105" i="2" s="1"/>
  <c r="E106" i="2"/>
  <c r="F106" i="2"/>
  <c r="P106" i="2" s="1"/>
  <c r="E107" i="2"/>
  <c r="F107" i="2"/>
  <c r="P107" i="2" s="1"/>
  <c r="E108" i="2"/>
  <c r="N108" i="2" s="1"/>
  <c r="F108" i="2"/>
  <c r="P108" i="2" s="1"/>
  <c r="E109" i="2"/>
  <c r="F109" i="2"/>
  <c r="P109" i="2" s="1"/>
  <c r="E110" i="2"/>
  <c r="F110" i="2"/>
  <c r="P110" i="2" s="1"/>
  <c r="E111" i="2"/>
  <c r="F111" i="2"/>
  <c r="P111" i="2" s="1"/>
  <c r="E112" i="2"/>
  <c r="F112" i="2"/>
  <c r="P112" i="2" s="1"/>
  <c r="E113" i="2"/>
  <c r="F113" i="2"/>
  <c r="P113" i="2" s="1"/>
  <c r="E114" i="2"/>
  <c r="F114" i="2"/>
  <c r="P114" i="2" s="1"/>
  <c r="E115" i="2"/>
  <c r="N115" i="2" s="1"/>
  <c r="F115" i="2"/>
  <c r="P115" i="2" s="1"/>
  <c r="E116" i="2"/>
  <c r="F116" i="2"/>
  <c r="P116" i="2" s="1"/>
  <c r="E117" i="2"/>
  <c r="F117" i="2"/>
  <c r="P117" i="2" s="1"/>
  <c r="E118" i="2"/>
  <c r="F118" i="2"/>
  <c r="P118" i="2" s="1"/>
  <c r="E119" i="2"/>
  <c r="F119" i="2"/>
  <c r="P119" i="2" s="1"/>
  <c r="E120" i="2"/>
  <c r="F120" i="2"/>
  <c r="P120" i="2" s="1"/>
  <c r="E121" i="2"/>
  <c r="F121" i="2"/>
  <c r="P121" i="2" s="1"/>
  <c r="E122" i="2"/>
  <c r="F122" i="2"/>
  <c r="P122" i="2" s="1"/>
  <c r="E123" i="2"/>
  <c r="F123" i="2"/>
  <c r="P123" i="2" s="1"/>
  <c r="E124" i="2"/>
  <c r="F124" i="2"/>
  <c r="P124" i="2" s="1"/>
  <c r="E125" i="2"/>
  <c r="F125" i="2"/>
  <c r="P125" i="2" s="1"/>
  <c r="E126" i="2"/>
  <c r="F126" i="2"/>
  <c r="P126" i="2" s="1"/>
  <c r="E127" i="2"/>
  <c r="F127" i="2"/>
  <c r="P127" i="2" s="1"/>
  <c r="E128" i="2"/>
  <c r="F128" i="2"/>
  <c r="P128" i="2" s="1"/>
  <c r="E129" i="2"/>
  <c r="F129" i="2"/>
  <c r="P129" i="2" s="1"/>
  <c r="E130" i="2"/>
  <c r="F130" i="2"/>
  <c r="P130" i="2" s="1"/>
  <c r="E131" i="2"/>
  <c r="N131" i="2" s="1"/>
  <c r="F131" i="2"/>
  <c r="P131" i="2" s="1"/>
  <c r="E132" i="2"/>
  <c r="F132" i="2"/>
  <c r="P132" i="2" s="1"/>
  <c r="E133" i="2"/>
  <c r="F133" i="2"/>
  <c r="P133" i="2" s="1"/>
  <c r="E134" i="2"/>
  <c r="F134" i="2"/>
  <c r="P134" i="2" s="1"/>
  <c r="E135" i="2"/>
  <c r="F135" i="2"/>
  <c r="P135" i="2" s="1"/>
  <c r="E136" i="2"/>
  <c r="F136" i="2"/>
  <c r="P136" i="2" s="1"/>
  <c r="E137" i="2"/>
  <c r="F137" i="2"/>
  <c r="P137" i="2" s="1"/>
  <c r="E138" i="2"/>
  <c r="F138" i="2"/>
  <c r="P138" i="2" s="1"/>
  <c r="E139" i="2"/>
  <c r="F139" i="2"/>
  <c r="P139" i="2" s="1"/>
  <c r="E140" i="2"/>
  <c r="F140" i="2"/>
  <c r="P140" i="2" s="1"/>
  <c r="E141" i="2"/>
  <c r="F141" i="2"/>
  <c r="P141" i="2" s="1"/>
  <c r="E142" i="2"/>
  <c r="N142" i="2" s="1"/>
  <c r="F142" i="2"/>
  <c r="P142" i="2" s="1"/>
  <c r="E143" i="2"/>
  <c r="F143" i="2"/>
  <c r="P143" i="2" s="1"/>
  <c r="E144" i="2"/>
  <c r="F144" i="2"/>
  <c r="P144" i="2" s="1"/>
  <c r="E145" i="2"/>
  <c r="F145" i="2"/>
  <c r="P145" i="2" s="1"/>
  <c r="E146" i="2"/>
  <c r="F146" i="2"/>
  <c r="P146" i="2" s="1"/>
  <c r="E147" i="2"/>
  <c r="F147" i="2"/>
  <c r="P147" i="2" s="1"/>
  <c r="E148" i="2"/>
  <c r="F148" i="2"/>
  <c r="P148" i="2" s="1"/>
  <c r="E149" i="2"/>
  <c r="F149" i="2"/>
  <c r="P149" i="2" s="1"/>
  <c r="E150" i="2"/>
  <c r="F150" i="2"/>
  <c r="P150" i="2" s="1"/>
  <c r="E151" i="2"/>
  <c r="F151" i="2"/>
  <c r="P151" i="2" s="1"/>
  <c r="E152" i="2"/>
  <c r="F152" i="2"/>
  <c r="P152" i="2" s="1"/>
  <c r="E153" i="2"/>
  <c r="F153" i="2"/>
  <c r="P153" i="2" s="1"/>
  <c r="E154" i="2"/>
  <c r="F154" i="2"/>
  <c r="P154" i="2" s="1"/>
  <c r="E155" i="2"/>
  <c r="N155" i="2" s="1"/>
  <c r="F155" i="2"/>
  <c r="P155" i="2" s="1"/>
  <c r="E156" i="2"/>
  <c r="N156" i="2" s="1"/>
  <c r="F156" i="2"/>
  <c r="P156" i="2" s="1"/>
  <c r="E157" i="2"/>
  <c r="F157" i="2"/>
  <c r="P157" i="2" s="1"/>
  <c r="E158" i="2"/>
  <c r="F158" i="2"/>
  <c r="P158" i="2" s="1"/>
  <c r="E159" i="2"/>
  <c r="F159" i="2"/>
  <c r="P159" i="2" s="1"/>
  <c r="E160" i="2"/>
  <c r="F160" i="2"/>
  <c r="P160" i="2" s="1"/>
  <c r="E161" i="2"/>
  <c r="F161" i="2"/>
  <c r="P161" i="2" s="1"/>
  <c r="E162" i="2"/>
  <c r="F162" i="2"/>
  <c r="P162" i="2" s="1"/>
  <c r="E163" i="2"/>
  <c r="F163" i="2"/>
  <c r="P163" i="2" s="1"/>
  <c r="E164" i="2"/>
  <c r="F164" i="2"/>
  <c r="P164" i="2" s="1"/>
  <c r="E165" i="2"/>
  <c r="F165" i="2"/>
  <c r="P165" i="2" s="1"/>
  <c r="E166" i="2"/>
  <c r="F166" i="2"/>
  <c r="P166" i="2" s="1"/>
  <c r="E167" i="2"/>
  <c r="F167" i="2"/>
  <c r="P167" i="2" s="1"/>
  <c r="E168" i="2"/>
  <c r="F168" i="2"/>
  <c r="P168" i="2" s="1"/>
  <c r="E169" i="2"/>
  <c r="F169" i="2"/>
  <c r="P169" i="2" s="1"/>
  <c r="E170" i="2"/>
  <c r="F170" i="2"/>
  <c r="P170" i="2" s="1"/>
  <c r="E171" i="2"/>
  <c r="F171" i="2"/>
  <c r="P171" i="2" s="1"/>
  <c r="E172" i="2"/>
  <c r="F172" i="2"/>
  <c r="P172" i="2" s="1"/>
  <c r="E173" i="2"/>
  <c r="F173" i="2"/>
  <c r="P173" i="2" s="1"/>
  <c r="E174" i="2"/>
  <c r="F174" i="2"/>
  <c r="P174" i="2" s="1"/>
  <c r="E175" i="2"/>
  <c r="F175" i="2"/>
  <c r="P175" i="2" s="1"/>
  <c r="E176" i="2"/>
  <c r="N176" i="2" s="1"/>
  <c r="F176" i="2"/>
  <c r="P176" i="2" s="1"/>
  <c r="E177" i="2"/>
  <c r="F177" i="2"/>
  <c r="P177" i="2" s="1"/>
  <c r="E178" i="2"/>
  <c r="F178" i="2"/>
  <c r="P178" i="2" s="1"/>
  <c r="E179" i="2"/>
  <c r="F179" i="2"/>
  <c r="P179" i="2" s="1"/>
  <c r="E180" i="2"/>
  <c r="F180" i="2"/>
  <c r="P180" i="2" s="1"/>
  <c r="E181" i="2"/>
  <c r="F181" i="2"/>
  <c r="P181" i="2" s="1"/>
  <c r="E182" i="2"/>
  <c r="N182" i="2" s="1"/>
  <c r="F182" i="2"/>
  <c r="P182" i="2" s="1"/>
  <c r="E183" i="2"/>
  <c r="F183" i="2"/>
  <c r="P183" i="2" s="1"/>
  <c r="E184" i="2"/>
  <c r="F184" i="2"/>
  <c r="P184" i="2" s="1"/>
  <c r="E185" i="2"/>
  <c r="F185" i="2"/>
  <c r="P185" i="2" s="1"/>
  <c r="E186" i="2"/>
  <c r="F186" i="2"/>
  <c r="P186" i="2" s="1"/>
  <c r="E187" i="2"/>
  <c r="F187" i="2"/>
  <c r="P187" i="2" s="1"/>
  <c r="E188" i="2"/>
  <c r="F188" i="2"/>
  <c r="P188" i="2" s="1"/>
  <c r="E189" i="2"/>
  <c r="F189" i="2"/>
  <c r="P189" i="2" s="1"/>
  <c r="E190" i="2"/>
  <c r="F190" i="2"/>
  <c r="P190" i="2" s="1"/>
  <c r="E191" i="2"/>
  <c r="F191" i="2"/>
  <c r="P191" i="2" s="1"/>
  <c r="E192" i="2"/>
  <c r="F192" i="2"/>
  <c r="P192" i="2" s="1"/>
  <c r="E193" i="2"/>
  <c r="F193" i="2"/>
  <c r="P193" i="2" s="1"/>
  <c r="E194" i="2"/>
  <c r="F194" i="2"/>
  <c r="P194" i="2" s="1"/>
  <c r="E195" i="2"/>
  <c r="F195" i="2"/>
  <c r="P195" i="2" s="1"/>
  <c r="E196" i="2"/>
  <c r="F196" i="2"/>
  <c r="P196" i="2" s="1"/>
  <c r="E197" i="2"/>
  <c r="F197" i="2"/>
  <c r="P197" i="2" s="1"/>
  <c r="E198" i="2"/>
  <c r="F198" i="2"/>
  <c r="P198" i="2" s="1"/>
  <c r="E199" i="2"/>
  <c r="F199" i="2"/>
  <c r="P199" i="2" s="1"/>
  <c r="E200" i="2"/>
  <c r="F200" i="2"/>
  <c r="P200" i="2" s="1"/>
  <c r="E201" i="2"/>
  <c r="F201" i="2"/>
  <c r="P201" i="2" s="1"/>
  <c r="E202" i="2"/>
  <c r="F202" i="2"/>
  <c r="P202" i="2" s="1"/>
  <c r="E203" i="2"/>
  <c r="F203" i="2"/>
  <c r="P203" i="2" s="1"/>
  <c r="E204" i="2"/>
  <c r="N204" i="2" s="1"/>
  <c r="F204" i="2"/>
  <c r="P204" i="2" s="1"/>
  <c r="E205" i="2"/>
  <c r="N205" i="2" s="1"/>
  <c r="F205" i="2"/>
  <c r="P205" i="2" s="1"/>
  <c r="E206" i="2"/>
  <c r="F206" i="2"/>
  <c r="P206" i="2" s="1"/>
  <c r="E207" i="2"/>
  <c r="F207" i="2"/>
  <c r="P207" i="2" s="1"/>
  <c r="E208" i="2"/>
  <c r="F208" i="2"/>
  <c r="P208" i="2" s="1"/>
  <c r="E209" i="2"/>
  <c r="F209" i="2"/>
  <c r="P209" i="2" s="1"/>
  <c r="E210" i="2"/>
  <c r="F210" i="2"/>
  <c r="P210" i="2" s="1"/>
  <c r="E211" i="2"/>
  <c r="F211" i="2"/>
  <c r="P211" i="2" s="1"/>
  <c r="E212" i="2"/>
  <c r="F212" i="2"/>
  <c r="P212" i="2" s="1"/>
  <c r="E213" i="2"/>
  <c r="F213" i="2"/>
  <c r="P213" i="2" s="1"/>
  <c r="E214" i="2"/>
  <c r="F214" i="2"/>
  <c r="P214" i="2" s="1"/>
  <c r="E215" i="2"/>
  <c r="F215" i="2"/>
  <c r="P215" i="2" s="1"/>
  <c r="E216" i="2"/>
  <c r="F216" i="2"/>
  <c r="P216" i="2" s="1"/>
  <c r="E217" i="2"/>
  <c r="F217" i="2"/>
  <c r="P217" i="2" s="1"/>
  <c r="E218" i="2"/>
  <c r="F218" i="2"/>
  <c r="P218" i="2" s="1"/>
  <c r="E219" i="2"/>
  <c r="F219" i="2"/>
  <c r="P219" i="2" s="1"/>
  <c r="E220" i="2"/>
  <c r="F220" i="2"/>
  <c r="P220" i="2" s="1"/>
  <c r="E221" i="2"/>
  <c r="F221" i="2"/>
  <c r="P221" i="2" s="1"/>
  <c r="E222" i="2"/>
  <c r="F222" i="2"/>
  <c r="P222" i="2" s="1"/>
  <c r="E223" i="2"/>
  <c r="F223" i="2"/>
  <c r="P223" i="2" s="1"/>
  <c r="E224" i="2"/>
  <c r="F224" i="2"/>
  <c r="P224" i="2" s="1"/>
  <c r="E225" i="2"/>
  <c r="F225" i="2"/>
  <c r="P225" i="2" s="1"/>
  <c r="E226" i="2"/>
  <c r="N226" i="2" s="1"/>
  <c r="F226" i="2"/>
  <c r="P226" i="2" s="1"/>
  <c r="E227" i="2"/>
  <c r="F227" i="2"/>
  <c r="P227" i="2" s="1"/>
  <c r="E228" i="2"/>
  <c r="F228" i="2"/>
  <c r="P228" i="2" s="1"/>
  <c r="E229" i="2"/>
  <c r="F229" i="2"/>
  <c r="P229" i="2" s="1"/>
  <c r="E230" i="2"/>
  <c r="F230" i="2"/>
  <c r="P230" i="2" s="1"/>
  <c r="E231" i="2"/>
  <c r="F231" i="2"/>
  <c r="P231" i="2" s="1"/>
  <c r="E232" i="2"/>
  <c r="F232" i="2"/>
  <c r="P232" i="2" s="1"/>
  <c r="E233" i="2"/>
  <c r="F233" i="2"/>
  <c r="P233" i="2" s="1"/>
  <c r="E234" i="2"/>
  <c r="F234" i="2"/>
  <c r="P234" i="2" s="1"/>
  <c r="E235" i="2"/>
  <c r="F235" i="2"/>
  <c r="P235" i="2" s="1"/>
  <c r="E236" i="2"/>
  <c r="F236" i="2"/>
  <c r="P236" i="2" s="1"/>
  <c r="E237" i="2"/>
  <c r="F237" i="2"/>
  <c r="P237" i="2" s="1"/>
  <c r="E238" i="2"/>
  <c r="F238" i="2"/>
  <c r="P238" i="2" s="1"/>
  <c r="E239" i="2"/>
  <c r="F239" i="2"/>
  <c r="P239" i="2" s="1"/>
  <c r="E240" i="2"/>
  <c r="N240" i="2" s="1"/>
  <c r="F240" i="2"/>
  <c r="P240" i="2" s="1"/>
  <c r="E241" i="2"/>
  <c r="F241" i="2"/>
  <c r="P241" i="2" s="1"/>
  <c r="E242" i="2"/>
  <c r="F242" i="2"/>
  <c r="P242" i="2" s="1"/>
  <c r="E243" i="2"/>
  <c r="F243" i="2"/>
  <c r="P243" i="2" s="1"/>
  <c r="E244" i="2"/>
  <c r="F244" i="2"/>
  <c r="P244" i="2" s="1"/>
  <c r="E245" i="2"/>
  <c r="F245" i="2"/>
  <c r="P245" i="2" s="1"/>
  <c r="E246" i="2"/>
  <c r="F246" i="2"/>
  <c r="P246" i="2" s="1"/>
  <c r="E247" i="2"/>
  <c r="F247" i="2"/>
  <c r="P247" i="2" s="1"/>
  <c r="E248" i="2"/>
  <c r="F248" i="2"/>
  <c r="P248" i="2" s="1"/>
  <c r="E249" i="2"/>
  <c r="F249" i="2"/>
  <c r="P249" i="2" s="1"/>
  <c r="E250" i="2"/>
  <c r="N250" i="2" s="1"/>
  <c r="F250" i="2"/>
  <c r="P250" i="2" s="1"/>
  <c r="E251" i="2"/>
  <c r="N251" i="2" s="1"/>
  <c r="F251" i="2"/>
  <c r="P251" i="2" s="1"/>
  <c r="E252" i="2"/>
  <c r="N252" i="2" s="1"/>
  <c r="F252" i="2"/>
  <c r="P252" i="2" s="1"/>
  <c r="E253" i="2"/>
  <c r="N253" i="2" s="1"/>
  <c r="F253" i="2"/>
  <c r="P253" i="2" s="1"/>
  <c r="E254" i="2"/>
  <c r="F254" i="2"/>
  <c r="P254" i="2" s="1"/>
  <c r="E255" i="2"/>
  <c r="F255" i="2"/>
  <c r="P255" i="2" s="1"/>
  <c r="E256" i="2"/>
  <c r="F256" i="2"/>
  <c r="P256" i="2" s="1"/>
  <c r="E257" i="2"/>
  <c r="F257" i="2"/>
  <c r="P257" i="2" s="1"/>
  <c r="E258" i="2"/>
  <c r="F258" i="2"/>
  <c r="P258" i="2" s="1"/>
  <c r="E259" i="2"/>
  <c r="F259" i="2"/>
  <c r="P259" i="2" s="1"/>
  <c r="E260" i="2"/>
  <c r="F260" i="2"/>
  <c r="P260" i="2" s="1"/>
  <c r="E261" i="2"/>
  <c r="F261" i="2"/>
  <c r="P261" i="2" s="1"/>
  <c r="E262" i="2"/>
  <c r="F262" i="2"/>
  <c r="P262" i="2" s="1"/>
  <c r="E263" i="2"/>
  <c r="N263" i="2" s="1"/>
  <c r="F263" i="2"/>
  <c r="P263" i="2" s="1"/>
  <c r="E264" i="2"/>
  <c r="F264" i="2"/>
  <c r="P264" i="2" s="1"/>
  <c r="E265" i="2"/>
  <c r="F265" i="2"/>
  <c r="P265" i="2" s="1"/>
  <c r="E266" i="2"/>
  <c r="F266" i="2"/>
  <c r="P266" i="2" s="1"/>
  <c r="E267" i="2"/>
  <c r="F267" i="2"/>
  <c r="P267" i="2" s="1"/>
  <c r="E268" i="2"/>
  <c r="F268" i="2"/>
  <c r="P268" i="2" s="1"/>
  <c r="E269" i="2"/>
  <c r="F269" i="2"/>
  <c r="P269" i="2" s="1"/>
  <c r="E270" i="2"/>
  <c r="F270" i="2"/>
  <c r="P270" i="2" s="1"/>
  <c r="E271" i="2"/>
  <c r="F271" i="2"/>
  <c r="P271" i="2" s="1"/>
  <c r="E272" i="2"/>
  <c r="F272" i="2"/>
  <c r="P272" i="2" s="1"/>
  <c r="E273" i="2"/>
  <c r="F273" i="2"/>
  <c r="P273" i="2" s="1"/>
  <c r="E274" i="2"/>
  <c r="F274" i="2"/>
  <c r="P274" i="2" s="1"/>
  <c r="E275" i="2"/>
  <c r="F275" i="2"/>
  <c r="P275" i="2" s="1"/>
  <c r="E276" i="2"/>
  <c r="F276" i="2"/>
  <c r="P276" i="2" s="1"/>
  <c r="E277" i="2"/>
  <c r="F277" i="2"/>
  <c r="P277" i="2" s="1"/>
  <c r="E278" i="2"/>
  <c r="F278" i="2"/>
  <c r="P278" i="2" s="1"/>
  <c r="E279" i="2"/>
  <c r="F279" i="2"/>
  <c r="P279" i="2" s="1"/>
  <c r="E280" i="2"/>
  <c r="F280" i="2"/>
  <c r="P280" i="2" s="1"/>
  <c r="E281" i="2"/>
  <c r="F281" i="2"/>
  <c r="P281" i="2" s="1"/>
  <c r="E282" i="2"/>
  <c r="F282" i="2"/>
  <c r="P282" i="2" s="1"/>
  <c r="E283" i="2"/>
  <c r="F283" i="2"/>
  <c r="P283" i="2" s="1"/>
  <c r="E284" i="2"/>
  <c r="F284" i="2"/>
  <c r="P284" i="2" s="1"/>
  <c r="E285" i="2"/>
  <c r="F285" i="2"/>
  <c r="P285" i="2" s="1"/>
  <c r="E286" i="2"/>
  <c r="F286" i="2"/>
  <c r="P286" i="2" s="1"/>
  <c r="E287" i="2"/>
  <c r="F287" i="2"/>
  <c r="P287" i="2" s="1"/>
  <c r="E288" i="2"/>
  <c r="F288" i="2"/>
  <c r="P288" i="2" s="1"/>
  <c r="E289" i="2"/>
  <c r="F289" i="2"/>
  <c r="P289" i="2" s="1"/>
  <c r="E290" i="2"/>
  <c r="F290" i="2"/>
  <c r="P290" i="2" s="1"/>
  <c r="E291" i="2"/>
  <c r="N291" i="2" s="1"/>
  <c r="F291" i="2"/>
  <c r="P291" i="2" s="1"/>
  <c r="E292" i="2"/>
  <c r="N292" i="2" s="1"/>
  <c r="F292" i="2"/>
  <c r="P292" i="2" s="1"/>
  <c r="E293" i="2"/>
  <c r="F293" i="2"/>
  <c r="P293" i="2" s="1"/>
  <c r="E294" i="2"/>
  <c r="F294" i="2"/>
  <c r="P294" i="2" s="1"/>
  <c r="E295" i="2"/>
  <c r="F295" i="2"/>
  <c r="P295" i="2" s="1"/>
  <c r="E296" i="2"/>
  <c r="F296" i="2"/>
  <c r="P296" i="2" s="1"/>
  <c r="E297" i="2"/>
  <c r="F297" i="2"/>
  <c r="P297" i="2" s="1"/>
  <c r="E298" i="2"/>
  <c r="F298" i="2"/>
  <c r="P298" i="2" s="1"/>
  <c r="E299" i="2"/>
  <c r="F299" i="2"/>
  <c r="P299" i="2" s="1"/>
  <c r="E300" i="2"/>
  <c r="F300" i="2"/>
  <c r="P300" i="2" s="1"/>
  <c r="E301" i="2"/>
  <c r="F301" i="2"/>
  <c r="P301" i="2" s="1"/>
  <c r="E302" i="2"/>
  <c r="F302" i="2"/>
  <c r="P302" i="2" s="1"/>
  <c r="E303" i="2"/>
  <c r="F303" i="2"/>
  <c r="P303" i="2" s="1"/>
  <c r="E304" i="2"/>
  <c r="F304" i="2"/>
  <c r="P304" i="2" s="1"/>
  <c r="E305" i="2"/>
  <c r="F305" i="2"/>
  <c r="P305" i="2" s="1"/>
  <c r="E306" i="2"/>
  <c r="F306" i="2"/>
  <c r="P306" i="2" s="1"/>
  <c r="E307" i="2"/>
  <c r="F307" i="2"/>
  <c r="P307" i="2" s="1"/>
  <c r="E308" i="2"/>
  <c r="F308" i="2"/>
  <c r="P308" i="2" s="1"/>
  <c r="E309" i="2"/>
  <c r="F309" i="2"/>
  <c r="P309" i="2" s="1"/>
  <c r="E310" i="2"/>
  <c r="F310" i="2"/>
  <c r="P310" i="2" s="1"/>
  <c r="E311" i="2"/>
  <c r="F311" i="2"/>
  <c r="P311" i="2" s="1"/>
  <c r="E312" i="2"/>
  <c r="F312" i="2"/>
  <c r="P312" i="2" s="1"/>
  <c r="E313" i="2"/>
  <c r="F313" i="2"/>
  <c r="P313" i="2" s="1"/>
  <c r="E314" i="2"/>
  <c r="F314" i="2"/>
  <c r="P314" i="2" s="1"/>
  <c r="E315" i="2"/>
  <c r="F315" i="2"/>
  <c r="P315" i="2" s="1"/>
  <c r="E316" i="2"/>
  <c r="F316" i="2"/>
  <c r="P316" i="2" s="1"/>
  <c r="E317" i="2"/>
  <c r="F317" i="2"/>
  <c r="P317" i="2" s="1"/>
  <c r="E318" i="2"/>
  <c r="F318" i="2"/>
  <c r="P318" i="2" s="1"/>
  <c r="E319" i="2"/>
  <c r="F319" i="2"/>
  <c r="P319" i="2" s="1"/>
  <c r="E320" i="2"/>
  <c r="F320" i="2"/>
  <c r="P320" i="2" s="1"/>
  <c r="E321" i="2"/>
  <c r="F321" i="2"/>
  <c r="P321" i="2" s="1"/>
  <c r="E322" i="2"/>
  <c r="F322" i="2"/>
  <c r="P322" i="2" s="1"/>
  <c r="E323" i="2"/>
  <c r="F323" i="2"/>
  <c r="P323" i="2" s="1"/>
  <c r="E324" i="2"/>
  <c r="F324" i="2"/>
  <c r="P324" i="2" s="1"/>
  <c r="E325" i="2"/>
  <c r="F325" i="2"/>
  <c r="P325" i="2" s="1"/>
  <c r="E326" i="2"/>
  <c r="F326" i="2"/>
  <c r="P326" i="2" s="1"/>
  <c r="E327" i="2"/>
  <c r="F327" i="2"/>
  <c r="P327" i="2" s="1"/>
  <c r="E328" i="2"/>
  <c r="F328" i="2"/>
  <c r="P328" i="2" s="1"/>
  <c r="E329" i="2"/>
  <c r="F329" i="2"/>
  <c r="P329" i="2" s="1"/>
  <c r="E330" i="2"/>
  <c r="F330" i="2"/>
  <c r="P330" i="2" s="1"/>
  <c r="E331" i="2"/>
  <c r="F331" i="2"/>
  <c r="P331" i="2" s="1"/>
  <c r="E332" i="2"/>
  <c r="F332" i="2"/>
  <c r="P332" i="2" s="1"/>
  <c r="E333" i="2"/>
  <c r="F333" i="2"/>
  <c r="P333" i="2" s="1"/>
  <c r="E334" i="2"/>
  <c r="F334" i="2"/>
  <c r="P334" i="2" s="1"/>
  <c r="E335" i="2"/>
  <c r="F335" i="2"/>
  <c r="P335" i="2" s="1"/>
  <c r="E336" i="2"/>
  <c r="N336" i="2" s="1"/>
  <c r="F336" i="2"/>
  <c r="P336" i="2" s="1"/>
  <c r="E337" i="2"/>
  <c r="F337" i="2"/>
  <c r="P337" i="2" s="1"/>
  <c r="E338" i="2"/>
  <c r="F338" i="2"/>
  <c r="P338" i="2" s="1"/>
  <c r="E339" i="2"/>
  <c r="F339" i="2"/>
  <c r="P339" i="2" s="1"/>
  <c r="E340" i="2"/>
  <c r="F340" i="2"/>
  <c r="P340" i="2" s="1"/>
  <c r="E341" i="2"/>
  <c r="F341" i="2"/>
  <c r="P341" i="2" s="1"/>
  <c r="E342" i="2"/>
  <c r="F342" i="2"/>
  <c r="P342" i="2" s="1"/>
  <c r="E343" i="2"/>
  <c r="F343" i="2"/>
  <c r="P343" i="2" s="1"/>
  <c r="E344" i="2"/>
  <c r="F344" i="2"/>
  <c r="P344" i="2" s="1"/>
  <c r="E345" i="2"/>
  <c r="F345" i="2"/>
  <c r="P345" i="2" s="1"/>
  <c r="E346" i="2"/>
  <c r="N346" i="2" s="1"/>
  <c r="F346" i="2"/>
  <c r="P346" i="2" s="1"/>
  <c r="E347" i="2"/>
  <c r="F347" i="2"/>
  <c r="P347" i="2" s="1"/>
  <c r="E348" i="2"/>
  <c r="F348" i="2"/>
  <c r="P348" i="2" s="1"/>
  <c r="E349" i="2"/>
  <c r="F349" i="2"/>
  <c r="P349" i="2" s="1"/>
  <c r="E350" i="2"/>
  <c r="F350" i="2"/>
  <c r="P350" i="2" s="1"/>
  <c r="E351" i="2"/>
  <c r="F351" i="2"/>
  <c r="P351" i="2" s="1"/>
  <c r="E352" i="2"/>
  <c r="F352" i="2"/>
  <c r="P352" i="2" s="1"/>
  <c r="E353" i="2"/>
  <c r="F353" i="2"/>
  <c r="P353" i="2" s="1"/>
  <c r="E354" i="2"/>
  <c r="F354" i="2"/>
  <c r="P354" i="2" s="1"/>
  <c r="E355" i="2"/>
  <c r="F355" i="2"/>
  <c r="P355" i="2" s="1"/>
  <c r="E356" i="2"/>
  <c r="F356" i="2"/>
  <c r="P356" i="2" s="1"/>
  <c r="E357" i="2"/>
  <c r="F357" i="2"/>
  <c r="P357" i="2" s="1"/>
  <c r="E358" i="2"/>
  <c r="N358" i="2" s="1"/>
  <c r="F358" i="2"/>
  <c r="P358" i="2" s="1"/>
  <c r="E359" i="2"/>
  <c r="N359" i="2" s="1"/>
  <c r="F359" i="2"/>
  <c r="P359" i="2" s="1"/>
  <c r="E360" i="2"/>
  <c r="F360" i="2"/>
  <c r="P360" i="2" s="1"/>
  <c r="E361" i="2"/>
  <c r="F361" i="2"/>
  <c r="P361" i="2" s="1"/>
  <c r="E362" i="2"/>
  <c r="F362" i="2"/>
  <c r="P362" i="2" s="1"/>
  <c r="E363" i="2"/>
  <c r="F363" i="2"/>
  <c r="P363" i="2" s="1"/>
  <c r="E364" i="2"/>
  <c r="F364" i="2"/>
  <c r="P364" i="2" s="1"/>
  <c r="E365" i="2"/>
  <c r="F365" i="2"/>
  <c r="P365" i="2" s="1"/>
  <c r="E366" i="2"/>
  <c r="F366" i="2"/>
  <c r="P366" i="2" s="1"/>
  <c r="E367" i="2"/>
  <c r="F367" i="2"/>
  <c r="P367" i="2" s="1"/>
  <c r="E368" i="2"/>
  <c r="F368" i="2"/>
  <c r="P368" i="2" s="1"/>
  <c r="E369" i="2"/>
  <c r="F369" i="2"/>
  <c r="P369" i="2" s="1"/>
  <c r="E370" i="2"/>
  <c r="F370" i="2"/>
  <c r="P370" i="2" s="1"/>
  <c r="E371" i="2"/>
  <c r="F371" i="2"/>
  <c r="P371" i="2" s="1"/>
  <c r="E372" i="2"/>
  <c r="F372" i="2"/>
  <c r="P372" i="2" s="1"/>
  <c r="E373" i="2"/>
  <c r="F373" i="2"/>
  <c r="P373" i="2" s="1"/>
  <c r="E374" i="2"/>
  <c r="F374" i="2"/>
  <c r="P374" i="2" s="1"/>
  <c r="E375" i="2"/>
  <c r="F375" i="2"/>
  <c r="P375" i="2" s="1"/>
  <c r="E376" i="2"/>
  <c r="F376" i="2"/>
  <c r="P376" i="2" s="1"/>
  <c r="E377" i="2"/>
  <c r="F377" i="2"/>
  <c r="P377" i="2" s="1"/>
  <c r="E378" i="2"/>
  <c r="F378" i="2"/>
  <c r="P378" i="2" s="1"/>
  <c r="E379" i="2"/>
  <c r="F379" i="2"/>
  <c r="P379" i="2" s="1"/>
  <c r="E380" i="2"/>
  <c r="F380" i="2"/>
  <c r="P380" i="2" s="1"/>
  <c r="E381" i="2"/>
  <c r="F381" i="2"/>
  <c r="P381" i="2" s="1"/>
  <c r="E382" i="2"/>
  <c r="F382" i="2"/>
  <c r="P382" i="2" s="1"/>
  <c r="E383" i="2"/>
  <c r="F383" i="2"/>
  <c r="P383" i="2" s="1"/>
  <c r="E384" i="2"/>
  <c r="F384" i="2"/>
  <c r="P384" i="2" s="1"/>
  <c r="E385" i="2"/>
  <c r="F385" i="2"/>
  <c r="P385" i="2" s="1"/>
  <c r="E386" i="2"/>
  <c r="F386" i="2"/>
  <c r="P386" i="2" s="1"/>
  <c r="E387" i="2"/>
  <c r="F387" i="2"/>
  <c r="P387" i="2" s="1"/>
  <c r="E388" i="2"/>
  <c r="F388" i="2"/>
  <c r="P388" i="2" s="1"/>
  <c r="E389" i="2"/>
  <c r="F389" i="2"/>
  <c r="P389" i="2" s="1"/>
  <c r="E390" i="2"/>
  <c r="F390" i="2"/>
  <c r="P390" i="2" s="1"/>
  <c r="E391" i="2"/>
  <c r="F391" i="2"/>
  <c r="P391" i="2" s="1"/>
  <c r="E392" i="2"/>
  <c r="F392" i="2"/>
  <c r="P392" i="2" s="1"/>
  <c r="E393" i="2"/>
  <c r="F393" i="2"/>
  <c r="P393" i="2" s="1"/>
  <c r="E394" i="2"/>
  <c r="F394" i="2"/>
  <c r="P394" i="2" s="1"/>
  <c r="E395" i="2"/>
  <c r="F395" i="2"/>
  <c r="P395" i="2" s="1"/>
  <c r="E396" i="2"/>
  <c r="F396" i="2"/>
  <c r="P396" i="2" s="1"/>
  <c r="E397" i="2"/>
  <c r="F397" i="2"/>
  <c r="P397" i="2" s="1"/>
  <c r="E398" i="2"/>
  <c r="F398" i="2"/>
  <c r="P398" i="2" s="1"/>
  <c r="E399" i="2"/>
  <c r="F399" i="2"/>
  <c r="P399" i="2" s="1"/>
  <c r="E400" i="2"/>
  <c r="F400" i="2"/>
  <c r="P400" i="2" s="1"/>
  <c r="E401" i="2"/>
  <c r="F401" i="2"/>
  <c r="P401" i="2" s="1"/>
  <c r="E402" i="2"/>
  <c r="F402" i="2"/>
  <c r="P402" i="2" s="1"/>
  <c r="E403" i="2"/>
  <c r="F403" i="2"/>
  <c r="P403" i="2" s="1"/>
  <c r="E404" i="2"/>
  <c r="N404" i="2" s="1"/>
  <c r="F404" i="2"/>
  <c r="P404" i="2" s="1"/>
  <c r="E405" i="2"/>
  <c r="N405" i="2" s="1"/>
  <c r="F405" i="2"/>
  <c r="P405" i="2" s="1"/>
  <c r="E406" i="2"/>
  <c r="F406" i="2"/>
  <c r="P406" i="2" s="1"/>
  <c r="E407" i="2"/>
  <c r="F407" i="2"/>
  <c r="P407" i="2" s="1"/>
  <c r="E408" i="2"/>
  <c r="F408" i="2"/>
  <c r="P408" i="2" s="1"/>
  <c r="E409" i="2"/>
  <c r="F409" i="2"/>
  <c r="P409" i="2" s="1"/>
  <c r="E410" i="2"/>
  <c r="F410" i="2"/>
  <c r="P410" i="2" s="1"/>
  <c r="E411" i="2"/>
  <c r="F411" i="2"/>
  <c r="P411" i="2" s="1"/>
  <c r="E412" i="2"/>
  <c r="F412" i="2"/>
  <c r="P412" i="2" s="1"/>
  <c r="E413" i="2"/>
  <c r="F413" i="2"/>
  <c r="P413" i="2" s="1"/>
  <c r="E414" i="2"/>
  <c r="F414" i="2"/>
  <c r="P414" i="2" s="1"/>
  <c r="E415" i="2"/>
  <c r="F415" i="2"/>
  <c r="P415" i="2" s="1"/>
  <c r="E416" i="2"/>
  <c r="F416" i="2"/>
  <c r="P416" i="2" s="1"/>
  <c r="E417" i="2"/>
  <c r="F417" i="2"/>
  <c r="P417" i="2" s="1"/>
  <c r="E418" i="2"/>
  <c r="F418" i="2"/>
  <c r="P418" i="2" s="1"/>
  <c r="E419" i="2"/>
  <c r="F419" i="2"/>
  <c r="P419" i="2" s="1"/>
  <c r="E420" i="2"/>
  <c r="F420" i="2"/>
  <c r="P420" i="2" s="1"/>
  <c r="E421" i="2"/>
  <c r="N421" i="2" s="1"/>
  <c r="F421" i="2"/>
  <c r="P421" i="2" s="1"/>
  <c r="E422" i="2"/>
  <c r="N422" i="2" s="1"/>
  <c r="F422" i="2"/>
  <c r="P422" i="2" s="1"/>
  <c r="E423" i="2"/>
  <c r="F423" i="2"/>
  <c r="P423" i="2" s="1"/>
  <c r="E424" i="2"/>
  <c r="F424" i="2"/>
  <c r="P424" i="2" s="1"/>
  <c r="E425" i="2"/>
  <c r="F425" i="2"/>
  <c r="P425" i="2" s="1"/>
  <c r="E426" i="2"/>
  <c r="F426" i="2"/>
  <c r="P426" i="2" s="1"/>
  <c r="E427" i="2"/>
  <c r="F427" i="2"/>
  <c r="P427" i="2" s="1"/>
  <c r="E428" i="2"/>
  <c r="F428" i="2"/>
  <c r="P428" i="2" s="1"/>
  <c r="E429" i="2"/>
  <c r="F429" i="2"/>
  <c r="P429" i="2" s="1"/>
  <c r="E430" i="2"/>
  <c r="F430" i="2"/>
  <c r="P430" i="2" s="1"/>
  <c r="E431" i="2"/>
  <c r="F431" i="2"/>
  <c r="P431" i="2" s="1"/>
  <c r="E432" i="2"/>
  <c r="F432" i="2"/>
  <c r="P432" i="2" s="1"/>
  <c r="E433" i="2"/>
  <c r="F433" i="2"/>
  <c r="P433" i="2" s="1"/>
  <c r="E434" i="2"/>
  <c r="F434" i="2"/>
  <c r="P434" i="2" s="1"/>
  <c r="E435" i="2"/>
  <c r="F435" i="2"/>
  <c r="P435" i="2" s="1"/>
  <c r="E436" i="2"/>
  <c r="F436" i="2"/>
  <c r="P436" i="2" s="1"/>
  <c r="E437" i="2"/>
  <c r="N437" i="2" s="1"/>
  <c r="F437" i="2"/>
  <c r="P437" i="2" s="1"/>
  <c r="E438" i="2"/>
  <c r="N438" i="2" s="1"/>
  <c r="F438" i="2"/>
  <c r="P438" i="2" s="1"/>
  <c r="E439" i="2"/>
  <c r="F439" i="2"/>
  <c r="P439" i="2" s="1"/>
  <c r="E440" i="2"/>
  <c r="F440" i="2"/>
  <c r="P440" i="2" s="1"/>
  <c r="E441" i="2"/>
  <c r="F441" i="2"/>
  <c r="P441" i="2" s="1"/>
  <c r="E442" i="2"/>
  <c r="F442" i="2"/>
  <c r="P442" i="2" s="1"/>
  <c r="E443" i="2"/>
  <c r="F443" i="2"/>
  <c r="P443" i="2" s="1"/>
  <c r="E444" i="2"/>
  <c r="F444" i="2"/>
  <c r="P444" i="2" s="1"/>
  <c r="E445" i="2"/>
  <c r="F445" i="2"/>
  <c r="P445" i="2" s="1"/>
  <c r="E446" i="2"/>
  <c r="F446" i="2"/>
  <c r="P446" i="2" s="1"/>
  <c r="E447" i="2"/>
  <c r="F447" i="2"/>
  <c r="P447" i="2" s="1"/>
  <c r="E448" i="2"/>
  <c r="F448" i="2"/>
  <c r="P448" i="2" s="1"/>
  <c r="E449" i="2"/>
  <c r="F449" i="2"/>
  <c r="P449" i="2" s="1"/>
  <c r="E450" i="2"/>
  <c r="F450" i="2"/>
  <c r="P450" i="2" s="1"/>
  <c r="E451" i="2"/>
  <c r="F451" i="2"/>
  <c r="P451" i="2" s="1"/>
  <c r="E452" i="2"/>
  <c r="F452" i="2"/>
  <c r="P452" i="2" s="1"/>
  <c r="E453" i="2"/>
  <c r="F453" i="2"/>
  <c r="P453" i="2" s="1"/>
  <c r="E454" i="2"/>
  <c r="F454" i="2"/>
  <c r="P454" i="2" s="1"/>
  <c r="E455" i="2"/>
  <c r="F455" i="2"/>
  <c r="P455" i="2" s="1"/>
  <c r="E456" i="2"/>
  <c r="F456" i="2"/>
  <c r="P456" i="2" s="1"/>
  <c r="E457" i="2"/>
  <c r="F457" i="2"/>
  <c r="P457" i="2" s="1"/>
  <c r="E458" i="2"/>
  <c r="N458" i="2" s="1"/>
  <c r="F458" i="2"/>
  <c r="P458" i="2" s="1"/>
  <c r="E459" i="2"/>
  <c r="F459" i="2"/>
  <c r="P459" i="2" s="1"/>
  <c r="E460" i="2"/>
  <c r="F460" i="2"/>
  <c r="P460" i="2" s="1"/>
  <c r="E461" i="2"/>
  <c r="F461" i="2"/>
  <c r="P461" i="2" s="1"/>
  <c r="E462" i="2"/>
  <c r="F462" i="2"/>
  <c r="P462" i="2" s="1"/>
  <c r="E463" i="2"/>
  <c r="N463" i="2" s="1"/>
  <c r="F463" i="2"/>
  <c r="P463" i="2" s="1"/>
  <c r="E464" i="2"/>
  <c r="F464" i="2"/>
  <c r="P464" i="2" s="1"/>
  <c r="E465" i="2"/>
  <c r="F465" i="2"/>
  <c r="P465" i="2" s="1"/>
  <c r="E466" i="2"/>
  <c r="F466" i="2"/>
  <c r="P466" i="2" s="1"/>
  <c r="E467" i="2"/>
  <c r="F467" i="2"/>
  <c r="P467" i="2" s="1"/>
  <c r="E468" i="2"/>
  <c r="F468" i="2"/>
  <c r="P468" i="2" s="1"/>
  <c r="E469" i="2"/>
  <c r="F469" i="2"/>
  <c r="P469" i="2" s="1"/>
  <c r="E470" i="2"/>
  <c r="F470" i="2"/>
  <c r="P470" i="2" s="1"/>
  <c r="E471" i="2"/>
  <c r="F471" i="2"/>
  <c r="P471" i="2" s="1"/>
  <c r="E472" i="2"/>
  <c r="N472" i="2" s="1"/>
  <c r="F472" i="2"/>
  <c r="P472" i="2" s="1"/>
  <c r="E473" i="2"/>
  <c r="F473" i="2"/>
  <c r="P473" i="2" s="1"/>
  <c r="E474" i="2"/>
  <c r="F474" i="2"/>
  <c r="P474" i="2" s="1"/>
  <c r="E475" i="2"/>
  <c r="F475" i="2"/>
  <c r="P475" i="2" s="1"/>
  <c r="E476" i="2"/>
  <c r="F476" i="2"/>
  <c r="P476" i="2" s="1"/>
  <c r="E477" i="2"/>
  <c r="F477" i="2"/>
  <c r="P477" i="2" s="1"/>
  <c r="E478" i="2"/>
  <c r="F478" i="2"/>
  <c r="P478" i="2" s="1"/>
  <c r="E479" i="2"/>
  <c r="F479" i="2"/>
  <c r="P479" i="2" s="1"/>
  <c r="E480" i="2"/>
  <c r="F480" i="2"/>
  <c r="P480" i="2" s="1"/>
  <c r="E481" i="2"/>
  <c r="F481" i="2"/>
  <c r="P481" i="2" s="1"/>
  <c r="E482" i="2"/>
  <c r="F482" i="2"/>
  <c r="P482" i="2" s="1"/>
  <c r="E483" i="2"/>
  <c r="F483" i="2"/>
  <c r="P483" i="2" s="1"/>
  <c r="E484" i="2"/>
  <c r="N484" i="2" s="1"/>
  <c r="F484" i="2"/>
  <c r="P484" i="2" s="1"/>
  <c r="E485" i="2"/>
  <c r="F485" i="2"/>
  <c r="P485" i="2" s="1"/>
  <c r="E486" i="2"/>
  <c r="F486" i="2"/>
  <c r="P486" i="2" s="1"/>
  <c r="E487" i="2"/>
  <c r="N487" i="2" s="1"/>
  <c r="F487" i="2"/>
  <c r="P487" i="2" s="1"/>
  <c r="E488" i="2"/>
  <c r="F488" i="2"/>
  <c r="P488" i="2" s="1"/>
  <c r="E489" i="2"/>
  <c r="F489" i="2"/>
  <c r="P489" i="2" s="1"/>
  <c r="E490" i="2"/>
  <c r="F490" i="2"/>
  <c r="P490" i="2" s="1"/>
  <c r="E491" i="2"/>
  <c r="F491" i="2"/>
  <c r="P491" i="2" s="1"/>
  <c r="E492" i="2"/>
  <c r="F492" i="2"/>
  <c r="P492" i="2" s="1"/>
  <c r="E493" i="2"/>
  <c r="F493" i="2"/>
  <c r="P493" i="2" s="1"/>
  <c r="E494" i="2"/>
  <c r="F494" i="2"/>
  <c r="P494" i="2" s="1"/>
  <c r="E495" i="2"/>
  <c r="F495" i="2"/>
  <c r="P495" i="2" s="1"/>
  <c r="E496" i="2"/>
  <c r="F496" i="2"/>
  <c r="P496" i="2" s="1"/>
  <c r="E497" i="2"/>
  <c r="F497" i="2"/>
  <c r="P497" i="2" s="1"/>
  <c r="E498" i="2"/>
  <c r="F498" i="2"/>
  <c r="P498" i="2" s="1"/>
  <c r="E499" i="2"/>
  <c r="F499" i="2"/>
  <c r="P499" i="2" s="1"/>
  <c r="E500" i="2"/>
  <c r="F500" i="2"/>
  <c r="P500" i="2" s="1"/>
  <c r="E501" i="2"/>
  <c r="F501" i="2"/>
  <c r="P501" i="2" s="1"/>
  <c r="E502" i="2"/>
  <c r="F502" i="2"/>
  <c r="P502" i="2" s="1"/>
  <c r="E503" i="2"/>
  <c r="F503" i="2"/>
  <c r="P503" i="2" s="1"/>
  <c r="E504" i="2"/>
  <c r="F504" i="2"/>
  <c r="P504" i="2" s="1"/>
  <c r="E505" i="2"/>
  <c r="F505" i="2"/>
  <c r="P505" i="2" s="1"/>
  <c r="E506" i="2"/>
  <c r="F506" i="2"/>
  <c r="P506" i="2" s="1"/>
  <c r="E507" i="2"/>
  <c r="F507" i="2"/>
  <c r="P507" i="2" s="1"/>
  <c r="E508" i="2"/>
  <c r="F508" i="2"/>
  <c r="P508" i="2" s="1"/>
  <c r="E509" i="2"/>
  <c r="N509" i="2" s="1"/>
  <c r="F509" i="2"/>
  <c r="P509" i="2" s="1"/>
  <c r="E510" i="2"/>
  <c r="N510" i="2" s="1"/>
  <c r="F510" i="2"/>
  <c r="P510" i="2" s="1"/>
  <c r="E511" i="2"/>
  <c r="N511" i="2" s="1"/>
  <c r="F511" i="2"/>
  <c r="P511" i="2" s="1"/>
  <c r="E512" i="2"/>
  <c r="F512" i="2"/>
  <c r="P512" i="2" s="1"/>
  <c r="E513" i="2"/>
  <c r="F513" i="2"/>
  <c r="P513" i="2" s="1"/>
  <c r="E514" i="2"/>
  <c r="F514" i="2"/>
  <c r="P514" i="2" s="1"/>
  <c r="E515" i="2"/>
  <c r="F515" i="2"/>
  <c r="P515" i="2" s="1"/>
  <c r="E516" i="2"/>
  <c r="F516" i="2"/>
  <c r="P516" i="2" s="1"/>
  <c r="E517" i="2"/>
  <c r="F517" i="2"/>
  <c r="P517" i="2" s="1"/>
  <c r="E518" i="2"/>
  <c r="F518" i="2"/>
  <c r="P518" i="2" s="1"/>
  <c r="E519" i="2"/>
  <c r="F519" i="2"/>
  <c r="P519" i="2" s="1"/>
  <c r="E520" i="2"/>
  <c r="F520" i="2"/>
  <c r="P520" i="2" s="1"/>
  <c r="E521" i="2"/>
  <c r="F521" i="2"/>
  <c r="P521" i="2" s="1"/>
  <c r="E522" i="2"/>
  <c r="F522" i="2"/>
  <c r="P522" i="2" s="1"/>
  <c r="E523" i="2"/>
  <c r="F523" i="2"/>
  <c r="P523" i="2" s="1"/>
  <c r="E524" i="2"/>
  <c r="F524" i="2"/>
  <c r="P524" i="2" s="1"/>
  <c r="E525" i="2"/>
  <c r="F525" i="2"/>
  <c r="P525" i="2" s="1"/>
  <c r="E526" i="2"/>
  <c r="F526" i="2"/>
  <c r="P526" i="2" s="1"/>
  <c r="E527" i="2"/>
  <c r="F527" i="2"/>
  <c r="P527" i="2" s="1"/>
  <c r="E528" i="2"/>
  <c r="F528" i="2"/>
  <c r="P528" i="2" s="1"/>
  <c r="E529" i="2"/>
  <c r="F529" i="2"/>
  <c r="P529" i="2" s="1"/>
  <c r="E530" i="2"/>
  <c r="F530" i="2"/>
  <c r="P530" i="2" s="1"/>
  <c r="E531" i="2"/>
  <c r="F531" i="2"/>
  <c r="P531" i="2" s="1"/>
  <c r="E532" i="2"/>
  <c r="F532" i="2"/>
  <c r="P532" i="2" s="1"/>
  <c r="E533" i="2"/>
  <c r="F533" i="2"/>
  <c r="P533" i="2" s="1"/>
  <c r="E534" i="2"/>
  <c r="F534" i="2"/>
  <c r="P534" i="2" s="1"/>
  <c r="E535" i="2"/>
  <c r="F535" i="2"/>
  <c r="P535" i="2" s="1"/>
  <c r="E536" i="2"/>
  <c r="F536" i="2"/>
  <c r="P536" i="2" s="1"/>
  <c r="E537" i="2"/>
  <c r="F537" i="2"/>
  <c r="P537" i="2" s="1"/>
  <c r="E538" i="2"/>
  <c r="F538" i="2"/>
  <c r="P538" i="2" s="1"/>
  <c r="E539" i="2"/>
  <c r="F539" i="2"/>
  <c r="P539" i="2" s="1"/>
  <c r="E540" i="2"/>
  <c r="F540" i="2"/>
  <c r="P540" i="2" s="1"/>
  <c r="E541" i="2"/>
  <c r="F541" i="2"/>
  <c r="P541" i="2" s="1"/>
  <c r="E542" i="2"/>
  <c r="F542" i="2"/>
  <c r="P542" i="2" s="1"/>
  <c r="E543" i="2"/>
  <c r="F543" i="2"/>
  <c r="P543" i="2" s="1"/>
  <c r="E544" i="2"/>
  <c r="F544" i="2"/>
  <c r="P544" i="2" s="1"/>
  <c r="E545" i="2"/>
  <c r="F545" i="2"/>
  <c r="P545" i="2" s="1"/>
  <c r="E546" i="2"/>
  <c r="F546" i="2"/>
  <c r="P546" i="2" s="1"/>
  <c r="E547" i="2"/>
  <c r="F547" i="2"/>
  <c r="P547" i="2" s="1"/>
  <c r="E548" i="2"/>
  <c r="F548" i="2"/>
  <c r="P548" i="2" s="1"/>
  <c r="E549" i="2"/>
  <c r="F549" i="2"/>
  <c r="P549" i="2" s="1"/>
  <c r="E550" i="2"/>
  <c r="F550" i="2"/>
  <c r="P550" i="2" s="1"/>
  <c r="E551" i="2"/>
  <c r="F551" i="2"/>
  <c r="P551" i="2" s="1"/>
  <c r="E552" i="2"/>
  <c r="F552" i="2"/>
  <c r="P552" i="2" s="1"/>
  <c r="E553" i="2"/>
  <c r="F553" i="2"/>
  <c r="P553" i="2" s="1"/>
  <c r="E554" i="2"/>
  <c r="F554" i="2"/>
  <c r="P554" i="2" s="1"/>
  <c r="E555" i="2"/>
  <c r="F555" i="2"/>
  <c r="P555" i="2" s="1"/>
  <c r="E556" i="2"/>
  <c r="F556" i="2"/>
  <c r="P556" i="2" s="1"/>
  <c r="E557" i="2"/>
  <c r="F557" i="2"/>
  <c r="P557" i="2" s="1"/>
  <c r="E558" i="2"/>
  <c r="N558" i="2" s="1"/>
  <c r="F558" i="2"/>
  <c r="P558" i="2" s="1"/>
  <c r="E559" i="2"/>
  <c r="F559" i="2"/>
  <c r="P559" i="2" s="1"/>
  <c r="E560" i="2"/>
  <c r="F560" i="2"/>
  <c r="P560" i="2" s="1"/>
  <c r="E561" i="2"/>
  <c r="F561" i="2"/>
  <c r="P561" i="2" s="1"/>
  <c r="E562" i="2"/>
  <c r="F562" i="2"/>
  <c r="P562" i="2" s="1"/>
  <c r="E563" i="2"/>
  <c r="F563" i="2"/>
  <c r="P563" i="2" s="1"/>
  <c r="E564" i="2"/>
  <c r="F564" i="2"/>
  <c r="P564" i="2" s="1"/>
  <c r="E565" i="2"/>
  <c r="N565" i="2" s="1"/>
  <c r="F565" i="2"/>
  <c r="P565" i="2" s="1"/>
  <c r="E566" i="2"/>
  <c r="F566" i="2"/>
  <c r="P566" i="2" s="1"/>
  <c r="E567" i="2"/>
  <c r="F567" i="2"/>
  <c r="P567" i="2" s="1"/>
  <c r="E568" i="2"/>
  <c r="F568" i="2"/>
  <c r="P568" i="2" s="1"/>
  <c r="E569" i="2"/>
  <c r="F569" i="2"/>
  <c r="P569" i="2" s="1"/>
  <c r="E570" i="2"/>
  <c r="F570" i="2"/>
  <c r="P570" i="2" s="1"/>
  <c r="E571" i="2"/>
  <c r="F571" i="2"/>
  <c r="P571" i="2" s="1"/>
  <c r="E572" i="2"/>
  <c r="F572" i="2"/>
  <c r="P572" i="2" s="1"/>
  <c r="E573" i="2"/>
  <c r="N573" i="2" s="1"/>
  <c r="F573" i="2"/>
  <c r="P573" i="2" s="1"/>
  <c r="E574" i="2"/>
  <c r="F574" i="2"/>
  <c r="P574" i="2" s="1"/>
  <c r="E575" i="2"/>
  <c r="F575" i="2"/>
  <c r="P575" i="2" s="1"/>
  <c r="E576" i="2"/>
  <c r="F576" i="2"/>
  <c r="P576" i="2" s="1"/>
  <c r="E577" i="2"/>
  <c r="F577" i="2"/>
  <c r="P577" i="2" s="1"/>
  <c r="E578" i="2"/>
  <c r="F578" i="2"/>
  <c r="P578" i="2" s="1"/>
  <c r="E579" i="2"/>
  <c r="F579" i="2"/>
  <c r="P579" i="2" s="1"/>
  <c r="E580" i="2"/>
  <c r="F580" i="2"/>
  <c r="P580" i="2" s="1"/>
  <c r="E581" i="2"/>
  <c r="F581" i="2"/>
  <c r="P581" i="2" s="1"/>
  <c r="E582" i="2"/>
  <c r="F582" i="2"/>
  <c r="P582" i="2" s="1"/>
  <c r="E583" i="2"/>
  <c r="N583" i="2" s="1"/>
  <c r="F583" i="2"/>
  <c r="P583" i="2" s="1"/>
  <c r="E584" i="2"/>
  <c r="F584" i="2"/>
  <c r="P584" i="2" s="1"/>
  <c r="E585" i="2"/>
  <c r="F585" i="2"/>
  <c r="P585" i="2" s="1"/>
  <c r="E586" i="2"/>
  <c r="F586" i="2"/>
  <c r="P586" i="2" s="1"/>
  <c r="E587" i="2"/>
  <c r="F587" i="2"/>
  <c r="P587" i="2" s="1"/>
  <c r="E588" i="2"/>
  <c r="F588" i="2"/>
  <c r="P588" i="2" s="1"/>
  <c r="E589" i="2"/>
  <c r="F589" i="2"/>
  <c r="P589" i="2" s="1"/>
  <c r="E590" i="2"/>
  <c r="F590" i="2"/>
  <c r="P590" i="2" s="1"/>
  <c r="E591" i="2"/>
  <c r="F591" i="2"/>
  <c r="P591" i="2" s="1"/>
  <c r="E592" i="2"/>
  <c r="F592" i="2"/>
  <c r="P592" i="2" s="1"/>
  <c r="E593" i="2"/>
  <c r="F593" i="2"/>
  <c r="P593" i="2" s="1"/>
  <c r="E594" i="2"/>
  <c r="F594" i="2"/>
  <c r="P594" i="2" s="1"/>
  <c r="E595" i="2"/>
  <c r="F595" i="2"/>
  <c r="P595" i="2" s="1"/>
  <c r="E596" i="2"/>
  <c r="F596" i="2"/>
  <c r="P596" i="2" s="1"/>
  <c r="E597" i="2"/>
  <c r="F597" i="2"/>
  <c r="P597" i="2" s="1"/>
  <c r="E598" i="2"/>
  <c r="N598" i="2" s="1"/>
  <c r="F598" i="2"/>
  <c r="P598" i="2" s="1"/>
  <c r="E599" i="2"/>
  <c r="N599" i="2" s="1"/>
  <c r="F599" i="2"/>
  <c r="P599" i="2" s="1"/>
  <c r="E600" i="2"/>
  <c r="F600" i="2"/>
  <c r="P600" i="2" s="1"/>
  <c r="E601" i="2"/>
  <c r="F601" i="2"/>
  <c r="P601" i="2" s="1"/>
  <c r="E602" i="2"/>
  <c r="N602" i="2" s="1"/>
  <c r="F602" i="2"/>
  <c r="P602" i="2" s="1"/>
  <c r="E603" i="2"/>
  <c r="F603" i="2"/>
  <c r="P603" i="2" s="1"/>
  <c r="E604" i="2"/>
  <c r="F604" i="2"/>
  <c r="P604" i="2" s="1"/>
  <c r="E605" i="2"/>
  <c r="F605" i="2"/>
  <c r="P605" i="2" s="1"/>
  <c r="E606" i="2"/>
  <c r="F606" i="2"/>
  <c r="P606" i="2" s="1"/>
  <c r="E607" i="2"/>
  <c r="F607" i="2"/>
  <c r="P607" i="2" s="1"/>
  <c r="E608" i="2"/>
  <c r="F608" i="2"/>
  <c r="P608" i="2" s="1"/>
  <c r="E609" i="2"/>
  <c r="F609" i="2"/>
  <c r="P609" i="2" s="1"/>
  <c r="E610" i="2"/>
  <c r="F610" i="2"/>
  <c r="P610" i="2" s="1"/>
  <c r="E611" i="2"/>
  <c r="F611" i="2"/>
  <c r="P611" i="2" s="1"/>
  <c r="E612" i="2"/>
  <c r="F612" i="2"/>
  <c r="P612" i="2" s="1"/>
  <c r="E613" i="2"/>
  <c r="F613" i="2"/>
  <c r="P613" i="2" s="1"/>
  <c r="E614" i="2"/>
  <c r="F614" i="2"/>
  <c r="P614" i="2" s="1"/>
  <c r="E615" i="2"/>
  <c r="F615" i="2"/>
  <c r="P615" i="2" s="1"/>
  <c r="E616" i="2"/>
  <c r="F616" i="2"/>
  <c r="P616" i="2" s="1"/>
  <c r="E617" i="2"/>
  <c r="F617" i="2"/>
  <c r="P617" i="2" s="1"/>
  <c r="E618" i="2"/>
  <c r="F618" i="2"/>
  <c r="P618" i="2" s="1"/>
  <c r="E619" i="2"/>
  <c r="F619" i="2"/>
  <c r="P619" i="2" s="1"/>
  <c r="E620" i="2"/>
  <c r="F620" i="2"/>
  <c r="P620" i="2" s="1"/>
  <c r="E621" i="2"/>
  <c r="F621" i="2"/>
  <c r="P621" i="2" s="1"/>
  <c r="E622" i="2"/>
  <c r="F622" i="2"/>
  <c r="P622" i="2" s="1"/>
  <c r="E623" i="2"/>
  <c r="F623" i="2"/>
  <c r="P623" i="2" s="1"/>
  <c r="E624" i="2"/>
  <c r="F624" i="2"/>
  <c r="P624" i="2" s="1"/>
  <c r="E625" i="2"/>
  <c r="F625" i="2"/>
  <c r="P625" i="2" s="1"/>
  <c r="E626" i="2"/>
  <c r="F626" i="2"/>
  <c r="P626" i="2" s="1"/>
  <c r="E627" i="2"/>
  <c r="F627" i="2"/>
  <c r="P627" i="2" s="1"/>
  <c r="E628" i="2"/>
  <c r="F628" i="2"/>
  <c r="P628" i="2" s="1"/>
  <c r="E629" i="2"/>
  <c r="F629" i="2"/>
  <c r="P629" i="2" s="1"/>
  <c r="E630" i="2"/>
  <c r="N630" i="2" s="1"/>
  <c r="F630" i="2"/>
  <c r="P630" i="2" s="1"/>
  <c r="E631" i="2"/>
  <c r="F631" i="2"/>
  <c r="P631" i="2" s="1"/>
  <c r="E632" i="2"/>
  <c r="F632" i="2"/>
  <c r="P632" i="2" s="1"/>
  <c r="E633" i="2"/>
  <c r="F633" i="2"/>
  <c r="P633" i="2" s="1"/>
  <c r="E634" i="2"/>
  <c r="F634" i="2"/>
  <c r="P634" i="2" s="1"/>
  <c r="E635" i="2"/>
  <c r="F635" i="2"/>
  <c r="P635" i="2" s="1"/>
  <c r="E636" i="2"/>
  <c r="F636" i="2"/>
  <c r="P636" i="2" s="1"/>
  <c r="E637" i="2"/>
  <c r="F637" i="2"/>
  <c r="P637" i="2" s="1"/>
  <c r="E638" i="2"/>
  <c r="F638" i="2"/>
  <c r="P638" i="2" s="1"/>
  <c r="E639" i="2"/>
  <c r="F639" i="2"/>
  <c r="P639" i="2" s="1"/>
  <c r="E640" i="2"/>
  <c r="F640" i="2"/>
  <c r="P640" i="2" s="1"/>
  <c r="E641" i="2"/>
  <c r="F641" i="2"/>
  <c r="P641" i="2" s="1"/>
  <c r="E642" i="2"/>
  <c r="F642" i="2"/>
  <c r="P642" i="2" s="1"/>
  <c r="E643" i="2"/>
  <c r="F643" i="2"/>
  <c r="P643" i="2" s="1"/>
  <c r="E644" i="2"/>
  <c r="F644" i="2"/>
  <c r="P644" i="2" s="1"/>
  <c r="E645" i="2"/>
  <c r="F645" i="2"/>
  <c r="P645" i="2" s="1"/>
  <c r="E646" i="2"/>
  <c r="F646" i="2"/>
  <c r="P646" i="2" s="1"/>
  <c r="E647" i="2"/>
  <c r="F647" i="2"/>
  <c r="P647" i="2" s="1"/>
  <c r="E648" i="2"/>
  <c r="F648" i="2"/>
  <c r="P648" i="2" s="1"/>
  <c r="E649" i="2"/>
  <c r="F649" i="2"/>
  <c r="P649" i="2" s="1"/>
  <c r="E650" i="2"/>
  <c r="F650" i="2"/>
  <c r="P650" i="2" s="1"/>
  <c r="E651" i="2"/>
  <c r="F651" i="2"/>
  <c r="P651" i="2" s="1"/>
  <c r="E652" i="2"/>
  <c r="F652" i="2"/>
  <c r="P652" i="2" s="1"/>
  <c r="E653" i="2"/>
  <c r="F653" i="2"/>
  <c r="P653" i="2" s="1"/>
  <c r="E654" i="2"/>
  <c r="F654" i="2"/>
  <c r="P654" i="2" s="1"/>
  <c r="E655" i="2"/>
  <c r="F655" i="2"/>
  <c r="P655" i="2" s="1"/>
  <c r="E656" i="2"/>
  <c r="F656" i="2"/>
  <c r="P656" i="2" s="1"/>
  <c r="E657" i="2"/>
  <c r="F657" i="2"/>
  <c r="P657" i="2" s="1"/>
  <c r="E658" i="2"/>
  <c r="F658" i="2"/>
  <c r="P658" i="2" s="1"/>
  <c r="E659" i="2"/>
  <c r="F659" i="2"/>
  <c r="P659" i="2" s="1"/>
  <c r="E660" i="2"/>
  <c r="F660" i="2"/>
  <c r="P660" i="2" s="1"/>
  <c r="E661" i="2"/>
  <c r="F661" i="2"/>
  <c r="P661" i="2" s="1"/>
  <c r="E662" i="2"/>
  <c r="F662" i="2"/>
  <c r="P662" i="2" s="1"/>
  <c r="E663" i="2"/>
  <c r="F663" i="2"/>
  <c r="P663" i="2" s="1"/>
  <c r="E664" i="2"/>
  <c r="F664" i="2"/>
  <c r="P664" i="2" s="1"/>
  <c r="E665" i="2"/>
  <c r="F665" i="2"/>
  <c r="P665" i="2" s="1"/>
  <c r="E666" i="2"/>
  <c r="F666" i="2"/>
  <c r="P666" i="2" s="1"/>
  <c r="E667" i="2"/>
  <c r="F667" i="2"/>
  <c r="P667" i="2" s="1"/>
  <c r="E668" i="2"/>
  <c r="F668" i="2"/>
  <c r="P668" i="2" s="1"/>
  <c r="E669" i="2"/>
  <c r="F669" i="2"/>
  <c r="P669" i="2" s="1"/>
  <c r="E670" i="2"/>
  <c r="F670" i="2"/>
  <c r="P670" i="2" s="1"/>
  <c r="E671" i="2"/>
  <c r="F671" i="2"/>
  <c r="P671" i="2" s="1"/>
  <c r="E672" i="2"/>
  <c r="F672" i="2"/>
  <c r="P672" i="2" s="1"/>
  <c r="E673" i="2"/>
  <c r="F673" i="2"/>
  <c r="P673" i="2" s="1"/>
  <c r="E674" i="2"/>
  <c r="F674" i="2"/>
  <c r="P674" i="2" s="1"/>
  <c r="E675" i="2"/>
  <c r="F675" i="2"/>
  <c r="P675" i="2" s="1"/>
  <c r="E676" i="2"/>
  <c r="F676" i="2"/>
  <c r="P676" i="2" s="1"/>
  <c r="E677" i="2"/>
  <c r="F677" i="2"/>
  <c r="P677" i="2" s="1"/>
  <c r="E678" i="2"/>
  <c r="F678" i="2"/>
  <c r="P678" i="2" s="1"/>
  <c r="E679" i="2"/>
  <c r="F679" i="2"/>
  <c r="P679" i="2" s="1"/>
  <c r="E680" i="2"/>
  <c r="F680" i="2"/>
  <c r="P680" i="2" s="1"/>
  <c r="E681" i="2"/>
  <c r="F681" i="2"/>
  <c r="P681" i="2" s="1"/>
  <c r="E682" i="2"/>
  <c r="F682" i="2"/>
  <c r="P682" i="2" s="1"/>
  <c r="E683" i="2"/>
  <c r="F683" i="2"/>
  <c r="P683" i="2" s="1"/>
  <c r="E684" i="2"/>
  <c r="F684" i="2"/>
  <c r="P684" i="2" s="1"/>
  <c r="E685" i="2"/>
  <c r="F685" i="2"/>
  <c r="P685" i="2" s="1"/>
  <c r="E686" i="2"/>
  <c r="F686" i="2"/>
  <c r="P686" i="2" s="1"/>
  <c r="E687" i="2"/>
  <c r="F687" i="2"/>
  <c r="P687" i="2" s="1"/>
  <c r="E688" i="2"/>
  <c r="F688" i="2"/>
  <c r="P688" i="2" s="1"/>
  <c r="E689" i="2"/>
  <c r="F689" i="2"/>
  <c r="P689" i="2" s="1"/>
  <c r="E690" i="2"/>
  <c r="F690" i="2"/>
  <c r="P690" i="2" s="1"/>
  <c r="E691" i="2"/>
  <c r="F691" i="2"/>
  <c r="P691" i="2" s="1"/>
  <c r="E692" i="2"/>
  <c r="F692" i="2"/>
  <c r="P692" i="2" s="1"/>
  <c r="E693" i="2"/>
  <c r="F693" i="2"/>
  <c r="P693" i="2" s="1"/>
  <c r="E694" i="2"/>
  <c r="F694" i="2"/>
  <c r="P694" i="2" s="1"/>
  <c r="E695" i="2"/>
  <c r="F695" i="2"/>
  <c r="P695" i="2" s="1"/>
  <c r="E696" i="2"/>
  <c r="F696" i="2"/>
  <c r="P696" i="2" s="1"/>
  <c r="E697" i="2"/>
  <c r="F697" i="2"/>
  <c r="P697" i="2" s="1"/>
  <c r="E698" i="2"/>
  <c r="F698" i="2"/>
  <c r="P698" i="2" s="1"/>
  <c r="E699" i="2"/>
  <c r="F699" i="2"/>
  <c r="P699" i="2" s="1"/>
  <c r="E700" i="2"/>
  <c r="F700" i="2"/>
  <c r="P700" i="2" s="1"/>
  <c r="E701" i="2"/>
  <c r="F701" i="2"/>
  <c r="P701" i="2" s="1"/>
  <c r="E702" i="2"/>
  <c r="F702" i="2"/>
  <c r="P702" i="2" s="1"/>
  <c r="E703" i="2"/>
  <c r="F703" i="2"/>
  <c r="P703" i="2" s="1"/>
  <c r="E704" i="2"/>
  <c r="F704" i="2"/>
  <c r="P704" i="2" s="1"/>
  <c r="E705" i="2"/>
  <c r="F705" i="2"/>
  <c r="P705" i="2" s="1"/>
  <c r="E706" i="2"/>
  <c r="F706" i="2"/>
  <c r="P706" i="2" s="1"/>
  <c r="E707" i="2"/>
  <c r="F707" i="2"/>
  <c r="P707" i="2" s="1"/>
  <c r="E708" i="2"/>
  <c r="N708" i="2" s="1"/>
  <c r="F708" i="2"/>
  <c r="P708" i="2" s="1"/>
  <c r="E709" i="2"/>
  <c r="F709" i="2"/>
  <c r="P709" i="2" s="1"/>
  <c r="E710" i="2"/>
  <c r="F710" i="2"/>
  <c r="P710" i="2" s="1"/>
  <c r="E711" i="2"/>
  <c r="F711" i="2"/>
  <c r="P711" i="2" s="1"/>
  <c r="E712" i="2"/>
  <c r="F712" i="2"/>
  <c r="P712" i="2" s="1"/>
  <c r="E713" i="2"/>
  <c r="F713" i="2"/>
  <c r="P713" i="2" s="1"/>
  <c r="E714" i="2"/>
  <c r="F714" i="2"/>
  <c r="P714" i="2" s="1"/>
  <c r="E715" i="2"/>
  <c r="F715" i="2"/>
  <c r="P715" i="2" s="1"/>
  <c r="E716" i="2"/>
  <c r="F716" i="2"/>
  <c r="P716" i="2" s="1"/>
  <c r="E717" i="2"/>
  <c r="F717" i="2"/>
  <c r="P717" i="2" s="1"/>
  <c r="E718" i="2"/>
  <c r="F718" i="2"/>
  <c r="P718" i="2" s="1"/>
  <c r="E719" i="2"/>
  <c r="F719" i="2"/>
  <c r="P719" i="2" s="1"/>
  <c r="E720" i="2"/>
  <c r="F720" i="2"/>
  <c r="P720" i="2" s="1"/>
  <c r="E721" i="2"/>
  <c r="F721" i="2"/>
  <c r="P721" i="2" s="1"/>
  <c r="E722" i="2"/>
  <c r="F722" i="2"/>
  <c r="P722" i="2" s="1"/>
  <c r="E723" i="2"/>
  <c r="F723" i="2"/>
  <c r="P723" i="2" s="1"/>
  <c r="E724" i="2"/>
  <c r="F724" i="2"/>
  <c r="P724" i="2" s="1"/>
  <c r="E725" i="2"/>
  <c r="N725" i="2" s="1"/>
  <c r="F725" i="2"/>
  <c r="P725" i="2" s="1"/>
  <c r="E726" i="2"/>
  <c r="F726" i="2"/>
  <c r="P726" i="2" s="1"/>
  <c r="E727" i="2"/>
  <c r="F727" i="2"/>
  <c r="P727" i="2" s="1"/>
  <c r="E728" i="2"/>
  <c r="F728" i="2"/>
  <c r="P728" i="2" s="1"/>
  <c r="E729" i="2"/>
  <c r="N729" i="2" s="1"/>
  <c r="F729" i="2"/>
  <c r="P729" i="2" s="1"/>
  <c r="E730" i="2"/>
  <c r="F730" i="2"/>
  <c r="P730" i="2" s="1"/>
  <c r="E731" i="2"/>
  <c r="F731" i="2"/>
  <c r="P731" i="2" s="1"/>
  <c r="E732" i="2"/>
  <c r="F732" i="2"/>
  <c r="P732" i="2" s="1"/>
  <c r="E733" i="2"/>
  <c r="F733" i="2"/>
  <c r="P733" i="2" s="1"/>
  <c r="E734" i="2"/>
  <c r="F734" i="2"/>
  <c r="P734" i="2" s="1"/>
  <c r="E735" i="2"/>
  <c r="F735" i="2"/>
  <c r="P735" i="2" s="1"/>
  <c r="E736" i="2"/>
  <c r="F736" i="2"/>
  <c r="P736" i="2" s="1"/>
  <c r="E737" i="2"/>
  <c r="F737" i="2"/>
  <c r="P737" i="2" s="1"/>
  <c r="E738" i="2"/>
  <c r="F738" i="2"/>
  <c r="P738" i="2" s="1"/>
  <c r="E739" i="2"/>
  <c r="F739" i="2"/>
  <c r="P739" i="2" s="1"/>
  <c r="E740" i="2"/>
  <c r="F740" i="2"/>
  <c r="P740" i="2" s="1"/>
  <c r="E741" i="2"/>
  <c r="F741" i="2"/>
  <c r="P741" i="2" s="1"/>
  <c r="E742" i="2"/>
  <c r="F742" i="2"/>
  <c r="P742" i="2" s="1"/>
  <c r="E743" i="2"/>
  <c r="F743" i="2"/>
  <c r="P743" i="2" s="1"/>
  <c r="E744" i="2"/>
  <c r="F744" i="2"/>
  <c r="P744" i="2" s="1"/>
  <c r="E745" i="2"/>
  <c r="F745" i="2"/>
  <c r="P745" i="2" s="1"/>
  <c r="E746" i="2"/>
  <c r="F746" i="2"/>
  <c r="P746" i="2" s="1"/>
  <c r="E747" i="2"/>
  <c r="F747" i="2"/>
  <c r="P747" i="2" s="1"/>
  <c r="E748" i="2"/>
  <c r="F748" i="2"/>
  <c r="P748" i="2" s="1"/>
  <c r="E749" i="2"/>
  <c r="F749" i="2"/>
  <c r="P749" i="2" s="1"/>
  <c r="E750" i="2"/>
  <c r="F750" i="2"/>
  <c r="P750" i="2" s="1"/>
  <c r="E751" i="2"/>
  <c r="F751" i="2"/>
  <c r="P751" i="2" s="1"/>
  <c r="E752" i="2"/>
  <c r="F752" i="2"/>
  <c r="P752" i="2" s="1"/>
  <c r="E753" i="2"/>
  <c r="F753" i="2"/>
  <c r="P753" i="2" s="1"/>
  <c r="E754" i="2"/>
  <c r="F754" i="2"/>
  <c r="P754" i="2" s="1"/>
  <c r="E755" i="2"/>
  <c r="F755" i="2"/>
  <c r="P755" i="2" s="1"/>
  <c r="E756" i="2"/>
  <c r="N756" i="2" s="1"/>
  <c r="F756" i="2"/>
  <c r="P756" i="2" s="1"/>
  <c r="E757" i="2"/>
  <c r="F757" i="2"/>
  <c r="P757" i="2" s="1"/>
  <c r="E758" i="2"/>
  <c r="F758" i="2"/>
  <c r="P758" i="2" s="1"/>
  <c r="E759" i="2"/>
  <c r="F759" i="2"/>
  <c r="P759" i="2" s="1"/>
  <c r="E760" i="2"/>
  <c r="F760" i="2"/>
  <c r="P760" i="2" s="1"/>
  <c r="E761" i="2"/>
  <c r="N761" i="2" s="1"/>
  <c r="F761" i="2"/>
  <c r="P761" i="2" s="1"/>
  <c r="E762" i="2"/>
  <c r="F762" i="2"/>
  <c r="P762" i="2" s="1"/>
  <c r="E763" i="2"/>
  <c r="F763" i="2"/>
  <c r="P763" i="2" s="1"/>
  <c r="E764" i="2"/>
  <c r="F764" i="2"/>
  <c r="P764" i="2" s="1"/>
  <c r="E765" i="2"/>
  <c r="F765" i="2"/>
  <c r="P765" i="2" s="1"/>
  <c r="E766" i="2"/>
  <c r="N766" i="2" s="1"/>
  <c r="F766" i="2"/>
  <c r="P766" i="2" s="1"/>
  <c r="E767" i="2"/>
  <c r="N767" i="2" s="1"/>
  <c r="F767" i="2"/>
  <c r="P767" i="2" s="1"/>
  <c r="E768" i="2"/>
  <c r="F768" i="2"/>
  <c r="P768" i="2" s="1"/>
  <c r="E769" i="2"/>
  <c r="F769" i="2"/>
  <c r="P769" i="2" s="1"/>
  <c r="E770" i="2"/>
  <c r="F770" i="2"/>
  <c r="P770" i="2" s="1"/>
  <c r="E771" i="2"/>
  <c r="F771" i="2"/>
  <c r="P771" i="2" s="1"/>
  <c r="E772" i="2"/>
  <c r="F772" i="2"/>
  <c r="P772" i="2" s="1"/>
  <c r="E773" i="2"/>
  <c r="F773" i="2"/>
  <c r="P773" i="2" s="1"/>
  <c r="E774" i="2"/>
  <c r="F774" i="2"/>
  <c r="P774" i="2" s="1"/>
  <c r="E775" i="2"/>
  <c r="F775" i="2"/>
  <c r="P775" i="2" s="1"/>
  <c r="E776" i="2"/>
  <c r="F776" i="2"/>
  <c r="P776" i="2" s="1"/>
  <c r="E777" i="2"/>
  <c r="F777" i="2"/>
  <c r="P777" i="2" s="1"/>
  <c r="E778" i="2"/>
  <c r="F778" i="2"/>
  <c r="P778" i="2" s="1"/>
  <c r="E779" i="2"/>
  <c r="N779" i="2" s="1"/>
  <c r="F779" i="2"/>
  <c r="P779" i="2" s="1"/>
  <c r="E780" i="2"/>
  <c r="F780" i="2"/>
  <c r="P780" i="2" s="1"/>
  <c r="E781" i="2"/>
  <c r="F781" i="2"/>
  <c r="P781" i="2" s="1"/>
  <c r="E782" i="2"/>
  <c r="N782" i="2" s="1"/>
  <c r="F782" i="2"/>
  <c r="P782" i="2" s="1"/>
  <c r="E783" i="2"/>
  <c r="F783" i="2"/>
  <c r="P783" i="2" s="1"/>
  <c r="E784" i="2"/>
  <c r="F784" i="2"/>
  <c r="P784" i="2" s="1"/>
  <c r="E785" i="2"/>
  <c r="F785" i="2"/>
  <c r="P785" i="2" s="1"/>
  <c r="E786" i="2"/>
  <c r="F786" i="2"/>
  <c r="P786" i="2" s="1"/>
  <c r="E787" i="2"/>
  <c r="F787" i="2"/>
  <c r="P787" i="2" s="1"/>
  <c r="E788" i="2"/>
  <c r="F788" i="2"/>
  <c r="P788" i="2" s="1"/>
  <c r="E789" i="2"/>
  <c r="F789" i="2"/>
  <c r="P789" i="2" s="1"/>
  <c r="E790" i="2"/>
  <c r="F790" i="2"/>
  <c r="P790" i="2" s="1"/>
  <c r="E791" i="2"/>
  <c r="F791" i="2"/>
  <c r="P791" i="2" s="1"/>
  <c r="E792" i="2"/>
  <c r="F792" i="2"/>
  <c r="P792" i="2" s="1"/>
  <c r="E793" i="2"/>
  <c r="F793" i="2"/>
  <c r="P793" i="2" s="1"/>
  <c r="E794" i="2"/>
  <c r="F794" i="2"/>
  <c r="P794" i="2" s="1"/>
  <c r="E795" i="2"/>
  <c r="F795" i="2"/>
  <c r="P795" i="2" s="1"/>
  <c r="E796" i="2"/>
  <c r="F796" i="2"/>
  <c r="P796" i="2" s="1"/>
  <c r="E797" i="2"/>
  <c r="F797" i="2"/>
  <c r="P797" i="2" s="1"/>
  <c r="E798" i="2"/>
  <c r="F798" i="2"/>
  <c r="P798" i="2" s="1"/>
  <c r="E799" i="2"/>
  <c r="F799" i="2"/>
  <c r="P799" i="2" s="1"/>
  <c r="E800" i="2"/>
  <c r="F800" i="2"/>
  <c r="P800" i="2" s="1"/>
  <c r="E801" i="2"/>
  <c r="F801" i="2"/>
  <c r="P801" i="2" s="1"/>
  <c r="E802" i="2"/>
  <c r="F802" i="2"/>
  <c r="P802" i="2" s="1"/>
  <c r="E803" i="2"/>
  <c r="F803" i="2"/>
  <c r="P803" i="2" s="1"/>
  <c r="E804" i="2"/>
  <c r="F804" i="2"/>
  <c r="P804" i="2" s="1"/>
  <c r="E805" i="2"/>
  <c r="F805" i="2"/>
  <c r="P805" i="2" s="1"/>
  <c r="E806" i="2"/>
  <c r="F806" i="2"/>
  <c r="P806" i="2" s="1"/>
  <c r="E807" i="2"/>
  <c r="F807" i="2"/>
  <c r="P807" i="2" s="1"/>
  <c r="E808" i="2"/>
  <c r="N808" i="2" s="1"/>
  <c r="F808" i="2"/>
  <c r="P808" i="2" s="1"/>
  <c r="E809" i="2"/>
  <c r="N809" i="2" s="1"/>
  <c r="F809" i="2"/>
  <c r="P809" i="2" s="1"/>
  <c r="E810" i="2"/>
  <c r="F810" i="2"/>
  <c r="P810" i="2" s="1"/>
  <c r="E811" i="2"/>
  <c r="F811" i="2"/>
  <c r="P811" i="2" s="1"/>
  <c r="E812" i="2"/>
  <c r="N812" i="2" s="1"/>
  <c r="F812" i="2"/>
  <c r="P812" i="2" s="1"/>
  <c r="E813" i="2"/>
  <c r="F813" i="2"/>
  <c r="P813" i="2" s="1"/>
  <c r="E814" i="2"/>
  <c r="F814" i="2"/>
  <c r="P814" i="2" s="1"/>
  <c r="E815" i="2"/>
  <c r="F815" i="2"/>
  <c r="P815" i="2" s="1"/>
  <c r="E816" i="2"/>
  <c r="F816" i="2"/>
  <c r="P816" i="2" s="1"/>
  <c r="E817" i="2"/>
  <c r="F817" i="2"/>
  <c r="P817" i="2" s="1"/>
  <c r="E818" i="2"/>
  <c r="F818" i="2"/>
  <c r="P818" i="2" s="1"/>
  <c r="E819" i="2"/>
  <c r="F819" i="2"/>
  <c r="P819" i="2" s="1"/>
  <c r="E820" i="2"/>
  <c r="F820" i="2"/>
  <c r="P820" i="2" s="1"/>
  <c r="E821" i="2"/>
  <c r="N821" i="2" s="1"/>
  <c r="F821" i="2"/>
  <c r="P821" i="2" s="1"/>
  <c r="E822" i="2"/>
  <c r="F822" i="2"/>
  <c r="P822" i="2" s="1"/>
  <c r="E823" i="2"/>
  <c r="F823" i="2"/>
  <c r="P823" i="2" s="1"/>
  <c r="E824" i="2"/>
  <c r="F824" i="2"/>
  <c r="P824" i="2" s="1"/>
  <c r="E825" i="2"/>
  <c r="F825" i="2"/>
  <c r="P825" i="2" s="1"/>
  <c r="E826" i="2"/>
  <c r="F826" i="2"/>
  <c r="P826" i="2" s="1"/>
  <c r="E827" i="2"/>
  <c r="F827" i="2"/>
  <c r="P827" i="2" s="1"/>
  <c r="E828" i="2"/>
  <c r="F828" i="2"/>
  <c r="P828" i="2" s="1"/>
  <c r="E829" i="2"/>
  <c r="F829" i="2"/>
  <c r="P829" i="2" s="1"/>
  <c r="E830" i="2"/>
  <c r="F830" i="2"/>
  <c r="P830" i="2" s="1"/>
  <c r="E831" i="2"/>
  <c r="F831" i="2"/>
  <c r="P831" i="2" s="1"/>
  <c r="E832" i="2"/>
  <c r="F832" i="2"/>
  <c r="P832" i="2" s="1"/>
  <c r="E833" i="2"/>
  <c r="F833" i="2"/>
  <c r="P833" i="2" s="1"/>
  <c r="E834" i="2"/>
  <c r="F834" i="2"/>
  <c r="P834" i="2" s="1"/>
  <c r="E835" i="2"/>
  <c r="N835" i="2" s="1"/>
  <c r="F835" i="2"/>
  <c r="P835" i="2" s="1"/>
  <c r="E836" i="2"/>
  <c r="N836" i="2" s="1"/>
  <c r="F836" i="2"/>
  <c r="P836" i="2" s="1"/>
  <c r="E837" i="2"/>
  <c r="F837" i="2"/>
  <c r="P837" i="2" s="1"/>
  <c r="E838" i="2"/>
  <c r="F838" i="2"/>
  <c r="P838" i="2" s="1"/>
  <c r="E839" i="2"/>
  <c r="F839" i="2"/>
  <c r="P839" i="2" s="1"/>
  <c r="E840" i="2"/>
  <c r="N840" i="2" s="1"/>
  <c r="F840" i="2"/>
  <c r="P840" i="2" s="1"/>
  <c r="E841" i="2"/>
  <c r="F841" i="2"/>
  <c r="P841" i="2" s="1"/>
  <c r="E842" i="2"/>
  <c r="F842" i="2"/>
  <c r="P842" i="2" s="1"/>
  <c r="E843" i="2"/>
  <c r="F843" i="2"/>
  <c r="P843" i="2" s="1"/>
  <c r="E844" i="2"/>
  <c r="F844" i="2"/>
  <c r="P844" i="2" s="1"/>
  <c r="E845" i="2"/>
  <c r="F845" i="2"/>
  <c r="P845" i="2" s="1"/>
  <c r="E846" i="2"/>
  <c r="F846" i="2"/>
  <c r="P846" i="2" s="1"/>
  <c r="E847" i="2"/>
  <c r="F847" i="2"/>
  <c r="P847" i="2" s="1"/>
  <c r="E848" i="2"/>
  <c r="F848" i="2"/>
  <c r="P848" i="2" s="1"/>
  <c r="E849" i="2"/>
  <c r="F849" i="2"/>
  <c r="P849" i="2" s="1"/>
  <c r="E850" i="2"/>
  <c r="F850" i="2"/>
  <c r="P850" i="2" s="1"/>
  <c r="E851" i="2"/>
  <c r="F851" i="2"/>
  <c r="P851" i="2" s="1"/>
  <c r="E852" i="2"/>
  <c r="F852" i="2"/>
  <c r="P852" i="2" s="1"/>
  <c r="E853" i="2"/>
  <c r="F853" i="2"/>
  <c r="P853" i="2" s="1"/>
  <c r="E854" i="2"/>
  <c r="F854" i="2"/>
  <c r="P854" i="2" s="1"/>
  <c r="E855" i="2"/>
  <c r="F855" i="2"/>
  <c r="P855" i="2" s="1"/>
  <c r="E856" i="2"/>
  <c r="F856" i="2"/>
  <c r="P856" i="2" s="1"/>
  <c r="E857" i="2"/>
  <c r="F857" i="2"/>
  <c r="P857" i="2" s="1"/>
  <c r="E858" i="2"/>
  <c r="F858" i="2"/>
  <c r="P858" i="2" s="1"/>
  <c r="E859" i="2"/>
  <c r="F859" i="2"/>
  <c r="P859" i="2" s="1"/>
  <c r="E860" i="2"/>
  <c r="F860" i="2"/>
  <c r="P860" i="2" s="1"/>
  <c r="E861" i="2"/>
  <c r="F861" i="2"/>
  <c r="P861" i="2" s="1"/>
  <c r="E862" i="2"/>
  <c r="F862" i="2"/>
  <c r="P862" i="2" s="1"/>
  <c r="E863" i="2"/>
  <c r="F863" i="2"/>
  <c r="P863" i="2" s="1"/>
  <c r="E864" i="2"/>
  <c r="F864" i="2"/>
  <c r="P864" i="2" s="1"/>
  <c r="E865" i="2"/>
  <c r="F865" i="2"/>
  <c r="P865" i="2" s="1"/>
  <c r="E866" i="2"/>
  <c r="N866" i="2" s="1"/>
  <c r="F866" i="2"/>
  <c r="P866" i="2" s="1"/>
  <c r="E867" i="2"/>
  <c r="F867" i="2"/>
  <c r="P867" i="2" s="1"/>
  <c r="E868" i="2"/>
  <c r="F868" i="2"/>
  <c r="P868" i="2" s="1"/>
  <c r="E869" i="2"/>
  <c r="F869" i="2"/>
  <c r="P869" i="2" s="1"/>
  <c r="E870" i="2"/>
  <c r="F870" i="2"/>
  <c r="P870" i="2" s="1"/>
  <c r="E871" i="2"/>
  <c r="F871" i="2"/>
  <c r="P871" i="2" s="1"/>
  <c r="E872" i="2"/>
  <c r="F872" i="2"/>
  <c r="P872" i="2" s="1"/>
  <c r="E873" i="2"/>
  <c r="F873" i="2"/>
  <c r="P873" i="2" s="1"/>
  <c r="E874" i="2"/>
  <c r="F874" i="2"/>
  <c r="P874" i="2" s="1"/>
  <c r="E875" i="2"/>
  <c r="F875" i="2"/>
  <c r="P875" i="2" s="1"/>
  <c r="E876" i="2"/>
  <c r="F876" i="2"/>
  <c r="P876" i="2" s="1"/>
  <c r="E877" i="2"/>
  <c r="F877" i="2"/>
  <c r="P877" i="2" s="1"/>
  <c r="E878" i="2"/>
  <c r="F878" i="2"/>
  <c r="P878" i="2" s="1"/>
  <c r="E879" i="2"/>
  <c r="F879" i="2"/>
  <c r="P879" i="2" s="1"/>
  <c r="E880" i="2"/>
  <c r="F880" i="2"/>
  <c r="P880" i="2" s="1"/>
  <c r="E881" i="2"/>
  <c r="N881" i="2" s="1"/>
  <c r="F881" i="2"/>
  <c r="P881" i="2" s="1"/>
  <c r="E882" i="2"/>
  <c r="F882" i="2"/>
  <c r="P882" i="2" s="1"/>
  <c r="E883" i="2"/>
  <c r="F883" i="2"/>
  <c r="P883" i="2" s="1"/>
  <c r="E884" i="2"/>
  <c r="F884" i="2"/>
  <c r="P884" i="2" s="1"/>
  <c r="E885" i="2"/>
  <c r="F885" i="2"/>
  <c r="P885" i="2" s="1"/>
  <c r="E886" i="2"/>
  <c r="F886" i="2"/>
  <c r="P886" i="2" s="1"/>
  <c r="E887" i="2"/>
  <c r="F887" i="2"/>
  <c r="P887" i="2" s="1"/>
  <c r="E888" i="2"/>
  <c r="F888" i="2"/>
  <c r="P888" i="2" s="1"/>
  <c r="E889" i="2"/>
  <c r="F889" i="2"/>
  <c r="P889" i="2" s="1"/>
  <c r="E890" i="2"/>
  <c r="F890" i="2"/>
  <c r="P890" i="2" s="1"/>
  <c r="E891" i="2"/>
  <c r="F891" i="2"/>
  <c r="P891" i="2" s="1"/>
  <c r="E892" i="2"/>
  <c r="F892" i="2"/>
  <c r="P892" i="2" s="1"/>
  <c r="E893" i="2"/>
  <c r="F893" i="2"/>
  <c r="P893" i="2" s="1"/>
  <c r="E894" i="2"/>
  <c r="F894" i="2"/>
  <c r="P894" i="2" s="1"/>
  <c r="E895" i="2"/>
  <c r="F895" i="2"/>
  <c r="P895" i="2" s="1"/>
  <c r="E896" i="2"/>
  <c r="F896" i="2"/>
  <c r="P896" i="2" s="1"/>
  <c r="E897" i="2"/>
  <c r="F897" i="2"/>
  <c r="P897" i="2" s="1"/>
  <c r="E898" i="2"/>
  <c r="F898" i="2"/>
  <c r="P898" i="2" s="1"/>
  <c r="E899" i="2"/>
  <c r="F899" i="2"/>
  <c r="P899" i="2" s="1"/>
  <c r="E900" i="2"/>
  <c r="F900" i="2"/>
  <c r="P900" i="2" s="1"/>
  <c r="E901" i="2"/>
  <c r="F901" i="2"/>
  <c r="P901" i="2" s="1"/>
  <c r="E902" i="2"/>
  <c r="F902" i="2"/>
  <c r="P902" i="2" s="1"/>
  <c r="E903" i="2"/>
  <c r="N903" i="2" s="1"/>
  <c r="F903" i="2"/>
  <c r="P903" i="2" s="1"/>
  <c r="E904" i="2"/>
  <c r="F904" i="2"/>
  <c r="P904" i="2" s="1"/>
  <c r="E905" i="2"/>
  <c r="F905" i="2"/>
  <c r="P905" i="2" s="1"/>
  <c r="E906" i="2"/>
  <c r="F906" i="2"/>
  <c r="P906" i="2" s="1"/>
  <c r="E907" i="2"/>
  <c r="F907" i="2"/>
  <c r="P907" i="2" s="1"/>
  <c r="E908" i="2"/>
  <c r="N908" i="2" s="1"/>
  <c r="F908" i="2"/>
  <c r="P908" i="2" s="1"/>
  <c r="E909" i="2"/>
  <c r="F909" i="2"/>
  <c r="P909" i="2" s="1"/>
  <c r="E910" i="2"/>
  <c r="F910" i="2"/>
  <c r="P910" i="2" s="1"/>
  <c r="E911" i="2"/>
  <c r="F911" i="2"/>
  <c r="P911" i="2" s="1"/>
  <c r="E912" i="2"/>
  <c r="F912" i="2"/>
  <c r="P912" i="2" s="1"/>
  <c r="E913" i="2"/>
  <c r="F913" i="2"/>
  <c r="P913" i="2" s="1"/>
  <c r="E914" i="2"/>
  <c r="F914" i="2"/>
  <c r="P914" i="2" s="1"/>
  <c r="E915" i="2"/>
  <c r="F915" i="2"/>
  <c r="P915" i="2" s="1"/>
  <c r="E916" i="2"/>
  <c r="F916" i="2"/>
  <c r="P916" i="2" s="1"/>
  <c r="E917" i="2"/>
  <c r="F917" i="2"/>
  <c r="P917" i="2" s="1"/>
  <c r="E918" i="2"/>
  <c r="F918" i="2"/>
  <c r="P918" i="2" s="1"/>
  <c r="E919" i="2"/>
  <c r="F919" i="2"/>
  <c r="P919" i="2" s="1"/>
  <c r="E920" i="2"/>
  <c r="F920" i="2"/>
  <c r="P920" i="2" s="1"/>
  <c r="E921" i="2"/>
  <c r="F921" i="2"/>
  <c r="P921" i="2" s="1"/>
  <c r="E922" i="2"/>
  <c r="N922" i="2" s="1"/>
  <c r="F922" i="2"/>
  <c r="P922" i="2" s="1"/>
  <c r="E923" i="2"/>
  <c r="F923" i="2"/>
  <c r="P923" i="2" s="1"/>
  <c r="E924" i="2"/>
  <c r="F924" i="2"/>
  <c r="P924" i="2" s="1"/>
  <c r="E925" i="2"/>
  <c r="F925" i="2"/>
  <c r="P925" i="2" s="1"/>
  <c r="E2" i="2"/>
  <c r="N2" i="2" s="1"/>
  <c r="D3" i="2"/>
  <c r="D4" i="2"/>
  <c r="D5" i="2"/>
  <c r="D6" i="2"/>
  <c r="D7" i="2"/>
  <c r="D8" i="2"/>
  <c r="D9" i="2"/>
  <c r="D10" i="2"/>
  <c r="D11" i="2"/>
  <c r="D12" i="2"/>
  <c r="D13" i="2"/>
  <c r="D14" i="2"/>
  <c r="D15" i="2"/>
  <c r="D16" i="2"/>
  <c r="D17" i="2"/>
  <c r="D18" i="2"/>
  <c r="D19" i="2"/>
  <c r="D20" i="2"/>
  <c r="D21" i="2"/>
  <c r="J21" i="2" s="1"/>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AB43" i="2"/>
  <c r="Y16" i="2"/>
  <c r="AB44" i="2"/>
  <c r="G834" i="2" l="1"/>
  <c r="K834" i="2" s="1"/>
  <c r="G38" i="2"/>
  <c r="K38" i="2" s="1"/>
  <c r="G258" i="2"/>
  <c r="K258" i="2" s="1"/>
  <c r="G390" i="2"/>
  <c r="K390" i="2" s="1"/>
  <c r="G643" i="2"/>
  <c r="K643" i="2" s="1"/>
  <c r="G750" i="2"/>
  <c r="K750" i="2" s="1"/>
  <c r="G266" i="2"/>
  <c r="K266" i="2" s="1"/>
  <c r="G861" i="2"/>
  <c r="K861" i="2" s="1"/>
  <c r="G618" i="2"/>
  <c r="K618" i="2" s="1"/>
  <c r="G619" i="2"/>
  <c r="K619" i="2" s="1"/>
  <c r="G847" i="2"/>
  <c r="K847" i="2" s="1"/>
  <c r="G523" i="2"/>
  <c r="K523" i="2" s="1"/>
  <c r="G26" i="2"/>
  <c r="K26" i="2" s="1"/>
  <c r="G811" i="2"/>
  <c r="K811" i="2" s="1"/>
  <c r="G6" i="2"/>
  <c r="K6" i="2" s="1"/>
  <c r="G434" i="2"/>
  <c r="K434" i="2" s="1"/>
  <c r="G771" i="2"/>
  <c r="K771" i="2" s="1"/>
  <c r="G403" i="2"/>
  <c r="K403" i="2" s="1"/>
  <c r="G722" i="2"/>
  <c r="K722" i="2" s="1"/>
  <c r="G366" i="2"/>
  <c r="K366" i="2" s="1"/>
  <c r="G702" i="2"/>
  <c r="K702" i="2" s="1"/>
  <c r="G306" i="2"/>
  <c r="K306" i="2" s="1"/>
  <c r="G686" i="2"/>
  <c r="K686" i="2" s="1"/>
  <c r="G302" i="2"/>
  <c r="K302" i="2" s="1"/>
  <c r="G762" i="2"/>
  <c r="K762" i="2" s="1"/>
  <c r="G594" i="2"/>
  <c r="K594" i="2" s="1"/>
  <c r="G367" i="2"/>
  <c r="K367" i="2" s="1"/>
  <c r="G186" i="2"/>
  <c r="K186" i="2" s="1"/>
  <c r="G902" i="2"/>
  <c r="K902" i="2" s="1"/>
  <c r="G740" i="2"/>
  <c r="K740" i="2" s="1"/>
  <c r="G571" i="2"/>
  <c r="K571" i="2" s="1"/>
  <c r="G350" i="2"/>
  <c r="K350" i="2" s="1"/>
  <c r="G126" i="2"/>
  <c r="K126" i="2" s="1"/>
  <c r="G282" i="2"/>
  <c r="K282" i="2" s="1"/>
  <c r="G18" i="2"/>
  <c r="K18" i="2" s="1"/>
  <c r="G14" i="2"/>
  <c r="K14" i="2" s="1"/>
  <c r="G631" i="2"/>
  <c r="K631" i="2" s="1"/>
  <c r="G230" i="2"/>
  <c r="K230" i="2" s="1"/>
  <c r="G894" i="2"/>
  <c r="K894" i="2" s="1"/>
  <c r="G739" i="2"/>
  <c r="K739" i="2" s="1"/>
  <c r="G570" i="2"/>
  <c r="K570" i="2" s="1"/>
  <c r="G338" i="2"/>
  <c r="K338" i="2" s="1"/>
  <c r="G98" i="2"/>
  <c r="K98" i="2" s="1"/>
  <c r="G475" i="2"/>
  <c r="K475" i="2" s="1"/>
  <c r="G794" i="2"/>
  <c r="K794" i="2" s="1"/>
  <c r="G198" i="2"/>
  <c r="K198" i="2" s="1"/>
  <c r="G906" i="2"/>
  <c r="K906" i="2" s="1"/>
  <c r="G590" i="2"/>
  <c r="K590" i="2" s="1"/>
  <c r="G134" i="2"/>
  <c r="K134" i="2" s="1"/>
  <c r="G871" i="2"/>
  <c r="K871" i="2" s="1"/>
  <c r="G733" i="2"/>
  <c r="K733" i="2" s="1"/>
  <c r="G542" i="2"/>
  <c r="K542" i="2" s="1"/>
  <c r="G331" i="2"/>
  <c r="K331" i="2" s="1"/>
  <c r="G78" i="2"/>
  <c r="K78" i="2" s="1"/>
  <c r="G842" i="2"/>
  <c r="K842" i="2" s="1"/>
  <c r="G770" i="2"/>
  <c r="K770" i="2" s="1"/>
  <c r="G698" i="2"/>
  <c r="K698" i="2" s="1"/>
  <c r="G642" i="2"/>
  <c r="K642" i="2" s="1"/>
  <c r="G541" i="2"/>
  <c r="K541" i="2" s="1"/>
  <c r="G486" i="2"/>
  <c r="K486" i="2" s="1"/>
  <c r="G218" i="2"/>
  <c r="K218" i="2" s="1"/>
  <c r="G878" i="2"/>
  <c r="K878" i="2" s="1"/>
  <c r="G901" i="2"/>
  <c r="K901" i="2" s="1"/>
  <c r="G837" i="2"/>
  <c r="K837" i="2" s="1"/>
  <c r="G806" i="2"/>
  <c r="K806" i="2" s="1"/>
  <c r="G769" i="2"/>
  <c r="K769" i="2" s="1"/>
  <c r="G738" i="2"/>
  <c r="K738" i="2" s="1"/>
  <c r="G691" i="2"/>
  <c r="K691" i="2" s="1"/>
  <c r="G638" i="2"/>
  <c r="K638" i="2" s="1"/>
  <c r="G535" i="2"/>
  <c r="K535" i="2" s="1"/>
  <c r="G482" i="2"/>
  <c r="K482" i="2" s="1"/>
  <c r="G415" i="2"/>
  <c r="K415" i="2" s="1"/>
  <c r="G355" i="2"/>
  <c r="K355" i="2" s="1"/>
  <c r="G294" i="2"/>
  <c r="K294" i="2" s="1"/>
  <c r="G210" i="2"/>
  <c r="K210" i="2" s="1"/>
  <c r="G114" i="2"/>
  <c r="K114" i="2" s="1"/>
  <c r="G895" i="2"/>
  <c r="K895" i="2" s="1"/>
  <c r="G863" i="2"/>
  <c r="K863" i="2" s="1"/>
  <c r="G803" i="2"/>
  <c r="K803" i="2" s="1"/>
  <c r="G734" i="2"/>
  <c r="K734" i="2" s="1"/>
  <c r="G690" i="2"/>
  <c r="K690" i="2" s="1"/>
  <c r="G637" i="2"/>
  <c r="K637" i="2" s="1"/>
  <c r="G582" i="2"/>
  <c r="K582" i="2" s="1"/>
  <c r="G530" i="2"/>
  <c r="K530" i="2" s="1"/>
  <c r="G481" i="2"/>
  <c r="K481" i="2" s="1"/>
  <c r="G290" i="2"/>
  <c r="K290" i="2" s="1"/>
  <c r="G206" i="2"/>
  <c r="K206" i="2" s="1"/>
  <c r="G110" i="2"/>
  <c r="K110" i="2" s="1"/>
  <c r="G921" i="2"/>
  <c r="K921" i="2" s="1"/>
  <c r="G799" i="2"/>
  <c r="K799" i="2" s="1"/>
  <c r="G578" i="2"/>
  <c r="K578" i="2" s="1"/>
  <c r="G919" i="2"/>
  <c r="K919" i="2" s="1"/>
  <c r="G891" i="2"/>
  <c r="K891" i="2" s="1"/>
  <c r="G859" i="2"/>
  <c r="K859" i="2" s="1"/>
  <c r="G831" i="2"/>
  <c r="K831" i="2" s="1"/>
  <c r="G798" i="2"/>
  <c r="K798" i="2" s="1"/>
  <c r="G758" i="2"/>
  <c r="K758" i="2" s="1"/>
  <c r="G727" i="2"/>
  <c r="K727" i="2" s="1"/>
  <c r="G679" i="2"/>
  <c r="K679" i="2" s="1"/>
  <c r="G626" i="2"/>
  <c r="K626" i="2" s="1"/>
  <c r="G577" i="2"/>
  <c r="K577" i="2" s="1"/>
  <c r="G522" i="2"/>
  <c r="K522" i="2" s="1"/>
  <c r="G474" i="2"/>
  <c r="K474" i="2" s="1"/>
  <c r="G402" i="2"/>
  <c r="K402" i="2" s="1"/>
  <c r="G343" i="2"/>
  <c r="K343" i="2" s="1"/>
  <c r="G270" i="2"/>
  <c r="K270" i="2" s="1"/>
  <c r="G194" i="2"/>
  <c r="K194" i="2" s="1"/>
  <c r="G90" i="2"/>
  <c r="K90" i="2" s="1"/>
  <c r="G918" i="2"/>
  <c r="K918" i="2" s="1"/>
  <c r="G858" i="2"/>
  <c r="K858" i="2" s="1"/>
  <c r="G751" i="2"/>
  <c r="K751" i="2" s="1"/>
  <c r="G726" i="2"/>
  <c r="K726" i="2" s="1"/>
  <c r="G470" i="2"/>
  <c r="K470" i="2" s="1"/>
  <c r="G391" i="2"/>
  <c r="K391" i="2" s="1"/>
  <c r="G86" i="2"/>
  <c r="K86" i="2" s="1"/>
  <c r="G889" i="2"/>
  <c r="K889" i="2" s="1"/>
  <c r="G856" i="2"/>
  <c r="K856" i="2" s="1"/>
  <c r="G829" i="2"/>
  <c r="K829" i="2" s="1"/>
  <c r="G674" i="2"/>
  <c r="K674" i="2" s="1"/>
  <c r="G174" i="2"/>
  <c r="K174" i="2" s="1"/>
  <c r="G914" i="2"/>
  <c r="K914" i="2" s="1"/>
  <c r="G887" i="2"/>
  <c r="K887" i="2" s="1"/>
  <c r="G825" i="2"/>
  <c r="K825" i="2" s="1"/>
  <c r="G746" i="2"/>
  <c r="K746" i="2" s="1"/>
  <c r="G715" i="2"/>
  <c r="K715" i="2" s="1"/>
  <c r="G673" i="2"/>
  <c r="K673" i="2" s="1"/>
  <c r="G607" i="2"/>
  <c r="K607" i="2" s="1"/>
  <c r="G559" i="2"/>
  <c r="K559" i="2" s="1"/>
  <c r="G506" i="2"/>
  <c r="K506" i="2" s="1"/>
  <c r="G386" i="2"/>
  <c r="K386" i="2" s="1"/>
  <c r="G330" i="2"/>
  <c r="K330" i="2" s="1"/>
  <c r="G254" i="2"/>
  <c r="K254" i="2" s="1"/>
  <c r="G170" i="2"/>
  <c r="K170" i="2" s="1"/>
  <c r="G66" i="2"/>
  <c r="K66" i="2" s="1"/>
  <c r="G913" i="2"/>
  <c r="K913" i="2" s="1"/>
  <c r="G885" i="2"/>
  <c r="K885" i="2" s="1"/>
  <c r="G854" i="2"/>
  <c r="K854" i="2" s="1"/>
  <c r="G824" i="2"/>
  <c r="K824" i="2" s="1"/>
  <c r="G781" i="2"/>
  <c r="K781" i="2" s="1"/>
  <c r="G745" i="2"/>
  <c r="K745" i="2" s="1"/>
  <c r="G714" i="2"/>
  <c r="K714" i="2" s="1"/>
  <c r="G662" i="2"/>
  <c r="K662" i="2" s="1"/>
  <c r="G606" i="2"/>
  <c r="K606" i="2" s="1"/>
  <c r="G499" i="2"/>
  <c r="K499" i="2" s="1"/>
  <c r="G451" i="2"/>
  <c r="K451" i="2" s="1"/>
  <c r="G379" i="2"/>
  <c r="K379" i="2" s="1"/>
  <c r="G326" i="2"/>
  <c r="K326" i="2" s="1"/>
  <c r="G246" i="2"/>
  <c r="K246" i="2" s="1"/>
  <c r="G158" i="2"/>
  <c r="K158" i="2" s="1"/>
  <c r="G62" i="2"/>
  <c r="K62" i="2" s="1"/>
  <c r="G911" i="2"/>
  <c r="K911" i="2" s="1"/>
  <c r="G883" i="2"/>
  <c r="K883" i="2" s="1"/>
  <c r="G853" i="2"/>
  <c r="K853" i="2" s="1"/>
  <c r="G823" i="2"/>
  <c r="K823" i="2" s="1"/>
  <c r="G775" i="2"/>
  <c r="K775" i="2" s="1"/>
  <c r="G743" i="2"/>
  <c r="K743" i="2" s="1"/>
  <c r="G710" i="2"/>
  <c r="K710" i="2" s="1"/>
  <c r="G655" i="2"/>
  <c r="K655" i="2" s="1"/>
  <c r="G547" i="2"/>
  <c r="K547" i="2" s="1"/>
  <c r="G498" i="2"/>
  <c r="K498" i="2" s="1"/>
  <c r="G450" i="2"/>
  <c r="K450" i="2" s="1"/>
  <c r="G378" i="2"/>
  <c r="K378" i="2" s="1"/>
  <c r="G319" i="2"/>
  <c r="K319" i="2" s="1"/>
  <c r="G242" i="2"/>
  <c r="K242" i="2" s="1"/>
  <c r="G146" i="2"/>
  <c r="K146" i="2" s="1"/>
  <c r="G54" i="2"/>
  <c r="K54" i="2" s="1"/>
  <c r="G907" i="2"/>
  <c r="K907" i="2" s="1"/>
  <c r="G882" i="2"/>
  <c r="K882" i="2" s="1"/>
  <c r="G849" i="2"/>
  <c r="K849" i="2" s="1"/>
  <c r="G774" i="2"/>
  <c r="K774" i="2" s="1"/>
  <c r="G741" i="2"/>
  <c r="K741" i="2" s="1"/>
  <c r="G703" i="2"/>
  <c r="K703" i="2" s="1"/>
  <c r="G654" i="2"/>
  <c r="K654" i="2" s="1"/>
  <c r="G546" i="2"/>
  <c r="K546" i="2" s="1"/>
  <c r="G494" i="2"/>
  <c r="K494" i="2" s="1"/>
  <c r="G446" i="2"/>
  <c r="K446" i="2" s="1"/>
  <c r="G374" i="2"/>
  <c r="K374" i="2" s="1"/>
  <c r="G318" i="2"/>
  <c r="K318" i="2" s="1"/>
  <c r="G234" i="2"/>
  <c r="K234" i="2" s="1"/>
  <c r="G138" i="2"/>
  <c r="K138" i="2" s="1"/>
  <c r="G50" i="2"/>
  <c r="K50" i="2" s="1"/>
  <c r="G307" i="2"/>
  <c r="K307" i="2" s="1"/>
  <c r="G295" i="2"/>
  <c r="K295" i="2" s="1"/>
  <c r="G283" i="2"/>
  <c r="K283" i="2" s="1"/>
  <c r="G271" i="2"/>
  <c r="K271" i="2" s="1"/>
  <c r="G259" i="2"/>
  <c r="K259" i="2" s="1"/>
  <c r="G247" i="2"/>
  <c r="K247" i="2" s="1"/>
  <c r="G235" i="2"/>
  <c r="K235" i="2" s="1"/>
  <c r="G223" i="2"/>
  <c r="K223" i="2" s="1"/>
  <c r="G211" i="2"/>
  <c r="K211" i="2" s="1"/>
  <c r="G187" i="2"/>
  <c r="K187" i="2" s="1"/>
  <c r="G175" i="2"/>
  <c r="K175" i="2" s="1"/>
  <c r="G163" i="2"/>
  <c r="K163" i="2" s="1"/>
  <c r="G151" i="2"/>
  <c r="K151" i="2" s="1"/>
  <c r="G139" i="2"/>
  <c r="K139" i="2" s="1"/>
  <c r="G127" i="2"/>
  <c r="K127" i="2" s="1"/>
  <c r="G103" i="2"/>
  <c r="K103" i="2" s="1"/>
  <c r="G91" i="2"/>
  <c r="K91" i="2" s="1"/>
  <c r="G79" i="2"/>
  <c r="K79" i="2" s="1"/>
  <c r="G67" i="2"/>
  <c r="K67" i="2" s="1"/>
  <c r="G55" i="2"/>
  <c r="K55" i="2" s="1"/>
  <c r="G43" i="2"/>
  <c r="K43" i="2" s="1"/>
  <c r="G31" i="2"/>
  <c r="K31" i="2" s="1"/>
  <c r="G19" i="2"/>
  <c r="K19" i="2" s="1"/>
  <c r="G7" i="2"/>
  <c r="K7" i="2" s="1"/>
  <c r="G786" i="2"/>
  <c r="K786" i="2" s="1"/>
  <c r="G426" i="2"/>
  <c r="K426" i="2" s="1"/>
  <c r="G342" i="2"/>
  <c r="K342" i="2" s="1"/>
  <c r="G222" i="2"/>
  <c r="K222" i="2" s="1"/>
  <c r="G162" i="2"/>
  <c r="K162" i="2" s="1"/>
  <c r="G150" i="2"/>
  <c r="K150" i="2" s="1"/>
  <c r="G30" i="2"/>
  <c r="K30" i="2" s="1"/>
  <c r="G666" i="2"/>
  <c r="K666" i="2" s="1"/>
  <c r="G905" i="2"/>
  <c r="K905" i="2" s="1"/>
  <c r="G893" i="2"/>
  <c r="K893" i="2" s="1"/>
  <c r="G869" i="2"/>
  <c r="K869" i="2" s="1"/>
  <c r="G857" i="2"/>
  <c r="K857" i="2" s="1"/>
  <c r="G845" i="2"/>
  <c r="K845" i="2" s="1"/>
  <c r="G833" i="2"/>
  <c r="K833" i="2" s="1"/>
  <c r="G785" i="2"/>
  <c r="K785" i="2" s="1"/>
  <c r="G773" i="2"/>
  <c r="K773" i="2" s="1"/>
  <c r="G749" i="2"/>
  <c r="K749" i="2" s="1"/>
  <c r="G713" i="2"/>
  <c r="K713" i="2" s="1"/>
  <c r="G701" i="2"/>
  <c r="K701" i="2" s="1"/>
  <c r="G689" i="2"/>
  <c r="K689" i="2" s="1"/>
  <c r="G677" i="2"/>
  <c r="K677" i="2" s="1"/>
  <c r="G665" i="2"/>
  <c r="K665" i="2" s="1"/>
  <c r="G653" i="2"/>
  <c r="K653" i="2" s="1"/>
  <c r="G641" i="2"/>
  <c r="K641" i="2" s="1"/>
  <c r="G629" i="2"/>
  <c r="K629" i="2" s="1"/>
  <c r="G617" i="2"/>
  <c r="K617" i="2" s="1"/>
  <c r="G605" i="2"/>
  <c r="K605" i="2" s="1"/>
  <c r="G593" i="2"/>
  <c r="K593" i="2" s="1"/>
  <c r="G569" i="2"/>
  <c r="K569" i="2" s="1"/>
  <c r="G557" i="2"/>
  <c r="K557" i="2" s="1"/>
  <c r="G545" i="2"/>
  <c r="K545" i="2" s="1"/>
  <c r="G533" i="2"/>
  <c r="K533" i="2" s="1"/>
  <c r="G521" i="2"/>
  <c r="K521" i="2" s="1"/>
  <c r="G497" i="2"/>
  <c r="K497" i="2" s="1"/>
  <c r="G473" i="2"/>
  <c r="K473" i="2" s="1"/>
  <c r="G461" i="2"/>
  <c r="K461" i="2" s="1"/>
  <c r="G449" i="2"/>
  <c r="K449" i="2" s="1"/>
  <c r="G425" i="2"/>
  <c r="K425" i="2" s="1"/>
  <c r="G413" i="2"/>
  <c r="K413" i="2" s="1"/>
  <c r="G401" i="2"/>
  <c r="K401" i="2" s="1"/>
  <c r="G389" i="2"/>
  <c r="K389" i="2" s="1"/>
  <c r="G377" i="2"/>
  <c r="K377" i="2" s="1"/>
  <c r="G365" i="2"/>
  <c r="K365" i="2" s="1"/>
  <c r="G353" i="2"/>
  <c r="K353" i="2" s="1"/>
  <c r="G341" i="2"/>
  <c r="K341" i="2" s="1"/>
  <c r="G329" i="2"/>
  <c r="K329" i="2" s="1"/>
  <c r="G317" i="2"/>
  <c r="K317" i="2" s="1"/>
  <c r="G305" i="2"/>
  <c r="K305" i="2" s="1"/>
  <c r="G281" i="2"/>
  <c r="K281" i="2" s="1"/>
  <c r="G269" i="2"/>
  <c r="K269" i="2" s="1"/>
  <c r="G233" i="2"/>
  <c r="K233" i="2" s="1"/>
  <c r="G221" i="2"/>
  <c r="K221" i="2" s="1"/>
  <c r="G209" i="2"/>
  <c r="K209" i="2" s="1"/>
  <c r="G197" i="2"/>
  <c r="K197" i="2" s="1"/>
  <c r="G185" i="2"/>
  <c r="K185" i="2" s="1"/>
  <c r="G173" i="2"/>
  <c r="K173" i="2" s="1"/>
  <c r="G161" i="2"/>
  <c r="K161" i="2" s="1"/>
  <c r="G149" i="2"/>
  <c r="K149" i="2" s="1"/>
  <c r="G137" i="2"/>
  <c r="K137" i="2" s="1"/>
  <c r="G125" i="2"/>
  <c r="K125" i="2" s="1"/>
  <c r="G113" i="2"/>
  <c r="K113" i="2" s="1"/>
  <c r="G101" i="2"/>
  <c r="K101" i="2" s="1"/>
  <c r="G89" i="2"/>
  <c r="K89" i="2" s="1"/>
  <c r="G77" i="2"/>
  <c r="K77" i="2" s="1"/>
  <c r="G65" i="2"/>
  <c r="K65" i="2" s="1"/>
  <c r="G53" i="2"/>
  <c r="K53" i="2" s="1"/>
  <c r="G41" i="2"/>
  <c r="K41" i="2" s="1"/>
  <c r="G29" i="2"/>
  <c r="K29" i="2" s="1"/>
  <c r="G17" i="2"/>
  <c r="K17" i="2" s="1"/>
  <c r="G5" i="2"/>
  <c r="K5" i="2" s="1"/>
  <c r="G787" i="2"/>
  <c r="K787" i="2" s="1"/>
  <c r="G667" i="2"/>
  <c r="K667" i="2" s="1"/>
  <c r="G427" i="2"/>
  <c r="K427" i="2" s="1"/>
  <c r="G462" i="2"/>
  <c r="K462" i="2" s="1"/>
  <c r="G916" i="2"/>
  <c r="K916" i="2" s="1"/>
  <c r="G880" i="2"/>
  <c r="K880" i="2" s="1"/>
  <c r="G868" i="2"/>
  <c r="K868" i="2" s="1"/>
  <c r="G844" i="2"/>
  <c r="K844" i="2" s="1"/>
  <c r="G820" i="2"/>
  <c r="K820" i="2" s="1"/>
  <c r="G796" i="2"/>
  <c r="K796" i="2" s="1"/>
  <c r="G784" i="2"/>
  <c r="K784" i="2" s="1"/>
  <c r="G760" i="2"/>
  <c r="K760" i="2" s="1"/>
  <c r="G736" i="2"/>
  <c r="K736" i="2" s="1"/>
  <c r="G724" i="2"/>
  <c r="K724" i="2" s="1"/>
  <c r="G712" i="2"/>
  <c r="K712" i="2" s="1"/>
  <c r="G700" i="2"/>
  <c r="K700" i="2" s="1"/>
  <c r="G676" i="2"/>
  <c r="K676" i="2" s="1"/>
  <c r="G652" i="2"/>
  <c r="K652" i="2" s="1"/>
  <c r="G640" i="2"/>
  <c r="K640" i="2" s="1"/>
  <c r="G628" i="2"/>
  <c r="K628" i="2" s="1"/>
  <c r="G604" i="2"/>
  <c r="K604" i="2" s="1"/>
  <c r="G592" i="2"/>
  <c r="K592" i="2" s="1"/>
  <c r="G580" i="2"/>
  <c r="K580" i="2" s="1"/>
  <c r="G568" i="2"/>
  <c r="K568" i="2" s="1"/>
  <c r="G556" i="2"/>
  <c r="K556" i="2" s="1"/>
  <c r="G532" i="2"/>
  <c r="K532" i="2" s="1"/>
  <c r="G520" i="2"/>
  <c r="K520" i="2" s="1"/>
  <c r="G508" i="2"/>
  <c r="K508" i="2" s="1"/>
  <c r="G496" i="2"/>
  <c r="K496" i="2" s="1"/>
  <c r="G460" i="2"/>
  <c r="K460" i="2" s="1"/>
  <c r="G436" i="2"/>
  <c r="K436" i="2" s="1"/>
  <c r="G424" i="2"/>
  <c r="K424" i="2" s="1"/>
  <c r="G412" i="2"/>
  <c r="K412" i="2" s="1"/>
  <c r="G388" i="2"/>
  <c r="K388" i="2" s="1"/>
  <c r="G376" i="2"/>
  <c r="K376" i="2" s="1"/>
  <c r="G364" i="2"/>
  <c r="K364" i="2" s="1"/>
  <c r="G352" i="2"/>
  <c r="K352" i="2" s="1"/>
  <c r="G328" i="2"/>
  <c r="K328" i="2" s="1"/>
  <c r="G304" i="2"/>
  <c r="K304" i="2" s="1"/>
  <c r="G256" i="2"/>
  <c r="K256" i="2" s="1"/>
  <c r="G244" i="2"/>
  <c r="K244" i="2" s="1"/>
  <c r="G184" i="2"/>
  <c r="K184" i="2" s="1"/>
  <c r="G148" i="2"/>
  <c r="K148" i="2" s="1"/>
  <c r="G100" i="2"/>
  <c r="K100" i="2" s="1"/>
  <c r="G40" i="2"/>
  <c r="K40" i="2" s="1"/>
  <c r="G16" i="2"/>
  <c r="K16" i="2" s="1"/>
  <c r="G4" i="2"/>
  <c r="K4" i="2" s="1"/>
  <c r="G439" i="2"/>
  <c r="K439" i="2" s="1"/>
  <c r="G843" i="2"/>
  <c r="K843" i="2" s="1"/>
  <c r="G807" i="2"/>
  <c r="K807" i="2" s="1"/>
  <c r="G795" i="2"/>
  <c r="K795" i="2" s="1"/>
  <c r="G711" i="2"/>
  <c r="K711" i="2" s="1"/>
  <c r="G663" i="2"/>
  <c r="K663" i="2" s="1"/>
  <c r="G615" i="2"/>
  <c r="K615" i="2" s="1"/>
  <c r="G567" i="2"/>
  <c r="K567" i="2" s="1"/>
  <c r="G555" i="2"/>
  <c r="K555" i="2" s="1"/>
  <c r="G531" i="2"/>
  <c r="K531" i="2" s="1"/>
  <c r="G519" i="2"/>
  <c r="K519" i="2" s="1"/>
  <c r="G507" i="2"/>
  <c r="K507" i="2" s="1"/>
  <c r="G471" i="2"/>
  <c r="K471" i="2" s="1"/>
  <c r="G447" i="2"/>
  <c r="K447" i="2" s="1"/>
  <c r="G411" i="2"/>
  <c r="K411" i="2" s="1"/>
  <c r="G399" i="2"/>
  <c r="K399" i="2" s="1"/>
  <c r="G387" i="2"/>
  <c r="K387" i="2" s="1"/>
  <c r="G339" i="2"/>
  <c r="K339" i="2" s="1"/>
  <c r="G315" i="2"/>
  <c r="K315" i="2" s="1"/>
  <c r="G279" i="2"/>
  <c r="K279" i="2" s="1"/>
  <c r="G267" i="2"/>
  <c r="K267" i="2" s="1"/>
  <c r="G171" i="2"/>
  <c r="K171" i="2" s="1"/>
  <c r="G159" i="2"/>
  <c r="K159" i="2" s="1"/>
  <c r="G123" i="2"/>
  <c r="K123" i="2" s="1"/>
  <c r="G111" i="2"/>
  <c r="K111" i="2" s="1"/>
  <c r="G87" i="2"/>
  <c r="K87" i="2" s="1"/>
  <c r="G75" i="2"/>
  <c r="K75" i="2" s="1"/>
  <c r="G51" i="2"/>
  <c r="K51" i="2" s="1"/>
  <c r="G650" i="2"/>
  <c r="K650" i="2" s="1"/>
  <c r="G362" i="2"/>
  <c r="K362" i="2" s="1"/>
  <c r="G925" i="2"/>
  <c r="K925" i="2" s="1"/>
  <c r="G877" i="2"/>
  <c r="K877" i="2" s="1"/>
  <c r="G865" i="2"/>
  <c r="K865" i="2" s="1"/>
  <c r="G817" i="2"/>
  <c r="K817" i="2" s="1"/>
  <c r="G721" i="2"/>
  <c r="K721" i="2" s="1"/>
  <c r="G697" i="2"/>
  <c r="K697" i="2" s="1"/>
  <c r="G685" i="2"/>
  <c r="K685" i="2" s="1"/>
  <c r="G625" i="2"/>
  <c r="K625" i="2" s="1"/>
  <c r="G613" i="2"/>
  <c r="K613" i="2" s="1"/>
  <c r="G601" i="2"/>
  <c r="K601" i="2" s="1"/>
  <c r="G589" i="2"/>
  <c r="K589" i="2" s="1"/>
  <c r="G553" i="2"/>
  <c r="K553" i="2" s="1"/>
  <c r="G517" i="2"/>
  <c r="K517" i="2" s="1"/>
  <c r="G493" i="2"/>
  <c r="K493" i="2" s="1"/>
  <c r="G457" i="2"/>
  <c r="K457" i="2" s="1"/>
  <c r="G433" i="2"/>
  <c r="K433" i="2" s="1"/>
  <c r="G409" i="2"/>
  <c r="K409" i="2" s="1"/>
  <c r="G397" i="2"/>
  <c r="K397" i="2" s="1"/>
  <c r="G361" i="2"/>
  <c r="K361" i="2" s="1"/>
  <c r="G349" i="2"/>
  <c r="K349" i="2" s="1"/>
  <c r="G325" i="2"/>
  <c r="K325" i="2" s="1"/>
  <c r="G313" i="2"/>
  <c r="K313" i="2" s="1"/>
  <c r="G301" i="2"/>
  <c r="K301" i="2" s="1"/>
  <c r="G289" i="2"/>
  <c r="K289" i="2" s="1"/>
  <c r="G277" i="2"/>
  <c r="K277" i="2" s="1"/>
  <c r="G265" i="2"/>
  <c r="K265" i="2" s="1"/>
  <c r="G229" i="2"/>
  <c r="K229" i="2" s="1"/>
  <c r="G217" i="2"/>
  <c r="K217" i="2" s="1"/>
  <c r="G193" i="2"/>
  <c r="K193" i="2" s="1"/>
  <c r="G181" i="2"/>
  <c r="K181" i="2" s="1"/>
  <c r="G169" i="2"/>
  <c r="K169" i="2" s="1"/>
  <c r="G145" i="2"/>
  <c r="K145" i="2" s="1"/>
  <c r="G133" i="2"/>
  <c r="K133" i="2" s="1"/>
  <c r="G121" i="2"/>
  <c r="K121" i="2" s="1"/>
  <c r="G73" i="2"/>
  <c r="K73" i="2" s="1"/>
  <c r="G49" i="2"/>
  <c r="K49" i="2" s="1"/>
  <c r="G37" i="2"/>
  <c r="K37" i="2" s="1"/>
  <c r="G818" i="2"/>
  <c r="K818" i="2" s="1"/>
  <c r="G924" i="2"/>
  <c r="K924" i="2" s="1"/>
  <c r="G852" i="2"/>
  <c r="K852" i="2" s="1"/>
  <c r="G828" i="2"/>
  <c r="K828" i="2" s="1"/>
  <c r="G816" i="2"/>
  <c r="K816" i="2" s="1"/>
  <c r="G804" i="2"/>
  <c r="K804" i="2" s="1"/>
  <c r="G792" i="2"/>
  <c r="K792" i="2" s="1"/>
  <c r="G732" i="2"/>
  <c r="K732" i="2" s="1"/>
  <c r="G696" i="2"/>
  <c r="K696" i="2" s="1"/>
  <c r="G684" i="2"/>
  <c r="K684" i="2" s="1"/>
  <c r="G660" i="2"/>
  <c r="K660" i="2" s="1"/>
  <c r="G648" i="2"/>
  <c r="K648" i="2" s="1"/>
  <c r="G636" i="2"/>
  <c r="K636" i="2" s="1"/>
  <c r="G624" i="2"/>
  <c r="K624" i="2" s="1"/>
  <c r="G612" i="2"/>
  <c r="K612" i="2" s="1"/>
  <c r="G576" i="2"/>
  <c r="K576" i="2" s="1"/>
  <c r="G564" i="2"/>
  <c r="K564" i="2" s="1"/>
  <c r="G552" i="2"/>
  <c r="K552" i="2" s="1"/>
  <c r="G540" i="2"/>
  <c r="K540" i="2" s="1"/>
  <c r="G528" i="2"/>
  <c r="K528" i="2" s="1"/>
  <c r="G516" i="2"/>
  <c r="K516" i="2" s="1"/>
  <c r="G504" i="2"/>
  <c r="K504" i="2" s="1"/>
  <c r="G480" i="2"/>
  <c r="K480" i="2" s="1"/>
  <c r="G468" i="2"/>
  <c r="K468" i="2" s="1"/>
  <c r="G456" i="2"/>
  <c r="K456" i="2" s="1"/>
  <c r="G444" i="2"/>
  <c r="K444" i="2" s="1"/>
  <c r="G432" i="2"/>
  <c r="K432" i="2" s="1"/>
  <c r="G420" i="2"/>
  <c r="K420" i="2" s="1"/>
  <c r="G408" i="2"/>
  <c r="K408" i="2" s="1"/>
  <c r="G396" i="2"/>
  <c r="K396" i="2" s="1"/>
  <c r="G384" i="2"/>
  <c r="K384" i="2" s="1"/>
  <c r="G372" i="2"/>
  <c r="K372" i="2" s="1"/>
  <c r="G348" i="2"/>
  <c r="K348" i="2" s="1"/>
  <c r="G312" i="2"/>
  <c r="K312" i="2" s="1"/>
  <c r="G300" i="2"/>
  <c r="K300" i="2" s="1"/>
  <c r="G288" i="2"/>
  <c r="K288" i="2" s="1"/>
  <c r="G276" i="2"/>
  <c r="K276" i="2" s="1"/>
  <c r="G228" i="2"/>
  <c r="K228" i="2" s="1"/>
  <c r="G216" i="2"/>
  <c r="K216" i="2" s="1"/>
  <c r="G192" i="2"/>
  <c r="K192" i="2" s="1"/>
  <c r="G180" i="2"/>
  <c r="K180" i="2" s="1"/>
  <c r="G144" i="2"/>
  <c r="K144" i="2" s="1"/>
  <c r="G120" i="2"/>
  <c r="K120" i="2" s="1"/>
  <c r="G96" i="2"/>
  <c r="K96" i="2" s="1"/>
  <c r="G84" i="2"/>
  <c r="K84" i="2" s="1"/>
  <c r="G36" i="2"/>
  <c r="K36" i="2" s="1"/>
  <c r="G24" i="2"/>
  <c r="K24" i="2" s="1"/>
  <c r="G899" i="2"/>
  <c r="K899" i="2" s="1"/>
  <c r="G875" i="2"/>
  <c r="K875" i="2" s="1"/>
  <c r="G839" i="2"/>
  <c r="K839" i="2" s="1"/>
  <c r="G827" i="2"/>
  <c r="K827" i="2" s="1"/>
  <c r="G791" i="2"/>
  <c r="K791" i="2" s="1"/>
  <c r="G755" i="2"/>
  <c r="K755" i="2" s="1"/>
  <c r="G731" i="2"/>
  <c r="K731" i="2" s="1"/>
  <c r="G719" i="2"/>
  <c r="K719" i="2" s="1"/>
  <c r="G707" i="2"/>
  <c r="K707" i="2" s="1"/>
  <c r="G671" i="2"/>
  <c r="K671" i="2" s="1"/>
  <c r="G659" i="2"/>
  <c r="K659" i="2" s="1"/>
  <c r="G647" i="2"/>
  <c r="K647" i="2" s="1"/>
  <c r="G623" i="2"/>
  <c r="K623" i="2" s="1"/>
  <c r="G611" i="2"/>
  <c r="K611" i="2" s="1"/>
  <c r="G587" i="2"/>
  <c r="K587" i="2" s="1"/>
  <c r="G575" i="2"/>
  <c r="K575" i="2" s="1"/>
  <c r="G563" i="2"/>
  <c r="K563" i="2" s="1"/>
  <c r="G539" i="2"/>
  <c r="K539" i="2" s="1"/>
  <c r="G515" i="2"/>
  <c r="K515" i="2" s="1"/>
  <c r="G491" i="2"/>
  <c r="K491" i="2" s="1"/>
  <c r="G479" i="2"/>
  <c r="K479" i="2" s="1"/>
  <c r="G467" i="2"/>
  <c r="K467" i="2" s="1"/>
  <c r="G431" i="2"/>
  <c r="K431" i="2" s="1"/>
  <c r="G419" i="2"/>
  <c r="K419" i="2" s="1"/>
  <c r="G407" i="2"/>
  <c r="K407" i="2" s="1"/>
  <c r="G395" i="2"/>
  <c r="K395" i="2" s="1"/>
  <c r="G335" i="2"/>
  <c r="K335" i="2" s="1"/>
  <c r="G323" i="2"/>
  <c r="K323" i="2" s="1"/>
  <c r="G275" i="2"/>
  <c r="K275" i="2" s="1"/>
  <c r="G239" i="2"/>
  <c r="K239" i="2" s="1"/>
  <c r="G203" i="2"/>
  <c r="K203" i="2" s="1"/>
  <c r="G167" i="2"/>
  <c r="K167" i="2" s="1"/>
  <c r="G107" i="2"/>
  <c r="K107" i="2" s="1"/>
  <c r="G71" i="2"/>
  <c r="K71" i="2" s="1"/>
  <c r="G59" i="2"/>
  <c r="K59" i="2" s="1"/>
  <c r="G47" i="2"/>
  <c r="K47" i="2" s="1"/>
  <c r="G23" i="2"/>
  <c r="K23" i="2" s="1"/>
  <c r="G11" i="2"/>
  <c r="K11" i="2" s="1"/>
  <c r="G910" i="2"/>
  <c r="K910" i="2" s="1"/>
  <c r="G898" i="2"/>
  <c r="K898" i="2" s="1"/>
  <c r="G874" i="2"/>
  <c r="K874" i="2" s="1"/>
  <c r="G850" i="2"/>
  <c r="K850" i="2" s="1"/>
  <c r="G814" i="2"/>
  <c r="K814" i="2" s="1"/>
  <c r="G790" i="2"/>
  <c r="K790" i="2" s="1"/>
  <c r="G778" i="2"/>
  <c r="K778" i="2" s="1"/>
  <c r="G718" i="2"/>
  <c r="K718" i="2" s="1"/>
  <c r="G706" i="2"/>
  <c r="K706" i="2" s="1"/>
  <c r="G694" i="2"/>
  <c r="K694" i="2" s="1"/>
  <c r="G682" i="2"/>
  <c r="K682" i="2" s="1"/>
  <c r="G634" i="2"/>
  <c r="K634" i="2" s="1"/>
  <c r="G586" i="2"/>
  <c r="K586" i="2" s="1"/>
  <c r="G550" i="2"/>
  <c r="K550" i="2" s="1"/>
  <c r="G538" i="2"/>
  <c r="K538" i="2" s="1"/>
  <c r="G526" i="2"/>
  <c r="K526" i="2" s="1"/>
  <c r="G502" i="2"/>
  <c r="K502" i="2" s="1"/>
  <c r="G490" i="2"/>
  <c r="K490" i="2" s="1"/>
  <c r="G478" i="2"/>
  <c r="K478" i="2" s="1"/>
  <c r="G454" i="2"/>
  <c r="K454" i="2" s="1"/>
  <c r="G442" i="2"/>
  <c r="K442" i="2" s="1"/>
  <c r="G394" i="2"/>
  <c r="K394" i="2" s="1"/>
  <c r="G382" i="2"/>
  <c r="K382" i="2" s="1"/>
  <c r="G370" i="2"/>
  <c r="K370" i="2" s="1"/>
  <c r="G334" i="2"/>
  <c r="K334" i="2" s="1"/>
  <c r="G322" i="2"/>
  <c r="K322" i="2" s="1"/>
  <c r="G310" i="2"/>
  <c r="K310" i="2" s="1"/>
  <c r="G298" i="2"/>
  <c r="K298" i="2" s="1"/>
  <c r="G286" i="2"/>
  <c r="K286" i="2" s="1"/>
  <c r="G262" i="2"/>
  <c r="K262" i="2" s="1"/>
  <c r="G238" i="2"/>
  <c r="K238" i="2" s="1"/>
  <c r="G214" i="2"/>
  <c r="K214" i="2" s="1"/>
  <c r="G202" i="2"/>
  <c r="K202" i="2" s="1"/>
  <c r="G190" i="2"/>
  <c r="K190" i="2" s="1"/>
  <c r="G178" i="2"/>
  <c r="K178" i="2" s="1"/>
  <c r="G166" i="2"/>
  <c r="K166" i="2" s="1"/>
  <c r="G154" i="2"/>
  <c r="K154" i="2" s="1"/>
  <c r="G130" i="2"/>
  <c r="K130" i="2" s="1"/>
  <c r="G118" i="2"/>
  <c r="K118" i="2" s="1"/>
  <c r="G106" i="2"/>
  <c r="K106" i="2" s="1"/>
  <c r="G82" i="2"/>
  <c r="K82" i="2" s="1"/>
  <c r="G70" i="2"/>
  <c r="K70" i="2" s="1"/>
  <c r="G46" i="2"/>
  <c r="K46" i="2" s="1"/>
  <c r="G34" i="2"/>
  <c r="K34" i="2" s="1"/>
  <c r="G22" i="2"/>
  <c r="K22" i="2" s="1"/>
  <c r="G897" i="2"/>
  <c r="K897" i="2" s="1"/>
  <c r="G873" i="2"/>
  <c r="K873" i="2" s="1"/>
  <c r="G801" i="2"/>
  <c r="K801" i="2" s="1"/>
  <c r="G777" i="2"/>
  <c r="K777" i="2" s="1"/>
  <c r="G765" i="2"/>
  <c r="K765" i="2" s="1"/>
  <c r="G753" i="2"/>
  <c r="K753" i="2" s="1"/>
  <c r="G693" i="2"/>
  <c r="K693" i="2" s="1"/>
  <c r="G681" i="2"/>
  <c r="K681" i="2" s="1"/>
  <c r="G669" i="2"/>
  <c r="K669" i="2" s="1"/>
  <c r="G657" i="2"/>
  <c r="K657" i="2" s="1"/>
  <c r="G645" i="2"/>
  <c r="K645" i="2" s="1"/>
  <c r="G621" i="2"/>
  <c r="K621" i="2" s="1"/>
  <c r="G609" i="2"/>
  <c r="K609" i="2" s="1"/>
  <c r="G597" i="2"/>
  <c r="K597" i="2" s="1"/>
  <c r="G585" i="2"/>
  <c r="K585" i="2" s="1"/>
  <c r="G561" i="2"/>
  <c r="K561" i="2" s="1"/>
  <c r="G549" i="2"/>
  <c r="K549" i="2" s="1"/>
  <c r="G513" i="2"/>
  <c r="K513" i="2" s="1"/>
  <c r="G489" i="2"/>
  <c r="K489" i="2" s="1"/>
  <c r="G465" i="2"/>
  <c r="K465" i="2" s="1"/>
  <c r="G453" i="2"/>
  <c r="K453" i="2" s="1"/>
  <c r="G441" i="2"/>
  <c r="K441" i="2" s="1"/>
  <c r="G429" i="2"/>
  <c r="K429" i="2" s="1"/>
  <c r="G417" i="2"/>
  <c r="K417" i="2" s="1"/>
  <c r="G369" i="2"/>
  <c r="K369" i="2" s="1"/>
  <c r="G357" i="2"/>
  <c r="K357" i="2" s="1"/>
  <c r="G345" i="2"/>
  <c r="K345" i="2" s="1"/>
  <c r="G309" i="2"/>
  <c r="K309" i="2" s="1"/>
  <c r="G297" i="2"/>
  <c r="K297" i="2" s="1"/>
  <c r="G285" i="2"/>
  <c r="K285" i="2" s="1"/>
  <c r="G273" i="2"/>
  <c r="K273" i="2" s="1"/>
  <c r="G261" i="2"/>
  <c r="K261" i="2" s="1"/>
  <c r="G249" i="2"/>
  <c r="K249" i="2" s="1"/>
  <c r="G225" i="2"/>
  <c r="K225" i="2" s="1"/>
  <c r="G201" i="2"/>
  <c r="K201" i="2" s="1"/>
  <c r="G189" i="2"/>
  <c r="K189" i="2" s="1"/>
  <c r="G165" i="2"/>
  <c r="K165" i="2" s="1"/>
  <c r="G141" i="2"/>
  <c r="K141" i="2" s="1"/>
  <c r="G117" i="2"/>
  <c r="K117" i="2" s="1"/>
  <c r="G105" i="2"/>
  <c r="K105" i="2" s="1"/>
  <c r="G93" i="2"/>
  <c r="K93" i="2" s="1"/>
  <c r="G81" i="2"/>
  <c r="K81" i="2" s="1"/>
  <c r="G69" i="2"/>
  <c r="K69" i="2" s="1"/>
  <c r="G57" i="2"/>
  <c r="K57" i="2" s="1"/>
  <c r="G33" i="2"/>
  <c r="K33" i="2" s="1"/>
  <c r="J916" i="2"/>
  <c r="Q916" i="2" s="1"/>
  <c r="T916" i="2" s="1"/>
  <c r="J892" i="2"/>
  <c r="J868" i="2"/>
  <c r="Q868" i="2" s="1"/>
  <c r="T868" i="2" s="1"/>
  <c r="J844" i="2"/>
  <c r="J808" i="2"/>
  <c r="J784" i="2"/>
  <c r="Q784" i="2" s="1"/>
  <c r="T784" i="2" s="1"/>
  <c r="J760" i="2"/>
  <c r="Q760" i="2" s="1"/>
  <c r="T760" i="2" s="1"/>
  <c r="J724" i="2"/>
  <c r="Q724" i="2" s="1"/>
  <c r="T724" i="2" s="1"/>
  <c r="J700" i="2"/>
  <c r="Q700" i="2" s="1"/>
  <c r="T700" i="2" s="1"/>
  <c r="J664" i="2"/>
  <c r="J640" i="2"/>
  <c r="Q640" i="2" s="1"/>
  <c r="T640" i="2" s="1"/>
  <c r="J616" i="2"/>
  <c r="J580" i="2"/>
  <c r="Q580" i="2" s="1"/>
  <c r="T580" i="2" s="1"/>
  <c r="J556" i="2"/>
  <c r="Q556" i="2" s="1"/>
  <c r="T556" i="2" s="1"/>
  <c r="J532" i="2"/>
  <c r="J508" i="2"/>
  <c r="Q508" i="2" s="1"/>
  <c r="T508" i="2" s="1"/>
  <c r="J484" i="2"/>
  <c r="J460" i="2"/>
  <c r="Q460" i="2" s="1"/>
  <c r="T460" i="2" s="1"/>
  <c r="J436" i="2"/>
  <c r="Q436" i="2" s="1"/>
  <c r="T436" i="2" s="1"/>
  <c r="J400" i="2"/>
  <c r="J376" i="2"/>
  <c r="Q376" i="2" s="1"/>
  <c r="T376" i="2" s="1"/>
  <c r="J352" i="2"/>
  <c r="Q352" i="2" s="1"/>
  <c r="T352" i="2" s="1"/>
  <c r="J316" i="2"/>
  <c r="J292" i="2"/>
  <c r="J268" i="2"/>
  <c r="J232" i="2"/>
  <c r="J172" i="2"/>
  <c r="J904" i="2"/>
  <c r="J880" i="2"/>
  <c r="Q880" i="2" s="1"/>
  <c r="T880" i="2" s="1"/>
  <c r="J856" i="2"/>
  <c r="Q856" i="2" s="1"/>
  <c r="T856" i="2" s="1"/>
  <c r="J832" i="2"/>
  <c r="J820" i="2"/>
  <c r="Q820" i="2" s="1"/>
  <c r="T820" i="2" s="1"/>
  <c r="J796" i="2"/>
  <c r="Q796" i="2" s="1"/>
  <c r="T796" i="2" s="1"/>
  <c r="J772" i="2"/>
  <c r="J748" i="2"/>
  <c r="J736" i="2"/>
  <c r="Q736" i="2" s="1"/>
  <c r="T736" i="2" s="1"/>
  <c r="J712" i="2"/>
  <c r="Q712" i="2" s="1"/>
  <c r="T712" i="2" s="1"/>
  <c r="J688" i="2"/>
  <c r="J652" i="2"/>
  <c r="Q652" i="2" s="1"/>
  <c r="T652" i="2" s="1"/>
  <c r="J628" i="2"/>
  <c r="Q628" i="2" s="1"/>
  <c r="T628" i="2" s="1"/>
  <c r="J604" i="2"/>
  <c r="Q604" i="2" s="1"/>
  <c r="T604" i="2" s="1"/>
  <c r="J592" i="2"/>
  <c r="Q592" i="2" s="1"/>
  <c r="T592" i="2" s="1"/>
  <c r="J568" i="2"/>
  <c r="Q568" i="2" s="1"/>
  <c r="T568" i="2" s="1"/>
  <c r="J544" i="2"/>
  <c r="J520" i="2"/>
  <c r="Q520" i="2" s="1"/>
  <c r="T520" i="2" s="1"/>
  <c r="J496" i="2"/>
  <c r="Q496" i="2" s="1"/>
  <c r="T496" i="2" s="1"/>
  <c r="J472" i="2"/>
  <c r="J448" i="2"/>
  <c r="J424" i="2"/>
  <c r="Q424" i="2" s="1"/>
  <c r="T424" i="2" s="1"/>
  <c r="J412" i="2"/>
  <c r="Q412" i="2" s="1"/>
  <c r="T412" i="2" s="1"/>
  <c r="J388" i="2"/>
  <c r="Q388" i="2" s="1"/>
  <c r="T388" i="2" s="1"/>
  <c r="J364" i="2"/>
  <c r="Q364" i="2" s="1"/>
  <c r="T364" i="2" s="1"/>
  <c r="J340" i="2"/>
  <c r="J328" i="2"/>
  <c r="Q328" i="2" s="1"/>
  <c r="T328" i="2" s="1"/>
  <c r="J304" i="2"/>
  <c r="Q304" i="2" s="1"/>
  <c r="T304" i="2" s="1"/>
  <c r="J280" i="2"/>
  <c r="J256" i="2"/>
  <c r="Q256" i="2" s="1"/>
  <c r="T256" i="2" s="1"/>
  <c r="J244" i="2"/>
  <c r="Q244" i="2" s="1"/>
  <c r="T244" i="2" s="1"/>
  <c r="J220" i="2"/>
  <c r="J208" i="2"/>
  <c r="J196" i="2"/>
  <c r="J184" i="2"/>
  <c r="Q184" i="2" s="1"/>
  <c r="T184" i="2" s="1"/>
  <c r="J160" i="2"/>
  <c r="J148" i="2"/>
  <c r="Q148" i="2" s="1"/>
  <c r="T148" i="2" s="1"/>
  <c r="J136" i="2"/>
  <c r="J124" i="2"/>
  <c r="J112" i="2"/>
  <c r="J100" i="2"/>
  <c r="Q100" i="2" s="1"/>
  <c r="T100" i="2" s="1"/>
  <c r="J88" i="2"/>
  <c r="J76" i="2"/>
  <c r="J64" i="2"/>
  <c r="J52" i="2"/>
  <c r="J40" i="2"/>
  <c r="Q40" i="2" s="1"/>
  <c r="T40" i="2" s="1"/>
  <c r="J28" i="2"/>
  <c r="Q21" i="2"/>
  <c r="T21" i="2" s="1"/>
  <c r="J165" i="2"/>
  <c r="Q165" i="2" s="1"/>
  <c r="T165" i="2" s="1"/>
  <c r="J153" i="2"/>
  <c r="J141" i="2"/>
  <c r="Q141" i="2" s="1"/>
  <c r="T141" i="2" s="1"/>
  <c r="J129" i="2"/>
  <c r="J117" i="2"/>
  <c r="Q117" i="2" s="1"/>
  <c r="T117" i="2" s="1"/>
  <c r="J105" i="2"/>
  <c r="Q105" i="2" s="1"/>
  <c r="T105" i="2" s="1"/>
  <c r="J93" i="2"/>
  <c r="Q93" i="2" s="1"/>
  <c r="T93" i="2" s="1"/>
  <c r="J81" i="2"/>
  <c r="Q81" i="2" s="1"/>
  <c r="T81" i="2" s="1"/>
  <c r="J69" i="2"/>
  <c r="Q69" i="2" s="1"/>
  <c r="T69" i="2" s="1"/>
  <c r="J57" i="2"/>
  <c r="Q57" i="2" s="1"/>
  <c r="T57" i="2" s="1"/>
  <c r="J45" i="2"/>
  <c r="J33" i="2"/>
  <c r="Q33" i="2" s="1"/>
  <c r="T33" i="2" s="1"/>
  <c r="J825" i="2"/>
  <c r="Q825" i="2" s="1"/>
  <c r="T825" i="2" s="1"/>
  <c r="J813" i="2"/>
  <c r="J801" i="2"/>
  <c r="Q801" i="2" s="1"/>
  <c r="T801" i="2" s="1"/>
  <c r="J789" i="2"/>
  <c r="J777" i="2"/>
  <c r="Q777" i="2" s="1"/>
  <c r="T777" i="2" s="1"/>
  <c r="J765" i="2"/>
  <c r="Q765" i="2" s="1"/>
  <c r="T765" i="2" s="1"/>
  <c r="J753" i="2"/>
  <c r="Q753" i="2" s="1"/>
  <c r="T753" i="2" s="1"/>
  <c r="J741" i="2"/>
  <c r="Q741" i="2" s="1"/>
  <c r="T741" i="2" s="1"/>
  <c r="J729" i="2"/>
  <c r="J717" i="2"/>
  <c r="J705" i="2"/>
  <c r="J693" i="2"/>
  <c r="Q693" i="2" s="1"/>
  <c r="T693" i="2" s="1"/>
  <c r="J681" i="2"/>
  <c r="Q681" i="2" s="1"/>
  <c r="T681" i="2" s="1"/>
  <c r="J669" i="2"/>
  <c r="Q669" i="2" s="1"/>
  <c r="T669" i="2" s="1"/>
  <c r="J657" i="2"/>
  <c r="Q657" i="2" s="1"/>
  <c r="T657" i="2" s="1"/>
  <c r="J645" i="2"/>
  <c r="Q645" i="2" s="1"/>
  <c r="T645" i="2" s="1"/>
  <c r="J633" i="2"/>
  <c r="J621" i="2"/>
  <c r="Q621" i="2" s="1"/>
  <c r="T621" i="2" s="1"/>
  <c r="J609" i="2"/>
  <c r="Q609" i="2" s="1"/>
  <c r="T609" i="2" s="1"/>
  <c r="J597" i="2"/>
  <c r="Q597" i="2" s="1"/>
  <c r="T597" i="2" s="1"/>
  <c r="J585" i="2"/>
  <c r="Q585" i="2" s="1"/>
  <c r="T585" i="2" s="1"/>
  <c r="J573" i="2"/>
  <c r="J561" i="2"/>
  <c r="Q561" i="2" s="1"/>
  <c r="T561" i="2" s="1"/>
  <c r="J549" i="2"/>
  <c r="Q549" i="2" s="1"/>
  <c r="T549" i="2" s="1"/>
  <c r="J537" i="2"/>
  <c r="J525" i="2"/>
  <c r="J513" i="2"/>
  <c r="Q513" i="2" s="1"/>
  <c r="T513" i="2" s="1"/>
  <c r="J501" i="2"/>
  <c r="J489" i="2"/>
  <c r="Q489" i="2" s="1"/>
  <c r="T489" i="2" s="1"/>
  <c r="J477" i="2"/>
  <c r="J465" i="2"/>
  <c r="Q465" i="2" s="1"/>
  <c r="T465" i="2" s="1"/>
  <c r="J453" i="2"/>
  <c r="Q453" i="2" s="1"/>
  <c r="T453" i="2" s="1"/>
  <c r="J441" i="2"/>
  <c r="Q441" i="2" s="1"/>
  <c r="T441" i="2" s="1"/>
  <c r="J429" i="2"/>
  <c r="Q429" i="2" s="1"/>
  <c r="T429" i="2" s="1"/>
  <c r="J417" i="2"/>
  <c r="Q417" i="2" s="1"/>
  <c r="T417" i="2" s="1"/>
  <c r="J405" i="2"/>
  <c r="J393" i="2"/>
  <c r="J381" i="2"/>
  <c r="J369" i="2"/>
  <c r="Q369" i="2" s="1"/>
  <c r="T369" i="2" s="1"/>
  <c r="J357" i="2"/>
  <c r="Q357" i="2" s="1"/>
  <c r="T357" i="2" s="1"/>
  <c r="J345" i="2"/>
  <c r="Q345" i="2" s="1"/>
  <c r="T345" i="2" s="1"/>
  <c r="J333" i="2"/>
  <c r="J321" i="2"/>
  <c r="J309" i="2"/>
  <c r="Q309" i="2" s="1"/>
  <c r="T309" i="2" s="1"/>
  <c r="J297" i="2"/>
  <c r="Q297" i="2" s="1"/>
  <c r="T297" i="2" s="1"/>
  <c r="J285" i="2"/>
  <c r="Q285" i="2" s="1"/>
  <c r="T285" i="2" s="1"/>
  <c r="J273" i="2"/>
  <c r="Q273" i="2" s="1"/>
  <c r="T273" i="2" s="1"/>
  <c r="J261" i="2"/>
  <c r="Q261" i="2" s="1"/>
  <c r="T261" i="2" s="1"/>
  <c r="J249" i="2"/>
  <c r="Q249" i="2" s="1"/>
  <c r="T249" i="2" s="1"/>
  <c r="J237" i="2"/>
  <c r="J225" i="2"/>
  <c r="Q225" i="2" s="1"/>
  <c r="T225" i="2" s="1"/>
  <c r="J213" i="2"/>
  <c r="J201" i="2"/>
  <c r="Q201" i="2" s="1"/>
  <c r="T201" i="2" s="1"/>
  <c r="J189" i="2"/>
  <c r="Q189" i="2" s="1"/>
  <c r="T189" i="2" s="1"/>
  <c r="J177" i="2"/>
  <c r="J662" i="2"/>
  <c r="Q662" i="2" s="1"/>
  <c r="T662" i="2" s="1"/>
  <c r="J277" i="2"/>
  <c r="Q277" i="2" s="1"/>
  <c r="T277" i="2" s="1"/>
  <c r="J241" i="2"/>
  <c r="J205" i="2"/>
  <c r="J169" i="2"/>
  <c r="Q169" i="2" s="1"/>
  <c r="T169" i="2" s="1"/>
  <c r="J145" i="2"/>
  <c r="Q145" i="2" s="1"/>
  <c r="T145" i="2" s="1"/>
  <c r="J109" i="2"/>
  <c r="J85" i="2"/>
  <c r="J49" i="2"/>
  <c r="Q49" i="2" s="1"/>
  <c r="T49" i="2" s="1"/>
  <c r="J289" i="2"/>
  <c r="Q289" i="2" s="1"/>
  <c r="T289" i="2" s="1"/>
  <c r="J253" i="2"/>
  <c r="J217" i="2"/>
  <c r="Q217" i="2" s="1"/>
  <c r="T217" i="2" s="1"/>
  <c r="J181" i="2"/>
  <c r="Q181" i="2" s="1"/>
  <c r="T181" i="2" s="1"/>
  <c r="J133" i="2"/>
  <c r="Q133" i="2" s="1"/>
  <c r="T133" i="2" s="1"/>
  <c r="J97" i="2"/>
  <c r="J61" i="2"/>
  <c r="J25" i="2"/>
  <c r="J626" i="2"/>
  <c r="J301" i="2"/>
  <c r="Q301" i="2" s="1"/>
  <c r="T301" i="2" s="1"/>
  <c r="J265" i="2"/>
  <c r="Q265" i="2" s="1"/>
  <c r="T265" i="2" s="1"/>
  <c r="J229" i="2"/>
  <c r="Q229" i="2" s="1"/>
  <c r="T229" i="2" s="1"/>
  <c r="J193" i="2"/>
  <c r="Q193" i="2" s="1"/>
  <c r="T193" i="2" s="1"/>
  <c r="J157" i="2"/>
  <c r="J121" i="2"/>
  <c r="Q121" i="2" s="1"/>
  <c r="T121" i="2" s="1"/>
  <c r="J73" i="2"/>
  <c r="J37" i="2"/>
  <c r="Q37" i="2" s="1"/>
  <c r="T37" i="2" s="1"/>
  <c r="J923" i="2"/>
  <c r="J887" i="2"/>
  <c r="Q887" i="2" s="1"/>
  <c r="T887" i="2" s="1"/>
  <c r="J851" i="2"/>
  <c r="J815" i="2"/>
  <c r="J779" i="2"/>
  <c r="J743" i="2"/>
  <c r="Q743" i="2" s="1"/>
  <c r="T743" i="2" s="1"/>
  <c r="J707" i="2"/>
  <c r="Q707" i="2" s="1"/>
  <c r="T707" i="2" s="1"/>
  <c r="J659" i="2"/>
  <c r="Q659" i="2" s="1"/>
  <c r="T659" i="2" s="1"/>
  <c r="J623" i="2"/>
  <c r="Q623" i="2" s="1"/>
  <c r="T623" i="2" s="1"/>
  <c r="J587" i="2"/>
  <c r="Q587" i="2" s="1"/>
  <c r="T587" i="2" s="1"/>
  <c r="J551" i="2"/>
  <c r="J503" i="2"/>
  <c r="J479" i="2"/>
  <c r="Q479" i="2" s="1"/>
  <c r="T479" i="2" s="1"/>
  <c r="J443" i="2"/>
  <c r="J407" i="2"/>
  <c r="Q407" i="2" s="1"/>
  <c r="T407" i="2" s="1"/>
  <c r="J371" i="2"/>
  <c r="J335" i="2"/>
  <c r="Q335" i="2" s="1"/>
  <c r="T335" i="2" s="1"/>
  <c r="J287" i="2"/>
  <c r="J251" i="2"/>
  <c r="J215" i="2"/>
  <c r="J167" i="2"/>
  <c r="Q167" i="2" s="1"/>
  <c r="T167" i="2" s="1"/>
  <c r="J107" i="2"/>
  <c r="Q107" i="2" s="1"/>
  <c r="T107" i="2" s="1"/>
  <c r="J911" i="2"/>
  <c r="J875" i="2"/>
  <c r="Q875" i="2" s="1"/>
  <c r="T875" i="2" s="1"/>
  <c r="J839" i="2"/>
  <c r="Q839" i="2" s="1"/>
  <c r="T839" i="2" s="1"/>
  <c r="J803" i="2"/>
  <c r="Q803" i="2" s="1"/>
  <c r="T803" i="2" s="1"/>
  <c r="J755" i="2"/>
  <c r="Q755" i="2" s="1"/>
  <c r="T755" i="2" s="1"/>
  <c r="J719" i="2"/>
  <c r="Q719" i="2" s="1"/>
  <c r="T719" i="2" s="1"/>
  <c r="J695" i="2"/>
  <c r="J671" i="2"/>
  <c r="Q671" i="2" s="1"/>
  <c r="T671" i="2" s="1"/>
  <c r="J599" i="2"/>
  <c r="J563" i="2"/>
  <c r="Q563" i="2" s="1"/>
  <c r="T563" i="2" s="1"/>
  <c r="J527" i="2"/>
  <c r="J491" i="2"/>
  <c r="Q491" i="2" s="1"/>
  <c r="T491" i="2" s="1"/>
  <c r="J455" i="2"/>
  <c r="J419" i="2"/>
  <c r="Q419" i="2" s="1"/>
  <c r="T419" i="2" s="1"/>
  <c r="J383" i="2"/>
  <c r="J347" i="2"/>
  <c r="J323" i="2"/>
  <c r="Q323" i="2" s="1"/>
  <c r="T323" i="2" s="1"/>
  <c r="J299" i="2"/>
  <c r="J263" i="2"/>
  <c r="J227" i="2"/>
  <c r="J191" i="2"/>
  <c r="J155" i="2"/>
  <c r="J131" i="2"/>
  <c r="J95" i="2"/>
  <c r="J71" i="2"/>
  <c r="Q71" i="2" s="1"/>
  <c r="T71" i="2" s="1"/>
  <c r="J47" i="2"/>
  <c r="Q47" i="2" s="1"/>
  <c r="T47" i="2" s="1"/>
  <c r="J23" i="2"/>
  <c r="Q23" i="2" s="1"/>
  <c r="T23" i="2" s="1"/>
  <c r="J10" i="2"/>
  <c r="J899" i="2"/>
  <c r="Q899" i="2" s="1"/>
  <c r="T899" i="2" s="1"/>
  <c r="J863" i="2"/>
  <c r="Q863" i="2" s="1"/>
  <c r="T863" i="2" s="1"/>
  <c r="J827" i="2"/>
  <c r="Q827" i="2" s="1"/>
  <c r="T827" i="2" s="1"/>
  <c r="J791" i="2"/>
  <c r="Q791" i="2" s="1"/>
  <c r="T791" i="2" s="1"/>
  <c r="J767" i="2"/>
  <c r="J731" i="2"/>
  <c r="Q731" i="2" s="1"/>
  <c r="T731" i="2" s="1"/>
  <c r="J683" i="2"/>
  <c r="J647" i="2"/>
  <c r="Q647" i="2" s="1"/>
  <c r="T647" i="2" s="1"/>
  <c r="J611" i="2"/>
  <c r="Q611" i="2" s="1"/>
  <c r="T611" i="2" s="1"/>
  <c r="J575" i="2"/>
  <c r="Q575" i="2" s="1"/>
  <c r="T575" i="2" s="1"/>
  <c r="J539" i="2"/>
  <c r="Q539" i="2" s="1"/>
  <c r="T539" i="2" s="1"/>
  <c r="J515" i="2"/>
  <c r="Q515" i="2" s="1"/>
  <c r="T515" i="2" s="1"/>
  <c r="J467" i="2"/>
  <c r="Q467" i="2" s="1"/>
  <c r="T467" i="2" s="1"/>
  <c r="J431" i="2"/>
  <c r="Q431" i="2" s="1"/>
  <c r="T431" i="2" s="1"/>
  <c r="J395" i="2"/>
  <c r="Q395" i="2" s="1"/>
  <c r="T395" i="2" s="1"/>
  <c r="J359" i="2"/>
  <c r="J311" i="2"/>
  <c r="J275" i="2"/>
  <c r="Q275" i="2" s="1"/>
  <c r="T275" i="2" s="1"/>
  <c r="J239" i="2"/>
  <c r="Q239" i="2" s="1"/>
  <c r="T239" i="2" s="1"/>
  <c r="J203" i="2"/>
  <c r="Q203" i="2" s="1"/>
  <c r="T203" i="2" s="1"/>
  <c r="J179" i="2"/>
  <c r="J143" i="2"/>
  <c r="J119" i="2"/>
  <c r="J83" i="2"/>
  <c r="J59" i="2"/>
  <c r="Q59" i="2" s="1"/>
  <c r="T59" i="2" s="1"/>
  <c r="J35" i="2"/>
  <c r="J906" i="2"/>
  <c r="Q906" i="2" s="1"/>
  <c r="T906" i="2" s="1"/>
  <c r="J822" i="2"/>
  <c r="J726" i="2"/>
  <c r="J642" i="2"/>
  <c r="J558" i="2"/>
  <c r="J462" i="2"/>
  <c r="Q462" i="2" s="1"/>
  <c r="T462" i="2" s="1"/>
  <c r="J390" i="2"/>
  <c r="Q390" i="2" s="1"/>
  <c r="T390" i="2" s="1"/>
  <c r="J306" i="2"/>
  <c r="Q306" i="2" s="1"/>
  <c r="T306" i="2" s="1"/>
  <c r="J246" i="2"/>
  <c r="Q246" i="2" s="1"/>
  <c r="T246" i="2" s="1"/>
  <c r="J174" i="2"/>
  <c r="Q174" i="2" s="1"/>
  <c r="T174" i="2" s="1"/>
  <c r="J102" i="2"/>
  <c r="J66" i="2"/>
  <c r="Q66" i="2" s="1"/>
  <c r="T66" i="2" s="1"/>
  <c r="J882" i="2"/>
  <c r="J786" i="2"/>
  <c r="Q786" i="2" s="1"/>
  <c r="T786" i="2" s="1"/>
  <c r="J690" i="2"/>
  <c r="Q690" i="2" s="1"/>
  <c r="T690" i="2" s="1"/>
  <c r="J618" i="2"/>
  <c r="Q618" i="2" s="1"/>
  <c r="T618" i="2" s="1"/>
  <c r="J522" i="2"/>
  <c r="Q522" i="2" s="1"/>
  <c r="T522" i="2" s="1"/>
  <c r="J450" i="2"/>
  <c r="Q450" i="2" s="1"/>
  <c r="T450" i="2" s="1"/>
  <c r="J354" i="2"/>
  <c r="J270" i="2"/>
  <c r="Q270" i="2" s="1"/>
  <c r="T270" i="2" s="1"/>
  <c r="J210" i="2"/>
  <c r="Q210" i="2" s="1"/>
  <c r="T210" i="2" s="1"/>
  <c r="J162" i="2"/>
  <c r="Q162" i="2" s="1"/>
  <c r="T162" i="2" s="1"/>
  <c r="J126" i="2"/>
  <c r="J90" i="2"/>
  <c r="Q90" i="2" s="1"/>
  <c r="T90" i="2" s="1"/>
  <c r="J42" i="2"/>
  <c r="J917" i="2"/>
  <c r="J905" i="2"/>
  <c r="Q905" i="2" s="1"/>
  <c r="T905" i="2" s="1"/>
  <c r="J893" i="2"/>
  <c r="Q893" i="2" s="1"/>
  <c r="T893" i="2" s="1"/>
  <c r="J881" i="2"/>
  <c r="J869" i="2"/>
  <c r="Q869" i="2" s="1"/>
  <c r="T869" i="2" s="1"/>
  <c r="J857" i="2"/>
  <c r="J845" i="2"/>
  <c r="Q845" i="2" s="1"/>
  <c r="T845" i="2" s="1"/>
  <c r="J833" i="2"/>
  <c r="Q833" i="2" s="1"/>
  <c r="T833" i="2" s="1"/>
  <c r="J821" i="2"/>
  <c r="J809" i="2"/>
  <c r="J797" i="2"/>
  <c r="J785" i="2"/>
  <c r="J773" i="2"/>
  <c r="Q773" i="2" s="1"/>
  <c r="T773" i="2" s="1"/>
  <c r="J761" i="2"/>
  <c r="J749" i="2"/>
  <c r="Q749" i="2" s="1"/>
  <c r="T749" i="2" s="1"/>
  <c r="J737" i="2"/>
  <c r="J725" i="2"/>
  <c r="J713" i="2"/>
  <c r="J701" i="2"/>
  <c r="Q701" i="2" s="1"/>
  <c r="T701" i="2" s="1"/>
  <c r="J689" i="2"/>
  <c r="Q689" i="2" s="1"/>
  <c r="T689" i="2" s="1"/>
  <c r="J677" i="2"/>
  <c r="Q677" i="2" s="1"/>
  <c r="T677" i="2" s="1"/>
  <c r="J665" i="2"/>
  <c r="Q665" i="2" s="1"/>
  <c r="T665" i="2" s="1"/>
  <c r="J653" i="2"/>
  <c r="Q653" i="2" s="1"/>
  <c r="T653" i="2" s="1"/>
  <c r="J641" i="2"/>
  <c r="Q641" i="2" s="1"/>
  <c r="T641" i="2" s="1"/>
  <c r="J629" i="2"/>
  <c r="Q629" i="2" s="1"/>
  <c r="T629" i="2" s="1"/>
  <c r="J617" i="2"/>
  <c r="Q617" i="2" s="1"/>
  <c r="T617" i="2" s="1"/>
  <c r="J605" i="2"/>
  <c r="Q605" i="2" s="1"/>
  <c r="T605" i="2" s="1"/>
  <c r="J593" i="2"/>
  <c r="Q593" i="2" s="1"/>
  <c r="T593" i="2" s="1"/>
  <c r="J581" i="2"/>
  <c r="J569" i="2"/>
  <c r="Q569" i="2" s="1"/>
  <c r="T569" i="2" s="1"/>
  <c r="J557" i="2"/>
  <c r="Q557" i="2" s="1"/>
  <c r="T557" i="2" s="1"/>
  <c r="J545" i="2"/>
  <c r="Q545" i="2" s="1"/>
  <c r="T545" i="2" s="1"/>
  <c r="J533" i="2"/>
  <c r="Q533" i="2" s="1"/>
  <c r="T533" i="2" s="1"/>
  <c r="J521" i="2"/>
  <c r="J509" i="2"/>
  <c r="J497" i="2"/>
  <c r="Q497" i="2" s="1"/>
  <c r="T497" i="2" s="1"/>
  <c r="J485" i="2"/>
  <c r="J473" i="2"/>
  <c r="J461" i="2"/>
  <c r="Q461" i="2" s="1"/>
  <c r="T461" i="2" s="1"/>
  <c r="J449" i="2"/>
  <c r="Q449" i="2" s="1"/>
  <c r="T449" i="2" s="1"/>
  <c r="J437" i="2"/>
  <c r="J425" i="2"/>
  <c r="Q425" i="2" s="1"/>
  <c r="T425" i="2" s="1"/>
  <c r="J413" i="2"/>
  <c r="Q413" i="2" s="1"/>
  <c r="T413" i="2" s="1"/>
  <c r="J401" i="2"/>
  <c r="Q401" i="2" s="1"/>
  <c r="T401" i="2" s="1"/>
  <c r="J389" i="2"/>
  <c r="J377" i="2"/>
  <c r="Q377" i="2" s="1"/>
  <c r="T377" i="2" s="1"/>
  <c r="J365" i="2"/>
  <c r="Q365" i="2" s="1"/>
  <c r="T365" i="2" s="1"/>
  <c r="J353" i="2"/>
  <c r="Q353" i="2" s="1"/>
  <c r="T353" i="2" s="1"/>
  <c r="J341" i="2"/>
  <c r="Q341" i="2" s="1"/>
  <c r="T341" i="2" s="1"/>
  <c r="J329" i="2"/>
  <c r="Q329" i="2" s="1"/>
  <c r="T329" i="2" s="1"/>
  <c r="J317" i="2"/>
  <c r="Q317" i="2" s="1"/>
  <c r="T317" i="2" s="1"/>
  <c r="J305" i="2"/>
  <c r="Q305" i="2" s="1"/>
  <c r="T305" i="2" s="1"/>
  <c r="J293" i="2"/>
  <c r="J281" i="2"/>
  <c r="Q281" i="2" s="1"/>
  <c r="T281" i="2" s="1"/>
  <c r="J269" i="2"/>
  <c r="Q269" i="2" s="1"/>
  <c r="T269" i="2" s="1"/>
  <c r="J257" i="2"/>
  <c r="J245" i="2"/>
  <c r="J233" i="2"/>
  <c r="Q233" i="2" s="1"/>
  <c r="T233" i="2" s="1"/>
  <c r="J221" i="2"/>
  <c r="Q221" i="2" s="1"/>
  <c r="T221" i="2" s="1"/>
  <c r="J209" i="2"/>
  <c r="Q209" i="2" s="1"/>
  <c r="T209" i="2" s="1"/>
  <c r="J197" i="2"/>
  <c r="Q197" i="2" s="1"/>
  <c r="T197" i="2" s="1"/>
  <c r="J185" i="2"/>
  <c r="Q185" i="2" s="1"/>
  <c r="T185" i="2" s="1"/>
  <c r="J173" i="2"/>
  <c r="Q173" i="2" s="1"/>
  <c r="T173" i="2" s="1"/>
  <c r="J161" i="2"/>
  <c r="Q161" i="2" s="1"/>
  <c r="T161" i="2" s="1"/>
  <c r="J149" i="2"/>
  <c r="J137" i="2"/>
  <c r="Q137" i="2" s="1"/>
  <c r="T137" i="2" s="1"/>
  <c r="J125" i="2"/>
  <c r="Q125" i="2" s="1"/>
  <c r="T125" i="2" s="1"/>
  <c r="J113" i="2"/>
  <c r="Q113" i="2" s="1"/>
  <c r="T113" i="2" s="1"/>
  <c r="J101" i="2"/>
  <c r="Q101" i="2" s="1"/>
  <c r="T101" i="2" s="1"/>
  <c r="J89" i="2"/>
  <c r="Q89" i="2" s="1"/>
  <c r="T89" i="2" s="1"/>
  <c r="J77" i="2"/>
  <c r="Q77" i="2" s="1"/>
  <c r="T77" i="2" s="1"/>
  <c r="J65" i="2"/>
  <c r="Q65" i="2" s="1"/>
  <c r="T65" i="2" s="1"/>
  <c r="J53" i="2"/>
  <c r="J41" i="2"/>
  <c r="J29" i="2"/>
  <c r="Q29" i="2" s="1"/>
  <c r="T29" i="2" s="1"/>
  <c r="J846" i="2"/>
  <c r="Q846" i="2" s="1"/>
  <c r="T846" i="2" s="1"/>
  <c r="J774" i="2"/>
  <c r="Q774" i="2" s="1"/>
  <c r="T774" i="2" s="1"/>
  <c r="J678" i="2"/>
  <c r="J582" i="2"/>
  <c r="Q582" i="2" s="1"/>
  <c r="T582" i="2" s="1"/>
  <c r="J510" i="2"/>
  <c r="J438" i="2"/>
  <c r="J366" i="2"/>
  <c r="Q366" i="2" s="1"/>
  <c r="T366" i="2" s="1"/>
  <c r="J294" i="2"/>
  <c r="Q294" i="2" s="1"/>
  <c r="T294" i="2" s="1"/>
  <c r="J222" i="2"/>
  <c r="Q222" i="2" s="1"/>
  <c r="T222" i="2" s="1"/>
  <c r="J186" i="2"/>
  <c r="Q186" i="2" s="1"/>
  <c r="T186" i="2" s="1"/>
  <c r="J114" i="2"/>
  <c r="Q114" i="2" s="1"/>
  <c r="T114" i="2" s="1"/>
  <c r="J78" i="2"/>
  <c r="Q78" i="2" s="1"/>
  <c r="T78" i="2" s="1"/>
  <c r="J30" i="2"/>
  <c r="J16" i="2"/>
  <c r="J918" i="2"/>
  <c r="Q918" i="2" s="1"/>
  <c r="T918" i="2" s="1"/>
  <c r="J858" i="2"/>
  <c r="Q858" i="2" s="1"/>
  <c r="T858" i="2" s="1"/>
  <c r="J810" i="2"/>
  <c r="J750" i="2"/>
  <c r="Q750" i="2" s="1"/>
  <c r="T750" i="2" s="1"/>
  <c r="J714" i="2"/>
  <c r="Q714" i="2" s="1"/>
  <c r="T714" i="2" s="1"/>
  <c r="J654" i="2"/>
  <c r="Q654" i="2" s="1"/>
  <c r="T654" i="2" s="1"/>
  <c r="J594" i="2"/>
  <c r="J534" i="2"/>
  <c r="Q534" i="2" s="1"/>
  <c r="T534" i="2" s="1"/>
  <c r="J486" i="2"/>
  <c r="Q486" i="2" s="1"/>
  <c r="T486" i="2" s="1"/>
  <c r="J414" i="2"/>
  <c r="J330" i="2"/>
  <c r="Q330" i="2" s="1"/>
  <c r="T330" i="2" s="1"/>
  <c r="J915" i="2"/>
  <c r="Q915" i="2" s="1"/>
  <c r="T915" i="2" s="1"/>
  <c r="J903" i="2"/>
  <c r="J891" i="2"/>
  <c r="Q891" i="2" s="1"/>
  <c r="T891" i="2" s="1"/>
  <c r="J879" i="2"/>
  <c r="J867" i="2"/>
  <c r="J855" i="2"/>
  <c r="J843" i="2"/>
  <c r="Q843" i="2" s="1"/>
  <c r="T843" i="2" s="1"/>
  <c r="J831" i="2"/>
  <c r="Q831" i="2" s="1"/>
  <c r="T831" i="2" s="1"/>
  <c r="J819" i="2"/>
  <c r="J807" i="2"/>
  <c r="Q807" i="2" s="1"/>
  <c r="T807" i="2" s="1"/>
  <c r="J795" i="2"/>
  <c r="Q795" i="2" s="1"/>
  <c r="T795" i="2" s="1"/>
  <c r="J783" i="2"/>
  <c r="J771" i="2"/>
  <c r="Q771" i="2" s="1"/>
  <c r="T771" i="2" s="1"/>
  <c r="J759" i="2"/>
  <c r="J747" i="2"/>
  <c r="Q747" i="2" s="1"/>
  <c r="T747" i="2" s="1"/>
  <c r="J735" i="2"/>
  <c r="Q735" i="2" s="1"/>
  <c r="T735" i="2" s="1"/>
  <c r="J723" i="2"/>
  <c r="Q723" i="2" s="1"/>
  <c r="T723" i="2" s="1"/>
  <c r="J711" i="2"/>
  <c r="Q711" i="2" s="1"/>
  <c r="T711" i="2" s="1"/>
  <c r="J699" i="2"/>
  <c r="J687" i="2"/>
  <c r="Q687" i="2" s="1"/>
  <c r="T687" i="2" s="1"/>
  <c r="J675" i="2"/>
  <c r="J663" i="2"/>
  <c r="Q663" i="2" s="1"/>
  <c r="T663" i="2" s="1"/>
  <c r="J651" i="2"/>
  <c r="J639" i="2"/>
  <c r="Q639" i="2" s="1"/>
  <c r="T639" i="2" s="1"/>
  <c r="J627" i="2"/>
  <c r="Q627" i="2" s="1"/>
  <c r="T627" i="2" s="1"/>
  <c r="J615" i="2"/>
  <c r="Q615" i="2" s="1"/>
  <c r="T615" i="2" s="1"/>
  <c r="J603" i="2"/>
  <c r="J591" i="2"/>
  <c r="Q591" i="2" s="1"/>
  <c r="T591" i="2" s="1"/>
  <c r="J579" i="2"/>
  <c r="Q579" i="2" s="1"/>
  <c r="T579" i="2" s="1"/>
  <c r="J567" i="2"/>
  <c r="Q567" i="2" s="1"/>
  <c r="T567" i="2" s="1"/>
  <c r="J555" i="2"/>
  <c r="Q555" i="2" s="1"/>
  <c r="T555" i="2" s="1"/>
  <c r="J543" i="2"/>
  <c r="Q543" i="2" s="1"/>
  <c r="T543" i="2" s="1"/>
  <c r="J531" i="2"/>
  <c r="Q531" i="2" s="1"/>
  <c r="T531" i="2" s="1"/>
  <c r="J519" i="2"/>
  <c r="Q519" i="2" s="1"/>
  <c r="T519" i="2" s="1"/>
  <c r="J507" i="2"/>
  <c r="Q507" i="2" s="1"/>
  <c r="T507" i="2" s="1"/>
  <c r="J495" i="2"/>
  <c r="J483" i="2"/>
  <c r="Q483" i="2" s="1"/>
  <c r="T483" i="2" s="1"/>
  <c r="J471" i="2"/>
  <c r="Q471" i="2" s="1"/>
  <c r="T471" i="2" s="1"/>
  <c r="J459" i="2"/>
  <c r="J447" i="2"/>
  <c r="Q447" i="2" s="1"/>
  <c r="T447" i="2" s="1"/>
  <c r="J435" i="2"/>
  <c r="Q435" i="2" s="1"/>
  <c r="T435" i="2" s="1"/>
  <c r="J423" i="2"/>
  <c r="J411" i="2"/>
  <c r="Q411" i="2" s="1"/>
  <c r="T411" i="2" s="1"/>
  <c r="J399" i="2"/>
  <c r="Q399" i="2" s="1"/>
  <c r="T399" i="2" s="1"/>
  <c r="J387" i="2"/>
  <c r="Q387" i="2" s="1"/>
  <c r="T387" i="2" s="1"/>
  <c r="J375" i="2"/>
  <c r="J363" i="2"/>
  <c r="J351" i="2"/>
  <c r="Q351" i="2" s="1"/>
  <c r="T351" i="2" s="1"/>
  <c r="J339" i="2"/>
  <c r="Q339" i="2" s="1"/>
  <c r="T339" i="2" s="1"/>
  <c r="J327" i="2"/>
  <c r="J315" i="2"/>
  <c r="Q315" i="2" s="1"/>
  <c r="T315" i="2" s="1"/>
  <c r="J303" i="2"/>
  <c r="J291" i="2"/>
  <c r="J279" i="2"/>
  <c r="Q279" i="2" s="1"/>
  <c r="T279" i="2" s="1"/>
  <c r="J267" i="2"/>
  <c r="Q267" i="2" s="1"/>
  <c r="T267" i="2" s="1"/>
  <c r="J255" i="2"/>
  <c r="Q255" i="2" s="1"/>
  <c r="T255" i="2" s="1"/>
  <c r="J243" i="2"/>
  <c r="J231" i="2"/>
  <c r="Q231" i="2" s="1"/>
  <c r="T231" i="2" s="1"/>
  <c r="J219" i="2"/>
  <c r="Q219" i="2" s="1"/>
  <c r="T219" i="2" s="1"/>
  <c r="J207" i="2"/>
  <c r="Q207" i="2" s="1"/>
  <c r="T207" i="2" s="1"/>
  <c r="J195" i="2"/>
  <c r="Q195" i="2" s="1"/>
  <c r="T195" i="2" s="1"/>
  <c r="J183" i="2"/>
  <c r="J171" i="2"/>
  <c r="Q171" i="2" s="1"/>
  <c r="T171" i="2" s="1"/>
  <c r="J159" i="2"/>
  <c r="Q159" i="2" s="1"/>
  <c r="T159" i="2" s="1"/>
  <c r="J147" i="2"/>
  <c r="Q147" i="2" s="1"/>
  <c r="T147" i="2" s="1"/>
  <c r="J135" i="2"/>
  <c r="Q135" i="2" s="1"/>
  <c r="T135" i="2" s="1"/>
  <c r="J123" i="2"/>
  <c r="Q123" i="2" s="1"/>
  <c r="T123" i="2" s="1"/>
  <c r="J111" i="2"/>
  <c r="Q111" i="2" s="1"/>
  <c r="T111" i="2" s="1"/>
  <c r="J99" i="2"/>
  <c r="Q99" i="2" s="1"/>
  <c r="T99" i="2" s="1"/>
  <c r="J87" i="2"/>
  <c r="Q87" i="2" s="1"/>
  <c r="T87" i="2" s="1"/>
  <c r="J75" i="2"/>
  <c r="Q75" i="2" s="1"/>
  <c r="T75" i="2" s="1"/>
  <c r="J63" i="2"/>
  <c r="Q63" i="2" s="1"/>
  <c r="T63" i="2" s="1"/>
  <c r="J51" i="2"/>
  <c r="Q51" i="2" s="1"/>
  <c r="T51" i="2" s="1"/>
  <c r="J39" i="2"/>
  <c r="Q39" i="2" s="1"/>
  <c r="T39" i="2" s="1"/>
  <c r="J27" i="2"/>
  <c r="Q27" i="2" s="1"/>
  <c r="T27" i="2" s="1"/>
  <c r="J15" i="2"/>
  <c r="J3" i="2"/>
  <c r="J894" i="2"/>
  <c r="Q894" i="2" s="1"/>
  <c r="T894" i="2" s="1"/>
  <c r="J834" i="2"/>
  <c r="Q834" i="2" s="1"/>
  <c r="T834" i="2" s="1"/>
  <c r="J762" i="2"/>
  <c r="J702" i="2"/>
  <c r="J630" i="2"/>
  <c r="J570" i="2"/>
  <c r="J498" i="2"/>
  <c r="J426" i="2"/>
  <c r="J378" i="2"/>
  <c r="J318" i="2"/>
  <c r="J258" i="2"/>
  <c r="Q258" i="2" s="1"/>
  <c r="T258" i="2" s="1"/>
  <c r="J150" i="2"/>
  <c r="Q150" i="2" s="1"/>
  <c r="T150" i="2" s="1"/>
  <c r="J4" i="2"/>
  <c r="J870" i="2"/>
  <c r="J798" i="2"/>
  <c r="Q798" i="2" s="1"/>
  <c r="T798" i="2" s="1"/>
  <c r="J738" i="2"/>
  <c r="Q738" i="2" s="1"/>
  <c r="T738" i="2" s="1"/>
  <c r="J666" i="2"/>
  <c r="Q666" i="2" s="1"/>
  <c r="T666" i="2" s="1"/>
  <c r="J606" i="2"/>
  <c r="Q606" i="2" s="1"/>
  <c r="T606" i="2" s="1"/>
  <c r="J546" i="2"/>
  <c r="Q546" i="2" s="1"/>
  <c r="T546" i="2" s="1"/>
  <c r="J474" i="2"/>
  <c r="Q474" i="2" s="1"/>
  <c r="T474" i="2" s="1"/>
  <c r="J402" i="2"/>
  <c r="Q402" i="2" s="1"/>
  <c r="T402" i="2" s="1"/>
  <c r="J342" i="2"/>
  <c r="J282" i="2"/>
  <c r="Q282" i="2" s="1"/>
  <c r="T282" i="2" s="1"/>
  <c r="J234" i="2"/>
  <c r="Q234" i="2" s="1"/>
  <c r="T234" i="2" s="1"/>
  <c r="J198" i="2"/>
  <c r="J138" i="2"/>
  <c r="J54" i="2"/>
  <c r="J14" i="2"/>
  <c r="Q14" i="2" s="1"/>
  <c r="T14" i="2" s="1"/>
  <c r="J590" i="2"/>
  <c r="J422" i="2"/>
  <c r="J602" i="2"/>
  <c r="J650" i="2"/>
  <c r="Q650" i="2" s="1"/>
  <c r="T650" i="2" s="1"/>
  <c r="J914" i="2"/>
  <c r="Q914" i="2" s="1"/>
  <c r="T914" i="2" s="1"/>
  <c r="J878" i="2"/>
  <c r="Q878" i="2" s="1"/>
  <c r="T878" i="2" s="1"/>
  <c r="J842" i="2"/>
  <c r="Q842" i="2" s="1"/>
  <c r="T842" i="2" s="1"/>
  <c r="J806" i="2"/>
  <c r="Q806" i="2" s="1"/>
  <c r="T806" i="2" s="1"/>
  <c r="J770" i="2"/>
  <c r="Q770" i="2" s="1"/>
  <c r="T770" i="2" s="1"/>
  <c r="J758" i="2"/>
  <c r="Q758" i="2" s="1"/>
  <c r="T758" i="2" s="1"/>
  <c r="J746" i="2"/>
  <c r="J734" i="2"/>
  <c r="Q734" i="2" s="1"/>
  <c r="T734" i="2" s="1"/>
  <c r="J722" i="2"/>
  <c r="J710" i="2"/>
  <c r="Q710" i="2" s="1"/>
  <c r="T710" i="2" s="1"/>
  <c r="J674" i="2"/>
  <c r="Q674" i="2" s="1"/>
  <c r="T674" i="2" s="1"/>
  <c r="J614" i="2"/>
  <c r="J890" i="2"/>
  <c r="J866" i="2"/>
  <c r="J794" i="2"/>
  <c r="Q794" i="2" s="1"/>
  <c r="T794" i="2" s="1"/>
  <c r="J686" i="2"/>
  <c r="J578" i="2"/>
  <c r="J902" i="2"/>
  <c r="Q902" i="2" s="1"/>
  <c r="T902" i="2" s="1"/>
  <c r="J854" i="2"/>
  <c r="Q854" i="2" s="1"/>
  <c r="T854" i="2" s="1"/>
  <c r="J782" i="2"/>
  <c r="J698" i="2"/>
  <c r="Q698" i="2" s="1"/>
  <c r="T698" i="2" s="1"/>
  <c r="J554" i="2"/>
  <c r="J818" i="2"/>
  <c r="Q818" i="2" s="1"/>
  <c r="T818" i="2" s="1"/>
  <c r="J566" i="2"/>
  <c r="J830" i="2"/>
  <c r="J638" i="2"/>
  <c r="J398" i="2"/>
  <c r="Q398" i="2" s="1"/>
  <c r="T398" i="2" s="1"/>
  <c r="J841" i="2"/>
  <c r="J709" i="2"/>
  <c r="J565" i="2"/>
  <c r="J409" i="2"/>
  <c r="Q409" i="2" s="1"/>
  <c r="T409" i="2" s="1"/>
  <c r="J506" i="2"/>
  <c r="Q506" i="2" s="1"/>
  <c r="T506" i="2" s="1"/>
  <c r="J302" i="2"/>
  <c r="Q302" i="2" s="1"/>
  <c r="T302" i="2" s="1"/>
  <c r="J877" i="2"/>
  <c r="Q877" i="2" s="1"/>
  <c r="T877" i="2" s="1"/>
  <c r="J781" i="2"/>
  <c r="Q781" i="2" s="1"/>
  <c r="T781" i="2" s="1"/>
  <c r="J673" i="2"/>
  <c r="Q673" i="2" s="1"/>
  <c r="T673" i="2" s="1"/>
  <c r="J589" i="2"/>
  <c r="Q589" i="2" s="1"/>
  <c r="T589" i="2" s="1"/>
  <c r="J505" i="2"/>
  <c r="J421" i="2"/>
  <c r="J337" i="2"/>
  <c r="J924" i="2"/>
  <c r="Q924" i="2" s="1"/>
  <c r="T924" i="2" s="1"/>
  <c r="J912" i="2"/>
  <c r="Q912" i="2" s="1"/>
  <c r="T912" i="2" s="1"/>
  <c r="J900" i="2"/>
  <c r="J888" i="2"/>
  <c r="J876" i="2"/>
  <c r="J864" i="2"/>
  <c r="J852" i="2"/>
  <c r="Q852" i="2" s="1"/>
  <c r="T852" i="2" s="1"/>
  <c r="J840" i="2"/>
  <c r="J828" i="2"/>
  <c r="Q828" i="2" s="1"/>
  <c r="T828" i="2" s="1"/>
  <c r="J816" i="2"/>
  <c r="Q816" i="2" s="1"/>
  <c r="T816" i="2" s="1"/>
  <c r="J804" i="2"/>
  <c r="Q804" i="2" s="1"/>
  <c r="T804" i="2" s="1"/>
  <c r="J792" i="2"/>
  <c r="Q792" i="2" s="1"/>
  <c r="T792" i="2" s="1"/>
  <c r="J780" i="2"/>
  <c r="J768" i="2"/>
  <c r="J756" i="2"/>
  <c r="J744" i="2"/>
  <c r="J732" i="2"/>
  <c r="Q732" i="2" s="1"/>
  <c r="T732" i="2" s="1"/>
  <c r="J720" i="2"/>
  <c r="J708" i="2"/>
  <c r="J696" i="2"/>
  <c r="Q696" i="2" s="1"/>
  <c r="T696" i="2" s="1"/>
  <c r="J684" i="2"/>
  <c r="Q684" i="2" s="1"/>
  <c r="T684" i="2" s="1"/>
  <c r="J672" i="2"/>
  <c r="J660" i="2"/>
  <c r="Q660" i="2" s="1"/>
  <c r="T660" i="2" s="1"/>
  <c r="J648" i="2"/>
  <c r="Q648" i="2" s="1"/>
  <c r="T648" i="2" s="1"/>
  <c r="J636" i="2"/>
  <c r="Q636" i="2" s="1"/>
  <c r="T636" i="2" s="1"/>
  <c r="J624" i="2"/>
  <c r="Q624" i="2" s="1"/>
  <c r="T624" i="2" s="1"/>
  <c r="J612" i="2"/>
  <c r="Q612" i="2" s="1"/>
  <c r="T612" i="2" s="1"/>
  <c r="J600" i="2"/>
  <c r="J588" i="2"/>
  <c r="J576" i="2"/>
  <c r="Q576" i="2" s="1"/>
  <c r="T576" i="2" s="1"/>
  <c r="J564" i="2"/>
  <c r="Q564" i="2" s="1"/>
  <c r="T564" i="2" s="1"/>
  <c r="J552" i="2"/>
  <c r="Q552" i="2" s="1"/>
  <c r="T552" i="2" s="1"/>
  <c r="J540" i="2"/>
  <c r="Q540" i="2" s="1"/>
  <c r="T540" i="2" s="1"/>
  <c r="J528" i="2"/>
  <c r="Q528" i="2" s="1"/>
  <c r="T528" i="2" s="1"/>
  <c r="J516" i="2"/>
  <c r="Q516" i="2" s="1"/>
  <c r="T516" i="2" s="1"/>
  <c r="J504" i="2"/>
  <c r="Q504" i="2" s="1"/>
  <c r="T504" i="2" s="1"/>
  <c r="J492" i="2"/>
  <c r="J480" i="2"/>
  <c r="Q480" i="2" s="1"/>
  <c r="T480" i="2" s="1"/>
  <c r="J468" i="2"/>
  <c r="Q468" i="2" s="1"/>
  <c r="T468" i="2" s="1"/>
  <c r="J456" i="2"/>
  <c r="Q456" i="2" s="1"/>
  <c r="T456" i="2" s="1"/>
  <c r="J444" i="2"/>
  <c r="Q444" i="2" s="1"/>
  <c r="T444" i="2" s="1"/>
  <c r="J432" i="2"/>
  <c r="Q432" i="2" s="1"/>
  <c r="T432" i="2" s="1"/>
  <c r="J420" i="2"/>
  <c r="Q420" i="2" s="1"/>
  <c r="T420" i="2" s="1"/>
  <c r="J408" i="2"/>
  <c r="Q408" i="2" s="1"/>
  <c r="T408" i="2" s="1"/>
  <c r="J396" i="2"/>
  <c r="Q396" i="2" s="1"/>
  <c r="T396" i="2" s="1"/>
  <c r="J384" i="2"/>
  <c r="Q384" i="2" s="1"/>
  <c r="T384" i="2" s="1"/>
  <c r="J372" i="2"/>
  <c r="Q372" i="2" s="1"/>
  <c r="T372" i="2" s="1"/>
  <c r="J360" i="2"/>
  <c r="J348" i="2"/>
  <c r="Q348" i="2" s="1"/>
  <c r="T348" i="2" s="1"/>
  <c r="J336" i="2"/>
  <c r="J324" i="2"/>
  <c r="J312" i="2"/>
  <c r="Q312" i="2" s="1"/>
  <c r="T312" i="2" s="1"/>
  <c r="J300" i="2"/>
  <c r="Q300" i="2" s="1"/>
  <c r="T300" i="2" s="1"/>
  <c r="J288" i="2"/>
  <c r="J276" i="2"/>
  <c r="Q276" i="2" s="1"/>
  <c r="T276" i="2" s="1"/>
  <c r="J264" i="2"/>
  <c r="J252" i="2"/>
  <c r="J240" i="2"/>
  <c r="J228" i="2"/>
  <c r="Q228" i="2" s="1"/>
  <c r="T228" i="2" s="1"/>
  <c r="J216" i="2"/>
  <c r="Q216" i="2" s="1"/>
  <c r="T216" i="2" s="1"/>
  <c r="J204" i="2"/>
  <c r="J192" i="2"/>
  <c r="Q192" i="2" s="1"/>
  <c r="T192" i="2" s="1"/>
  <c r="J180" i="2"/>
  <c r="Q180" i="2" s="1"/>
  <c r="T180" i="2" s="1"/>
  <c r="J168" i="2"/>
  <c r="J156" i="2"/>
  <c r="J144" i="2"/>
  <c r="Q144" i="2" s="1"/>
  <c r="T144" i="2" s="1"/>
  <c r="J132" i="2"/>
  <c r="J120" i="2"/>
  <c r="Q120" i="2" s="1"/>
  <c r="T120" i="2" s="1"/>
  <c r="J108" i="2"/>
  <c r="J96" i="2"/>
  <c r="Q96" i="2" s="1"/>
  <c r="T96" i="2" s="1"/>
  <c r="J84" i="2"/>
  <c r="Q84" i="2" s="1"/>
  <c r="T84" i="2" s="1"/>
  <c r="J72" i="2"/>
  <c r="J60" i="2"/>
  <c r="J48" i="2"/>
  <c r="J36" i="2"/>
  <c r="Q36" i="2" s="1"/>
  <c r="T36" i="2" s="1"/>
  <c r="J24" i="2"/>
  <c r="Q24" i="2" s="1"/>
  <c r="T24" i="2" s="1"/>
  <c r="J530" i="2"/>
  <c r="Q530" i="2" s="1"/>
  <c r="T530" i="2" s="1"/>
  <c r="J446" i="2"/>
  <c r="Q446" i="2" s="1"/>
  <c r="T446" i="2" s="1"/>
  <c r="J326" i="2"/>
  <c r="Q326" i="2" s="1"/>
  <c r="T326" i="2" s="1"/>
  <c r="J865" i="2"/>
  <c r="Q865" i="2" s="1"/>
  <c r="T865" i="2" s="1"/>
  <c r="J757" i="2"/>
  <c r="J661" i="2"/>
  <c r="J577" i="2"/>
  <c r="Q577" i="2" s="1"/>
  <c r="T577" i="2" s="1"/>
  <c r="J481" i="2"/>
  <c r="J385" i="2"/>
  <c r="J922" i="2"/>
  <c r="J910" i="2"/>
  <c r="Q910" i="2" s="1"/>
  <c r="T910" i="2" s="1"/>
  <c r="J898" i="2"/>
  <c r="Q898" i="2" s="1"/>
  <c r="T898" i="2" s="1"/>
  <c r="J886" i="2"/>
  <c r="Q886" i="2" s="1"/>
  <c r="T886" i="2" s="1"/>
  <c r="J874" i="2"/>
  <c r="Q874" i="2" s="1"/>
  <c r="T874" i="2" s="1"/>
  <c r="J862" i="2"/>
  <c r="Q862" i="2" s="1"/>
  <c r="T862" i="2" s="1"/>
  <c r="J850" i="2"/>
  <c r="Q850" i="2" s="1"/>
  <c r="T850" i="2" s="1"/>
  <c r="J838" i="2"/>
  <c r="Q838" i="2" s="1"/>
  <c r="T838" i="2" s="1"/>
  <c r="J826" i="2"/>
  <c r="J814" i="2"/>
  <c r="Q814" i="2" s="1"/>
  <c r="T814" i="2" s="1"/>
  <c r="J802" i="2"/>
  <c r="J790" i="2"/>
  <c r="Q790" i="2" s="1"/>
  <c r="T790" i="2" s="1"/>
  <c r="J778" i="2"/>
  <c r="Q778" i="2" s="1"/>
  <c r="T778" i="2" s="1"/>
  <c r="J766" i="2"/>
  <c r="J754" i="2"/>
  <c r="J742" i="2"/>
  <c r="Q742" i="2" s="1"/>
  <c r="T742" i="2" s="1"/>
  <c r="J730" i="2"/>
  <c r="J718" i="2"/>
  <c r="Q718" i="2" s="1"/>
  <c r="T718" i="2" s="1"/>
  <c r="J706" i="2"/>
  <c r="Q706" i="2" s="1"/>
  <c r="T706" i="2" s="1"/>
  <c r="J694" i="2"/>
  <c r="Q694" i="2" s="1"/>
  <c r="T694" i="2" s="1"/>
  <c r="J682" i="2"/>
  <c r="Q682" i="2" s="1"/>
  <c r="T682" i="2" s="1"/>
  <c r="J670" i="2"/>
  <c r="J658" i="2"/>
  <c r="J646" i="2"/>
  <c r="J634" i="2"/>
  <c r="Q634" i="2" s="1"/>
  <c r="T634" i="2" s="1"/>
  <c r="J622" i="2"/>
  <c r="J610" i="2"/>
  <c r="J598" i="2"/>
  <c r="J586" i="2"/>
  <c r="Q586" i="2" s="1"/>
  <c r="T586" i="2" s="1"/>
  <c r="J574" i="2"/>
  <c r="J562" i="2"/>
  <c r="J550" i="2"/>
  <c r="Q550" i="2" s="1"/>
  <c r="T550" i="2" s="1"/>
  <c r="J538" i="2"/>
  <c r="Q538" i="2" s="1"/>
  <c r="T538" i="2" s="1"/>
  <c r="J526" i="2"/>
  <c r="Q526" i="2" s="1"/>
  <c r="T526" i="2" s="1"/>
  <c r="J514" i="2"/>
  <c r="J502" i="2"/>
  <c r="Q502" i="2" s="1"/>
  <c r="T502" i="2" s="1"/>
  <c r="J490" i="2"/>
  <c r="Q490" i="2" s="1"/>
  <c r="T490" i="2" s="1"/>
  <c r="J478" i="2"/>
  <c r="Q478" i="2" s="1"/>
  <c r="T478" i="2" s="1"/>
  <c r="J466" i="2"/>
  <c r="J454" i="2"/>
  <c r="Q454" i="2" s="1"/>
  <c r="T454" i="2" s="1"/>
  <c r="J442" i="2"/>
  <c r="Q442" i="2" s="1"/>
  <c r="T442" i="2" s="1"/>
  <c r="J430" i="2"/>
  <c r="J418" i="2"/>
  <c r="J406" i="2"/>
  <c r="J394" i="2"/>
  <c r="Q394" i="2" s="1"/>
  <c r="T394" i="2" s="1"/>
  <c r="J382" i="2"/>
  <c r="Q382" i="2" s="1"/>
  <c r="T382" i="2" s="1"/>
  <c r="J370" i="2"/>
  <c r="Q370" i="2" s="1"/>
  <c r="T370" i="2" s="1"/>
  <c r="J358" i="2"/>
  <c r="J346" i="2"/>
  <c r="J334" i="2"/>
  <c r="Q334" i="2" s="1"/>
  <c r="T334" i="2" s="1"/>
  <c r="J322" i="2"/>
  <c r="Q322" i="2" s="1"/>
  <c r="T322" i="2" s="1"/>
  <c r="J310" i="2"/>
  <c r="Q310" i="2" s="1"/>
  <c r="T310" i="2" s="1"/>
  <c r="J298" i="2"/>
  <c r="Q298" i="2" s="1"/>
  <c r="T298" i="2" s="1"/>
  <c r="J286" i="2"/>
  <c r="Q286" i="2" s="1"/>
  <c r="T286" i="2" s="1"/>
  <c r="J274" i="2"/>
  <c r="J262" i="2"/>
  <c r="Q262" i="2" s="1"/>
  <c r="T262" i="2" s="1"/>
  <c r="J250" i="2"/>
  <c r="J238" i="2"/>
  <c r="Q238" i="2" s="1"/>
  <c r="T238" i="2" s="1"/>
  <c r="J226" i="2"/>
  <c r="J214" i="2"/>
  <c r="Q214" i="2" s="1"/>
  <c r="T214" i="2" s="1"/>
  <c r="J202" i="2"/>
  <c r="Q202" i="2" s="1"/>
  <c r="T202" i="2" s="1"/>
  <c r="J190" i="2"/>
  <c r="Q190" i="2" s="1"/>
  <c r="T190" i="2" s="1"/>
  <c r="J178" i="2"/>
  <c r="Q178" i="2" s="1"/>
  <c r="T178" i="2" s="1"/>
  <c r="J166" i="2"/>
  <c r="Q166" i="2" s="1"/>
  <c r="T166" i="2" s="1"/>
  <c r="J154" i="2"/>
  <c r="Q154" i="2" s="1"/>
  <c r="T154" i="2" s="1"/>
  <c r="J142" i="2"/>
  <c r="J130" i="2"/>
  <c r="Q130" i="2" s="1"/>
  <c r="T130" i="2" s="1"/>
  <c r="J118" i="2"/>
  <c r="Q118" i="2" s="1"/>
  <c r="T118" i="2" s="1"/>
  <c r="J106" i="2"/>
  <c r="Q106" i="2" s="1"/>
  <c r="T106" i="2" s="1"/>
  <c r="J94" i="2"/>
  <c r="J82" i="2"/>
  <c r="Q82" i="2" s="1"/>
  <c r="T82" i="2" s="1"/>
  <c r="J70" i="2"/>
  <c r="Q70" i="2" s="1"/>
  <c r="T70" i="2" s="1"/>
  <c r="J58" i="2"/>
  <c r="J46" i="2"/>
  <c r="Q46" i="2" s="1"/>
  <c r="T46" i="2" s="1"/>
  <c r="J34" i="2"/>
  <c r="Q34" i="2" s="1"/>
  <c r="T34" i="2" s="1"/>
  <c r="J22" i="2"/>
  <c r="Q22" i="2" s="1"/>
  <c r="T22" i="2" s="1"/>
  <c r="J518" i="2"/>
  <c r="Q518" i="2" s="1"/>
  <c r="T518" i="2" s="1"/>
  <c r="J434" i="2"/>
  <c r="J374" i="2"/>
  <c r="Q374" i="2" s="1"/>
  <c r="T374" i="2" s="1"/>
  <c r="J290" i="2"/>
  <c r="Q290" i="2" s="1"/>
  <c r="T290" i="2" s="1"/>
  <c r="J254" i="2"/>
  <c r="J218" i="2"/>
  <c r="J170" i="2"/>
  <c r="Q170" i="2" s="1"/>
  <c r="T170" i="2" s="1"/>
  <c r="J134" i="2"/>
  <c r="J110" i="2"/>
  <c r="Q110" i="2" s="1"/>
  <c r="T110" i="2" s="1"/>
  <c r="J74" i="2"/>
  <c r="Q74" i="2" s="1"/>
  <c r="T74" i="2" s="1"/>
  <c r="J38" i="2"/>
  <c r="J889" i="2"/>
  <c r="Q889" i="2" s="1"/>
  <c r="T889" i="2" s="1"/>
  <c r="J793" i="2"/>
  <c r="J685" i="2"/>
  <c r="Q685" i="2" s="1"/>
  <c r="T685" i="2" s="1"/>
  <c r="J625" i="2"/>
  <c r="Q625" i="2" s="1"/>
  <c r="T625" i="2" s="1"/>
  <c r="J517" i="2"/>
  <c r="J433" i="2"/>
  <c r="Q433" i="2" s="1"/>
  <c r="T433" i="2" s="1"/>
  <c r="J325" i="2"/>
  <c r="Q325" i="2" s="1"/>
  <c r="T325" i="2" s="1"/>
  <c r="J494" i="2"/>
  <c r="Q494" i="2" s="1"/>
  <c r="T494" i="2" s="1"/>
  <c r="J410" i="2"/>
  <c r="J350" i="2"/>
  <c r="J206" i="2"/>
  <c r="J853" i="2"/>
  <c r="Q853" i="2" s="1"/>
  <c r="T853" i="2" s="1"/>
  <c r="J769" i="2"/>
  <c r="Q769" i="2" s="1"/>
  <c r="T769" i="2" s="1"/>
  <c r="J697" i="2"/>
  <c r="Q697" i="2" s="1"/>
  <c r="T697" i="2" s="1"/>
  <c r="J613" i="2"/>
  <c r="Q613" i="2" s="1"/>
  <c r="T613" i="2" s="1"/>
  <c r="J529" i="2"/>
  <c r="J469" i="2"/>
  <c r="J373" i="2"/>
  <c r="J313" i="2"/>
  <c r="J11" i="2"/>
  <c r="J907" i="2"/>
  <c r="Q907" i="2" s="1"/>
  <c r="T907" i="2" s="1"/>
  <c r="J859" i="2"/>
  <c r="Q859" i="2" s="1"/>
  <c r="T859" i="2" s="1"/>
  <c r="J799" i="2"/>
  <c r="J727" i="2"/>
  <c r="Q727" i="2" s="1"/>
  <c r="T727" i="2" s="1"/>
  <c r="J667" i="2"/>
  <c r="Q667" i="2" s="1"/>
  <c r="T667" i="2" s="1"/>
  <c r="J619" i="2"/>
  <c r="Q619" i="2" s="1"/>
  <c r="T619" i="2" s="1"/>
  <c r="J559" i="2"/>
  <c r="J511" i="2"/>
  <c r="J451" i="2"/>
  <c r="J379" i="2"/>
  <c r="Q379" i="2" s="1"/>
  <c r="T379" i="2" s="1"/>
  <c r="J331" i="2"/>
  <c r="J271" i="2"/>
  <c r="J211" i="2"/>
  <c r="J151" i="2"/>
  <c r="Q151" i="2" s="1"/>
  <c r="T151" i="2" s="1"/>
  <c r="J67" i="2"/>
  <c r="Q67" i="2" s="1"/>
  <c r="T67" i="2" s="1"/>
  <c r="J482" i="2"/>
  <c r="Q482" i="2" s="1"/>
  <c r="T482" i="2" s="1"/>
  <c r="J386" i="2"/>
  <c r="Q386" i="2" s="1"/>
  <c r="T386" i="2" s="1"/>
  <c r="J338" i="2"/>
  <c r="Q338" i="2" s="1"/>
  <c r="T338" i="2" s="1"/>
  <c r="J266" i="2"/>
  <c r="Q266" i="2" s="1"/>
  <c r="T266" i="2" s="1"/>
  <c r="J230" i="2"/>
  <c r="J182" i="2"/>
  <c r="J146" i="2"/>
  <c r="J98" i="2"/>
  <c r="J925" i="2"/>
  <c r="Q925" i="2" s="1"/>
  <c r="T925" i="2" s="1"/>
  <c r="J829" i="2"/>
  <c r="Q829" i="2" s="1"/>
  <c r="T829" i="2" s="1"/>
  <c r="J745" i="2"/>
  <c r="Q745" i="2" s="1"/>
  <c r="T745" i="2" s="1"/>
  <c r="J637" i="2"/>
  <c r="Q637" i="2" s="1"/>
  <c r="T637" i="2" s="1"/>
  <c r="J553" i="2"/>
  <c r="Q553" i="2" s="1"/>
  <c r="T553" i="2" s="1"/>
  <c r="J445" i="2"/>
  <c r="J361" i="2"/>
  <c r="Q361" i="2" s="1"/>
  <c r="T361" i="2" s="1"/>
  <c r="J919" i="2"/>
  <c r="Q919" i="2" s="1"/>
  <c r="T919" i="2" s="1"/>
  <c r="J883" i="2"/>
  <c r="Q883" i="2" s="1"/>
  <c r="T883" i="2" s="1"/>
  <c r="J823" i="2"/>
  <c r="Q823" i="2" s="1"/>
  <c r="T823" i="2" s="1"/>
  <c r="J787" i="2"/>
  <c r="Q787" i="2" s="1"/>
  <c r="T787" i="2" s="1"/>
  <c r="J739" i="2"/>
  <c r="Q739" i="2" s="1"/>
  <c r="T739" i="2" s="1"/>
  <c r="J679" i="2"/>
  <c r="Q679" i="2" s="1"/>
  <c r="T679" i="2" s="1"/>
  <c r="J631" i="2"/>
  <c r="J583" i="2"/>
  <c r="J535" i="2"/>
  <c r="J487" i="2"/>
  <c r="J439" i="2"/>
  <c r="J391" i="2"/>
  <c r="Q391" i="2" s="1"/>
  <c r="T391" i="2" s="1"/>
  <c r="J355" i="2"/>
  <c r="Q355" i="2" s="1"/>
  <c r="T355" i="2" s="1"/>
  <c r="J295" i="2"/>
  <c r="J247" i="2"/>
  <c r="J199" i="2"/>
  <c r="Q199" i="2" s="1"/>
  <c r="T199" i="2" s="1"/>
  <c r="J127" i="2"/>
  <c r="Q127" i="2" s="1"/>
  <c r="T127" i="2" s="1"/>
  <c r="J79" i="2"/>
  <c r="J31" i="2"/>
  <c r="J470" i="2"/>
  <c r="Q470" i="2" s="1"/>
  <c r="T470" i="2" s="1"/>
  <c r="J314" i="2"/>
  <c r="Q314" i="2" s="1"/>
  <c r="T314" i="2" s="1"/>
  <c r="J913" i="2"/>
  <c r="J817" i="2"/>
  <c r="Q817" i="2" s="1"/>
  <c r="T817" i="2" s="1"/>
  <c r="J733" i="2"/>
  <c r="J649" i="2"/>
  <c r="J541" i="2"/>
  <c r="J457" i="2"/>
  <c r="Q457" i="2" s="1"/>
  <c r="T457" i="2" s="1"/>
  <c r="J349" i="2"/>
  <c r="Q349" i="2" s="1"/>
  <c r="T349" i="2" s="1"/>
  <c r="J871" i="2"/>
  <c r="Q871" i="2" s="1"/>
  <c r="T871" i="2" s="1"/>
  <c r="J835" i="2"/>
  <c r="J775" i="2"/>
  <c r="J751" i="2"/>
  <c r="J703" i="2"/>
  <c r="Q703" i="2" s="1"/>
  <c r="T703" i="2" s="1"/>
  <c r="J643" i="2"/>
  <c r="Q643" i="2" s="1"/>
  <c r="T643" i="2" s="1"/>
  <c r="J595" i="2"/>
  <c r="Q595" i="2" s="1"/>
  <c r="T595" i="2" s="1"/>
  <c r="J547" i="2"/>
  <c r="J499" i="2"/>
  <c r="Q499" i="2" s="1"/>
  <c r="T499" i="2" s="1"/>
  <c r="J463" i="2"/>
  <c r="J415" i="2"/>
  <c r="Q415" i="2" s="1"/>
  <c r="T415" i="2" s="1"/>
  <c r="J343" i="2"/>
  <c r="Q343" i="2" s="1"/>
  <c r="T343" i="2" s="1"/>
  <c r="J283" i="2"/>
  <c r="Q283" i="2" s="1"/>
  <c r="T283" i="2" s="1"/>
  <c r="J235" i="2"/>
  <c r="J187" i="2"/>
  <c r="J139" i="2"/>
  <c r="Q139" i="2" s="1"/>
  <c r="T139" i="2" s="1"/>
  <c r="J91" i="2"/>
  <c r="Q91" i="2" s="1"/>
  <c r="T91" i="2" s="1"/>
  <c r="J43" i="2"/>
  <c r="J542" i="2"/>
  <c r="Q542" i="2" s="1"/>
  <c r="T542" i="2" s="1"/>
  <c r="J458" i="2"/>
  <c r="J362" i="2"/>
  <c r="Q362" i="2" s="1"/>
  <c r="T362" i="2" s="1"/>
  <c r="J278" i="2"/>
  <c r="J242" i="2"/>
  <c r="Q242" i="2" s="1"/>
  <c r="T242" i="2" s="1"/>
  <c r="J194" i="2"/>
  <c r="J158" i="2"/>
  <c r="Q158" i="2" s="1"/>
  <c r="T158" i="2" s="1"/>
  <c r="J122" i="2"/>
  <c r="J86" i="2"/>
  <c r="Q86" i="2" s="1"/>
  <c r="T86" i="2" s="1"/>
  <c r="J62" i="2"/>
  <c r="J50" i="2"/>
  <c r="Q50" i="2" s="1"/>
  <c r="T50" i="2" s="1"/>
  <c r="J26" i="2"/>
  <c r="J901" i="2"/>
  <c r="Q901" i="2" s="1"/>
  <c r="T901" i="2" s="1"/>
  <c r="J805" i="2"/>
  <c r="J721" i="2"/>
  <c r="Q721" i="2" s="1"/>
  <c r="T721" i="2" s="1"/>
  <c r="J601" i="2"/>
  <c r="Q601" i="2" s="1"/>
  <c r="T601" i="2" s="1"/>
  <c r="J493" i="2"/>
  <c r="Q493" i="2" s="1"/>
  <c r="T493" i="2" s="1"/>
  <c r="J397" i="2"/>
  <c r="J895" i="2"/>
  <c r="Q895" i="2" s="1"/>
  <c r="T895" i="2" s="1"/>
  <c r="J847" i="2"/>
  <c r="J811" i="2"/>
  <c r="Q811" i="2" s="1"/>
  <c r="T811" i="2" s="1"/>
  <c r="J763" i="2"/>
  <c r="Q763" i="2" s="1"/>
  <c r="T763" i="2" s="1"/>
  <c r="J715" i="2"/>
  <c r="Q715" i="2" s="1"/>
  <c r="T715" i="2" s="1"/>
  <c r="J691" i="2"/>
  <c r="Q691" i="2" s="1"/>
  <c r="T691" i="2" s="1"/>
  <c r="J655" i="2"/>
  <c r="J607" i="2"/>
  <c r="J571" i="2"/>
  <c r="Q571" i="2" s="1"/>
  <c r="T571" i="2" s="1"/>
  <c r="J523" i="2"/>
  <c r="Q523" i="2" s="1"/>
  <c r="T523" i="2" s="1"/>
  <c r="J475" i="2"/>
  <c r="Q475" i="2" s="1"/>
  <c r="T475" i="2" s="1"/>
  <c r="J427" i="2"/>
  <c r="Q427" i="2" s="1"/>
  <c r="T427" i="2" s="1"/>
  <c r="J403" i="2"/>
  <c r="Q403" i="2" s="1"/>
  <c r="T403" i="2" s="1"/>
  <c r="J367" i="2"/>
  <c r="J319" i="2"/>
  <c r="Q319" i="2" s="1"/>
  <c r="T319" i="2" s="1"/>
  <c r="J307" i="2"/>
  <c r="J259" i="2"/>
  <c r="J223" i="2"/>
  <c r="J175" i="2"/>
  <c r="Q175" i="2" s="1"/>
  <c r="T175" i="2" s="1"/>
  <c r="J163" i="2"/>
  <c r="Q163" i="2" s="1"/>
  <c r="T163" i="2" s="1"/>
  <c r="J115" i="2"/>
  <c r="J103" i="2"/>
  <c r="Q103" i="2" s="1"/>
  <c r="T103" i="2" s="1"/>
  <c r="J55" i="2"/>
  <c r="J861" i="2"/>
  <c r="J921" i="2"/>
  <c r="Q921" i="2" s="1"/>
  <c r="T921" i="2" s="1"/>
  <c r="J849" i="2"/>
  <c r="Q849" i="2" s="1"/>
  <c r="T849" i="2" s="1"/>
  <c r="J908" i="2"/>
  <c r="J860" i="2"/>
  <c r="Q860" i="2" s="1"/>
  <c r="T860" i="2" s="1"/>
  <c r="J776" i="2"/>
  <c r="Q776" i="2" s="1"/>
  <c r="T776" i="2" s="1"/>
  <c r="J728" i="2"/>
  <c r="Q728" i="2" s="1"/>
  <c r="T728" i="2" s="1"/>
  <c r="J668" i="2"/>
  <c r="J608" i="2"/>
  <c r="Q608" i="2" s="1"/>
  <c r="T608" i="2" s="1"/>
  <c r="J548" i="2"/>
  <c r="Q548" i="2" s="1"/>
  <c r="T548" i="2" s="1"/>
  <c r="J488" i="2"/>
  <c r="J428" i="2"/>
  <c r="Q428" i="2" s="1"/>
  <c r="T428" i="2" s="1"/>
  <c r="J356" i="2"/>
  <c r="J296" i="2"/>
  <c r="Q296" i="2" s="1"/>
  <c r="T296" i="2" s="1"/>
  <c r="J224" i="2"/>
  <c r="Q224" i="2" s="1"/>
  <c r="T224" i="2" s="1"/>
  <c r="J152" i="2"/>
  <c r="Q152" i="2" s="1"/>
  <c r="T152" i="2" s="1"/>
  <c r="J116" i="2"/>
  <c r="J56" i="2"/>
  <c r="Q56" i="2" s="1"/>
  <c r="T56" i="2" s="1"/>
  <c r="J32" i="2"/>
  <c r="J909" i="2"/>
  <c r="J884" i="2"/>
  <c r="Q884" i="2" s="1"/>
  <c r="T884" i="2" s="1"/>
  <c r="J848" i="2"/>
  <c r="Q848" i="2" s="1"/>
  <c r="T848" i="2" s="1"/>
  <c r="J800" i="2"/>
  <c r="Q800" i="2" s="1"/>
  <c r="T800" i="2" s="1"/>
  <c r="J764" i="2"/>
  <c r="J716" i="2"/>
  <c r="Q716" i="2" s="1"/>
  <c r="T716" i="2" s="1"/>
  <c r="J692" i="2"/>
  <c r="J644" i="2"/>
  <c r="Q644" i="2" s="1"/>
  <c r="T644" i="2" s="1"/>
  <c r="J596" i="2"/>
  <c r="J560" i="2"/>
  <c r="Q560" i="2" s="1"/>
  <c r="T560" i="2" s="1"/>
  <c r="J512" i="2"/>
  <c r="J476" i="2"/>
  <c r="Q476" i="2" s="1"/>
  <c r="T476" i="2" s="1"/>
  <c r="J440" i="2"/>
  <c r="Q440" i="2" s="1"/>
  <c r="T440" i="2" s="1"/>
  <c r="J392" i="2"/>
  <c r="Q392" i="2" s="1"/>
  <c r="T392" i="2" s="1"/>
  <c r="J344" i="2"/>
  <c r="Q344" i="2" s="1"/>
  <c r="T344" i="2" s="1"/>
  <c r="J308" i="2"/>
  <c r="Q308" i="2" s="1"/>
  <c r="T308" i="2" s="1"/>
  <c r="J260" i="2"/>
  <c r="Q260" i="2" s="1"/>
  <c r="T260" i="2" s="1"/>
  <c r="J212" i="2"/>
  <c r="Q212" i="2" s="1"/>
  <c r="T212" i="2" s="1"/>
  <c r="J176" i="2"/>
  <c r="J140" i="2"/>
  <c r="Q140" i="2" s="1"/>
  <c r="T140" i="2" s="1"/>
  <c r="J92" i="2"/>
  <c r="J68" i="2"/>
  <c r="J873" i="2"/>
  <c r="Q873" i="2" s="1"/>
  <c r="T873" i="2" s="1"/>
  <c r="J896" i="2"/>
  <c r="J836" i="2"/>
  <c r="J788" i="2"/>
  <c r="Q788" i="2" s="1"/>
  <c r="T788" i="2" s="1"/>
  <c r="J740" i="2"/>
  <c r="J680" i="2"/>
  <c r="J632" i="2"/>
  <c r="Q632" i="2" s="1"/>
  <c r="T632" i="2" s="1"/>
  <c r="J584" i="2"/>
  <c r="J524" i="2"/>
  <c r="Q524" i="2" s="1"/>
  <c r="T524" i="2" s="1"/>
  <c r="J464" i="2"/>
  <c r="J416" i="2"/>
  <c r="J368" i="2"/>
  <c r="Q368" i="2" s="1"/>
  <c r="T368" i="2" s="1"/>
  <c r="J320" i="2"/>
  <c r="Q320" i="2" s="1"/>
  <c r="T320" i="2" s="1"/>
  <c r="J272" i="2"/>
  <c r="Q272" i="2" s="1"/>
  <c r="T272" i="2" s="1"/>
  <c r="J236" i="2"/>
  <c r="Q236" i="2" s="1"/>
  <c r="T236" i="2" s="1"/>
  <c r="J188" i="2"/>
  <c r="Q188" i="2" s="1"/>
  <c r="T188" i="2" s="1"/>
  <c r="J104" i="2"/>
  <c r="J885" i="2"/>
  <c r="J837" i="2"/>
  <c r="J920" i="2"/>
  <c r="J872" i="2"/>
  <c r="J824" i="2"/>
  <c r="Q824" i="2" s="1"/>
  <c r="T824" i="2" s="1"/>
  <c r="J812" i="2"/>
  <c r="J752" i="2"/>
  <c r="Q752" i="2" s="1"/>
  <c r="T752" i="2" s="1"/>
  <c r="J704" i="2"/>
  <c r="Q704" i="2" s="1"/>
  <c r="T704" i="2" s="1"/>
  <c r="J656" i="2"/>
  <c r="Q656" i="2" s="1"/>
  <c r="T656" i="2" s="1"/>
  <c r="J620" i="2"/>
  <c r="J572" i="2"/>
  <c r="Q572" i="2" s="1"/>
  <c r="T572" i="2" s="1"/>
  <c r="J536" i="2"/>
  <c r="Q536" i="2" s="1"/>
  <c r="T536" i="2" s="1"/>
  <c r="J500" i="2"/>
  <c r="Q500" i="2" s="1"/>
  <c r="T500" i="2" s="1"/>
  <c r="J452" i="2"/>
  <c r="Q452" i="2" s="1"/>
  <c r="T452" i="2" s="1"/>
  <c r="J404" i="2"/>
  <c r="J380" i="2"/>
  <c r="Q380" i="2" s="1"/>
  <c r="T380" i="2" s="1"/>
  <c r="J332" i="2"/>
  <c r="Q332" i="2" s="1"/>
  <c r="T332" i="2" s="1"/>
  <c r="J284" i="2"/>
  <c r="J248" i="2"/>
  <c r="Q248" i="2" s="1"/>
  <c r="T248" i="2" s="1"/>
  <c r="J200" i="2"/>
  <c r="J164" i="2"/>
  <c r="J128" i="2"/>
  <c r="Q128" i="2" s="1"/>
  <c r="T128" i="2" s="1"/>
  <c r="J80" i="2"/>
  <c r="Q80" i="2" s="1"/>
  <c r="T80" i="2" s="1"/>
  <c r="J44" i="2"/>
  <c r="Q44" i="2" s="1"/>
  <c r="T44" i="2" s="1"/>
  <c r="J897" i="2"/>
  <c r="Q897" i="2" s="1"/>
  <c r="T897" i="2" s="1"/>
  <c r="J13" i="2"/>
  <c r="J12" i="2"/>
  <c r="J7" i="1" s="1"/>
  <c r="M7" i="1" s="1"/>
  <c r="J19" i="2"/>
  <c r="Q19" i="2" s="1"/>
  <c r="T19" i="2" s="1"/>
  <c r="J8" i="2"/>
  <c r="J20" i="2"/>
  <c r="Q20" i="2" s="1"/>
  <c r="T20" i="2" s="1"/>
  <c r="J5" i="2"/>
  <c r="J9" i="2"/>
  <c r="J5" i="1" s="1"/>
  <c r="M5" i="1" s="1"/>
  <c r="J6" i="2"/>
  <c r="Q6" i="2" s="1"/>
  <c r="T6" i="2" s="1"/>
  <c r="J17" i="2"/>
  <c r="Q17" i="2" s="1"/>
  <c r="T17" i="2" s="1"/>
  <c r="J18" i="2"/>
  <c r="E38" i="7"/>
  <c r="P31" i="2"/>
  <c r="E27" i="7"/>
  <c r="P30" i="2"/>
  <c r="E37" i="7"/>
  <c r="P7" i="2"/>
  <c r="E74" i="7"/>
  <c r="P54" i="2"/>
  <c r="E16" i="7"/>
  <c r="P12" i="2"/>
  <c r="E51" i="7"/>
  <c r="P53" i="2"/>
  <c r="E110" i="7"/>
  <c r="P45" i="2"/>
  <c r="E25" i="7"/>
  <c r="P15" i="2"/>
  <c r="E50" i="7"/>
  <c r="P9" i="2"/>
  <c r="E49" i="7"/>
  <c r="P3" i="2"/>
  <c r="E121" i="7"/>
  <c r="P2" i="2"/>
  <c r="E86" i="7"/>
  <c r="P41" i="2"/>
  <c r="E15" i="7"/>
  <c r="P11" i="2"/>
  <c r="E26" i="7"/>
  <c r="P5" i="2"/>
  <c r="E97" i="7"/>
  <c r="P16" i="2"/>
  <c r="E13" i="7"/>
  <c r="P10" i="2"/>
  <c r="E88" i="7"/>
  <c r="P4" i="2"/>
  <c r="N3" i="2"/>
  <c r="E14" i="7"/>
  <c r="P26" i="2"/>
  <c r="E73" i="7"/>
  <c r="P8" i="2"/>
  <c r="P2" i="10" a="1"/>
  <c r="P2" i="10" s="1"/>
  <c r="E120" i="7"/>
  <c r="E108" i="7"/>
  <c r="E96" i="7"/>
  <c r="E84" i="7"/>
  <c r="E72" i="7"/>
  <c r="E60" i="7"/>
  <c r="E48" i="7"/>
  <c r="E36" i="7"/>
  <c r="E24" i="7"/>
  <c r="E12" i="7"/>
  <c r="N909" i="2"/>
  <c r="N879" i="2"/>
  <c r="N856" i="2"/>
  <c r="N813" i="2"/>
  <c r="N633" i="2"/>
  <c r="N525" i="2"/>
  <c r="N501" i="2"/>
  <c r="N381" i="2"/>
  <c r="N213" i="2"/>
  <c r="E119" i="7"/>
  <c r="E107" i="7"/>
  <c r="E95" i="7"/>
  <c r="E83" i="7"/>
  <c r="E71" i="7"/>
  <c r="E59" i="7"/>
  <c r="E47" i="7"/>
  <c r="E35" i="7"/>
  <c r="E23" i="7"/>
  <c r="E11" i="7"/>
  <c r="N177" i="2"/>
  <c r="E118" i="7"/>
  <c r="E106" i="7"/>
  <c r="E94" i="7"/>
  <c r="E82" i="7"/>
  <c r="E70" i="7"/>
  <c r="E58" i="7"/>
  <c r="E46" i="7"/>
  <c r="E34" i="7"/>
  <c r="E22" i="7"/>
  <c r="E10" i="7"/>
  <c r="E117" i="7"/>
  <c r="E105" i="7"/>
  <c r="E93" i="7"/>
  <c r="E81" i="7"/>
  <c r="E69" i="7"/>
  <c r="E57" i="7"/>
  <c r="E45" i="7"/>
  <c r="E33" i="7"/>
  <c r="E21" i="7"/>
  <c r="E9" i="7"/>
  <c r="E116" i="7"/>
  <c r="E104" i="7"/>
  <c r="E92" i="7"/>
  <c r="E80" i="7"/>
  <c r="E68" i="7"/>
  <c r="E56" i="7"/>
  <c r="E44" i="7"/>
  <c r="E32" i="7"/>
  <c r="E20" i="7"/>
  <c r="E8" i="7"/>
  <c r="P3" i="10" a="1"/>
  <c r="P3" i="10" s="1"/>
  <c r="E115" i="7"/>
  <c r="E103" i="7"/>
  <c r="E91" i="7"/>
  <c r="E79" i="7"/>
  <c r="E67" i="7"/>
  <c r="E55" i="7"/>
  <c r="E43" i="7"/>
  <c r="E31" i="7"/>
  <c r="E19" i="7"/>
  <c r="E7" i="7"/>
  <c r="P4" i="10" a="1"/>
  <c r="P4" i="10" s="1"/>
  <c r="E114" i="7"/>
  <c r="E102" i="7"/>
  <c r="E90" i="7"/>
  <c r="E78" i="7"/>
  <c r="E66" i="7"/>
  <c r="E54" i="7"/>
  <c r="E42" i="7"/>
  <c r="E30" i="7"/>
  <c r="E18" i="7"/>
  <c r="E6" i="7"/>
  <c r="E113" i="7"/>
  <c r="E101" i="7"/>
  <c r="E89" i="7"/>
  <c r="E77" i="7"/>
  <c r="E65" i="7"/>
  <c r="E53" i="7"/>
  <c r="E41" i="7"/>
  <c r="E29" i="7"/>
  <c r="E17" i="7"/>
  <c r="E5" i="7"/>
  <c r="E112" i="7"/>
  <c r="E100" i="7"/>
  <c r="E76" i="7"/>
  <c r="E64" i="7"/>
  <c r="E52" i="7"/>
  <c r="E40" i="7"/>
  <c r="E28" i="7"/>
  <c r="E4" i="7"/>
  <c r="J7" i="2"/>
  <c r="D2" i="12"/>
  <c r="E111" i="7"/>
  <c r="E99" i="7"/>
  <c r="E87" i="7"/>
  <c r="E75" i="7"/>
  <c r="E63" i="7"/>
  <c r="E39" i="7"/>
  <c r="E3" i="7"/>
  <c r="E2" i="7"/>
  <c r="E98" i="7"/>
  <c r="E62" i="7"/>
  <c r="E109" i="7"/>
  <c r="E85" i="7"/>
  <c r="E61" i="7"/>
  <c r="N44" i="2"/>
  <c r="N5" i="2"/>
  <c r="N885" i="2"/>
  <c r="N717" i="2"/>
  <c r="N700" i="2"/>
  <c r="N861" i="2"/>
  <c r="N13" i="2"/>
  <c r="N837" i="2"/>
  <c r="N789" i="2"/>
  <c r="N705" i="2"/>
  <c r="N333" i="2"/>
  <c r="N321" i="2"/>
  <c r="N239" i="2"/>
  <c r="O31" i="2" a="1"/>
  <c r="O31" i="2" s="1"/>
  <c r="N692" i="2"/>
  <c r="N680" i="2"/>
  <c r="N668" i="2"/>
  <c r="N620" i="2"/>
  <c r="N596" i="2"/>
  <c r="N584" i="2"/>
  <c r="N512" i="2"/>
  <c r="N488" i="2"/>
  <c r="N464" i="2"/>
  <c r="N416" i="2"/>
  <c r="N356" i="2"/>
  <c r="N284" i="2"/>
  <c r="N203" i="2"/>
  <c r="N164" i="2"/>
  <c r="N122" i="2"/>
  <c r="N40" i="2"/>
  <c r="N847" i="2"/>
  <c r="N843" i="2"/>
  <c r="N799" i="2"/>
  <c r="N775" i="2"/>
  <c r="N758" i="2"/>
  <c r="N709" i="2"/>
  <c r="N650" i="2"/>
  <c r="N559" i="2"/>
  <c r="N547" i="2"/>
  <c r="N529" i="2"/>
  <c r="N481" i="2"/>
  <c r="N469" i="2"/>
  <c r="N451" i="2"/>
  <c r="N439" i="2"/>
  <c r="N367" i="2"/>
  <c r="N331" i="2"/>
  <c r="N295" i="2"/>
  <c r="N235" i="2"/>
  <c r="N109" i="2"/>
  <c r="N87" i="2"/>
  <c r="N55" i="2"/>
  <c r="N807" i="2"/>
  <c r="N795" i="2"/>
  <c r="N751" i="2"/>
  <c r="N655" i="2"/>
  <c r="N631" i="2"/>
  <c r="N607" i="2"/>
  <c r="N541" i="2"/>
  <c r="N535" i="2"/>
  <c r="N517" i="2"/>
  <c r="N307" i="2"/>
  <c r="N271" i="2"/>
  <c r="N259" i="2"/>
  <c r="N247" i="2"/>
  <c r="N223" i="2"/>
  <c r="N211" i="2"/>
  <c r="N187" i="2"/>
  <c r="N890" i="2"/>
  <c r="N765" i="2"/>
  <c r="N884" i="2"/>
  <c r="N810" i="2"/>
  <c r="N768" i="2"/>
  <c r="N762" i="2"/>
  <c r="N726" i="2"/>
  <c r="N678" i="2"/>
  <c r="N500" i="2"/>
  <c r="N380" i="2"/>
  <c r="N344" i="2"/>
  <c r="N139" i="2"/>
  <c r="N888" i="2"/>
  <c r="N864" i="2"/>
  <c r="N780" i="2"/>
  <c r="N744" i="2"/>
  <c r="N720" i="2"/>
  <c r="N704" i="2"/>
  <c r="N672" i="2"/>
  <c r="N600" i="2"/>
  <c r="N588" i="2"/>
  <c r="N493" i="2"/>
  <c r="N428" i="2"/>
  <c r="N740" i="2"/>
  <c r="N911" i="2"/>
  <c r="N851" i="2"/>
  <c r="N815" i="2"/>
  <c r="N797" i="2"/>
  <c r="N785" i="2"/>
  <c r="N737" i="2"/>
  <c r="N713" i="2"/>
  <c r="N695" i="2"/>
  <c r="N527" i="2"/>
  <c r="N524" i="2"/>
  <c r="N476" i="2"/>
  <c r="N443" i="2"/>
  <c r="N287" i="2"/>
  <c r="N227" i="2"/>
  <c r="N150" i="2"/>
  <c r="N83" i="2"/>
  <c r="N896" i="2"/>
  <c r="N913" i="2"/>
  <c r="N822" i="2"/>
  <c r="N683" i="2"/>
  <c r="N636" i="2"/>
  <c r="N551" i="2"/>
  <c r="N455" i="2"/>
  <c r="N371" i="2"/>
  <c r="N299" i="2"/>
  <c r="N215" i="2"/>
  <c r="N191" i="2"/>
  <c r="N920" i="2"/>
  <c r="N872" i="2"/>
  <c r="N900" i="2"/>
  <c r="N876" i="2"/>
  <c r="N923" i="2"/>
  <c r="N904" i="2"/>
  <c r="N846" i="2"/>
  <c r="N749" i="2"/>
  <c r="N670" i="2"/>
  <c r="N516" i="2"/>
  <c r="N420" i="2"/>
  <c r="N407" i="2"/>
  <c r="N274" i="2"/>
  <c r="N59" i="2"/>
  <c r="N830" i="2"/>
  <c r="N870" i="2"/>
  <c r="N917" i="2"/>
  <c r="N859" i="2"/>
  <c r="N892" i="2"/>
  <c r="N833" i="2"/>
  <c r="N826" i="2"/>
  <c r="N802" i="2"/>
  <c r="N772" i="2"/>
  <c r="N754" i="2"/>
  <c r="N732" i="2"/>
  <c r="N660" i="2"/>
  <c r="N646" i="2"/>
  <c r="N622" i="2"/>
  <c r="N612" i="2"/>
  <c r="N564" i="2"/>
  <c r="N468" i="2"/>
  <c r="N137" i="2"/>
  <c r="N125" i="2"/>
  <c r="N10" i="2"/>
  <c r="J635" i="2"/>
  <c r="N576" i="2"/>
  <c r="N268" i="2"/>
  <c r="N269" i="2"/>
  <c r="N270" i="2"/>
  <c r="N232" i="2"/>
  <c r="N233" i="2"/>
  <c r="N234" i="2"/>
  <c r="N208" i="2"/>
  <c r="N209" i="2"/>
  <c r="N210" i="2"/>
  <c r="N196" i="2"/>
  <c r="N197" i="2"/>
  <c r="N173" i="2"/>
  <c r="N172" i="2"/>
  <c r="N174" i="2"/>
  <c r="N161" i="2"/>
  <c r="N160" i="2"/>
  <c r="N77" i="2"/>
  <c r="N76" i="2"/>
  <c r="N78" i="2"/>
  <c r="N53" i="2"/>
  <c r="N52" i="2"/>
  <c r="N54" i="2"/>
  <c r="N29" i="2"/>
  <c r="N31" i="2"/>
  <c r="N8" i="2"/>
  <c r="N919" i="2"/>
  <c r="N907" i="2"/>
  <c r="N895" i="2"/>
  <c r="N883" i="2"/>
  <c r="N871" i="2"/>
  <c r="N858" i="2"/>
  <c r="N845" i="2"/>
  <c r="N832" i="2"/>
  <c r="N818" i="2"/>
  <c r="N805" i="2"/>
  <c r="N792" i="2"/>
  <c r="N778" i="2"/>
  <c r="N764" i="2"/>
  <c r="N748" i="2"/>
  <c r="N731" i="2"/>
  <c r="N716" i="2"/>
  <c r="N682" i="2"/>
  <c r="N659" i="2"/>
  <c r="N635" i="2"/>
  <c r="N611" i="2"/>
  <c r="N587" i="2"/>
  <c r="N561" i="2"/>
  <c r="N502" i="2"/>
  <c r="N417" i="2"/>
  <c r="N382" i="2"/>
  <c r="N310" i="2"/>
  <c r="N238" i="2"/>
  <c r="N202" i="2"/>
  <c r="N124" i="2"/>
  <c r="N85" i="2"/>
  <c r="N43" i="2"/>
  <c r="N689" i="2"/>
  <c r="N691" i="2"/>
  <c r="N113" i="2"/>
  <c r="N114" i="2"/>
  <c r="N7" i="2"/>
  <c r="N918" i="2"/>
  <c r="N906" i="2"/>
  <c r="N894" i="2"/>
  <c r="N882" i="2"/>
  <c r="N857" i="2"/>
  <c r="N844" i="2"/>
  <c r="N817" i="2"/>
  <c r="N804" i="2"/>
  <c r="N791" i="2"/>
  <c r="N777" i="2"/>
  <c r="N745" i="2"/>
  <c r="N730" i="2"/>
  <c r="N714" i="2"/>
  <c r="N697" i="2"/>
  <c r="N681" i="2"/>
  <c r="N658" i="2"/>
  <c r="N634" i="2"/>
  <c r="N610" i="2"/>
  <c r="N586" i="2"/>
  <c r="N560" i="2"/>
  <c r="N442" i="2"/>
  <c r="N345" i="2"/>
  <c r="N309" i="2"/>
  <c r="N273" i="2"/>
  <c r="N237" i="2"/>
  <c r="N201" i="2"/>
  <c r="N163" i="2"/>
  <c r="N123" i="2"/>
  <c r="N84" i="2"/>
  <c r="N432" i="2"/>
  <c r="N316" i="2"/>
  <c r="N317" i="2"/>
  <c r="N65" i="2"/>
  <c r="N64" i="2"/>
  <c r="N66" i="2"/>
  <c r="N67" i="2"/>
  <c r="N867" i="2"/>
  <c r="N819" i="2"/>
  <c r="N759" i="2"/>
  <c r="N540" i="2"/>
  <c r="N495" i="2"/>
  <c r="N496" i="2"/>
  <c r="N497" i="2"/>
  <c r="N423" i="2"/>
  <c r="N424" i="2"/>
  <c r="N425" i="2"/>
  <c r="N375" i="2"/>
  <c r="N376" i="2"/>
  <c r="N377" i="2"/>
  <c r="N363" i="2"/>
  <c r="N364" i="2"/>
  <c r="N365" i="2"/>
  <c r="N366" i="2"/>
  <c r="N327" i="2"/>
  <c r="N328" i="2"/>
  <c r="N329" i="2"/>
  <c r="N330" i="2"/>
  <c r="N303" i="2"/>
  <c r="N304" i="2"/>
  <c r="N305" i="2"/>
  <c r="N306" i="2"/>
  <c r="N243" i="2"/>
  <c r="N244" i="2"/>
  <c r="N185" i="2"/>
  <c r="N183" i="2"/>
  <c r="N184" i="2"/>
  <c r="N186" i="2"/>
  <c r="N153" i="2"/>
  <c r="N154" i="2"/>
  <c r="N129" i="2"/>
  <c r="N130" i="2"/>
  <c r="N45" i="2"/>
  <c r="N46" i="2"/>
  <c r="N47" i="2"/>
  <c r="N21" i="2"/>
  <c r="N22" i="2"/>
  <c r="N23" i="2"/>
  <c r="N24" i="2"/>
  <c r="N6" i="2"/>
  <c r="N905" i="2"/>
  <c r="N893" i="2"/>
  <c r="N869" i="2"/>
  <c r="N842" i="2"/>
  <c r="N829" i="2"/>
  <c r="N816" i="2"/>
  <c r="N803" i="2"/>
  <c r="N790" i="2"/>
  <c r="N776" i="2"/>
  <c r="N696" i="2"/>
  <c r="N657" i="2"/>
  <c r="N609" i="2"/>
  <c r="N585" i="2"/>
  <c r="N553" i="2"/>
  <c r="N526" i="2"/>
  <c r="N467" i="2"/>
  <c r="N441" i="2"/>
  <c r="N409" i="2"/>
  <c r="N308" i="2"/>
  <c r="N272" i="2"/>
  <c r="N236" i="2"/>
  <c r="N200" i="2"/>
  <c r="N162" i="2"/>
  <c r="N664" i="2"/>
  <c r="N665" i="2"/>
  <c r="N666" i="2"/>
  <c r="N667" i="2"/>
  <c r="N340" i="2"/>
  <c r="N341" i="2"/>
  <c r="N280" i="2"/>
  <c r="N281" i="2"/>
  <c r="N282" i="2"/>
  <c r="N283" i="2"/>
  <c r="N855" i="2"/>
  <c r="N783" i="2"/>
  <c r="N699" i="2"/>
  <c r="N675" i="2"/>
  <c r="N676" i="2"/>
  <c r="N677" i="2"/>
  <c r="N651" i="2"/>
  <c r="N652" i="2"/>
  <c r="N653" i="2"/>
  <c r="N654" i="2"/>
  <c r="N603" i="2"/>
  <c r="N604" i="2"/>
  <c r="N605" i="2"/>
  <c r="N606" i="2"/>
  <c r="N480" i="2"/>
  <c r="N459" i="2"/>
  <c r="N460" i="2"/>
  <c r="N461" i="2"/>
  <c r="N462" i="2"/>
  <c r="N396" i="2"/>
  <c r="N17" i="2"/>
  <c r="J2" i="2"/>
  <c r="J2" i="1" s="1"/>
  <c r="M2" i="1" s="1"/>
  <c r="O302" i="2" a="1"/>
  <c r="O302" i="2" s="1"/>
  <c r="O318" i="2" a="1"/>
  <c r="O318" i="2" s="1"/>
  <c r="O341" i="2" a="1"/>
  <c r="O341" i="2" s="1"/>
  <c r="O349" i="2" a="1"/>
  <c r="O349" i="2" s="1"/>
  <c r="O357" i="2" a="1"/>
  <c r="O357" i="2" s="1"/>
  <c r="O364" i="2" a="1"/>
  <c r="O364" i="2" s="1"/>
  <c r="O378" i="2" a="1"/>
  <c r="O378" i="2" s="1"/>
  <c r="O401" i="2" a="1"/>
  <c r="O401" i="2" s="1"/>
  <c r="O408" i="2" a="1"/>
  <c r="O408" i="2" s="1"/>
  <c r="O423" i="2" a="1"/>
  <c r="O423" i="2" s="1"/>
  <c r="O438" i="2" a="1"/>
  <c r="O438" i="2" s="1"/>
  <c r="O445" i="2" a="1"/>
  <c r="O445" i="2" s="1"/>
  <c r="O452" i="2" a="1"/>
  <c r="O452" i="2" s="1"/>
  <c r="O460" i="2" a="1"/>
  <c r="O460" i="2" s="1"/>
  <c r="O497" i="2" a="1"/>
  <c r="O497" i="2" s="1"/>
  <c r="O504" i="2" a="1"/>
  <c r="O504" i="2" s="1"/>
  <c r="O512" i="2" a="1"/>
  <c r="O512" i="2" s="1"/>
  <c r="O519" i="2" a="1"/>
  <c r="O519" i="2" s="1"/>
  <c r="O541" i="2" a="1"/>
  <c r="O541" i="2" s="1"/>
  <c r="O548" i="2" a="1"/>
  <c r="O548" i="2" s="1"/>
  <c r="O556" i="2" a="1"/>
  <c r="O556" i="2" s="1"/>
  <c r="O563" i="2" a="1"/>
  <c r="O563" i="2" s="1"/>
  <c r="O571" i="2" a="1"/>
  <c r="O571" i="2" s="1"/>
  <c r="O579" i="2" a="1"/>
  <c r="O579" i="2" s="1"/>
  <c r="O601" i="2" a="1"/>
  <c r="O601" i="2" s="1"/>
  <c r="O617" i="2" a="1"/>
  <c r="O617" i="2" s="1"/>
  <c r="O632" i="2" a="1"/>
  <c r="O632" i="2" s="1"/>
  <c r="O640" i="2" a="1"/>
  <c r="O640" i="2" s="1"/>
  <c r="O648" i="2" a="1"/>
  <c r="O648" i="2" s="1"/>
  <c r="O656" i="2" a="1"/>
  <c r="O656" i="2" s="1"/>
  <c r="O671" i="2" a="1"/>
  <c r="O671" i="2" s="1"/>
  <c r="O686" i="2" a="1"/>
  <c r="O686" i="2" s="1"/>
  <c r="O694" i="2" a="1"/>
  <c r="O694" i="2" s="1"/>
  <c r="O702" i="2" a="1"/>
  <c r="O702" i="2" s="1"/>
  <c r="O725" i="2" a="1"/>
  <c r="O725" i="2" s="1"/>
  <c r="O733" i="2" a="1"/>
  <c r="O733" i="2" s="1"/>
  <c r="O740" i="2" a="1"/>
  <c r="O740" i="2" s="1"/>
  <c r="O756" i="2" a="1"/>
  <c r="O756" i="2" s="1"/>
  <c r="O763" i="2" a="1"/>
  <c r="O763" i="2" s="1"/>
  <c r="O771" i="2" a="1"/>
  <c r="O771" i="2" s="1"/>
  <c r="O779" i="2" a="1"/>
  <c r="O779" i="2" s="1"/>
  <c r="O787" i="2" a="1"/>
  <c r="O787" i="2" s="1"/>
  <c r="O795" i="2" a="1"/>
  <c r="O795" i="2" s="1"/>
  <c r="O817" i="2" a="1"/>
  <c r="O817" i="2" s="1"/>
  <c r="O824" i="2" a="1"/>
  <c r="O824" i="2" s="1"/>
  <c r="O853" i="2" a="1"/>
  <c r="O853" i="2" s="1"/>
  <c r="O860" i="2" a="1"/>
  <c r="O860" i="2" s="1"/>
  <c r="O889" i="2" a="1"/>
  <c r="O889" i="2" s="1"/>
  <c r="O896" i="2" a="1"/>
  <c r="O896" i="2" s="1"/>
  <c r="O904" i="2" a="1"/>
  <c r="O904" i="2" s="1"/>
  <c r="O43" i="2" a="1"/>
  <c r="O43" i="2" s="1"/>
  <c r="O303" i="2" a="1"/>
  <c r="O303" i="2" s="1"/>
  <c r="O311" i="2" a="1"/>
  <c r="O311" i="2" s="1"/>
  <c r="O326" i="2" a="1"/>
  <c r="O326" i="2" s="1"/>
  <c r="O334" i="2" a="1"/>
  <c r="O334" i="2" s="1"/>
  <c r="O342" i="2" a="1"/>
  <c r="O342" i="2" s="1"/>
  <c r="O372" i="2" a="1"/>
  <c r="O372" i="2" s="1"/>
  <c r="O379" i="2" a="1"/>
  <c r="O379" i="2" s="1"/>
  <c r="O386" i="2" a="1"/>
  <c r="O386" i="2" s="1"/>
  <c r="O394" i="2" a="1"/>
  <c r="O394" i="2" s="1"/>
  <c r="O416" i="2" a="1"/>
  <c r="O416" i="2" s="1"/>
  <c r="O431" i="2" a="1"/>
  <c r="O431" i="2" s="1"/>
  <c r="O453" i="2" a="1"/>
  <c r="O453" i="2" s="1"/>
  <c r="O468" i="2" a="1"/>
  <c r="O468" i="2" s="1"/>
  <c r="O475" i="2" a="1"/>
  <c r="O475" i="2" s="1"/>
  <c r="O482" i="2" a="1"/>
  <c r="O482" i="2" s="1"/>
  <c r="O490" i="2" a="1"/>
  <c r="O490" i="2" s="1"/>
  <c r="O513" i="2" a="1"/>
  <c r="O513" i="2" s="1"/>
  <c r="O527" i="2" a="1"/>
  <c r="O527" i="2" s="1"/>
  <c r="O534" i="2" a="1"/>
  <c r="O534" i="2" s="1"/>
  <c r="O549" i="2" a="1"/>
  <c r="O549" i="2" s="1"/>
  <c r="O587" i="2" a="1"/>
  <c r="O587" i="2" s="1"/>
  <c r="O594" i="2" a="1"/>
  <c r="O594" i="2" s="1"/>
  <c r="O602" i="2" a="1"/>
  <c r="O602" i="2" s="1"/>
  <c r="O610" i="2" a="1"/>
  <c r="O610" i="2" s="1"/>
  <c r="O625" i="2" a="1"/>
  <c r="O625" i="2" s="1"/>
  <c r="O633" i="2" a="1"/>
  <c r="O633" i="2" s="1"/>
  <c r="O641" i="2" a="1"/>
  <c r="O641" i="2" s="1"/>
  <c r="O657" i="2" a="1"/>
  <c r="O657" i="2" s="1"/>
  <c r="O664" i="2" a="1"/>
  <c r="O664" i="2" s="1"/>
  <c r="O679" i="2" a="1"/>
  <c r="O679" i="2" s="1"/>
  <c r="O687" i="2" a="1"/>
  <c r="O687" i="2" s="1"/>
  <c r="O710" i="2" a="1"/>
  <c r="O710" i="2" s="1"/>
  <c r="O718" i="2" a="1"/>
  <c r="O718" i="2" s="1"/>
  <c r="O726" i="2" a="1"/>
  <c r="O726" i="2" s="1"/>
  <c r="O741" i="2" a="1"/>
  <c r="O741" i="2" s="1"/>
  <c r="O749" i="2" a="1"/>
  <c r="O749" i="2" s="1"/>
  <c r="O772" i="2" a="1"/>
  <c r="O772" i="2" s="1"/>
  <c r="O803" i="2" a="1"/>
  <c r="O803" i="2" s="1"/>
  <c r="O810" i="2" a="1"/>
  <c r="O810" i="2" s="1"/>
  <c r="O825" i="2" a="1"/>
  <c r="O825" i="2" s="1"/>
  <c r="O832" i="2" a="1"/>
  <c r="O832" i="2" s="1"/>
  <c r="O839" i="2" a="1"/>
  <c r="O839" i="2" s="1"/>
  <c r="O846" i="2" a="1"/>
  <c r="O846" i="2" s="1"/>
  <c r="O861" i="2" a="1"/>
  <c r="O861" i="2" s="1"/>
  <c r="O868" i="2" a="1"/>
  <c r="O868" i="2" s="1"/>
  <c r="O875" i="2" a="1"/>
  <c r="O875" i="2" s="1"/>
  <c r="O882" i="2" a="1"/>
  <c r="O882" i="2" s="1"/>
  <c r="O897" i="2" a="1"/>
  <c r="O897" i="2" s="1"/>
  <c r="O912" i="2" a="1"/>
  <c r="O912" i="2" s="1"/>
  <c r="O920" i="2" a="1"/>
  <c r="O920" i="2" s="1"/>
  <c r="O37" i="2" a="1"/>
  <c r="O37" i="2" s="1"/>
  <c r="O304" i="2" a="1"/>
  <c r="O304" i="2" s="1"/>
  <c r="O319" i="2" a="1"/>
  <c r="O319" i="2" s="1"/>
  <c r="O327" i="2" a="1"/>
  <c r="O327" i="2" s="1"/>
  <c r="O343" i="2" a="1"/>
  <c r="O343" i="2" s="1"/>
  <c r="O350" i="2" a="1"/>
  <c r="O350" i="2" s="1"/>
  <c r="O358" i="2" a="1"/>
  <c r="O358" i="2" s="1"/>
  <c r="O365" i="2" a="1"/>
  <c r="O365" i="2" s="1"/>
  <c r="O387" i="2" a="1"/>
  <c r="O387" i="2" s="1"/>
  <c r="O395" i="2" a="1"/>
  <c r="O395" i="2" s="1"/>
  <c r="O402" i="2" a="1"/>
  <c r="O402" i="2" s="1"/>
  <c r="O409" i="2" a="1"/>
  <c r="O409" i="2" s="1"/>
  <c r="O417" i="2" a="1"/>
  <c r="O417" i="2" s="1"/>
  <c r="O424" i="2" a="1"/>
  <c r="O424" i="2" s="1"/>
  <c r="O439" i="2" a="1"/>
  <c r="O439" i="2" s="1"/>
  <c r="O446" i="2" a="1"/>
  <c r="O446" i="2" s="1"/>
  <c r="O454" i="2" a="1"/>
  <c r="O454" i="2" s="1"/>
  <c r="O461" i="2" a="1"/>
  <c r="O461" i="2" s="1"/>
  <c r="O483" i="2" a="1"/>
  <c r="O483" i="2" s="1"/>
  <c r="O498" i="2" a="1"/>
  <c r="O498" i="2" s="1"/>
  <c r="O505" i="2" a="1"/>
  <c r="O505" i="2" s="1"/>
  <c r="O520" i="2" a="1"/>
  <c r="O520" i="2" s="1"/>
  <c r="O542" i="2" a="1"/>
  <c r="O542" i="2" s="1"/>
  <c r="O557" i="2" a="1"/>
  <c r="O557" i="2" s="1"/>
  <c r="O564" i="2" a="1"/>
  <c r="O564" i="2" s="1"/>
  <c r="O572" i="2" a="1"/>
  <c r="O572" i="2" s="1"/>
  <c r="O580" i="2" a="1"/>
  <c r="O580" i="2" s="1"/>
  <c r="O595" i="2" a="1"/>
  <c r="O595" i="2" s="1"/>
  <c r="O603" i="2" a="1"/>
  <c r="O603" i="2" s="1"/>
  <c r="O611" i="2" a="1"/>
  <c r="O611" i="2" s="1"/>
  <c r="O618" i="2" a="1"/>
  <c r="O618" i="2" s="1"/>
  <c r="O649" i="2" a="1"/>
  <c r="O649" i="2" s="1"/>
  <c r="O672" i="2" a="1"/>
  <c r="O672" i="2" s="1"/>
  <c r="O680" i="2" a="1"/>
  <c r="O680" i="2" s="1"/>
  <c r="O695" i="2" a="1"/>
  <c r="O695" i="2" s="1"/>
  <c r="O703" i="2" a="1"/>
  <c r="O703" i="2" s="1"/>
  <c r="O711" i="2" a="1"/>
  <c r="O711" i="2" s="1"/>
  <c r="O734" i="2" a="1"/>
  <c r="O734" i="2" s="1"/>
  <c r="O742" i="2" a="1"/>
  <c r="O742" i="2" s="1"/>
  <c r="O757" i="2" a="1"/>
  <c r="O757" i="2" s="1"/>
  <c r="O764" i="2" a="1"/>
  <c r="O764" i="2" s="1"/>
  <c r="O780" i="2" a="1"/>
  <c r="O780" i="2" s="1"/>
  <c r="O788" i="2" a="1"/>
  <c r="O788" i="2" s="1"/>
  <c r="O796" i="2" a="1"/>
  <c r="O796" i="2" s="1"/>
  <c r="O811" i="2" a="1"/>
  <c r="O811" i="2" s="1"/>
  <c r="O818" i="2" a="1"/>
  <c r="O818" i="2" s="1"/>
  <c r="O847" i="2" a="1"/>
  <c r="O847" i="2" s="1"/>
  <c r="O854" i="2" a="1"/>
  <c r="O854" i="2" s="1"/>
  <c r="O883" i="2" a="1"/>
  <c r="O883" i="2" s="1"/>
  <c r="O890" i="2" a="1"/>
  <c r="O890" i="2" s="1"/>
  <c r="O905" i="2" a="1"/>
  <c r="O905" i="2" s="1"/>
  <c r="O312" i="2" a="1"/>
  <c r="O312" i="2" s="1"/>
  <c r="O320" i="2" a="1"/>
  <c r="O320" i="2" s="1"/>
  <c r="O335" i="2" a="1"/>
  <c r="O335" i="2" s="1"/>
  <c r="O351" i="2" a="1"/>
  <c r="O351" i="2" s="1"/>
  <c r="O366" i="2" a="1"/>
  <c r="O366" i="2" s="1"/>
  <c r="O373" i="2" a="1"/>
  <c r="O373" i="2" s="1"/>
  <c r="O380" i="2" a="1"/>
  <c r="O380" i="2" s="1"/>
  <c r="O388" i="2" a="1"/>
  <c r="O388" i="2" s="1"/>
  <c r="O425" i="2" a="1"/>
  <c r="O425" i="2" s="1"/>
  <c r="O432" i="2" a="1"/>
  <c r="O432" i="2" s="1"/>
  <c r="O440" i="2" a="1"/>
  <c r="O440" i="2" s="1"/>
  <c r="O447" i="2" a="1"/>
  <c r="O447" i="2" s="1"/>
  <c r="O469" i="2" a="1"/>
  <c r="O469" i="2" s="1"/>
  <c r="O476" i="2" a="1"/>
  <c r="O476" i="2" s="1"/>
  <c r="O484" i="2" a="1"/>
  <c r="O484" i="2" s="1"/>
  <c r="O491" i="2" a="1"/>
  <c r="O491" i="2" s="1"/>
  <c r="O499" i="2" a="1"/>
  <c r="O499" i="2" s="1"/>
  <c r="O506" i="2" a="1"/>
  <c r="O506" i="2" s="1"/>
  <c r="O514" i="2" a="1"/>
  <c r="O514" i="2" s="1"/>
  <c r="O528" i="2" a="1"/>
  <c r="O528" i="2" s="1"/>
  <c r="O535" i="2" a="1"/>
  <c r="O535" i="2" s="1"/>
  <c r="O543" i="2" a="1"/>
  <c r="O543" i="2" s="1"/>
  <c r="O550" i="2" a="1"/>
  <c r="O550" i="2" s="1"/>
  <c r="O558" i="2" a="1"/>
  <c r="O558" i="2" s="1"/>
  <c r="O565" i="2" a="1"/>
  <c r="O565" i="2" s="1"/>
  <c r="O573" i="2" a="1"/>
  <c r="O573" i="2" s="1"/>
  <c r="O588" i="2" a="1"/>
  <c r="O588" i="2" s="1"/>
  <c r="O604" i="2" a="1"/>
  <c r="O604" i="2" s="1"/>
  <c r="O626" i="2" a="1"/>
  <c r="O626" i="2" s="1"/>
  <c r="O634" i="2" a="1"/>
  <c r="O634" i="2" s="1"/>
  <c r="O642" i="2" a="1"/>
  <c r="O642" i="2" s="1"/>
  <c r="O650" i="2" a="1"/>
  <c r="O650" i="2" s="1"/>
  <c r="O658" i="2" a="1"/>
  <c r="O658" i="2" s="1"/>
  <c r="O665" i="2" a="1"/>
  <c r="O665" i="2" s="1"/>
  <c r="O681" i="2" a="1"/>
  <c r="O681" i="2" s="1"/>
  <c r="O688" i="2" a="1"/>
  <c r="O688" i="2" s="1"/>
  <c r="O696" i="2" a="1"/>
  <c r="O696" i="2" s="1"/>
  <c r="O719" i="2" a="1"/>
  <c r="O719" i="2" s="1"/>
  <c r="O727" i="2" a="1"/>
  <c r="O727" i="2" s="1"/>
  <c r="O735" i="2" a="1"/>
  <c r="O735" i="2" s="1"/>
  <c r="O750" i="2" a="1"/>
  <c r="O750" i="2" s="1"/>
  <c r="O765" i="2" a="1"/>
  <c r="O765" i="2" s="1"/>
  <c r="O773" i="2" a="1"/>
  <c r="O773" i="2" s="1"/>
  <c r="O781" i="2" a="1"/>
  <c r="O781" i="2" s="1"/>
  <c r="O789" i="2" a="1"/>
  <c r="O789" i="2" s="1"/>
  <c r="O804" i="2" a="1"/>
  <c r="O804" i="2" s="1"/>
  <c r="O819" i="2" a="1"/>
  <c r="O819" i="2" s="1"/>
  <c r="O826" i="2" a="1"/>
  <c r="O826" i="2" s="1"/>
  <c r="O833" i="2" a="1"/>
  <c r="O833" i="2" s="1"/>
  <c r="O305" i="2" a="1"/>
  <c r="O305" i="2" s="1"/>
  <c r="O321" i="2" a="1"/>
  <c r="O321" i="2" s="1"/>
  <c r="O328" i="2" a="1"/>
  <c r="O328" i="2" s="1"/>
  <c r="O336" i="2" a="1"/>
  <c r="O336" i="2" s="1"/>
  <c r="O344" i="2" a="1"/>
  <c r="O344" i="2" s="1"/>
  <c r="O359" i="2" a="1"/>
  <c r="O359" i="2" s="1"/>
  <c r="O381" i="2" a="1"/>
  <c r="O381" i="2" s="1"/>
  <c r="O396" i="2" a="1"/>
  <c r="O396" i="2" s="1"/>
  <c r="O403" i="2" a="1"/>
  <c r="O403" i="2" s="1"/>
  <c r="O410" i="2" a="1"/>
  <c r="O410" i="2" s="1"/>
  <c r="O418" i="2" a="1"/>
  <c r="O418" i="2" s="1"/>
  <c r="O441" i="2" a="1"/>
  <c r="O441" i="2" s="1"/>
  <c r="O455" i="2" a="1"/>
  <c r="O455" i="2" s="1"/>
  <c r="O462" i="2" a="1"/>
  <c r="O462" i="2" s="1"/>
  <c r="O477" i="2" a="1"/>
  <c r="O477" i="2" s="1"/>
  <c r="O507" i="2" a="1"/>
  <c r="O507" i="2" s="1"/>
  <c r="O521" i="2" a="1"/>
  <c r="O521" i="2" s="1"/>
  <c r="O536" i="2" a="1"/>
  <c r="O536" i="2" s="1"/>
  <c r="O581" i="2" a="1"/>
  <c r="O581" i="2" s="1"/>
  <c r="O589" i="2" a="1"/>
  <c r="O589" i="2" s="1"/>
  <c r="O596" i="2" a="1"/>
  <c r="O596" i="2" s="1"/>
  <c r="O612" i="2" a="1"/>
  <c r="O612" i="2" s="1"/>
  <c r="O619" i="2" a="1"/>
  <c r="O619" i="2" s="1"/>
  <c r="O627" i="2" a="1"/>
  <c r="O627" i="2" s="1"/>
  <c r="O635" i="2" a="1"/>
  <c r="O635" i="2" s="1"/>
  <c r="O643" i="2" a="1"/>
  <c r="O643" i="2" s="1"/>
  <c r="O651" i="2" a="1"/>
  <c r="O651" i="2" s="1"/>
  <c r="O673" i="2" a="1"/>
  <c r="O673" i="2" s="1"/>
  <c r="O689" i="2" a="1"/>
  <c r="O689" i="2" s="1"/>
  <c r="O704" i="2" a="1"/>
  <c r="O704" i="2" s="1"/>
  <c r="O712" i="2" a="1"/>
  <c r="O712" i="2" s="1"/>
  <c r="O720" i="2" a="1"/>
  <c r="O720" i="2" s="1"/>
  <c r="O728" i="2" a="1"/>
  <c r="O728" i="2" s="1"/>
  <c r="O743" i="2" a="1"/>
  <c r="O743" i="2" s="1"/>
  <c r="O758" i="2" a="1"/>
  <c r="O758" i="2" s="1"/>
  <c r="O766" i="2" a="1"/>
  <c r="O766" i="2" s="1"/>
  <c r="O774" i="2" a="1"/>
  <c r="O774" i="2" s="1"/>
  <c r="O797" i="2" a="1"/>
  <c r="O797" i="2" s="1"/>
  <c r="O805" i="2" a="1"/>
  <c r="O805" i="2" s="1"/>
  <c r="O812" i="2" a="1"/>
  <c r="O812" i="2" s="1"/>
  <c r="O841" i="2" a="1"/>
  <c r="O841" i="2" s="1"/>
  <c r="O848" i="2" a="1"/>
  <c r="O848" i="2" s="1"/>
  <c r="O877" i="2" a="1"/>
  <c r="O877" i="2" s="1"/>
  <c r="O884" i="2" a="1"/>
  <c r="O884" i="2" s="1"/>
  <c r="O906" i="2" a="1"/>
  <c r="O906" i="2" s="1"/>
  <c r="O914" i="2" a="1"/>
  <c r="O914" i="2" s="1"/>
  <c r="O45" i="2" a="1"/>
  <c r="O45" i="2" s="1"/>
  <c r="O313" i="2" a="1"/>
  <c r="O313" i="2" s="1"/>
  <c r="O329" i="2" a="1"/>
  <c r="O329" i="2" s="1"/>
  <c r="O345" i="2" a="1"/>
  <c r="O345" i="2" s="1"/>
  <c r="O352" i="2" a="1"/>
  <c r="O352" i="2" s="1"/>
  <c r="O367" i="2" a="1"/>
  <c r="O367" i="2" s="1"/>
  <c r="O374" i="2" a="1"/>
  <c r="O374" i="2" s="1"/>
  <c r="O382" i="2" a="1"/>
  <c r="O382" i="2" s="1"/>
  <c r="O389" i="2" a="1"/>
  <c r="O389" i="2" s="1"/>
  <c r="O411" i="2" a="1"/>
  <c r="O411" i="2" s="1"/>
  <c r="O426" i="2" a="1"/>
  <c r="O426" i="2" s="1"/>
  <c r="O433" i="2" a="1"/>
  <c r="O433" i="2" s="1"/>
  <c r="O448" i="2" a="1"/>
  <c r="O448" i="2" s="1"/>
  <c r="O470" i="2" a="1"/>
  <c r="O470" i="2" s="1"/>
  <c r="O485" i="2" a="1"/>
  <c r="O485" i="2" s="1"/>
  <c r="O492" i="2" a="1"/>
  <c r="O492" i="2" s="1"/>
  <c r="O500" i="2" a="1"/>
  <c r="O500" i="2" s="1"/>
  <c r="O515" i="2" a="1"/>
  <c r="O515" i="2" s="1"/>
  <c r="O529" i="2" a="1"/>
  <c r="O529" i="2" s="1"/>
  <c r="O537" i="2" a="1"/>
  <c r="O537" i="2" s="1"/>
  <c r="O544" i="2" a="1"/>
  <c r="O544" i="2" s="1"/>
  <c r="O551" i="2" a="1"/>
  <c r="O551" i="2" s="1"/>
  <c r="O559" i="2" a="1"/>
  <c r="O559" i="2" s="1"/>
  <c r="O566" i="2" a="1"/>
  <c r="O566" i="2" s="1"/>
  <c r="O574" i="2" a="1"/>
  <c r="O574" i="2" s="1"/>
  <c r="O582" i="2" a="1"/>
  <c r="O582" i="2" s="1"/>
  <c r="O597" i="2" a="1"/>
  <c r="O597" i="2" s="1"/>
  <c r="O306" i="2" a="1"/>
  <c r="O306" i="2" s="1"/>
  <c r="O322" i="2" a="1"/>
  <c r="O322" i="2" s="1"/>
  <c r="O330" i="2" a="1"/>
  <c r="O330" i="2" s="1"/>
  <c r="O337" i="2" a="1"/>
  <c r="O337" i="2" s="1"/>
  <c r="O353" i="2" a="1"/>
  <c r="O353" i="2" s="1"/>
  <c r="O360" i="2" a="1"/>
  <c r="O360" i="2" s="1"/>
  <c r="O368" i="2" a="1"/>
  <c r="O368" i="2" s="1"/>
  <c r="O375" i="2" a="1"/>
  <c r="O375" i="2" s="1"/>
  <c r="O397" i="2" a="1"/>
  <c r="O397" i="2" s="1"/>
  <c r="O404" i="2" a="1"/>
  <c r="O404" i="2" s="1"/>
  <c r="O412" i="2" a="1"/>
  <c r="O412" i="2" s="1"/>
  <c r="O419" i="2" a="1"/>
  <c r="O419" i="2" s="1"/>
  <c r="O427" i="2" a="1"/>
  <c r="O427" i="2" s="1"/>
  <c r="O434" i="2" a="1"/>
  <c r="O434" i="2" s="1"/>
  <c r="O442" i="2" a="1"/>
  <c r="O442" i="2" s="1"/>
  <c r="O456" i="2" a="1"/>
  <c r="O456" i="2" s="1"/>
  <c r="O463" i="2" a="1"/>
  <c r="O463" i="2" s="1"/>
  <c r="O471" i="2" a="1"/>
  <c r="O471" i="2" s="1"/>
  <c r="O478" i="2" a="1"/>
  <c r="O478" i="2" s="1"/>
  <c r="O486" i="2" a="1"/>
  <c r="O486" i="2" s="1"/>
  <c r="O307" i="2" a="1"/>
  <c r="O307" i="2" s="1"/>
  <c r="O314" i="2" a="1"/>
  <c r="O314" i="2" s="1"/>
  <c r="O323" i="2" a="1"/>
  <c r="O323" i="2" s="1"/>
  <c r="O346" i="2" a="1"/>
  <c r="O346" i="2" s="1"/>
  <c r="O369" i="2" a="1"/>
  <c r="O369" i="2" s="1"/>
  <c r="O383" i="2" a="1"/>
  <c r="O383" i="2" s="1"/>
  <c r="O390" i="2" a="1"/>
  <c r="O390" i="2" s="1"/>
  <c r="O405" i="2" a="1"/>
  <c r="O405" i="2" s="1"/>
  <c r="O435" i="2" a="1"/>
  <c r="O435" i="2" s="1"/>
  <c r="O449" i="2" a="1"/>
  <c r="O449" i="2" s="1"/>
  <c r="O464" i="2" a="1"/>
  <c r="O464" i="2" s="1"/>
  <c r="O516" i="2" a="1"/>
  <c r="O516" i="2" s="1"/>
  <c r="O523" i="2" a="1"/>
  <c r="O523" i="2" s="1"/>
  <c r="O530" i="2" a="1"/>
  <c r="O530" i="2" s="1"/>
  <c r="O538" i="2" a="1"/>
  <c r="O538" i="2" s="1"/>
  <c r="O560" i="2" a="1"/>
  <c r="O560" i="2" s="1"/>
  <c r="O575" i="2" a="1"/>
  <c r="O575" i="2" s="1"/>
  <c r="O583" i="2" a="1"/>
  <c r="O583" i="2" s="1"/>
  <c r="O591" i="2" a="1"/>
  <c r="O591" i="2" s="1"/>
  <c r="O606" i="2" a="1"/>
  <c r="O606" i="2" s="1"/>
  <c r="O621" i="2" a="1"/>
  <c r="O621" i="2" s="1"/>
  <c r="O629" i="2" a="1"/>
  <c r="O629" i="2" s="1"/>
  <c r="O637" i="2" a="1"/>
  <c r="O637" i="2" s="1"/>
  <c r="O645" i="2" a="1"/>
  <c r="O645" i="2" s="1"/>
  <c r="O660" i="2" a="1"/>
  <c r="O660" i="2" s="1"/>
  <c r="O676" i="2" a="1"/>
  <c r="O676" i="2" s="1"/>
  <c r="O698" i="2" a="1"/>
  <c r="O698" i="2" s="1"/>
  <c r="O706" i="2" a="1"/>
  <c r="O706" i="2" s="1"/>
  <c r="O714" i="2" a="1"/>
  <c r="O714" i="2" s="1"/>
  <c r="O722" i="2" a="1"/>
  <c r="O722" i="2" s="1"/>
  <c r="O730" i="2" a="1"/>
  <c r="O730" i="2" s="1"/>
  <c r="O737" i="2" a="1"/>
  <c r="O737" i="2" s="1"/>
  <c r="O753" i="2" a="1"/>
  <c r="O753" i="2" s="1"/>
  <c r="O760" i="2" a="1"/>
  <c r="O760" i="2" s="1"/>
  <c r="O768" i="2" a="1"/>
  <c r="O768" i="2" s="1"/>
  <c r="O791" i="2" a="1"/>
  <c r="O791" i="2" s="1"/>
  <c r="O799" i="2" a="1"/>
  <c r="O799" i="2" s="1"/>
  <c r="O807" i="2" a="1"/>
  <c r="O807" i="2" s="1"/>
  <c r="O814" i="2" a="1"/>
  <c r="O814" i="2" s="1"/>
  <c r="O821" i="2" a="1"/>
  <c r="O821" i="2" s="1"/>
  <c r="O828" i="2" a="1"/>
  <c r="O828" i="2" s="1"/>
  <c r="O843" i="2" a="1"/>
  <c r="O843" i="2" s="1"/>
  <c r="O850" i="2" a="1"/>
  <c r="O850" i="2" s="1"/>
  <c r="O857" i="2" a="1"/>
  <c r="O857" i="2" s="1"/>
  <c r="O864" i="2" a="1"/>
  <c r="O864" i="2" s="1"/>
  <c r="O879" i="2" a="1"/>
  <c r="O879" i="2" s="1"/>
  <c r="O886" i="2" a="1"/>
  <c r="O886" i="2" s="1"/>
  <c r="O893" i="2" a="1"/>
  <c r="O893" i="2" s="1"/>
  <c r="O900" i="2" a="1"/>
  <c r="O900" i="2" s="1"/>
  <c r="O908" i="2" a="1"/>
  <c r="O908" i="2" s="1"/>
  <c r="O924" i="2" a="1"/>
  <c r="O924" i="2" s="1"/>
  <c r="O40" i="2" a="1"/>
  <c r="O40" i="2" s="1"/>
  <c r="O315" i="2" a="1"/>
  <c r="O315" i="2" s="1"/>
  <c r="O331" i="2" a="1"/>
  <c r="O331" i="2" s="1"/>
  <c r="O338" i="2" a="1"/>
  <c r="O338" i="2" s="1"/>
  <c r="O354" i="2" a="1"/>
  <c r="O354" i="2" s="1"/>
  <c r="O361" i="2" a="1"/>
  <c r="O361" i="2" s="1"/>
  <c r="O376" i="2" a="1"/>
  <c r="O376" i="2" s="1"/>
  <c r="O398" i="2" a="1"/>
  <c r="O398" i="2" s="1"/>
  <c r="O413" i="2" a="1"/>
  <c r="O413" i="2" s="1"/>
  <c r="O420" i="2" a="1"/>
  <c r="O420" i="2" s="1"/>
  <c r="O428" i="2" a="1"/>
  <c r="O428" i="2" s="1"/>
  <c r="O443" i="2" a="1"/>
  <c r="O443" i="2" s="1"/>
  <c r="O457" i="2" a="1"/>
  <c r="O457" i="2" s="1"/>
  <c r="O465" i="2" a="1"/>
  <c r="O465" i="2" s="1"/>
  <c r="O472" i="2" a="1"/>
  <c r="O472" i="2" s="1"/>
  <c r="O479" i="2" a="1"/>
  <c r="O479" i="2" s="1"/>
  <c r="O487" i="2" a="1"/>
  <c r="O487" i="2" s="1"/>
  <c r="O494" i="2" a="1"/>
  <c r="O494" i="2" s="1"/>
  <c r="O502" i="2" a="1"/>
  <c r="O502" i="2" s="1"/>
  <c r="O509" i="2" a="1"/>
  <c r="O509" i="2" s="1"/>
  <c r="O531" i="2" a="1"/>
  <c r="O531" i="2" s="1"/>
  <c r="O539" i="2" a="1"/>
  <c r="O539" i="2" s="1"/>
  <c r="O546" i="2" a="1"/>
  <c r="O546" i="2" s="1"/>
  <c r="O553" i="2" a="1"/>
  <c r="O553" i="2" s="1"/>
  <c r="O561" i="2" a="1"/>
  <c r="O561" i="2" s="1"/>
  <c r="O568" i="2" a="1"/>
  <c r="O568" i="2" s="1"/>
  <c r="O576" i="2" a="1"/>
  <c r="O576" i="2" s="1"/>
  <c r="O584" i="2" a="1"/>
  <c r="O584" i="2" s="1"/>
  <c r="O599" i="2" a="1"/>
  <c r="O599" i="2" s="1"/>
  <c r="O614" i="2" a="1"/>
  <c r="O614" i="2" s="1"/>
  <c r="O622" i="2" a="1"/>
  <c r="O622" i="2" s="1"/>
  <c r="O630" i="2" a="1"/>
  <c r="O630" i="2" s="1"/>
  <c r="O653" i="2" a="1"/>
  <c r="O653" i="2" s="1"/>
  <c r="O661" i="2" a="1"/>
  <c r="O661" i="2" s="1"/>
  <c r="O668" i="2" a="1"/>
  <c r="O668" i="2" s="1"/>
  <c r="O684" i="2" a="1"/>
  <c r="O684" i="2" s="1"/>
  <c r="O691" i="2" a="1"/>
  <c r="O691" i="2" s="1"/>
  <c r="O699" i="2" a="1"/>
  <c r="O699" i="2" s="1"/>
  <c r="O707" i="2" a="1"/>
  <c r="O707" i="2" s="1"/>
  <c r="O715" i="2" a="1"/>
  <c r="O715" i="2" s="1"/>
  <c r="O723" i="2" a="1"/>
  <c r="O723" i="2" s="1"/>
  <c r="O745" i="2" a="1"/>
  <c r="O745" i="2" s="1"/>
  <c r="O761" i="2" a="1"/>
  <c r="O761" i="2" s="1"/>
  <c r="O776" i="2" a="1"/>
  <c r="O776" i="2" s="1"/>
  <c r="O784" i="2" a="1"/>
  <c r="O784" i="2" s="1"/>
  <c r="O792" i="2" a="1"/>
  <c r="O792" i="2" s="1"/>
  <c r="O800" i="2" a="1"/>
  <c r="O800" i="2" s="1"/>
  <c r="O829" i="2" a="1"/>
  <c r="O829" i="2" s="1"/>
  <c r="O836" i="2" a="1"/>
  <c r="O836" i="2" s="1"/>
  <c r="O865" i="2" a="1"/>
  <c r="O865" i="2" s="1"/>
  <c r="O872" i="2" a="1"/>
  <c r="O872" i="2" s="1"/>
  <c r="O901" i="2" a="1"/>
  <c r="O901" i="2" s="1"/>
  <c r="O909" i="2" a="1"/>
  <c r="O909" i="2" s="1"/>
  <c r="O308" i="2" a="1"/>
  <c r="O308" i="2" s="1"/>
  <c r="O316" i="2" a="1"/>
  <c r="O316" i="2" s="1"/>
  <c r="O324" i="2" a="1"/>
  <c r="O324" i="2" s="1"/>
  <c r="O339" i="2" a="1"/>
  <c r="O339" i="2" s="1"/>
  <c r="O347" i="2" a="1"/>
  <c r="O347" i="2" s="1"/>
  <c r="O355" i="2" a="1"/>
  <c r="O355" i="2" s="1"/>
  <c r="O362" i="2" a="1"/>
  <c r="O362" i="2" s="1"/>
  <c r="O370" i="2" a="1"/>
  <c r="O370" i="2" s="1"/>
  <c r="O384" i="2" a="1"/>
  <c r="O384" i="2" s="1"/>
  <c r="O391" i="2" a="1"/>
  <c r="O391" i="2" s="1"/>
  <c r="O399" i="2" a="1"/>
  <c r="O399" i="2" s="1"/>
  <c r="O406" i="2" a="1"/>
  <c r="O406" i="2" s="1"/>
  <c r="O414" i="2" a="1"/>
  <c r="O414" i="2" s="1"/>
  <c r="O421" i="2" a="1"/>
  <c r="O421" i="2" s="1"/>
  <c r="O429" i="2" a="1"/>
  <c r="O429" i="2" s="1"/>
  <c r="O436" i="2" a="1"/>
  <c r="O436" i="2" s="1"/>
  <c r="O450" i="2" a="1"/>
  <c r="O450" i="2" s="1"/>
  <c r="O473" i="2" a="1"/>
  <c r="O473" i="2" s="1"/>
  <c r="O480" i="2" a="1"/>
  <c r="O480" i="2" s="1"/>
  <c r="O309" i="2" a="1"/>
  <c r="O309" i="2" s="1"/>
  <c r="O317" i="2" a="1"/>
  <c r="O317" i="2" s="1"/>
  <c r="O310" i="2" a="1"/>
  <c r="O310" i="2" s="1"/>
  <c r="O363" i="2" a="1"/>
  <c r="O363" i="2" s="1"/>
  <c r="O451" i="2" a="1"/>
  <c r="O451" i="2" s="1"/>
  <c r="O489" i="2" a="1"/>
  <c r="O489" i="2" s="1"/>
  <c r="O511" i="2" a="1"/>
  <c r="O511" i="2" s="1"/>
  <c r="O533" i="2" a="1"/>
  <c r="O533" i="2" s="1"/>
  <c r="O555" i="2" a="1"/>
  <c r="O555" i="2" s="1"/>
  <c r="O578" i="2" a="1"/>
  <c r="O578" i="2" s="1"/>
  <c r="O620" i="2" a="1"/>
  <c r="O620" i="2" s="1"/>
  <c r="O639" i="2" a="1"/>
  <c r="O639" i="2" s="1"/>
  <c r="O659" i="2" a="1"/>
  <c r="O659" i="2" s="1"/>
  <c r="O677" i="2" a="1"/>
  <c r="O677" i="2" s="1"/>
  <c r="O693" i="2" a="1"/>
  <c r="O693" i="2" s="1"/>
  <c r="O751" i="2" a="1"/>
  <c r="O751" i="2" s="1"/>
  <c r="O769" i="2" a="1"/>
  <c r="O769" i="2" s="1"/>
  <c r="O786" i="2" a="1"/>
  <c r="O786" i="2" s="1"/>
  <c r="O806" i="2" a="1"/>
  <c r="O806" i="2" s="1"/>
  <c r="O823" i="2" a="1"/>
  <c r="O823" i="2" s="1"/>
  <c r="O840" i="2" a="1"/>
  <c r="O840" i="2" s="1"/>
  <c r="O855" i="2" a="1"/>
  <c r="O855" i="2" s="1"/>
  <c r="O869" i="2" a="1"/>
  <c r="O869" i="2" s="1"/>
  <c r="O898" i="2" a="1"/>
  <c r="O898" i="2" s="1"/>
  <c r="O913" i="2" a="1"/>
  <c r="O913" i="2" s="1"/>
  <c r="O925" i="2" a="1"/>
  <c r="O925" i="2" s="1"/>
  <c r="O44" i="2" a="1"/>
  <c r="O44" i="2" s="1"/>
  <c r="O51" i="2" a="1"/>
  <c r="O51" i="2" s="1"/>
  <c r="O64" i="2" a="1"/>
  <c r="O64" i="2" s="1"/>
  <c r="O77" i="2" a="1"/>
  <c r="O77" i="2" s="1"/>
  <c r="O84" i="2" a="1"/>
  <c r="O84" i="2" s="1"/>
  <c r="O97" i="2" a="1"/>
  <c r="O97" i="2" s="1"/>
  <c r="O110" i="2" a="1"/>
  <c r="O110" i="2" s="1"/>
  <c r="O123" i="2" a="1"/>
  <c r="O123" i="2" s="1"/>
  <c r="O136" i="2" a="1"/>
  <c r="O136" i="2" s="1"/>
  <c r="O149" i="2" a="1"/>
  <c r="O149" i="2" s="1"/>
  <c r="O156" i="2" a="1"/>
  <c r="O156" i="2" s="1"/>
  <c r="O198" i="2" a="1"/>
  <c r="O198" i="2" s="1"/>
  <c r="O234" i="2" a="1"/>
  <c r="O234" i="2" s="1"/>
  <c r="O270" i="2" a="1"/>
  <c r="O270" i="2" s="1"/>
  <c r="O407" i="2" a="1"/>
  <c r="O407" i="2" s="1"/>
  <c r="O493" i="2" a="1"/>
  <c r="O493" i="2" s="1"/>
  <c r="O605" i="2" a="1"/>
  <c r="O605" i="2" s="1"/>
  <c r="O697" i="2" a="1"/>
  <c r="O697" i="2" s="1"/>
  <c r="O732" i="2" a="1"/>
  <c r="O732" i="2" s="1"/>
  <c r="O752" i="2" a="1"/>
  <c r="O752" i="2" s="1"/>
  <c r="O790" i="2" a="1"/>
  <c r="O790" i="2" s="1"/>
  <c r="O808" i="2" a="1"/>
  <c r="O808" i="2" s="1"/>
  <c r="O856" i="2" a="1"/>
  <c r="O856" i="2" s="1"/>
  <c r="O870" i="2" a="1"/>
  <c r="O870" i="2" s="1"/>
  <c r="O885" i="2" a="1"/>
  <c r="O885" i="2" s="1"/>
  <c r="O899" i="2" a="1"/>
  <c r="O899" i="2" s="1"/>
  <c r="O58" i="2" a="1"/>
  <c r="O58" i="2" s="1"/>
  <c r="O71" i="2" a="1"/>
  <c r="O71" i="2" s="1"/>
  <c r="O78" i="2" a="1"/>
  <c r="O78" i="2" s="1"/>
  <c r="O91" i="2" a="1"/>
  <c r="O91" i="2" s="1"/>
  <c r="O104" i="2" a="1"/>
  <c r="O104" i="2" s="1"/>
  <c r="O117" i="2" a="1"/>
  <c r="O117" i="2" s="1"/>
  <c r="O130" i="2" a="1"/>
  <c r="O130" i="2" s="1"/>
  <c r="O143" i="2" a="1"/>
  <c r="O143" i="2" s="1"/>
  <c r="O150" i="2" a="1"/>
  <c r="O150" i="2" s="1"/>
  <c r="O163" i="2" a="1"/>
  <c r="O163" i="2" s="1"/>
  <c r="O170" i="2" a="1"/>
  <c r="O170" i="2" s="1"/>
  <c r="O177" i="2" a="1"/>
  <c r="O177" i="2" s="1"/>
  <c r="O184" i="2" a="1"/>
  <c r="O184" i="2" s="1"/>
  <c r="O191" i="2" a="1"/>
  <c r="O191" i="2" s="1"/>
  <c r="O199" i="2" a="1"/>
  <c r="O199" i="2" s="1"/>
  <c r="O206" i="2" a="1"/>
  <c r="O206" i="2" s="1"/>
  <c r="O213" i="2" a="1"/>
  <c r="O213" i="2" s="1"/>
  <c r="O220" i="2" a="1"/>
  <c r="O220" i="2" s="1"/>
  <c r="O227" i="2" a="1"/>
  <c r="O227" i="2" s="1"/>
  <c r="O235" i="2" a="1"/>
  <c r="O235" i="2" s="1"/>
  <c r="O242" i="2" a="1"/>
  <c r="O242" i="2" s="1"/>
  <c r="O249" i="2" a="1"/>
  <c r="O249" i="2" s="1"/>
  <c r="O256" i="2" a="1"/>
  <c r="O256" i="2" s="1"/>
  <c r="O263" i="2" a="1"/>
  <c r="O263" i="2" s="1"/>
  <c r="O271" i="2" a="1"/>
  <c r="O271" i="2" s="1"/>
  <c r="O278" i="2" a="1"/>
  <c r="O278" i="2" s="1"/>
  <c r="O285" i="2" a="1"/>
  <c r="O285" i="2" s="1"/>
  <c r="O293" i="2" a="1"/>
  <c r="O293" i="2" s="1"/>
  <c r="O458" i="2" a="1"/>
  <c r="O458" i="2" s="1"/>
  <c r="O495" i="2" a="1"/>
  <c r="O495" i="2" s="1"/>
  <c r="O517" i="2" a="1"/>
  <c r="O517" i="2" s="1"/>
  <c r="O585" i="2" a="1"/>
  <c r="O585" i="2" s="1"/>
  <c r="O623" i="2" a="1"/>
  <c r="O623" i="2" s="1"/>
  <c r="O678" i="2" a="1"/>
  <c r="O678" i="2" s="1"/>
  <c r="O716" i="2" a="1"/>
  <c r="O716" i="2" s="1"/>
  <c r="O736" i="2" a="1"/>
  <c r="O736" i="2" s="1"/>
  <c r="O754" i="2" a="1"/>
  <c r="O754" i="2" s="1"/>
  <c r="O770" i="2" a="1"/>
  <c r="O770" i="2" s="1"/>
  <c r="O827" i="2" a="1"/>
  <c r="O827" i="2" s="1"/>
  <c r="O842" i="2" a="1"/>
  <c r="O842" i="2" s="1"/>
  <c r="O871" i="2" a="1"/>
  <c r="O871" i="2" s="1"/>
  <c r="O915" i="2" a="1"/>
  <c r="O915" i="2" s="1"/>
  <c r="O35" i="2" a="1"/>
  <c r="O35" i="2" s="1"/>
  <c r="O52" i="2" a="1"/>
  <c r="O52" i="2" s="1"/>
  <c r="O65" i="2" a="1"/>
  <c r="O65" i="2" s="1"/>
  <c r="O72" i="2" a="1"/>
  <c r="O72" i="2" s="1"/>
  <c r="O85" i="2" a="1"/>
  <c r="O85" i="2" s="1"/>
  <c r="O98" i="2" a="1"/>
  <c r="O98" i="2" s="1"/>
  <c r="O111" i="2" a="1"/>
  <c r="O111" i="2" s="1"/>
  <c r="O124" i="2" a="1"/>
  <c r="O124" i="2" s="1"/>
  <c r="O137" i="2" a="1"/>
  <c r="O137" i="2" s="1"/>
  <c r="O144" i="2" a="1"/>
  <c r="O144" i="2" s="1"/>
  <c r="O157" i="2" a="1"/>
  <c r="O157" i="2" s="1"/>
  <c r="O192" i="2" a="1"/>
  <c r="O192" i="2" s="1"/>
  <c r="O228" i="2" a="1"/>
  <c r="O228" i="2" s="1"/>
  <c r="O264" i="2" a="1"/>
  <c r="O264" i="2" s="1"/>
  <c r="O294" i="2" a="1"/>
  <c r="O294" i="2" s="1"/>
  <c r="O29" i="2" a="1"/>
  <c r="O29" i="2" s="1"/>
  <c r="O11" i="2" a="1"/>
  <c r="O11" i="2" s="1"/>
  <c r="O19" i="2" a="1"/>
  <c r="O19" i="2" s="1"/>
  <c r="O325" i="2" a="1"/>
  <c r="O325" i="2" s="1"/>
  <c r="O371" i="2" a="1"/>
  <c r="O371" i="2" s="1"/>
  <c r="O415" i="2" a="1"/>
  <c r="O415" i="2" s="1"/>
  <c r="O459" i="2" a="1"/>
  <c r="O459" i="2" s="1"/>
  <c r="O540" i="2" a="1"/>
  <c r="O540" i="2" s="1"/>
  <c r="O562" i="2" a="1"/>
  <c r="O562" i="2" s="1"/>
  <c r="O607" i="2" a="1"/>
  <c r="O607" i="2" s="1"/>
  <c r="O624" i="2" a="1"/>
  <c r="O624" i="2" s="1"/>
  <c r="O644" i="2" a="1"/>
  <c r="O644" i="2" s="1"/>
  <c r="O662" i="2" a="1"/>
  <c r="O662" i="2" s="1"/>
  <c r="O682" i="2" a="1"/>
  <c r="O682" i="2" s="1"/>
  <c r="O700" i="2" a="1"/>
  <c r="O700" i="2" s="1"/>
  <c r="O717" i="2" a="1"/>
  <c r="O717" i="2" s="1"/>
  <c r="O755" i="2" a="1"/>
  <c r="O755" i="2" s="1"/>
  <c r="O809" i="2" a="1"/>
  <c r="O809" i="2" s="1"/>
  <c r="O844" i="2" a="1"/>
  <c r="O844" i="2" s="1"/>
  <c r="O858" i="2" a="1"/>
  <c r="O858" i="2" s="1"/>
  <c r="O873" i="2" a="1"/>
  <c r="O873" i="2" s="1"/>
  <c r="O887" i="2" a="1"/>
  <c r="O887" i="2" s="1"/>
  <c r="O916" i="2" a="1"/>
  <c r="O916" i="2" s="1"/>
  <c r="O36" i="2" a="1"/>
  <c r="O36" i="2" s="1"/>
  <c r="O46" i="2" a="1"/>
  <c r="O46" i="2" s="1"/>
  <c r="O59" i="2" a="1"/>
  <c r="O59" i="2" s="1"/>
  <c r="O66" i="2" a="1"/>
  <c r="O66" i="2" s="1"/>
  <c r="O79" i="2" a="1"/>
  <c r="O79" i="2" s="1"/>
  <c r="O92" i="2" a="1"/>
  <c r="O92" i="2" s="1"/>
  <c r="O105" i="2" a="1"/>
  <c r="O105" i="2" s="1"/>
  <c r="O118" i="2" a="1"/>
  <c r="O118" i="2" s="1"/>
  <c r="O131" i="2" a="1"/>
  <c r="O131" i="2" s="1"/>
  <c r="O138" i="2" a="1"/>
  <c r="O138" i="2" s="1"/>
  <c r="O151" i="2" a="1"/>
  <c r="O151" i="2" s="1"/>
  <c r="O164" i="2" a="1"/>
  <c r="O164" i="2" s="1"/>
  <c r="O171" i="2" a="1"/>
  <c r="O171" i="2" s="1"/>
  <c r="O178" i="2" a="1"/>
  <c r="O178" i="2" s="1"/>
  <c r="O185" i="2" a="1"/>
  <c r="O185" i="2" s="1"/>
  <c r="O193" i="2" a="1"/>
  <c r="O193" i="2" s="1"/>
  <c r="O200" i="2" a="1"/>
  <c r="O200" i="2" s="1"/>
  <c r="O207" i="2" a="1"/>
  <c r="O207" i="2" s="1"/>
  <c r="O214" i="2" a="1"/>
  <c r="O214" i="2" s="1"/>
  <c r="O221" i="2" a="1"/>
  <c r="O221" i="2" s="1"/>
  <c r="O229" i="2" a="1"/>
  <c r="O229" i="2" s="1"/>
  <c r="O332" i="2" a="1"/>
  <c r="O332" i="2" s="1"/>
  <c r="O377" i="2" a="1"/>
  <c r="O377" i="2" s="1"/>
  <c r="O466" i="2" a="1"/>
  <c r="O466" i="2" s="1"/>
  <c r="O496" i="2" a="1"/>
  <c r="O496" i="2" s="1"/>
  <c r="O518" i="2" a="1"/>
  <c r="O518" i="2" s="1"/>
  <c r="O586" i="2" a="1"/>
  <c r="O586" i="2" s="1"/>
  <c r="O608" i="2" a="1"/>
  <c r="O608" i="2" s="1"/>
  <c r="O628" i="2" a="1"/>
  <c r="O628" i="2" s="1"/>
  <c r="O646" i="2" a="1"/>
  <c r="O646" i="2" s="1"/>
  <c r="O663" i="2" a="1"/>
  <c r="O663" i="2" s="1"/>
  <c r="O683" i="2" a="1"/>
  <c r="O683" i="2" s="1"/>
  <c r="O738" i="2" a="1"/>
  <c r="O738" i="2" s="1"/>
  <c r="O775" i="2" a="1"/>
  <c r="O775" i="2" s="1"/>
  <c r="O793" i="2" a="1"/>
  <c r="O793" i="2" s="1"/>
  <c r="O813" i="2" a="1"/>
  <c r="O813" i="2" s="1"/>
  <c r="O859" i="2" a="1"/>
  <c r="O859" i="2" s="1"/>
  <c r="O902" i="2" a="1"/>
  <c r="O902" i="2" s="1"/>
  <c r="O917" i="2" a="1"/>
  <c r="O917" i="2" s="1"/>
  <c r="O53" i="2" a="1"/>
  <c r="O53" i="2" s="1"/>
  <c r="O60" i="2" a="1"/>
  <c r="O60" i="2" s="1"/>
  <c r="O73" i="2" a="1"/>
  <c r="O73" i="2" s="1"/>
  <c r="O86" i="2" a="1"/>
  <c r="O86" i="2" s="1"/>
  <c r="O99" i="2" a="1"/>
  <c r="O99" i="2" s="1"/>
  <c r="O112" i="2" a="1"/>
  <c r="O112" i="2" s="1"/>
  <c r="O125" i="2" a="1"/>
  <c r="O125" i="2" s="1"/>
  <c r="O132" i="2" a="1"/>
  <c r="O132" i="2" s="1"/>
  <c r="O145" i="2" a="1"/>
  <c r="O145" i="2" s="1"/>
  <c r="O158" i="2" a="1"/>
  <c r="O158" i="2" s="1"/>
  <c r="O186" i="2" a="1"/>
  <c r="O186" i="2" s="1"/>
  <c r="O222" i="2" a="1"/>
  <c r="O222" i="2" s="1"/>
  <c r="O258" i="2" a="1"/>
  <c r="O258" i="2" s="1"/>
  <c r="O30" i="2" a="1"/>
  <c r="O30" i="2" s="1"/>
  <c r="O12" i="2" a="1"/>
  <c r="O12" i="2" s="1"/>
  <c r="O333" i="2" a="1"/>
  <c r="O333" i="2" s="1"/>
  <c r="O422" i="2" a="1"/>
  <c r="O422" i="2" s="1"/>
  <c r="O467" i="2" a="1"/>
  <c r="O467" i="2" s="1"/>
  <c r="O501" i="2" a="1"/>
  <c r="O501" i="2" s="1"/>
  <c r="O522" i="2" a="1"/>
  <c r="O522" i="2" s="1"/>
  <c r="O545" i="2" a="1"/>
  <c r="O545" i="2" s="1"/>
  <c r="O567" i="2" a="1"/>
  <c r="O567" i="2" s="1"/>
  <c r="O590" i="2" a="1"/>
  <c r="O590" i="2" s="1"/>
  <c r="O609" i="2" a="1"/>
  <c r="O609" i="2" s="1"/>
  <c r="O666" i="2" a="1"/>
  <c r="O666" i="2" s="1"/>
  <c r="O701" i="2" a="1"/>
  <c r="O701" i="2" s="1"/>
  <c r="O721" i="2" a="1"/>
  <c r="O721" i="2" s="1"/>
  <c r="O739" i="2" a="1"/>
  <c r="O739" i="2" s="1"/>
  <c r="O759" i="2" a="1"/>
  <c r="O759" i="2" s="1"/>
  <c r="O777" i="2" a="1"/>
  <c r="O777" i="2" s="1"/>
  <c r="O794" i="2" a="1"/>
  <c r="O794" i="2" s="1"/>
  <c r="O830" i="2" a="1"/>
  <c r="O830" i="2" s="1"/>
  <c r="O845" i="2" a="1"/>
  <c r="O845" i="2" s="1"/>
  <c r="O874" i="2" a="1"/>
  <c r="O874" i="2" s="1"/>
  <c r="O888" i="2" a="1"/>
  <c r="O888" i="2" s="1"/>
  <c r="O903" i="2" a="1"/>
  <c r="O903" i="2" s="1"/>
  <c r="O38" i="2" a="1"/>
  <c r="O38" i="2" s="1"/>
  <c r="O47" i="2" a="1"/>
  <c r="O47" i="2" s="1"/>
  <c r="O54" i="2" a="1"/>
  <c r="O54" i="2" s="1"/>
  <c r="O67" i="2" a="1"/>
  <c r="O67" i="2" s="1"/>
  <c r="O80" i="2" a="1"/>
  <c r="O80" i="2" s="1"/>
  <c r="O93" i="2" a="1"/>
  <c r="O93" i="2" s="1"/>
  <c r="O106" i="2" a="1"/>
  <c r="O106" i="2" s="1"/>
  <c r="O119" i="2" a="1"/>
  <c r="O119" i="2" s="1"/>
  <c r="O126" i="2" a="1"/>
  <c r="O126" i="2" s="1"/>
  <c r="O139" i="2" a="1"/>
  <c r="O139" i="2" s="1"/>
  <c r="O152" i="2" a="1"/>
  <c r="O152" i="2" s="1"/>
  <c r="O165" i="2" a="1"/>
  <c r="O165" i="2" s="1"/>
  <c r="O172" i="2" a="1"/>
  <c r="O172" i="2" s="1"/>
  <c r="O179" i="2" a="1"/>
  <c r="O179" i="2" s="1"/>
  <c r="O187" i="2" a="1"/>
  <c r="O187" i="2" s="1"/>
  <c r="O194" i="2" a="1"/>
  <c r="O194" i="2" s="1"/>
  <c r="O201" i="2" a="1"/>
  <c r="O201" i="2" s="1"/>
  <c r="O208" i="2" a="1"/>
  <c r="O208" i="2" s="1"/>
  <c r="O215" i="2" a="1"/>
  <c r="O215" i="2" s="1"/>
  <c r="O223" i="2" a="1"/>
  <c r="O223" i="2" s="1"/>
  <c r="O230" i="2" a="1"/>
  <c r="O230" i="2" s="1"/>
  <c r="O340" i="2" a="1"/>
  <c r="O340" i="2" s="1"/>
  <c r="O524" i="2" a="1"/>
  <c r="O524" i="2" s="1"/>
  <c r="O569" i="2" a="1"/>
  <c r="O569" i="2" s="1"/>
  <c r="O592" i="2" a="1"/>
  <c r="O592" i="2" s="1"/>
  <c r="O647" i="2" a="1"/>
  <c r="O647" i="2" s="1"/>
  <c r="O667" i="2" a="1"/>
  <c r="O667" i="2" s="1"/>
  <c r="O685" i="2" a="1"/>
  <c r="O685" i="2" s="1"/>
  <c r="O705" i="2" a="1"/>
  <c r="O705" i="2" s="1"/>
  <c r="O798" i="2" a="1"/>
  <c r="O798" i="2" s="1"/>
  <c r="O815" i="2" a="1"/>
  <c r="O815" i="2" s="1"/>
  <c r="O831" i="2" a="1"/>
  <c r="O831" i="2" s="1"/>
  <c r="O862" i="2" a="1"/>
  <c r="O862" i="2" s="1"/>
  <c r="O385" i="2" a="1"/>
  <c r="O385" i="2" s="1"/>
  <c r="O430" i="2" a="1"/>
  <c r="O430" i="2" s="1"/>
  <c r="O474" i="2" a="1"/>
  <c r="O474" i="2" s="1"/>
  <c r="O503" i="2" a="1"/>
  <c r="O503" i="2" s="1"/>
  <c r="O525" i="2" a="1"/>
  <c r="O525" i="2" s="1"/>
  <c r="O547" i="2" a="1"/>
  <c r="O547" i="2" s="1"/>
  <c r="O613" i="2" a="1"/>
  <c r="O613" i="2" s="1"/>
  <c r="O631" i="2" a="1"/>
  <c r="O631" i="2" s="1"/>
  <c r="O669" i="2" a="1"/>
  <c r="O669" i="2" s="1"/>
  <c r="O724" i="2" a="1"/>
  <c r="O724" i="2" s="1"/>
  <c r="O778" i="2" a="1"/>
  <c r="O778" i="2" s="1"/>
  <c r="O834" i="2" a="1"/>
  <c r="O834" i="2" s="1"/>
  <c r="O849" i="2" a="1"/>
  <c r="O849" i="2" s="1"/>
  <c r="O863" i="2" a="1"/>
  <c r="O863" i="2" s="1"/>
  <c r="O892" i="2" a="1"/>
  <c r="O892" i="2" s="1"/>
  <c r="O907" i="2" a="1"/>
  <c r="O907" i="2" s="1"/>
  <c r="O919" i="2" a="1"/>
  <c r="O919" i="2" s="1"/>
  <c r="O55" i="2" a="1"/>
  <c r="O55" i="2" s="1"/>
  <c r="O68" i="2" a="1"/>
  <c r="O68" i="2" s="1"/>
  <c r="O81" i="2" a="1"/>
  <c r="O81" i="2" s="1"/>
  <c r="O94" i="2" a="1"/>
  <c r="O94" i="2" s="1"/>
  <c r="O107" i="2" a="1"/>
  <c r="O107" i="2" s="1"/>
  <c r="O114" i="2" a="1"/>
  <c r="O114" i="2" s="1"/>
  <c r="O127" i="2" a="1"/>
  <c r="O127" i="2" s="1"/>
  <c r="O140" i="2" a="1"/>
  <c r="O140" i="2" s="1"/>
  <c r="O153" i="2" a="1"/>
  <c r="O153" i="2" s="1"/>
  <c r="O166" i="2" a="1"/>
  <c r="O166" i="2" s="1"/>
  <c r="O173" i="2" a="1"/>
  <c r="O173" i="2" s="1"/>
  <c r="O181" i="2" a="1"/>
  <c r="O181" i="2" s="1"/>
  <c r="O188" i="2" a="1"/>
  <c r="O188" i="2" s="1"/>
  <c r="O195" i="2" a="1"/>
  <c r="O195" i="2" s="1"/>
  <c r="O202" i="2" a="1"/>
  <c r="O202" i="2" s="1"/>
  <c r="O209" i="2" a="1"/>
  <c r="O209" i="2" s="1"/>
  <c r="O217" i="2" a="1"/>
  <c r="O217" i="2" s="1"/>
  <c r="O224" i="2" a="1"/>
  <c r="O224" i="2" s="1"/>
  <c r="O231" i="2" a="1"/>
  <c r="O231" i="2" s="1"/>
  <c r="O238" i="2" a="1"/>
  <c r="O238" i="2" s="1"/>
  <c r="O245" i="2" a="1"/>
  <c r="O245" i="2" s="1"/>
  <c r="O253" i="2" a="1"/>
  <c r="O253" i="2" s="1"/>
  <c r="O260" i="2" a="1"/>
  <c r="O260" i="2" s="1"/>
  <c r="O267" i="2" a="1"/>
  <c r="O267" i="2" s="1"/>
  <c r="O274" i="2" a="1"/>
  <c r="O274" i="2" s="1"/>
  <c r="O392" i="2" a="1"/>
  <c r="O392" i="2" s="1"/>
  <c r="O526" i="2" a="1"/>
  <c r="O526" i="2" s="1"/>
  <c r="O570" i="2" a="1"/>
  <c r="O570" i="2" s="1"/>
  <c r="O593" i="2" a="1"/>
  <c r="O593" i="2" s="1"/>
  <c r="O615" i="2" a="1"/>
  <c r="O615" i="2" s="1"/>
  <c r="O652" i="2" a="1"/>
  <c r="O652" i="2" s="1"/>
  <c r="O670" i="2" a="1"/>
  <c r="O670" i="2" s="1"/>
  <c r="O744" i="2" a="1"/>
  <c r="O744" i="2" s="1"/>
  <c r="O762" i="2" a="1"/>
  <c r="O762" i="2" s="1"/>
  <c r="O782" i="2" a="1"/>
  <c r="O782" i="2" s="1"/>
  <c r="O801" i="2" a="1"/>
  <c r="O801" i="2" s="1"/>
  <c r="O816" i="2" a="1"/>
  <c r="O816" i="2" s="1"/>
  <c r="O835" i="2" a="1"/>
  <c r="O835" i="2" s="1"/>
  <c r="O878" i="2" a="1"/>
  <c r="O878" i="2" s="1"/>
  <c r="O921" i="2" a="1"/>
  <c r="O921" i="2" s="1"/>
  <c r="O49" i="2" a="1"/>
  <c r="O49" i="2" s="1"/>
  <c r="O62" i="2" a="1"/>
  <c r="O62" i="2" s="1"/>
  <c r="O75" i="2" a="1"/>
  <c r="O75" i="2" s="1"/>
  <c r="O88" i="2" a="1"/>
  <c r="O88" i="2" s="1"/>
  <c r="O101" i="2" a="1"/>
  <c r="O101" i="2" s="1"/>
  <c r="O108" i="2" a="1"/>
  <c r="O108" i="2" s="1"/>
  <c r="O121" i="2" a="1"/>
  <c r="O121" i="2" s="1"/>
  <c r="O134" i="2" a="1"/>
  <c r="O134" i="2" s="1"/>
  <c r="O147" i="2" a="1"/>
  <c r="O147" i="2" s="1"/>
  <c r="O160" i="2" a="1"/>
  <c r="O160" i="2" s="1"/>
  <c r="O174" i="2" a="1"/>
  <c r="O174" i="2" s="1"/>
  <c r="O210" i="2" a="1"/>
  <c r="O210" i="2" s="1"/>
  <c r="O246" i="2" a="1"/>
  <c r="O246" i="2" s="1"/>
  <c r="O282" i="2" a="1"/>
  <c r="O282" i="2" s="1"/>
  <c r="O290" i="2" a="1"/>
  <c r="O290" i="2" s="1"/>
  <c r="O298" i="2" a="1"/>
  <c r="O298" i="2" s="1"/>
  <c r="O25" i="2" a="1"/>
  <c r="O25" i="2" s="1"/>
  <c r="O33" i="2" a="1"/>
  <c r="O33" i="2" s="1"/>
  <c r="O15" i="2" a="1"/>
  <c r="O15" i="2" s="1"/>
  <c r="O348" i="2" a="1"/>
  <c r="O348" i="2" s="1"/>
  <c r="O393" i="2" a="1"/>
  <c r="O393" i="2" s="1"/>
  <c r="O437" i="2" a="1"/>
  <c r="O437" i="2" s="1"/>
  <c r="O481" i="2" a="1"/>
  <c r="O481" i="2" s="1"/>
  <c r="O508" i="2" a="1"/>
  <c r="O508" i="2" s="1"/>
  <c r="O552" i="2" a="1"/>
  <c r="O552" i="2" s="1"/>
  <c r="O598" i="2" a="1"/>
  <c r="O598" i="2" s="1"/>
  <c r="O654" i="2" a="1"/>
  <c r="O654" i="2" s="1"/>
  <c r="O690" i="2" a="1"/>
  <c r="O690" i="2" s="1"/>
  <c r="O708" i="2" a="1"/>
  <c r="O708" i="2" s="1"/>
  <c r="O729" i="2" a="1"/>
  <c r="O729" i="2" s="1"/>
  <c r="O746" i="2" a="1"/>
  <c r="O746" i="2" s="1"/>
  <c r="O783" i="2" a="1"/>
  <c r="O783" i="2" s="1"/>
  <c r="O820" i="2" a="1"/>
  <c r="O820" i="2" s="1"/>
  <c r="O837" i="2" a="1"/>
  <c r="O837" i="2" s="1"/>
  <c r="O851" i="2" a="1"/>
  <c r="O851" i="2" s="1"/>
  <c r="O880" i="2" a="1"/>
  <c r="O880" i="2" s="1"/>
  <c r="O894" i="2" a="1"/>
  <c r="O894" i="2" s="1"/>
  <c r="O910" i="2" a="1"/>
  <c r="O910" i="2" s="1"/>
  <c r="O922" i="2" a="1"/>
  <c r="O922" i="2" s="1"/>
  <c r="O41" i="2" a="1"/>
  <c r="O41" i="2" s="1"/>
  <c r="O56" i="2" a="1"/>
  <c r="O56" i="2" s="1"/>
  <c r="O69" i="2" a="1"/>
  <c r="O69" i="2" s="1"/>
  <c r="O82" i="2" a="1"/>
  <c r="O82" i="2" s="1"/>
  <c r="O95" i="2" a="1"/>
  <c r="O95" i="2" s="1"/>
  <c r="O102" i="2" a="1"/>
  <c r="O102" i="2" s="1"/>
  <c r="O115" i="2" a="1"/>
  <c r="O115" i="2" s="1"/>
  <c r="O128" i="2" a="1"/>
  <c r="O128" i="2" s="1"/>
  <c r="O141" i="2" a="1"/>
  <c r="O141" i="2" s="1"/>
  <c r="O154" i="2" a="1"/>
  <c r="O154" i="2" s="1"/>
  <c r="O167" i="2" a="1"/>
  <c r="O167" i="2" s="1"/>
  <c r="O175" i="2" a="1"/>
  <c r="O175" i="2" s="1"/>
  <c r="O182" i="2" a="1"/>
  <c r="O182" i="2" s="1"/>
  <c r="O189" i="2" a="1"/>
  <c r="O189" i="2" s="1"/>
  <c r="O196" i="2" a="1"/>
  <c r="O196" i="2" s="1"/>
  <c r="O203" i="2" a="1"/>
  <c r="O203" i="2" s="1"/>
  <c r="O211" i="2" a="1"/>
  <c r="O211" i="2" s="1"/>
  <c r="O218" i="2" a="1"/>
  <c r="O218" i="2" s="1"/>
  <c r="O225" i="2" a="1"/>
  <c r="O225" i="2" s="1"/>
  <c r="O232" i="2" a="1"/>
  <c r="O232" i="2" s="1"/>
  <c r="O444" i="2" a="1"/>
  <c r="O444" i="2" s="1"/>
  <c r="O510" i="2" a="1"/>
  <c r="O510" i="2" s="1"/>
  <c r="O532" i="2" a="1"/>
  <c r="O532" i="2" s="1"/>
  <c r="O616" i="2" a="1"/>
  <c r="O616" i="2" s="1"/>
  <c r="O636" i="2" a="1"/>
  <c r="O636" i="2" s="1"/>
  <c r="O674" i="2" a="1"/>
  <c r="O674" i="2" s="1"/>
  <c r="O709" i="2" a="1"/>
  <c r="O709" i="2" s="1"/>
  <c r="O747" i="2" a="1"/>
  <c r="O747" i="2" s="1"/>
  <c r="O785" i="2" a="1"/>
  <c r="O785" i="2" s="1"/>
  <c r="O802" i="2" a="1"/>
  <c r="O802" i="2" s="1"/>
  <c r="O866" i="2" a="1"/>
  <c r="O866" i="2" s="1"/>
  <c r="O895" i="2" a="1"/>
  <c r="O895" i="2" s="1"/>
  <c r="O923" i="2" a="1"/>
  <c r="O923" i="2" s="1"/>
  <c r="O42" i="2" a="1"/>
  <c r="O42" i="2" s="1"/>
  <c r="O50" i="2" a="1"/>
  <c r="O50" i="2" s="1"/>
  <c r="O63" i="2" a="1"/>
  <c r="O63" i="2" s="1"/>
  <c r="O76" i="2" a="1"/>
  <c r="O76" i="2" s="1"/>
  <c r="O89" i="2" a="1"/>
  <c r="O89" i="2" s="1"/>
  <c r="O96" i="2" a="1"/>
  <c r="O96" i="2" s="1"/>
  <c r="O356" i="2" a="1"/>
  <c r="O356" i="2" s="1"/>
  <c r="O400" i="2" a="1"/>
  <c r="O400" i="2" s="1"/>
  <c r="O488" i="2" a="1"/>
  <c r="O488" i="2" s="1"/>
  <c r="O554" i="2" a="1"/>
  <c r="O554" i="2" s="1"/>
  <c r="O577" i="2" a="1"/>
  <c r="O577" i="2" s="1"/>
  <c r="O600" i="2" a="1"/>
  <c r="O600" i="2" s="1"/>
  <c r="O638" i="2" a="1"/>
  <c r="O638" i="2" s="1"/>
  <c r="O655" i="2" a="1"/>
  <c r="O655" i="2" s="1"/>
  <c r="O675" i="2" a="1"/>
  <c r="O675" i="2" s="1"/>
  <c r="O692" i="2" a="1"/>
  <c r="O692" i="2" s="1"/>
  <c r="O713" i="2" a="1"/>
  <c r="O713" i="2" s="1"/>
  <c r="O731" i="2" a="1"/>
  <c r="O731" i="2" s="1"/>
  <c r="O748" i="2" a="1"/>
  <c r="O748" i="2" s="1"/>
  <c r="O767" i="2" a="1"/>
  <c r="O767" i="2" s="1"/>
  <c r="O822" i="2" a="1"/>
  <c r="O822" i="2" s="1"/>
  <c r="O838" i="2" a="1"/>
  <c r="O838" i="2" s="1"/>
  <c r="O852" i="2" a="1"/>
  <c r="O852" i="2" s="1"/>
  <c r="O867" i="2" a="1"/>
  <c r="O867" i="2" s="1"/>
  <c r="O90" i="2" a="1"/>
  <c r="O90" i="2" s="1"/>
  <c r="O120" i="2" a="1"/>
  <c r="O120" i="2" s="1"/>
  <c r="O146" i="2" a="1"/>
  <c r="O146" i="2" s="1"/>
  <c r="O247" i="2" a="1"/>
  <c r="O247" i="2" s="1"/>
  <c r="O261" i="2" a="1"/>
  <c r="O261" i="2" s="1"/>
  <c r="O275" i="2" a="1"/>
  <c r="O275" i="2" s="1"/>
  <c r="O286" i="2" a="1"/>
  <c r="O286" i="2" s="1"/>
  <c r="O299" i="2" a="1"/>
  <c r="O299" i="2" s="1"/>
  <c r="O28" i="2" a="1"/>
  <c r="O28" i="2" s="1"/>
  <c r="O6" i="2" a="1"/>
  <c r="O6" i="2" s="1"/>
  <c r="O16" i="2" a="1"/>
  <c r="O16" i="2" s="1"/>
  <c r="O876" i="2" a="1"/>
  <c r="O876" i="2" s="1"/>
  <c r="O122" i="2" a="1"/>
  <c r="O122" i="2" s="1"/>
  <c r="O148" i="2" a="1"/>
  <c r="O148" i="2" s="1"/>
  <c r="O204" i="2" a="1"/>
  <c r="O204" i="2" s="1"/>
  <c r="O276" i="2" a="1"/>
  <c r="O276" i="2" s="1"/>
  <c r="O287" i="2" a="1"/>
  <c r="O287" i="2" s="1"/>
  <c r="O300" i="2" a="1"/>
  <c r="O300" i="2" s="1"/>
  <c r="O881" i="2" a="1"/>
  <c r="O881" i="2" s="1"/>
  <c r="O57" i="2" a="1"/>
  <c r="O57" i="2" s="1"/>
  <c r="O176" i="2" a="1"/>
  <c r="O176" i="2" s="1"/>
  <c r="O205" i="2" a="1"/>
  <c r="O205" i="2" s="1"/>
  <c r="O233" i="2" a="1"/>
  <c r="O233" i="2" s="1"/>
  <c r="O891" i="2" a="1"/>
  <c r="O891" i="2" s="1"/>
  <c r="O61" i="2" a="1"/>
  <c r="O61" i="2" s="1"/>
  <c r="O100" i="2" a="1"/>
  <c r="O100" i="2" s="1"/>
  <c r="O180" i="2" a="1"/>
  <c r="O180" i="2" s="1"/>
  <c r="O236" i="2" a="1"/>
  <c r="O236" i="2" s="1"/>
  <c r="O250" i="2" a="1"/>
  <c r="O250" i="2" s="1"/>
  <c r="O237" i="2" a="1"/>
  <c r="O237" i="2" s="1"/>
  <c r="O251" i="2" a="1"/>
  <c r="O251" i="2" s="1"/>
  <c r="O266" i="2" a="1"/>
  <c r="O266" i="2" s="1"/>
  <c r="O279" i="2" a="1"/>
  <c r="O279" i="2" s="1"/>
  <c r="O291" i="2" a="1"/>
  <c r="O291" i="2" s="1"/>
  <c r="O21" i="2" a="1"/>
  <c r="O21" i="2" s="1"/>
  <c r="O103" i="2" a="1"/>
  <c r="O103" i="2" s="1"/>
  <c r="O129" i="2" a="1"/>
  <c r="O129" i="2" s="1"/>
  <c r="O155" i="2" a="1"/>
  <c r="O155" i="2" s="1"/>
  <c r="O183" i="2" a="1"/>
  <c r="O183" i="2" s="1"/>
  <c r="O212" i="2" a="1"/>
  <c r="O212" i="2" s="1"/>
  <c r="O252" i="2" a="1"/>
  <c r="O252" i="2" s="1"/>
  <c r="O280" i="2" a="1"/>
  <c r="O280" i="2" s="1"/>
  <c r="O22" i="2" a="1"/>
  <c r="O22" i="2" s="1"/>
  <c r="O32" i="2" a="1"/>
  <c r="O32" i="2" s="1"/>
  <c r="O9" i="2" a="1"/>
  <c r="O9" i="2" s="1"/>
  <c r="O2" i="2" a="1"/>
  <c r="O2" i="2" s="1"/>
  <c r="O911" i="2" a="1"/>
  <c r="O911" i="2" s="1"/>
  <c r="O70" i="2" a="1"/>
  <c r="O70" i="2" s="1"/>
  <c r="O133" i="2" a="1"/>
  <c r="O133" i="2" s="1"/>
  <c r="O159" i="2" a="1"/>
  <c r="O159" i="2" s="1"/>
  <c r="O216" i="2" a="1"/>
  <c r="O216" i="2" s="1"/>
  <c r="O239" i="2" a="1"/>
  <c r="O239" i="2" s="1"/>
  <c r="O254" i="2" a="1"/>
  <c r="O254" i="2" s="1"/>
  <c r="O268" i="2" a="1"/>
  <c r="O268" i="2" s="1"/>
  <c r="O292" i="2" a="1"/>
  <c r="O292" i="2" s="1"/>
  <c r="O23" i="2" a="1"/>
  <c r="O23" i="2" s="1"/>
  <c r="O10" i="2" a="1"/>
  <c r="O10" i="2" s="1"/>
  <c r="O918" i="2" a="1"/>
  <c r="O918" i="2" s="1"/>
  <c r="O74" i="2" a="1"/>
  <c r="O74" i="2" s="1"/>
  <c r="O109" i="2" a="1"/>
  <c r="O109" i="2" s="1"/>
  <c r="O135" i="2" a="1"/>
  <c r="O135" i="2" s="1"/>
  <c r="O161" i="2" a="1"/>
  <c r="O161" i="2" s="1"/>
  <c r="O240" i="2" a="1"/>
  <c r="O240" i="2" s="1"/>
  <c r="O281" i="2" a="1"/>
  <c r="O281" i="2" s="1"/>
  <c r="O34" i="2" a="1"/>
  <c r="O34" i="2" s="1"/>
  <c r="O162" i="2" a="1"/>
  <c r="O162" i="2" s="1"/>
  <c r="O190" i="2" a="1"/>
  <c r="O190" i="2" s="1"/>
  <c r="O219" i="2" a="1"/>
  <c r="O219" i="2" s="1"/>
  <c r="O241" i="2" a="1"/>
  <c r="O241" i="2" s="1"/>
  <c r="O255" i="2" a="1"/>
  <c r="O255" i="2" s="1"/>
  <c r="O269" i="2" a="1"/>
  <c r="O269" i="2" s="1"/>
  <c r="O283" i="2" a="1"/>
  <c r="O283" i="2" s="1"/>
  <c r="O295" i="2" a="1"/>
  <c r="O295" i="2" s="1"/>
  <c r="O24" i="2" a="1"/>
  <c r="O24" i="2" s="1"/>
  <c r="O39" i="2" a="1"/>
  <c r="O39" i="2" s="1"/>
  <c r="O113" i="2" a="1"/>
  <c r="O113" i="2" s="1"/>
  <c r="O243" i="2" a="1"/>
  <c r="O243" i="2" s="1"/>
  <c r="O257" i="2" a="1"/>
  <c r="O257" i="2" s="1"/>
  <c r="O272" i="2" a="1"/>
  <c r="O272" i="2" s="1"/>
  <c r="O296" i="2" a="1"/>
  <c r="O296" i="2" s="1"/>
  <c r="O26" i="2" a="1"/>
  <c r="O26" i="2" s="1"/>
  <c r="O3" i="2" a="1"/>
  <c r="O3" i="2" s="1"/>
  <c r="O13" i="2" a="1"/>
  <c r="O13" i="2" s="1"/>
  <c r="O83" i="2" a="1"/>
  <c r="O83" i="2" s="1"/>
  <c r="O168" i="2" a="1"/>
  <c r="O168" i="2" s="1"/>
  <c r="O244" i="2" a="1"/>
  <c r="O244" i="2" s="1"/>
  <c r="O259" i="2" a="1"/>
  <c r="O259" i="2" s="1"/>
  <c r="O273" i="2" a="1"/>
  <c r="O273" i="2" s="1"/>
  <c r="O284" i="2" a="1"/>
  <c r="O284" i="2" s="1"/>
  <c r="O297" i="2" a="1"/>
  <c r="O297" i="2" s="1"/>
  <c r="O27" i="2" a="1"/>
  <c r="O27" i="2" s="1"/>
  <c r="O4" i="2" a="1"/>
  <c r="O4" i="2" s="1"/>
  <c r="O48" i="2" a="1"/>
  <c r="O48" i="2" s="1"/>
  <c r="O87" i="2" a="1"/>
  <c r="O87" i="2" s="1"/>
  <c r="O116" i="2" a="1"/>
  <c r="O116" i="2" s="1"/>
  <c r="O142" i="2" a="1"/>
  <c r="O142" i="2" s="1"/>
  <c r="O169" i="2" a="1"/>
  <c r="O169" i="2" s="1"/>
  <c r="O197" i="2" a="1"/>
  <c r="O197" i="2" s="1"/>
  <c r="O226" i="2" a="1"/>
  <c r="O226" i="2" s="1"/>
  <c r="O5" i="2" a="1"/>
  <c r="O5" i="2" s="1"/>
  <c r="O14" i="2" a="1"/>
  <c r="O14" i="2" s="1"/>
  <c r="N14" i="2"/>
  <c r="N916" i="2"/>
  <c r="N880" i="2"/>
  <c r="N868" i="2"/>
  <c r="N854" i="2"/>
  <c r="N841" i="2"/>
  <c r="N828" i="2"/>
  <c r="N774" i="2"/>
  <c r="N760" i="2"/>
  <c r="N743" i="2"/>
  <c r="N728" i="2"/>
  <c r="N712" i="2"/>
  <c r="N656" i="2"/>
  <c r="N632" i="2"/>
  <c r="N608" i="2"/>
  <c r="N466" i="2"/>
  <c r="N440" i="2"/>
  <c r="N335" i="2"/>
  <c r="N152" i="2"/>
  <c r="N112" i="2"/>
  <c r="N30" i="2"/>
  <c r="O20" i="2" a="1"/>
  <c r="O20" i="2" s="1"/>
  <c r="N616" i="2"/>
  <c r="N617" i="2"/>
  <c r="N618" i="2"/>
  <c r="N619" i="2"/>
  <c r="N408" i="2"/>
  <c r="N276" i="2"/>
  <c r="N277" i="2"/>
  <c r="N220" i="2"/>
  <c r="N221" i="2"/>
  <c r="N222" i="2"/>
  <c r="N831" i="2"/>
  <c r="N746" i="2"/>
  <c r="N747" i="2"/>
  <c r="N722" i="2"/>
  <c r="N723" i="2"/>
  <c r="N686" i="2"/>
  <c r="N687" i="2"/>
  <c r="N638" i="2"/>
  <c r="N639" i="2"/>
  <c r="N640" i="2"/>
  <c r="N641" i="2"/>
  <c r="N626" i="2"/>
  <c r="N627" i="2"/>
  <c r="N628" i="2"/>
  <c r="N629" i="2"/>
  <c r="N614" i="2"/>
  <c r="N615" i="2"/>
  <c r="N590" i="2"/>
  <c r="N591" i="2"/>
  <c r="N592" i="2"/>
  <c r="N593" i="2"/>
  <c r="N578" i="2"/>
  <c r="N579" i="2"/>
  <c r="N580" i="2"/>
  <c r="N566" i="2"/>
  <c r="N567" i="2"/>
  <c r="N568" i="2"/>
  <c r="N569" i="2"/>
  <c r="N554" i="2"/>
  <c r="N555" i="2"/>
  <c r="N556" i="2"/>
  <c r="N557" i="2"/>
  <c r="N434" i="2"/>
  <c r="N435" i="2"/>
  <c r="N436" i="2"/>
  <c r="N410" i="2"/>
  <c r="N411" i="2"/>
  <c r="N412" i="2"/>
  <c r="N413" i="2"/>
  <c r="N350" i="2"/>
  <c r="N351" i="2"/>
  <c r="N352" i="2"/>
  <c r="N353" i="2"/>
  <c r="N278" i="2"/>
  <c r="N279" i="2"/>
  <c r="N254" i="2"/>
  <c r="N255" i="2"/>
  <c r="N256" i="2"/>
  <c r="N230" i="2"/>
  <c r="N231" i="2"/>
  <c r="N218" i="2"/>
  <c r="N219" i="2"/>
  <c r="N206" i="2"/>
  <c r="N207" i="2"/>
  <c r="N194" i="2"/>
  <c r="N195" i="2"/>
  <c r="N166" i="2"/>
  <c r="N167" i="2"/>
  <c r="N146" i="2"/>
  <c r="N147" i="2"/>
  <c r="N134" i="2"/>
  <c r="N116" i="2"/>
  <c r="N117" i="2"/>
  <c r="N118" i="2"/>
  <c r="N104" i="2"/>
  <c r="N105" i="2"/>
  <c r="N106" i="2"/>
  <c r="N107" i="2"/>
  <c r="N101" i="2"/>
  <c r="N100" i="2"/>
  <c r="N92" i="2"/>
  <c r="N93" i="2"/>
  <c r="N68" i="2"/>
  <c r="N63" i="2"/>
  <c r="N62" i="2"/>
  <c r="N39" i="2"/>
  <c r="N41" i="2"/>
  <c r="N38" i="2"/>
  <c r="N32" i="2"/>
  <c r="N33" i="2"/>
  <c r="N34" i="2"/>
  <c r="N27" i="2"/>
  <c r="N15" i="2"/>
  <c r="N4" i="2"/>
  <c r="N915" i="2"/>
  <c r="N891" i="2"/>
  <c r="N853" i="2"/>
  <c r="N827" i="2"/>
  <c r="N814" i="2"/>
  <c r="N801" i="2"/>
  <c r="N788" i="2"/>
  <c r="N773" i="2"/>
  <c r="N757" i="2"/>
  <c r="N742" i="2"/>
  <c r="N694" i="2"/>
  <c r="N673" i="2"/>
  <c r="N649" i="2"/>
  <c r="N625" i="2"/>
  <c r="N601" i="2"/>
  <c r="N577" i="2"/>
  <c r="N550" i="2"/>
  <c r="N491" i="2"/>
  <c r="N465" i="2"/>
  <c r="N433" i="2"/>
  <c r="N406" i="2"/>
  <c r="N370" i="2"/>
  <c r="N334" i="2"/>
  <c r="N298" i="2"/>
  <c r="N262" i="2"/>
  <c r="N190" i="2"/>
  <c r="N151" i="2"/>
  <c r="N111" i="2"/>
  <c r="N71" i="2"/>
  <c r="N28" i="2"/>
  <c r="O301" i="2" a="1"/>
  <c r="O301" i="2" s="1"/>
  <c r="N544" i="2"/>
  <c r="N545" i="2"/>
  <c r="N546" i="2"/>
  <c r="N532" i="2"/>
  <c r="N533" i="2"/>
  <c r="N534" i="2"/>
  <c r="N448" i="2"/>
  <c r="N449" i="2"/>
  <c r="N450" i="2"/>
  <c r="N400" i="2"/>
  <c r="N401" i="2"/>
  <c r="N402" i="2"/>
  <c r="N403" i="2"/>
  <c r="N89" i="2"/>
  <c r="N88" i="2"/>
  <c r="N90" i="2"/>
  <c r="N91" i="2"/>
  <c r="N16" i="2"/>
  <c r="N914" i="2"/>
  <c r="N902" i="2"/>
  <c r="N878" i="2"/>
  <c r="N865" i="2"/>
  <c r="N852" i="2"/>
  <c r="N839" i="2"/>
  <c r="N800" i="2"/>
  <c r="N786" i="2"/>
  <c r="N741" i="2"/>
  <c r="N693" i="2"/>
  <c r="N648" i="2"/>
  <c r="N624" i="2"/>
  <c r="N575" i="2"/>
  <c r="N549" i="2"/>
  <c r="N490" i="2"/>
  <c r="N431" i="2"/>
  <c r="N369" i="2"/>
  <c r="N297" i="2"/>
  <c r="N261" i="2"/>
  <c r="N225" i="2"/>
  <c r="N189" i="2"/>
  <c r="N110" i="2"/>
  <c r="N70" i="2"/>
  <c r="N26" i="2"/>
  <c r="O289" i="2" a="1"/>
  <c r="O289" i="2" s="1"/>
  <c r="N925" i="2"/>
  <c r="N901" i="2"/>
  <c r="N889" i="2"/>
  <c r="N877" i="2"/>
  <c r="N838" i="2"/>
  <c r="N825" i="2"/>
  <c r="N770" i="2"/>
  <c r="N755" i="2"/>
  <c r="N724" i="2"/>
  <c r="N707" i="2"/>
  <c r="N671" i="2"/>
  <c r="N647" i="2"/>
  <c r="N623" i="2"/>
  <c r="N574" i="2"/>
  <c r="N548" i="2"/>
  <c r="N515" i="2"/>
  <c r="N489" i="2"/>
  <c r="N457" i="2"/>
  <c r="N430" i="2"/>
  <c r="N368" i="2"/>
  <c r="N332" i="2"/>
  <c r="N296" i="2"/>
  <c r="N260" i="2"/>
  <c r="N224" i="2"/>
  <c r="N188" i="2"/>
  <c r="N148" i="2"/>
  <c r="N69" i="2"/>
  <c r="O18" i="2" a="1"/>
  <c r="O18" i="2" s="1"/>
  <c r="O288" i="2" a="1"/>
  <c r="O288" i="2" s="1"/>
  <c r="N518" i="2"/>
  <c r="N519" i="2"/>
  <c r="N520" i="2"/>
  <c r="N506" i="2"/>
  <c r="N507" i="2"/>
  <c r="N508" i="2"/>
  <c r="N924" i="2"/>
  <c r="N912" i="2"/>
  <c r="N863" i="2"/>
  <c r="N850" i="2"/>
  <c r="N824" i="2"/>
  <c r="N811" i="2"/>
  <c r="N798" i="2"/>
  <c r="N784" i="2"/>
  <c r="N769" i="2"/>
  <c r="N738" i="2"/>
  <c r="N721" i="2"/>
  <c r="N706" i="2"/>
  <c r="N690" i="2"/>
  <c r="N514" i="2"/>
  <c r="N429" i="2"/>
  <c r="N395" i="2"/>
  <c r="N323" i="2"/>
  <c r="N178" i="2"/>
  <c r="N99" i="2"/>
  <c r="N58" i="2"/>
  <c r="O17" i="2" a="1"/>
  <c r="O17" i="2" s="1"/>
  <c r="N734" i="2"/>
  <c r="N735" i="2"/>
  <c r="N710" i="2"/>
  <c r="N711" i="2"/>
  <c r="N397" i="2"/>
  <c r="N398" i="2"/>
  <c r="N399" i="2"/>
  <c r="N241" i="2"/>
  <c r="N242" i="2"/>
  <c r="N727" i="2"/>
  <c r="N674" i="2"/>
  <c r="N642" i="2"/>
  <c r="N643" i="2"/>
  <c r="N594" i="2"/>
  <c r="N595" i="2"/>
  <c r="N570" i="2"/>
  <c r="N571" i="2"/>
  <c r="N324" i="2"/>
  <c r="N325" i="2"/>
  <c r="N326" i="2"/>
  <c r="N140" i="2"/>
  <c r="N141" i="2"/>
  <c r="N132" i="2"/>
  <c r="N133" i="2"/>
  <c r="N127" i="2"/>
  <c r="N128" i="2"/>
  <c r="N899" i="2"/>
  <c r="N887" i="2"/>
  <c r="N875" i="2"/>
  <c r="N862" i="2"/>
  <c r="N849" i="2"/>
  <c r="N823" i="2"/>
  <c r="N753" i="2"/>
  <c r="N688" i="2"/>
  <c r="N669" i="2"/>
  <c r="N645" i="2"/>
  <c r="N621" i="2"/>
  <c r="N597" i="2"/>
  <c r="N572" i="2"/>
  <c r="N539" i="2"/>
  <c r="N513" i="2"/>
  <c r="N454" i="2"/>
  <c r="N394" i="2"/>
  <c r="N322" i="2"/>
  <c r="N286" i="2"/>
  <c r="N214" i="2"/>
  <c r="N138" i="2"/>
  <c r="N98" i="2"/>
  <c r="N57" i="2"/>
  <c r="O277" i="2" a="1"/>
  <c r="O277" i="2" s="1"/>
  <c r="N662" i="2"/>
  <c r="N663" i="2"/>
  <c r="N530" i="2"/>
  <c r="N531" i="2"/>
  <c r="N446" i="2"/>
  <c r="N447" i="2"/>
  <c r="N79" i="2"/>
  <c r="N80" i="2"/>
  <c r="N81" i="2"/>
  <c r="N82" i="2"/>
  <c r="N771" i="2"/>
  <c r="N679" i="2"/>
  <c r="N426" i="2"/>
  <c r="N427" i="2"/>
  <c r="N414" i="2"/>
  <c r="N415" i="2"/>
  <c r="N378" i="2"/>
  <c r="N379" i="2"/>
  <c r="N354" i="2"/>
  <c r="N355" i="2"/>
  <c r="N342" i="2"/>
  <c r="N343" i="2"/>
  <c r="N318" i="2"/>
  <c r="N319" i="2"/>
  <c r="N264" i="2"/>
  <c r="N265" i="2"/>
  <c r="N266" i="2"/>
  <c r="N267" i="2"/>
  <c r="N198" i="2"/>
  <c r="N199" i="2"/>
  <c r="N168" i="2"/>
  <c r="N169" i="2"/>
  <c r="N170" i="2"/>
  <c r="N171" i="2"/>
  <c r="N102" i="2"/>
  <c r="N103" i="2"/>
  <c r="N51" i="2"/>
  <c r="N48" i="2"/>
  <c r="N49" i="2"/>
  <c r="N50" i="2"/>
  <c r="N18" i="2"/>
  <c r="N19" i="2"/>
  <c r="N20" i="2"/>
  <c r="N11" i="2"/>
  <c r="N910" i="2"/>
  <c r="N898" i="2"/>
  <c r="N886" i="2"/>
  <c r="N874" i="2"/>
  <c r="N848" i="2"/>
  <c r="N796" i="2"/>
  <c r="N781" i="2"/>
  <c r="N752" i="2"/>
  <c r="N736" i="2"/>
  <c r="N719" i="2"/>
  <c r="N685" i="2"/>
  <c r="N644" i="2"/>
  <c r="N538" i="2"/>
  <c r="N479" i="2"/>
  <c r="N453" i="2"/>
  <c r="N393" i="2"/>
  <c r="N357" i="2"/>
  <c r="N285" i="2"/>
  <c r="N249" i="2"/>
  <c r="N136" i="2"/>
  <c r="N56" i="2"/>
  <c r="O8" i="2" a="1"/>
  <c r="O8" i="2" s="1"/>
  <c r="O265" i="2" a="1"/>
  <c r="O265" i="2" s="1"/>
  <c r="N482" i="2"/>
  <c r="N483" i="2"/>
  <c r="N470" i="2"/>
  <c r="N471" i="2"/>
  <c r="N313" i="2"/>
  <c r="N314" i="2"/>
  <c r="N315" i="2"/>
  <c r="N763" i="2"/>
  <c r="N703" i="2"/>
  <c r="N498" i="2"/>
  <c r="N499" i="2"/>
  <c r="N492" i="2"/>
  <c r="N494" i="2"/>
  <c r="N360" i="2"/>
  <c r="N361" i="2"/>
  <c r="N362" i="2"/>
  <c r="N787" i="2"/>
  <c r="N739" i="2"/>
  <c r="N715" i="2"/>
  <c r="N698" i="2"/>
  <c r="N581" i="2"/>
  <c r="N582" i="2"/>
  <c r="N552" i="2"/>
  <c r="N528" i="2"/>
  <c r="N521" i="2"/>
  <c r="N522" i="2"/>
  <c r="N523" i="2"/>
  <c r="N504" i="2"/>
  <c r="N485" i="2"/>
  <c r="N486" i="2"/>
  <c r="N473" i="2"/>
  <c r="N474" i="2"/>
  <c r="N475" i="2"/>
  <c r="N456" i="2"/>
  <c r="N444" i="2"/>
  <c r="N389" i="2"/>
  <c r="N390" i="2"/>
  <c r="N391" i="2"/>
  <c r="N384" i="2"/>
  <c r="N372" i="2"/>
  <c r="N348" i="2"/>
  <c r="N349" i="2"/>
  <c r="N312" i="2"/>
  <c r="N300" i="2"/>
  <c r="N301" i="2"/>
  <c r="N302" i="2"/>
  <c r="N293" i="2"/>
  <c r="N294" i="2"/>
  <c r="N288" i="2"/>
  <c r="N289" i="2"/>
  <c r="N290" i="2"/>
  <c r="N257" i="2"/>
  <c r="N258" i="2"/>
  <c r="N245" i="2"/>
  <c r="N246" i="2"/>
  <c r="N228" i="2"/>
  <c r="N229" i="2"/>
  <c r="N216" i="2"/>
  <c r="N217" i="2"/>
  <c r="N192" i="2"/>
  <c r="N193" i="2"/>
  <c r="N179" i="2"/>
  <c r="N180" i="2"/>
  <c r="N181" i="2"/>
  <c r="N149" i="2"/>
  <c r="N143" i="2"/>
  <c r="N144" i="2"/>
  <c r="N145" i="2"/>
  <c r="N119" i="2"/>
  <c r="N120" i="2"/>
  <c r="N121" i="2"/>
  <c r="N95" i="2"/>
  <c r="N35" i="2"/>
  <c r="N36" i="2"/>
  <c r="N37" i="2"/>
  <c r="N921" i="2"/>
  <c r="N897" i="2"/>
  <c r="N873" i="2"/>
  <c r="N860" i="2"/>
  <c r="N834" i="2"/>
  <c r="N794" i="2"/>
  <c r="N750" i="2"/>
  <c r="N733" i="2"/>
  <c r="N718" i="2"/>
  <c r="N702" i="2"/>
  <c r="N684" i="2"/>
  <c r="N661" i="2"/>
  <c r="N637" i="2"/>
  <c r="N613" i="2"/>
  <c r="N589" i="2"/>
  <c r="N563" i="2"/>
  <c r="N537" i="2"/>
  <c r="N505" i="2"/>
  <c r="N478" i="2"/>
  <c r="N452" i="2"/>
  <c r="N419" i="2"/>
  <c r="N392" i="2"/>
  <c r="N320" i="2"/>
  <c r="N248" i="2"/>
  <c r="N212" i="2"/>
  <c r="N175" i="2"/>
  <c r="N135" i="2"/>
  <c r="N96" i="2"/>
  <c r="O7" i="2" a="1"/>
  <c r="O7" i="2" s="1"/>
  <c r="O262" i="2" a="1"/>
  <c r="O262" i="2" s="1"/>
  <c r="N542" i="2"/>
  <c r="N543" i="2"/>
  <c r="N385" i="2"/>
  <c r="N386" i="2"/>
  <c r="N387" i="2"/>
  <c r="N388" i="2"/>
  <c r="N373" i="2"/>
  <c r="N374" i="2"/>
  <c r="N337" i="2"/>
  <c r="N338" i="2"/>
  <c r="N339" i="2"/>
  <c r="N157" i="2"/>
  <c r="N158" i="2"/>
  <c r="N159" i="2"/>
  <c r="N75" i="2"/>
  <c r="N73" i="2"/>
  <c r="N74" i="2"/>
  <c r="N820" i="2"/>
  <c r="N806" i="2"/>
  <c r="N793" i="2"/>
  <c r="N701" i="2"/>
  <c r="N562" i="2"/>
  <c r="N536" i="2"/>
  <c r="N503" i="2"/>
  <c r="N477" i="2"/>
  <c r="N445" i="2"/>
  <c r="N418" i="2"/>
  <c r="N383" i="2"/>
  <c r="N347" i="2"/>
  <c r="N311" i="2"/>
  <c r="N275" i="2"/>
  <c r="N165" i="2"/>
  <c r="N126" i="2"/>
  <c r="N86" i="2"/>
  <c r="O248" i="2" a="1"/>
  <c r="O248" i="2" s="1"/>
  <c r="J676" i="2"/>
  <c r="Y25" i="2" a="1"/>
  <c r="Y25" i="2" s="1"/>
  <c r="J13" i="1" l="1"/>
  <c r="M13" i="1" s="1"/>
  <c r="Q13" i="2"/>
  <c r="T13" i="2" s="1"/>
  <c r="J8" i="1"/>
  <c r="M8" i="1" s="1"/>
  <c r="Q837" i="2"/>
  <c r="T837" i="2" s="1"/>
  <c r="J328" i="1"/>
  <c r="M328" i="1" s="1"/>
  <c r="Q764" i="2"/>
  <c r="T764" i="2" s="1"/>
  <c r="J297" i="1"/>
  <c r="M297" i="1" s="1"/>
  <c r="Q55" i="2"/>
  <c r="T55" i="2" s="1"/>
  <c r="J23" i="1"/>
  <c r="M23" i="1" s="1"/>
  <c r="Q247" i="2"/>
  <c r="T247" i="2" s="1"/>
  <c r="J102" i="1"/>
  <c r="M102" i="1" s="1"/>
  <c r="Q182" i="2"/>
  <c r="T182" i="2" s="1"/>
  <c r="J74" i="1"/>
  <c r="M74" i="1" s="1"/>
  <c r="Q451" i="2"/>
  <c r="T451" i="2" s="1"/>
  <c r="J179" i="1"/>
  <c r="M179" i="1" s="1"/>
  <c r="Q469" i="2"/>
  <c r="T469" i="2" s="1"/>
  <c r="J186" i="1"/>
  <c r="M186" i="1" s="1"/>
  <c r="Q517" i="2"/>
  <c r="T517" i="2" s="1"/>
  <c r="J206" i="1"/>
  <c r="M206" i="1" s="1"/>
  <c r="Q406" i="2"/>
  <c r="T406" i="2" s="1"/>
  <c r="J162" i="1"/>
  <c r="M162" i="1" s="1"/>
  <c r="Q757" i="2"/>
  <c r="T757" i="2" s="1"/>
  <c r="J293" i="1"/>
  <c r="M293" i="1" s="1"/>
  <c r="Q108" i="2"/>
  <c r="T108" i="2" s="1"/>
  <c r="J44" i="1"/>
  <c r="M44" i="1" s="1"/>
  <c r="Q252" i="2"/>
  <c r="T252" i="2" s="1"/>
  <c r="J105" i="1"/>
  <c r="M105" i="1" s="1"/>
  <c r="Q830" i="2"/>
  <c r="T830" i="2" s="1"/>
  <c r="J324" i="1"/>
  <c r="M324" i="1" s="1"/>
  <c r="Q890" i="2"/>
  <c r="T890" i="2" s="1"/>
  <c r="J348" i="1"/>
  <c r="M348" i="1" s="1"/>
  <c r="Q378" i="2"/>
  <c r="T378" i="2" s="1"/>
  <c r="J152" i="1"/>
  <c r="M152" i="1" s="1"/>
  <c r="Q183" i="2"/>
  <c r="T183" i="2" s="1"/>
  <c r="J75" i="1"/>
  <c r="M75" i="1" s="1"/>
  <c r="Q327" i="2"/>
  <c r="T327" i="2" s="1"/>
  <c r="J132" i="1"/>
  <c r="M132" i="1" s="1"/>
  <c r="Q759" i="2"/>
  <c r="T759" i="2" s="1"/>
  <c r="J294" i="1"/>
  <c r="M294" i="1" s="1"/>
  <c r="Q903" i="2"/>
  <c r="T903" i="2" s="1"/>
  <c r="J352" i="1"/>
  <c r="M352" i="1" s="1"/>
  <c r="Q678" i="2"/>
  <c r="T678" i="2" s="1"/>
  <c r="J264" i="1"/>
  <c r="M264" i="1" s="1"/>
  <c r="Q713" i="2"/>
  <c r="T713" i="2" s="1"/>
  <c r="J276" i="1"/>
  <c r="M276" i="1" s="1"/>
  <c r="Q857" i="2"/>
  <c r="T857" i="2" s="1"/>
  <c r="J335" i="1"/>
  <c r="M335" i="1" s="1"/>
  <c r="Q354" i="2"/>
  <c r="T354" i="2" s="1"/>
  <c r="J142" i="1"/>
  <c r="M142" i="1" s="1"/>
  <c r="Q179" i="2"/>
  <c r="T179" i="2" s="1"/>
  <c r="J73" i="1"/>
  <c r="M73" i="1" s="1"/>
  <c r="Q455" i="2"/>
  <c r="T455" i="2" s="1"/>
  <c r="J180" i="1"/>
  <c r="M180" i="1" s="1"/>
  <c r="Q911" i="2"/>
  <c r="T911" i="2" s="1"/>
  <c r="J356" i="1"/>
  <c r="M356" i="1" s="1"/>
  <c r="Q551" i="2"/>
  <c r="T551" i="2" s="1"/>
  <c r="J217" i="1"/>
  <c r="M217" i="1" s="1"/>
  <c r="Q73" i="2"/>
  <c r="T73" i="2" s="1"/>
  <c r="J31" i="1"/>
  <c r="M31" i="1" s="1"/>
  <c r="Q64" i="2"/>
  <c r="T64" i="2" s="1"/>
  <c r="J28" i="1"/>
  <c r="M28" i="1" s="1"/>
  <c r="Q220" i="2"/>
  <c r="T220" i="2" s="1"/>
  <c r="J90" i="1"/>
  <c r="M90" i="1" s="1"/>
  <c r="Q472" i="2"/>
  <c r="T472" i="2" s="1"/>
  <c r="J187" i="1"/>
  <c r="M187" i="1" s="1"/>
  <c r="Q748" i="2"/>
  <c r="T748" i="2" s="1"/>
  <c r="J289" i="1"/>
  <c r="M289" i="1" s="1"/>
  <c r="Q316" i="2"/>
  <c r="T316" i="2" s="1"/>
  <c r="J128" i="1"/>
  <c r="M128" i="1" s="1"/>
  <c r="Q885" i="2"/>
  <c r="T885" i="2" s="1"/>
  <c r="J346" i="1"/>
  <c r="M346" i="1" s="1"/>
  <c r="Q680" i="2"/>
  <c r="T680" i="2" s="1"/>
  <c r="J265" i="1"/>
  <c r="M265" i="1" s="1"/>
  <c r="Q488" i="2"/>
  <c r="T488" i="2" s="1"/>
  <c r="J194" i="1"/>
  <c r="M194" i="1" s="1"/>
  <c r="Q278" i="2"/>
  <c r="T278" i="2" s="1"/>
  <c r="J115" i="1"/>
  <c r="M115" i="1" s="1"/>
  <c r="Q463" i="2"/>
  <c r="T463" i="2" s="1"/>
  <c r="J183" i="1"/>
  <c r="M183" i="1" s="1"/>
  <c r="Q541" i="2"/>
  <c r="T541" i="2" s="1"/>
  <c r="J214" i="1"/>
  <c r="M214" i="1" s="1"/>
  <c r="Q295" i="2"/>
  <c r="T295" i="2" s="1"/>
  <c r="J122" i="1"/>
  <c r="M122" i="1" s="1"/>
  <c r="Q230" i="2"/>
  <c r="T230" i="2" s="1"/>
  <c r="J94" i="1"/>
  <c r="M94" i="1" s="1"/>
  <c r="Q511" i="2"/>
  <c r="T511" i="2" s="1"/>
  <c r="J203" i="1"/>
  <c r="M203" i="1" s="1"/>
  <c r="Q529" i="2"/>
  <c r="T529" i="2" s="1"/>
  <c r="J210" i="1"/>
  <c r="M210" i="1" s="1"/>
  <c r="Q274" i="2"/>
  <c r="T274" i="2" s="1"/>
  <c r="J114" i="1"/>
  <c r="M114" i="1" s="1"/>
  <c r="Q418" i="2"/>
  <c r="T418" i="2" s="1"/>
  <c r="J166" i="1"/>
  <c r="M166" i="1" s="1"/>
  <c r="Q562" i="2"/>
  <c r="T562" i="2" s="1"/>
  <c r="J221" i="1"/>
  <c r="M221" i="1" s="1"/>
  <c r="Q264" i="2"/>
  <c r="T264" i="2" s="1"/>
  <c r="J111" i="1"/>
  <c r="M111" i="1" s="1"/>
  <c r="Q840" i="2"/>
  <c r="T840" i="2" s="1"/>
  <c r="J329" i="1"/>
  <c r="M329" i="1" s="1"/>
  <c r="Q566" i="2"/>
  <c r="T566" i="2" s="1"/>
  <c r="J223" i="1"/>
  <c r="M223" i="1" s="1"/>
  <c r="Q614" i="2"/>
  <c r="T614" i="2" s="1"/>
  <c r="J242" i="1"/>
  <c r="M242" i="1" s="1"/>
  <c r="Q426" i="2"/>
  <c r="T426" i="2" s="1"/>
  <c r="J170" i="1"/>
  <c r="M170" i="1" s="1"/>
  <c r="Q149" i="2"/>
  <c r="T149" i="2" s="1"/>
  <c r="J62" i="1"/>
  <c r="M62" i="1" s="1"/>
  <c r="Q293" i="2"/>
  <c r="T293" i="2" s="1"/>
  <c r="J121" i="1"/>
  <c r="M121" i="1" s="1"/>
  <c r="Q437" i="2"/>
  <c r="T437" i="2" s="1"/>
  <c r="J173" i="1"/>
  <c r="M173" i="1" s="1"/>
  <c r="Q581" i="2"/>
  <c r="T581" i="2" s="1"/>
  <c r="J228" i="1"/>
  <c r="M228" i="1" s="1"/>
  <c r="Q725" i="2"/>
  <c r="T725" i="2" s="1"/>
  <c r="J280" i="1"/>
  <c r="M280" i="1" s="1"/>
  <c r="Q95" i="2"/>
  <c r="T95" i="2" s="1"/>
  <c r="J39" i="1"/>
  <c r="M39" i="1" s="1"/>
  <c r="Q177" i="2"/>
  <c r="T177" i="2" s="1"/>
  <c r="J72" i="1"/>
  <c r="M72" i="1" s="1"/>
  <c r="Q321" i="2"/>
  <c r="T321" i="2" s="1"/>
  <c r="J130" i="1"/>
  <c r="M130" i="1" s="1"/>
  <c r="Q76" i="2"/>
  <c r="T76" i="2" s="1"/>
  <c r="J32" i="1"/>
  <c r="M32" i="1" s="1"/>
  <c r="Q772" i="2"/>
  <c r="T772" i="2" s="1"/>
  <c r="J301" i="1"/>
  <c r="M301" i="1" s="1"/>
  <c r="Q664" i="2"/>
  <c r="T664" i="2" s="1"/>
  <c r="J259" i="1"/>
  <c r="M259" i="1" s="1"/>
  <c r="Q104" i="2"/>
  <c r="T104" i="2" s="1"/>
  <c r="J43" i="1"/>
  <c r="M43" i="1" s="1"/>
  <c r="Q740" i="2"/>
  <c r="T740" i="2" s="1"/>
  <c r="J286" i="1"/>
  <c r="M286" i="1" s="1"/>
  <c r="Q115" i="2"/>
  <c r="T115" i="2" s="1"/>
  <c r="J47" i="1"/>
  <c r="M47" i="1" s="1"/>
  <c r="Q649" i="2"/>
  <c r="T649" i="2" s="1"/>
  <c r="J254" i="1"/>
  <c r="M254" i="1" s="1"/>
  <c r="Q559" i="2"/>
  <c r="T559" i="2" s="1"/>
  <c r="J220" i="1"/>
  <c r="M220" i="1" s="1"/>
  <c r="J172" i="1"/>
  <c r="M172" i="1" s="1"/>
  <c r="Q142" i="2"/>
  <c r="T142" i="2" s="1"/>
  <c r="J59" i="1"/>
  <c r="M59" i="1" s="1"/>
  <c r="Q430" i="2"/>
  <c r="T430" i="2" s="1"/>
  <c r="J171" i="1"/>
  <c r="M171" i="1" s="1"/>
  <c r="Q574" i="2"/>
  <c r="T574" i="2" s="1"/>
  <c r="J226" i="1"/>
  <c r="M226" i="1" s="1"/>
  <c r="Q132" i="2"/>
  <c r="T132" i="2" s="1"/>
  <c r="J55" i="1"/>
  <c r="M55" i="1" s="1"/>
  <c r="Q708" i="2"/>
  <c r="T708" i="2" s="1"/>
  <c r="J274" i="1"/>
  <c r="M274" i="1" s="1"/>
  <c r="Q602" i="2"/>
  <c r="T602" i="2" s="1"/>
  <c r="J238" i="1"/>
  <c r="M238" i="1" s="1"/>
  <c r="Q498" i="2"/>
  <c r="T498" i="2" s="1"/>
  <c r="J197" i="1"/>
  <c r="M197" i="1" s="1"/>
  <c r="Q495" i="2"/>
  <c r="T495" i="2" s="1"/>
  <c r="J196" i="1"/>
  <c r="M196" i="1" s="1"/>
  <c r="Q783" i="2"/>
  <c r="T783" i="2" s="1"/>
  <c r="J306" i="1"/>
  <c r="M306" i="1" s="1"/>
  <c r="Q737" i="2"/>
  <c r="T737" i="2" s="1"/>
  <c r="J285" i="1"/>
  <c r="M285" i="1" s="1"/>
  <c r="Q881" i="2"/>
  <c r="T881" i="2" s="1"/>
  <c r="J344" i="1"/>
  <c r="M344" i="1" s="1"/>
  <c r="Q558" i="2"/>
  <c r="T558" i="2" s="1"/>
  <c r="J219" i="1"/>
  <c r="M219" i="1" s="1"/>
  <c r="Q683" i="2"/>
  <c r="T683" i="2" s="1"/>
  <c r="J266" i="1"/>
  <c r="M266" i="1" s="1"/>
  <c r="Q131" i="2"/>
  <c r="T131" i="2" s="1"/>
  <c r="J54" i="1"/>
  <c r="M54" i="1" s="1"/>
  <c r="Q527" i="2"/>
  <c r="T527" i="2" s="1"/>
  <c r="J209" i="1"/>
  <c r="M209" i="1" s="1"/>
  <c r="Q157" i="2"/>
  <c r="T157" i="2" s="1"/>
  <c r="J66" i="1"/>
  <c r="M66" i="1" s="1"/>
  <c r="Q253" i="2"/>
  <c r="T253" i="2" s="1"/>
  <c r="J106" i="1"/>
  <c r="M106" i="1" s="1"/>
  <c r="Q333" i="2"/>
  <c r="T333" i="2" s="1"/>
  <c r="J134" i="1"/>
  <c r="M134" i="1" s="1"/>
  <c r="Q477" i="2"/>
  <c r="T477" i="2" s="1"/>
  <c r="J189" i="1"/>
  <c r="M189" i="1" s="1"/>
  <c r="Q88" i="2"/>
  <c r="T88" i="2" s="1"/>
  <c r="J36" i="1"/>
  <c r="M36" i="1" s="1"/>
  <c r="Q18" i="2"/>
  <c r="T18" i="2" s="1"/>
  <c r="J10" i="1"/>
  <c r="M10" i="1" s="1"/>
  <c r="Q607" i="2"/>
  <c r="T607" i="2" s="1"/>
  <c r="J240" i="1"/>
  <c r="M240" i="1" s="1"/>
  <c r="Q805" i="2"/>
  <c r="T805" i="2" s="1"/>
  <c r="J313" i="1"/>
  <c r="M313" i="1" s="1"/>
  <c r="Q458" i="2"/>
  <c r="T458" i="2" s="1"/>
  <c r="J181" i="1"/>
  <c r="M181" i="1" s="1"/>
  <c r="Q547" i="2"/>
  <c r="T547" i="2" s="1"/>
  <c r="J216" i="1"/>
  <c r="M216" i="1" s="1"/>
  <c r="Q733" i="2"/>
  <c r="T733" i="2" s="1"/>
  <c r="J284" i="1"/>
  <c r="M284" i="1" s="1"/>
  <c r="Q793" i="2"/>
  <c r="T793" i="2" s="1"/>
  <c r="J309" i="1"/>
  <c r="M309" i="1" s="1"/>
  <c r="Q730" i="2"/>
  <c r="T730" i="2" s="1"/>
  <c r="J283" i="1"/>
  <c r="M283" i="1" s="1"/>
  <c r="Q720" i="2"/>
  <c r="T720" i="2" s="1"/>
  <c r="J278" i="1"/>
  <c r="M278" i="1" s="1"/>
  <c r="Q864" i="2"/>
  <c r="T864" i="2" s="1"/>
  <c r="J337" i="1"/>
  <c r="M337" i="1" s="1"/>
  <c r="Q554" i="2"/>
  <c r="T554" i="2" s="1"/>
  <c r="J218" i="1"/>
  <c r="M218" i="1" s="1"/>
  <c r="Q422" i="2"/>
  <c r="T422" i="2" s="1"/>
  <c r="J168" i="1"/>
  <c r="M168" i="1" s="1"/>
  <c r="Q570" i="2"/>
  <c r="T570" i="2" s="1"/>
  <c r="J224" i="1"/>
  <c r="M224" i="1" s="1"/>
  <c r="Q363" i="2"/>
  <c r="T363" i="2" s="1"/>
  <c r="J147" i="1"/>
  <c r="M147" i="1" s="1"/>
  <c r="Q651" i="2"/>
  <c r="T651" i="2" s="1"/>
  <c r="J255" i="1"/>
  <c r="M255" i="1" s="1"/>
  <c r="Q414" i="2"/>
  <c r="T414" i="2" s="1"/>
  <c r="J164" i="1"/>
  <c r="M164" i="1" s="1"/>
  <c r="Q642" i="2"/>
  <c r="T642" i="2" s="1"/>
  <c r="J252" i="1"/>
  <c r="M252" i="1" s="1"/>
  <c r="Q155" i="2"/>
  <c r="T155" i="2" s="1"/>
  <c r="J64" i="1"/>
  <c r="M64" i="1" s="1"/>
  <c r="Q215" i="2"/>
  <c r="T215" i="2" s="1"/>
  <c r="J88" i="1"/>
  <c r="M88" i="1" s="1"/>
  <c r="Q633" i="2"/>
  <c r="T633" i="2" s="1"/>
  <c r="J249" i="1"/>
  <c r="M249" i="1" s="1"/>
  <c r="Q280" i="2"/>
  <c r="T280" i="2" s="1"/>
  <c r="J116" i="1"/>
  <c r="M116" i="1" s="1"/>
  <c r="Q544" i="2"/>
  <c r="T544" i="2" s="1"/>
  <c r="J215" i="1"/>
  <c r="M215" i="1" s="1"/>
  <c r="Q400" i="2"/>
  <c r="T400" i="2" s="1"/>
  <c r="J159" i="1"/>
  <c r="M159" i="1" s="1"/>
  <c r="Q620" i="2"/>
  <c r="T620" i="2" s="1"/>
  <c r="J244" i="1"/>
  <c r="M244" i="1" s="1"/>
  <c r="Q836" i="2"/>
  <c r="T836" i="2" s="1"/>
  <c r="J327" i="1"/>
  <c r="M327" i="1" s="1"/>
  <c r="Q909" i="2"/>
  <c r="T909" i="2" s="1"/>
  <c r="J355" i="1"/>
  <c r="M355" i="1" s="1"/>
  <c r="Q668" i="2"/>
  <c r="T668" i="2" s="1"/>
  <c r="J260" i="1"/>
  <c r="M260" i="1" s="1"/>
  <c r="Q655" i="2"/>
  <c r="T655" i="2" s="1"/>
  <c r="J256" i="1"/>
  <c r="M256" i="1" s="1"/>
  <c r="Q439" i="2"/>
  <c r="T439" i="2" s="1"/>
  <c r="J175" i="1"/>
  <c r="M175" i="1" s="1"/>
  <c r="Q445" i="2"/>
  <c r="T445" i="2" s="1"/>
  <c r="J177" i="1"/>
  <c r="M177" i="1" s="1"/>
  <c r="Q598" i="2"/>
  <c r="T598" i="2" s="1"/>
  <c r="J235" i="1"/>
  <c r="M235" i="1" s="1"/>
  <c r="Q156" i="2"/>
  <c r="T156" i="2" s="1"/>
  <c r="J65" i="1"/>
  <c r="M65" i="1" s="1"/>
  <c r="Q588" i="2"/>
  <c r="T588" i="2" s="1"/>
  <c r="J231" i="1"/>
  <c r="M231" i="1" s="1"/>
  <c r="Q876" i="2"/>
  <c r="T876" i="2" s="1"/>
  <c r="J342" i="1"/>
  <c r="M342" i="1" s="1"/>
  <c r="Q722" i="2"/>
  <c r="T722" i="2" s="1"/>
  <c r="J279" i="1"/>
  <c r="M279" i="1" s="1"/>
  <c r="Q590" i="2"/>
  <c r="T590" i="2" s="1"/>
  <c r="J232" i="1"/>
  <c r="M232" i="1" s="1"/>
  <c r="Q630" i="2"/>
  <c r="T630" i="2" s="1"/>
  <c r="J247" i="1"/>
  <c r="M247" i="1" s="1"/>
  <c r="Q375" i="2"/>
  <c r="T375" i="2" s="1"/>
  <c r="J151" i="1"/>
  <c r="M151" i="1" s="1"/>
  <c r="Q473" i="2"/>
  <c r="T473" i="2" s="1"/>
  <c r="J188" i="1"/>
  <c r="M188" i="1" s="1"/>
  <c r="Q761" i="2"/>
  <c r="T761" i="2" s="1"/>
  <c r="J295" i="1"/>
  <c r="M295" i="1" s="1"/>
  <c r="Q726" i="2"/>
  <c r="T726" i="2" s="1"/>
  <c r="J281" i="1"/>
  <c r="M281" i="1" s="1"/>
  <c r="Q311" i="2"/>
  <c r="T311" i="2" s="1"/>
  <c r="J126" i="1"/>
  <c r="M126" i="1" s="1"/>
  <c r="Q767" i="2"/>
  <c r="T767" i="2" s="1"/>
  <c r="J299" i="1"/>
  <c r="M299" i="1" s="1"/>
  <c r="Q191" i="2"/>
  <c r="T191" i="2" s="1"/>
  <c r="J77" i="1"/>
  <c r="M77" i="1" s="1"/>
  <c r="Q599" i="2"/>
  <c r="T599" i="2" s="1"/>
  <c r="J236" i="1"/>
  <c r="M236" i="1" s="1"/>
  <c r="Q251" i="2"/>
  <c r="T251" i="2" s="1"/>
  <c r="J104" i="1"/>
  <c r="M104" i="1" s="1"/>
  <c r="Q213" i="2"/>
  <c r="T213" i="2" s="1"/>
  <c r="J87" i="1"/>
  <c r="M87" i="1" s="1"/>
  <c r="Q501" i="2"/>
  <c r="T501" i="2" s="1"/>
  <c r="J198" i="1"/>
  <c r="M198" i="1" s="1"/>
  <c r="Q789" i="2"/>
  <c r="T789" i="2" s="1"/>
  <c r="J308" i="1"/>
  <c r="M308" i="1" s="1"/>
  <c r="Q129" i="2"/>
  <c r="T129" i="2" s="1"/>
  <c r="J53" i="1"/>
  <c r="M53" i="1" s="1"/>
  <c r="Q112" i="2"/>
  <c r="T112" i="2" s="1"/>
  <c r="J46" i="1"/>
  <c r="M46" i="1" s="1"/>
  <c r="Q832" i="2"/>
  <c r="T832" i="2" s="1"/>
  <c r="J325" i="1"/>
  <c r="M325" i="1" s="1"/>
  <c r="Q164" i="2"/>
  <c r="T164" i="2" s="1"/>
  <c r="J68" i="1"/>
  <c r="M68" i="1" s="1"/>
  <c r="Q896" i="2"/>
  <c r="T896" i="2" s="1"/>
  <c r="J350" i="1"/>
  <c r="M350" i="1" s="1"/>
  <c r="Q32" i="2"/>
  <c r="T32" i="2" s="1"/>
  <c r="J15" i="1"/>
  <c r="M15" i="1" s="1"/>
  <c r="Q223" i="2"/>
  <c r="T223" i="2" s="1"/>
  <c r="J91" i="1"/>
  <c r="M91" i="1" s="1"/>
  <c r="Q43" i="2"/>
  <c r="T43" i="2" s="1"/>
  <c r="J19" i="1"/>
  <c r="M19" i="1" s="1"/>
  <c r="Q913" i="2"/>
  <c r="T913" i="2" s="1"/>
  <c r="J357" i="1"/>
  <c r="M357" i="1" s="1"/>
  <c r="Q487" i="2"/>
  <c r="T487" i="2" s="1"/>
  <c r="J193" i="1"/>
  <c r="M193" i="1" s="1"/>
  <c r="Q38" i="2"/>
  <c r="T38" i="2" s="1"/>
  <c r="J17" i="1"/>
  <c r="M17" i="1" s="1"/>
  <c r="Q466" i="2"/>
  <c r="T466" i="2" s="1"/>
  <c r="J185" i="1"/>
  <c r="M185" i="1" s="1"/>
  <c r="Q610" i="2"/>
  <c r="T610" i="2" s="1"/>
  <c r="J241" i="1"/>
  <c r="M241" i="1" s="1"/>
  <c r="Q754" i="2"/>
  <c r="T754" i="2" s="1"/>
  <c r="J291" i="1"/>
  <c r="M291" i="1" s="1"/>
  <c r="Q168" i="2"/>
  <c r="T168" i="2" s="1"/>
  <c r="J69" i="1"/>
  <c r="M69" i="1" s="1"/>
  <c r="Q600" i="2"/>
  <c r="T600" i="2" s="1"/>
  <c r="J237" i="1"/>
  <c r="M237" i="1" s="1"/>
  <c r="Q744" i="2"/>
  <c r="T744" i="2" s="1"/>
  <c r="J287" i="1"/>
  <c r="M287" i="1" s="1"/>
  <c r="Q888" i="2"/>
  <c r="T888" i="2" s="1"/>
  <c r="J347" i="1"/>
  <c r="M347" i="1" s="1"/>
  <c r="Q782" i="2"/>
  <c r="T782" i="2" s="1"/>
  <c r="J305" i="1"/>
  <c r="M305" i="1" s="1"/>
  <c r="Q702" i="2"/>
  <c r="T702" i="2" s="1"/>
  <c r="J272" i="1"/>
  <c r="M272" i="1" s="1"/>
  <c r="Q243" i="2"/>
  <c r="T243" i="2" s="1"/>
  <c r="J100" i="1"/>
  <c r="M100" i="1" s="1"/>
  <c r="Q675" i="2"/>
  <c r="T675" i="2" s="1"/>
  <c r="J263" i="1"/>
  <c r="M263" i="1" s="1"/>
  <c r="Q819" i="2"/>
  <c r="T819" i="2" s="1"/>
  <c r="J320" i="1"/>
  <c r="M320" i="1" s="1"/>
  <c r="Q485" i="2"/>
  <c r="T485" i="2" s="1"/>
  <c r="J192" i="1"/>
  <c r="M192" i="1" s="1"/>
  <c r="Q917" i="2"/>
  <c r="T917" i="2" s="1"/>
  <c r="J358" i="1"/>
  <c r="M358" i="1" s="1"/>
  <c r="Q822" i="2"/>
  <c r="T822" i="2" s="1"/>
  <c r="J322" i="1"/>
  <c r="M322" i="1" s="1"/>
  <c r="Q359" i="2"/>
  <c r="T359" i="2" s="1"/>
  <c r="J145" i="1"/>
  <c r="M145" i="1" s="1"/>
  <c r="Q227" i="2"/>
  <c r="T227" i="2" s="1"/>
  <c r="J93" i="1"/>
  <c r="M93" i="1" s="1"/>
  <c r="Q287" i="2"/>
  <c r="T287" i="2" s="1"/>
  <c r="J118" i="1"/>
  <c r="M118" i="1" s="1"/>
  <c r="Q85" i="2"/>
  <c r="T85" i="2" s="1"/>
  <c r="J35" i="1"/>
  <c r="M35" i="1" s="1"/>
  <c r="Q124" i="2"/>
  <c r="T124" i="2" s="1"/>
  <c r="J51" i="1"/>
  <c r="M51" i="1" s="1"/>
  <c r="Q200" i="2"/>
  <c r="T200" i="2" s="1"/>
  <c r="J81" i="1"/>
  <c r="M81" i="1" s="1"/>
  <c r="Q512" i="2"/>
  <c r="T512" i="2" s="1"/>
  <c r="J204" i="1"/>
  <c r="M204" i="1" s="1"/>
  <c r="Q259" i="2"/>
  <c r="T259" i="2" s="1"/>
  <c r="J109" i="1"/>
  <c r="M109" i="1" s="1"/>
  <c r="Q535" i="2"/>
  <c r="T535" i="2" s="1"/>
  <c r="J212" i="1"/>
  <c r="M212" i="1" s="1"/>
  <c r="Q799" i="2"/>
  <c r="T799" i="2" s="1"/>
  <c r="J311" i="1"/>
  <c r="M311" i="1" s="1"/>
  <c r="Q206" i="2"/>
  <c r="T206" i="2" s="1"/>
  <c r="J84" i="1"/>
  <c r="M84" i="1" s="1"/>
  <c r="Q622" i="2"/>
  <c r="T622" i="2" s="1"/>
  <c r="J245" i="1"/>
  <c r="M245" i="1" s="1"/>
  <c r="Q766" i="2"/>
  <c r="T766" i="2" s="1"/>
  <c r="J298" i="1"/>
  <c r="M298" i="1" s="1"/>
  <c r="Q324" i="2"/>
  <c r="T324" i="2" s="1"/>
  <c r="J131" i="1"/>
  <c r="M131" i="1" s="1"/>
  <c r="Q756" i="2"/>
  <c r="T756" i="2" s="1"/>
  <c r="J292" i="1"/>
  <c r="M292" i="1" s="1"/>
  <c r="Q900" i="2"/>
  <c r="T900" i="2" s="1"/>
  <c r="J351" i="1"/>
  <c r="M351" i="1" s="1"/>
  <c r="Q746" i="2"/>
  <c r="T746" i="2" s="1"/>
  <c r="J288" i="1"/>
  <c r="M288" i="1" s="1"/>
  <c r="Q762" i="2"/>
  <c r="T762" i="2" s="1"/>
  <c r="J296" i="1"/>
  <c r="M296" i="1" s="1"/>
  <c r="Q594" i="2"/>
  <c r="T594" i="2" s="1"/>
  <c r="J233" i="1"/>
  <c r="M233" i="1" s="1"/>
  <c r="Q785" i="2"/>
  <c r="T785" i="2" s="1"/>
  <c r="J307" i="1"/>
  <c r="M307" i="1" s="1"/>
  <c r="Q42" i="2"/>
  <c r="T42" i="2" s="1"/>
  <c r="J18" i="1"/>
  <c r="M18" i="1" s="1"/>
  <c r="Q882" i="2"/>
  <c r="T882" i="2" s="1"/>
  <c r="J345" i="1"/>
  <c r="M345" i="1" s="1"/>
  <c r="Q263" i="2"/>
  <c r="T263" i="2" s="1"/>
  <c r="J110" i="1"/>
  <c r="M110" i="1" s="1"/>
  <c r="Q695" i="2"/>
  <c r="T695" i="2" s="1"/>
  <c r="J270" i="1"/>
  <c r="M270" i="1" s="1"/>
  <c r="Q779" i="2"/>
  <c r="T779" i="2" s="1"/>
  <c r="J303" i="1"/>
  <c r="M303" i="1" s="1"/>
  <c r="Q109" i="2"/>
  <c r="T109" i="2" s="1"/>
  <c r="J45" i="1"/>
  <c r="M45" i="1" s="1"/>
  <c r="Q237" i="2"/>
  <c r="T237" i="2" s="1"/>
  <c r="J97" i="1"/>
  <c r="M97" i="1" s="1"/>
  <c r="Q381" i="2"/>
  <c r="T381" i="2" s="1"/>
  <c r="J153" i="1"/>
  <c r="M153" i="1" s="1"/>
  <c r="Q525" i="2"/>
  <c r="T525" i="2" s="1"/>
  <c r="J208" i="1"/>
  <c r="M208" i="1" s="1"/>
  <c r="Q813" i="2"/>
  <c r="T813" i="2" s="1"/>
  <c r="J318" i="1"/>
  <c r="M318" i="1" s="1"/>
  <c r="Q153" i="2"/>
  <c r="T153" i="2" s="1"/>
  <c r="J63" i="1"/>
  <c r="M63" i="1" s="1"/>
  <c r="Q136" i="2"/>
  <c r="T136" i="2" s="1"/>
  <c r="J57" i="1"/>
  <c r="M57" i="1" s="1"/>
  <c r="Q340" i="2"/>
  <c r="T340" i="2" s="1"/>
  <c r="J137" i="1"/>
  <c r="M137" i="1" s="1"/>
  <c r="Q484" i="2"/>
  <c r="T484" i="2" s="1"/>
  <c r="J191" i="1"/>
  <c r="M191" i="1" s="1"/>
  <c r="Q808" i="2"/>
  <c r="T808" i="2" s="1"/>
  <c r="J314" i="1"/>
  <c r="M314" i="1" s="1"/>
  <c r="J250" i="1"/>
  <c r="M250" i="1" s="1"/>
  <c r="J4" i="1"/>
  <c r="M4" i="1" s="1"/>
  <c r="Q68" i="2"/>
  <c r="T68" i="2" s="1"/>
  <c r="J29" i="1"/>
  <c r="M29" i="1" s="1"/>
  <c r="Q116" i="2"/>
  <c r="T116" i="2" s="1"/>
  <c r="J48" i="1"/>
  <c r="M48" i="1" s="1"/>
  <c r="Q307" i="2"/>
  <c r="T307" i="2" s="1"/>
  <c r="J125" i="1"/>
  <c r="M125" i="1" s="1"/>
  <c r="Q62" i="2"/>
  <c r="T62" i="2" s="1"/>
  <c r="J27" i="1"/>
  <c r="M27" i="1" s="1"/>
  <c r="Q751" i="2"/>
  <c r="T751" i="2" s="1"/>
  <c r="J290" i="1"/>
  <c r="M290" i="1" s="1"/>
  <c r="Q583" i="2"/>
  <c r="T583" i="2" s="1"/>
  <c r="J229" i="1"/>
  <c r="M229" i="1" s="1"/>
  <c r="Q350" i="2"/>
  <c r="T350" i="2" s="1"/>
  <c r="J141" i="1"/>
  <c r="M141" i="1" s="1"/>
  <c r="Q58" i="2"/>
  <c r="T58" i="2" s="1"/>
  <c r="J24" i="1"/>
  <c r="M24" i="1" s="1"/>
  <c r="Q346" i="2"/>
  <c r="T346" i="2" s="1"/>
  <c r="J139" i="1"/>
  <c r="M139" i="1" s="1"/>
  <c r="Q922" i="2"/>
  <c r="T922" i="2" s="1"/>
  <c r="J360" i="1"/>
  <c r="M360" i="1" s="1"/>
  <c r="Q48" i="2"/>
  <c r="T48" i="2" s="1"/>
  <c r="J21" i="1"/>
  <c r="M21" i="1" s="1"/>
  <c r="Q336" i="2"/>
  <c r="T336" i="2" s="1"/>
  <c r="J135" i="1"/>
  <c r="M135" i="1" s="1"/>
  <c r="Q768" i="2"/>
  <c r="T768" i="2" s="1"/>
  <c r="J300" i="1"/>
  <c r="M300" i="1" s="1"/>
  <c r="Q565" i="2"/>
  <c r="T565" i="2" s="1"/>
  <c r="J222" i="1"/>
  <c r="M222" i="1" s="1"/>
  <c r="Q138" i="2"/>
  <c r="T138" i="2" s="1"/>
  <c r="J58" i="1"/>
  <c r="M58" i="1" s="1"/>
  <c r="Q870" i="2"/>
  <c r="T870" i="2" s="1"/>
  <c r="J340" i="1"/>
  <c r="M340" i="1" s="1"/>
  <c r="Q699" i="2"/>
  <c r="T699" i="2" s="1"/>
  <c r="J271" i="1"/>
  <c r="M271" i="1" s="1"/>
  <c r="Q509" i="2"/>
  <c r="T509" i="2" s="1"/>
  <c r="J201" i="1"/>
  <c r="M201" i="1" s="1"/>
  <c r="Q797" i="2"/>
  <c r="T797" i="2" s="1"/>
  <c r="J310" i="1"/>
  <c r="M310" i="1" s="1"/>
  <c r="Q35" i="2"/>
  <c r="T35" i="2" s="1"/>
  <c r="J16" i="1"/>
  <c r="M16" i="1" s="1"/>
  <c r="Q299" i="2"/>
  <c r="T299" i="2" s="1"/>
  <c r="J123" i="1"/>
  <c r="M123" i="1" s="1"/>
  <c r="Q371" i="2"/>
  <c r="T371" i="2" s="1"/>
  <c r="J149" i="1"/>
  <c r="M149" i="1" s="1"/>
  <c r="Q815" i="2"/>
  <c r="T815" i="2" s="1"/>
  <c r="J319" i="1"/>
  <c r="M319" i="1" s="1"/>
  <c r="Q626" i="2"/>
  <c r="T626" i="2" s="1"/>
  <c r="J246" i="1"/>
  <c r="M246" i="1" s="1"/>
  <c r="Q393" i="2"/>
  <c r="T393" i="2" s="1"/>
  <c r="J157" i="1"/>
  <c r="M157" i="1" s="1"/>
  <c r="Q537" i="2"/>
  <c r="T537" i="2" s="1"/>
  <c r="J213" i="1"/>
  <c r="M213" i="1" s="1"/>
  <c r="Q904" i="2"/>
  <c r="T904" i="2" s="1"/>
  <c r="J353" i="1"/>
  <c r="M353" i="1" s="1"/>
  <c r="Q844" i="2"/>
  <c r="T844" i="2" s="1"/>
  <c r="J331" i="1"/>
  <c r="M331" i="1" s="1"/>
  <c r="Q284" i="2"/>
  <c r="T284" i="2" s="1"/>
  <c r="J117" i="1"/>
  <c r="M117" i="1" s="1"/>
  <c r="Q812" i="2"/>
  <c r="T812" i="2" s="1"/>
  <c r="J317" i="1"/>
  <c r="M317" i="1" s="1"/>
  <c r="Q416" i="2"/>
  <c r="T416" i="2" s="1"/>
  <c r="J165" i="1"/>
  <c r="M165" i="1" s="1"/>
  <c r="Q92" i="2"/>
  <c r="T92" i="2" s="1"/>
  <c r="J37" i="1"/>
  <c r="M37" i="1" s="1"/>
  <c r="Q596" i="2"/>
  <c r="T596" i="2" s="1"/>
  <c r="J234" i="1"/>
  <c r="M234" i="1" s="1"/>
  <c r="Q908" i="2"/>
  <c r="T908" i="2" s="1"/>
  <c r="J354" i="1"/>
  <c r="M354" i="1" s="1"/>
  <c r="Q187" i="2"/>
  <c r="T187" i="2" s="1"/>
  <c r="J76" i="1"/>
  <c r="M76" i="1" s="1"/>
  <c r="Q775" i="2"/>
  <c r="T775" i="2" s="1"/>
  <c r="J302" i="1"/>
  <c r="M302" i="1" s="1"/>
  <c r="Q631" i="2"/>
  <c r="T631" i="2" s="1"/>
  <c r="J248" i="1"/>
  <c r="M248" i="1" s="1"/>
  <c r="Q211" i="2"/>
  <c r="T211" i="2" s="1"/>
  <c r="J86" i="1"/>
  <c r="M86" i="1" s="1"/>
  <c r="Q410" i="2"/>
  <c r="T410" i="2" s="1"/>
  <c r="J163" i="1"/>
  <c r="M163" i="1" s="1"/>
  <c r="Q134" i="2"/>
  <c r="T134" i="2" s="1"/>
  <c r="J56" i="1"/>
  <c r="M56" i="1" s="1"/>
  <c r="Q358" i="2"/>
  <c r="T358" i="2" s="1"/>
  <c r="J144" i="1"/>
  <c r="M144" i="1" s="1"/>
  <c r="Q646" i="2"/>
  <c r="T646" i="2" s="1"/>
  <c r="J253" i="1"/>
  <c r="M253" i="1" s="1"/>
  <c r="Q385" i="2"/>
  <c r="T385" i="2" s="1"/>
  <c r="J155" i="1"/>
  <c r="M155" i="1" s="1"/>
  <c r="Q60" i="2"/>
  <c r="T60" i="2" s="1"/>
  <c r="J25" i="1"/>
  <c r="M25" i="1" s="1"/>
  <c r="Q204" i="2"/>
  <c r="T204" i="2" s="1"/>
  <c r="J82" i="1"/>
  <c r="M82" i="1" s="1"/>
  <c r="Q492" i="2"/>
  <c r="T492" i="2" s="1"/>
  <c r="J195" i="1"/>
  <c r="M195" i="1" s="1"/>
  <c r="Q780" i="2"/>
  <c r="T780" i="2" s="1"/>
  <c r="J304" i="1"/>
  <c r="M304" i="1" s="1"/>
  <c r="Q709" i="2"/>
  <c r="T709" i="2" s="1"/>
  <c r="J275" i="1"/>
  <c r="M275" i="1" s="1"/>
  <c r="Q578" i="2"/>
  <c r="T578" i="2" s="1"/>
  <c r="J227" i="1"/>
  <c r="M227" i="1" s="1"/>
  <c r="Q198" i="2"/>
  <c r="T198" i="2" s="1"/>
  <c r="J80" i="1"/>
  <c r="M80" i="1" s="1"/>
  <c r="Q423" i="2"/>
  <c r="T423" i="2" s="1"/>
  <c r="J169" i="1"/>
  <c r="M169" i="1" s="1"/>
  <c r="Q855" i="2"/>
  <c r="T855" i="2" s="1"/>
  <c r="J334" i="1"/>
  <c r="M334" i="1" s="1"/>
  <c r="Q521" i="2"/>
  <c r="T521" i="2" s="1"/>
  <c r="J207" i="1"/>
  <c r="M207" i="1" s="1"/>
  <c r="Q809" i="2"/>
  <c r="T809" i="2" s="1"/>
  <c r="J315" i="1"/>
  <c r="M315" i="1" s="1"/>
  <c r="Q126" i="2"/>
  <c r="T126" i="2" s="1"/>
  <c r="J52" i="1"/>
  <c r="M52" i="1" s="1"/>
  <c r="Q102" i="2"/>
  <c r="T102" i="2" s="1"/>
  <c r="J42" i="1"/>
  <c r="M42" i="1" s="1"/>
  <c r="Q851" i="2"/>
  <c r="T851" i="2" s="1"/>
  <c r="J333" i="1"/>
  <c r="M333" i="1" s="1"/>
  <c r="Q25" i="2"/>
  <c r="T25" i="2" s="1"/>
  <c r="J12" i="1"/>
  <c r="M12" i="1" s="1"/>
  <c r="Q405" i="2"/>
  <c r="T405" i="2" s="1"/>
  <c r="J161" i="1"/>
  <c r="M161" i="1" s="1"/>
  <c r="Q160" i="2"/>
  <c r="T160" i="2" s="1"/>
  <c r="J67" i="1"/>
  <c r="M67" i="1" s="1"/>
  <c r="Q172" i="2"/>
  <c r="T172" i="2" s="1"/>
  <c r="J70" i="1"/>
  <c r="M70" i="1" s="1"/>
  <c r="Q532" i="2"/>
  <c r="T532" i="2" s="1"/>
  <c r="J211" i="1"/>
  <c r="M211" i="1" s="1"/>
  <c r="Q464" i="2"/>
  <c r="T464" i="2" s="1"/>
  <c r="J184" i="1"/>
  <c r="M184" i="1" s="1"/>
  <c r="Q367" i="2"/>
  <c r="T367" i="2" s="1"/>
  <c r="J148" i="1"/>
  <c r="M148" i="1" s="1"/>
  <c r="Q847" i="2"/>
  <c r="T847" i="2" s="1"/>
  <c r="J332" i="1"/>
  <c r="M332" i="1" s="1"/>
  <c r="Q122" i="2"/>
  <c r="T122" i="2" s="1"/>
  <c r="J50" i="1"/>
  <c r="M50" i="1" s="1"/>
  <c r="Q235" i="2"/>
  <c r="T235" i="2" s="1"/>
  <c r="J96" i="1"/>
  <c r="M96" i="1" s="1"/>
  <c r="Q835" i="2"/>
  <c r="T835" i="2" s="1"/>
  <c r="J326" i="1"/>
  <c r="M326" i="1" s="1"/>
  <c r="Q79" i="2"/>
  <c r="T79" i="2" s="1"/>
  <c r="J33" i="1"/>
  <c r="M33" i="1" s="1"/>
  <c r="Q271" i="2"/>
  <c r="T271" i="2" s="1"/>
  <c r="J113" i="1"/>
  <c r="M113" i="1" s="1"/>
  <c r="Q226" i="2"/>
  <c r="T226" i="2" s="1"/>
  <c r="J92" i="1"/>
  <c r="M92" i="1" s="1"/>
  <c r="Q514" i="2"/>
  <c r="T514" i="2" s="1"/>
  <c r="J205" i="1"/>
  <c r="M205" i="1" s="1"/>
  <c r="Q658" i="2"/>
  <c r="T658" i="2" s="1"/>
  <c r="J257" i="1"/>
  <c r="M257" i="1" s="1"/>
  <c r="Q802" i="2"/>
  <c r="T802" i="2" s="1"/>
  <c r="J312" i="1"/>
  <c r="M312" i="1" s="1"/>
  <c r="Q481" i="2"/>
  <c r="T481" i="2" s="1"/>
  <c r="J190" i="1"/>
  <c r="M190" i="1" s="1"/>
  <c r="Q72" i="2"/>
  <c r="T72" i="2" s="1"/>
  <c r="J30" i="1"/>
  <c r="M30" i="1" s="1"/>
  <c r="Q360" i="2"/>
  <c r="T360" i="2" s="1"/>
  <c r="J146" i="1"/>
  <c r="M146" i="1" s="1"/>
  <c r="Q337" i="2"/>
  <c r="T337" i="2" s="1"/>
  <c r="J136" i="1"/>
  <c r="M136" i="1" s="1"/>
  <c r="Q841" i="2"/>
  <c r="T841" i="2" s="1"/>
  <c r="J330" i="1"/>
  <c r="M330" i="1" s="1"/>
  <c r="Q686" i="2"/>
  <c r="T686" i="2" s="1"/>
  <c r="J267" i="1"/>
  <c r="M267" i="1" s="1"/>
  <c r="J3" i="1"/>
  <c r="M3" i="1" s="1"/>
  <c r="Q291" i="2"/>
  <c r="T291" i="2" s="1"/>
  <c r="J119" i="1"/>
  <c r="M119" i="1" s="1"/>
  <c r="Q867" i="2"/>
  <c r="T867" i="2" s="1"/>
  <c r="J339" i="1"/>
  <c r="M339" i="1" s="1"/>
  <c r="Q438" i="2"/>
  <c r="T438" i="2" s="1"/>
  <c r="J174" i="1"/>
  <c r="M174" i="1" s="1"/>
  <c r="Q245" i="2"/>
  <c r="T245" i="2" s="1"/>
  <c r="J101" i="1"/>
  <c r="M101" i="1" s="1"/>
  <c r="Q389" i="2"/>
  <c r="T389" i="2" s="1"/>
  <c r="J156" i="1"/>
  <c r="M156" i="1" s="1"/>
  <c r="Q821" i="2"/>
  <c r="T821" i="2" s="1"/>
  <c r="J321" i="1"/>
  <c r="M321" i="1" s="1"/>
  <c r="Q83" i="2"/>
  <c r="T83" i="2" s="1"/>
  <c r="J34" i="1"/>
  <c r="M34" i="1" s="1"/>
  <c r="J6" i="1"/>
  <c r="M6" i="1" s="1"/>
  <c r="Q347" i="2"/>
  <c r="T347" i="2" s="1"/>
  <c r="J140" i="1"/>
  <c r="M140" i="1" s="1"/>
  <c r="Q443" i="2"/>
  <c r="T443" i="2" s="1"/>
  <c r="J176" i="1"/>
  <c r="M176" i="1" s="1"/>
  <c r="Q61" i="2"/>
  <c r="T61" i="2" s="1"/>
  <c r="J26" i="1"/>
  <c r="M26" i="1" s="1"/>
  <c r="Q205" i="2"/>
  <c r="T205" i="2" s="1"/>
  <c r="J83" i="1"/>
  <c r="M83" i="1" s="1"/>
  <c r="Q705" i="2"/>
  <c r="T705" i="2" s="1"/>
  <c r="J273" i="1"/>
  <c r="M273" i="1" s="1"/>
  <c r="J20" i="1"/>
  <c r="M20" i="1" s="1"/>
  <c r="Q28" i="2"/>
  <c r="T28" i="2" s="1"/>
  <c r="J14" i="1"/>
  <c r="M14" i="1" s="1"/>
  <c r="Q688" i="2"/>
  <c r="T688" i="2" s="1"/>
  <c r="J268" i="1"/>
  <c r="M268" i="1" s="1"/>
  <c r="Q232" i="2"/>
  <c r="T232" i="2" s="1"/>
  <c r="J95" i="1"/>
  <c r="M95" i="1" s="1"/>
  <c r="Q892" i="2"/>
  <c r="T892" i="2" s="1"/>
  <c r="J349" i="1"/>
  <c r="M349" i="1" s="1"/>
  <c r="Q872" i="2"/>
  <c r="T872" i="2" s="1"/>
  <c r="J341" i="1"/>
  <c r="M341" i="1" s="1"/>
  <c r="Q176" i="2"/>
  <c r="T176" i="2" s="1"/>
  <c r="J71" i="1"/>
  <c r="M71" i="1" s="1"/>
  <c r="Q692" i="2"/>
  <c r="T692" i="2" s="1"/>
  <c r="J269" i="1"/>
  <c r="M269" i="1" s="1"/>
  <c r="Q98" i="2"/>
  <c r="T98" i="2" s="1"/>
  <c r="J41" i="1"/>
  <c r="M41" i="1" s="1"/>
  <c r="Q331" i="2"/>
  <c r="T331" i="2" s="1"/>
  <c r="J133" i="1"/>
  <c r="M133" i="1" s="1"/>
  <c r="Q313" i="2"/>
  <c r="T313" i="2" s="1"/>
  <c r="J127" i="1"/>
  <c r="M127" i="1" s="1"/>
  <c r="Q218" i="2"/>
  <c r="T218" i="2" s="1"/>
  <c r="J89" i="1"/>
  <c r="M89" i="1" s="1"/>
  <c r="Q94" i="2"/>
  <c r="T94" i="2" s="1"/>
  <c r="J38" i="1"/>
  <c r="M38" i="1" s="1"/>
  <c r="Q670" i="2"/>
  <c r="T670" i="2" s="1"/>
  <c r="J261" i="1"/>
  <c r="M261" i="1" s="1"/>
  <c r="Q421" i="2"/>
  <c r="T421" i="2" s="1"/>
  <c r="J167" i="1"/>
  <c r="M167" i="1" s="1"/>
  <c r="J9" i="1"/>
  <c r="M9" i="1" s="1"/>
  <c r="Q303" i="2"/>
  <c r="T303" i="2" s="1"/>
  <c r="J124" i="1"/>
  <c r="M124" i="1" s="1"/>
  <c r="Q879" i="2"/>
  <c r="T879" i="2" s="1"/>
  <c r="J343" i="1"/>
  <c r="M343" i="1" s="1"/>
  <c r="Q810" i="2"/>
  <c r="T810" i="2" s="1"/>
  <c r="J316" i="1"/>
  <c r="M316" i="1" s="1"/>
  <c r="Q510" i="2"/>
  <c r="T510" i="2" s="1"/>
  <c r="J202" i="1"/>
  <c r="M202" i="1" s="1"/>
  <c r="Q257" i="2"/>
  <c r="T257" i="2" s="1"/>
  <c r="J108" i="1"/>
  <c r="M108" i="1" s="1"/>
  <c r="Q119" i="2"/>
  <c r="T119" i="2" s="1"/>
  <c r="J49" i="1"/>
  <c r="M49" i="1" s="1"/>
  <c r="Q383" i="2"/>
  <c r="T383" i="2" s="1"/>
  <c r="J154" i="1"/>
  <c r="M154" i="1" s="1"/>
  <c r="Q923" i="2"/>
  <c r="T923" i="2" s="1"/>
  <c r="J361" i="1"/>
  <c r="M361" i="1" s="1"/>
  <c r="Q97" i="2"/>
  <c r="T97" i="2" s="1"/>
  <c r="J40" i="1"/>
  <c r="M40" i="1" s="1"/>
  <c r="Q241" i="2"/>
  <c r="T241" i="2" s="1"/>
  <c r="J99" i="1"/>
  <c r="M99" i="1" s="1"/>
  <c r="Q573" i="2"/>
  <c r="T573" i="2" s="1"/>
  <c r="J225" i="1"/>
  <c r="M225" i="1" s="1"/>
  <c r="Q717" i="2"/>
  <c r="T717" i="2" s="1"/>
  <c r="J277" i="1"/>
  <c r="M277" i="1" s="1"/>
  <c r="Q196" i="2"/>
  <c r="T196" i="2" s="1"/>
  <c r="J79" i="1"/>
  <c r="M79" i="1" s="1"/>
  <c r="Q268" i="2"/>
  <c r="T268" i="2" s="1"/>
  <c r="J112" i="1"/>
  <c r="M112" i="1" s="1"/>
  <c r="Q404" i="2"/>
  <c r="T404" i="2" s="1"/>
  <c r="J160" i="1"/>
  <c r="M160" i="1" s="1"/>
  <c r="Q920" i="2"/>
  <c r="T920" i="2" s="1"/>
  <c r="J359" i="1"/>
  <c r="M359" i="1" s="1"/>
  <c r="Q584" i="2"/>
  <c r="T584" i="2" s="1"/>
  <c r="J230" i="1"/>
  <c r="M230" i="1" s="1"/>
  <c r="Q356" i="2"/>
  <c r="T356" i="2" s="1"/>
  <c r="J143" i="1"/>
  <c r="M143" i="1" s="1"/>
  <c r="Q861" i="2"/>
  <c r="T861" i="2" s="1"/>
  <c r="J336" i="1"/>
  <c r="M336" i="1" s="1"/>
  <c r="Q397" i="2"/>
  <c r="T397" i="2" s="1"/>
  <c r="J158" i="1"/>
  <c r="M158" i="1" s="1"/>
  <c r="Q194" i="2"/>
  <c r="T194" i="2" s="1"/>
  <c r="J78" i="1"/>
  <c r="M78" i="1" s="1"/>
  <c r="Q146" i="2"/>
  <c r="T146" i="2" s="1"/>
  <c r="J61" i="1"/>
  <c r="M61" i="1" s="1"/>
  <c r="Q373" i="2"/>
  <c r="T373" i="2" s="1"/>
  <c r="J150" i="1"/>
  <c r="M150" i="1" s="1"/>
  <c r="Q254" i="2"/>
  <c r="T254" i="2" s="1"/>
  <c r="J107" i="1"/>
  <c r="M107" i="1" s="1"/>
  <c r="Q250" i="2"/>
  <c r="T250" i="2" s="1"/>
  <c r="J103" i="1"/>
  <c r="M103" i="1" s="1"/>
  <c r="Q826" i="2"/>
  <c r="T826" i="2" s="1"/>
  <c r="J323" i="1"/>
  <c r="M323" i="1" s="1"/>
  <c r="Q661" i="2"/>
  <c r="T661" i="2" s="1"/>
  <c r="J258" i="1"/>
  <c r="M258" i="1" s="1"/>
  <c r="Q240" i="2"/>
  <c r="T240" i="2" s="1"/>
  <c r="J98" i="1"/>
  <c r="M98" i="1" s="1"/>
  <c r="Q672" i="2"/>
  <c r="T672" i="2" s="1"/>
  <c r="J262" i="1"/>
  <c r="M262" i="1" s="1"/>
  <c r="Q505" i="2"/>
  <c r="T505" i="2" s="1"/>
  <c r="J200" i="1"/>
  <c r="M200" i="1" s="1"/>
  <c r="Q638" i="2"/>
  <c r="T638" i="2" s="1"/>
  <c r="J251" i="1"/>
  <c r="M251" i="1" s="1"/>
  <c r="Q866" i="2"/>
  <c r="T866" i="2" s="1"/>
  <c r="J338" i="1"/>
  <c r="M338" i="1" s="1"/>
  <c r="Q342" i="2"/>
  <c r="T342" i="2" s="1"/>
  <c r="J138" i="1"/>
  <c r="M138" i="1" s="1"/>
  <c r="Q318" i="2"/>
  <c r="T318" i="2" s="1"/>
  <c r="J129" i="1"/>
  <c r="M129" i="1" s="1"/>
  <c r="Q459" i="2"/>
  <c r="T459" i="2" s="1"/>
  <c r="J182" i="1"/>
  <c r="M182" i="1" s="1"/>
  <c r="Q603" i="2"/>
  <c r="T603" i="2" s="1"/>
  <c r="J239" i="1"/>
  <c r="M239" i="1" s="1"/>
  <c r="Q143" i="2"/>
  <c r="T143" i="2" s="1"/>
  <c r="J60" i="1"/>
  <c r="M60" i="1" s="1"/>
  <c r="Q503" i="2"/>
  <c r="T503" i="2" s="1"/>
  <c r="J199" i="1"/>
  <c r="M199" i="1" s="1"/>
  <c r="Q729" i="2"/>
  <c r="T729" i="2" s="1"/>
  <c r="J282" i="1"/>
  <c r="M282" i="1" s="1"/>
  <c r="Q52" i="2"/>
  <c r="T52" i="2" s="1"/>
  <c r="J22" i="1"/>
  <c r="M22" i="1" s="1"/>
  <c r="Q208" i="2"/>
  <c r="T208" i="2" s="1"/>
  <c r="J85" i="1"/>
  <c r="M85" i="1" s="1"/>
  <c r="Q448" i="2"/>
  <c r="T448" i="2" s="1"/>
  <c r="J178" i="1"/>
  <c r="M178" i="1" s="1"/>
  <c r="Q292" i="2"/>
  <c r="T292" i="2" s="1"/>
  <c r="J120" i="1"/>
  <c r="M120" i="1" s="1"/>
  <c r="Q616" i="2"/>
  <c r="T616" i="2" s="1"/>
  <c r="J243" i="1"/>
  <c r="M243" i="1" s="1"/>
  <c r="J11" i="1"/>
  <c r="M11" i="1" s="1"/>
  <c r="Z36" i="2" a="1"/>
  <c r="Z36" i="2" s="1"/>
  <c r="H14" i="10"/>
  <c r="H6" i="10"/>
  <c r="H9" i="10"/>
  <c r="H8" i="10"/>
  <c r="H15" i="10"/>
  <c r="H16" i="10"/>
  <c r="H12" i="10"/>
  <c r="H2" i="10"/>
  <c r="H17" i="10"/>
  <c r="H4" i="10"/>
  <c r="H20" i="10"/>
  <c r="H3" i="10"/>
  <c r="H11" i="10"/>
  <c r="H10" i="10"/>
  <c r="H18" i="10"/>
  <c r="H5" i="10"/>
  <c r="H13" i="10"/>
  <c r="Z37" i="2" a="1"/>
  <c r="Z37" i="2" s="1"/>
  <c r="H7" i="10"/>
  <c r="A2" i="11" a="1"/>
  <c r="A2" i="11" s="1"/>
  <c r="C2" i="11" s="1"/>
  <c r="H19" i="10"/>
  <c r="B48" i="13" a="1"/>
  <c r="B48" i="13" s="1"/>
  <c r="C48" i="13" a="1"/>
  <c r="C48" i="13" s="1"/>
  <c r="B49" i="13" a="1"/>
  <c r="B49" i="13" s="1"/>
  <c r="C49" i="13" a="1"/>
  <c r="C49" i="13" s="1"/>
  <c r="Q26" i="2"/>
  <c r="T26" i="2" s="1"/>
  <c r="Q45" i="2"/>
  <c r="T45" i="2" s="1"/>
  <c r="Q4" i="2"/>
  <c r="T4" i="2" s="1"/>
  <c r="Q15" i="2"/>
  <c r="T15" i="2" s="1"/>
  <c r="G12" i="10"/>
  <c r="Q54" i="2"/>
  <c r="T54" i="2" s="1"/>
  <c r="Q30" i="2"/>
  <c r="T30" i="2" s="1"/>
  <c r="Q10" i="2"/>
  <c r="T10" i="2" s="1"/>
  <c r="Q31" i="2"/>
  <c r="T31" i="2" s="1"/>
  <c r="Q3" i="2"/>
  <c r="G13" i="10"/>
  <c r="Q16" i="2"/>
  <c r="T16" i="2" s="1"/>
  <c r="G16" i="10"/>
  <c r="G5" i="10"/>
  <c r="G11" i="10"/>
  <c r="G7" i="10"/>
  <c r="Q11" i="2"/>
  <c r="T11" i="2" s="1"/>
  <c r="B2" i="13" a="1"/>
  <c r="B2" i="13" s="1"/>
  <c r="B4" i="13" s="1"/>
  <c r="G18" i="10"/>
  <c r="G20" i="10"/>
  <c r="Q288" i="2"/>
  <c r="T288" i="2" s="1"/>
  <c r="G14" i="10"/>
  <c r="G8" i="10"/>
  <c r="Q41" i="2"/>
  <c r="T41" i="2" s="1"/>
  <c r="G19" i="10"/>
  <c r="G3" i="10"/>
  <c r="Q434" i="2"/>
  <c r="T434" i="2" s="1"/>
  <c r="Q53" i="2"/>
  <c r="T53" i="2" s="1"/>
  <c r="G2" i="10"/>
  <c r="G15" i="10"/>
  <c r="G4" i="10"/>
  <c r="G17" i="10"/>
  <c r="G9" i="10"/>
  <c r="O4" i="10"/>
  <c r="Q4" i="10" s="1"/>
  <c r="C22" i="13" a="1"/>
  <c r="C22" i="13" s="1"/>
  <c r="O2" i="10"/>
  <c r="Q2" i="10" s="1"/>
  <c r="Q12" i="2"/>
  <c r="T12" i="2" s="1"/>
  <c r="B13" i="13" a="1"/>
  <c r="B13" i="13" s="1"/>
  <c r="C31" i="13" a="1"/>
  <c r="C31" i="13" s="1"/>
  <c r="G6" i="10"/>
  <c r="Q635" i="2"/>
  <c r="T635" i="2" s="1"/>
  <c r="C13" i="13" a="1"/>
  <c r="C13" i="13" s="1"/>
  <c r="D13" i="13" s="1"/>
  <c r="C33" i="13" a="1"/>
  <c r="C33" i="13" s="1"/>
  <c r="Q9" i="2"/>
  <c r="T9" i="2" s="1"/>
  <c r="C12" i="13" a="1"/>
  <c r="C12" i="13" s="1"/>
  <c r="C32" i="13" a="1"/>
  <c r="C32" i="13" s="1"/>
  <c r="Q5" i="2"/>
  <c r="Q7" i="2"/>
  <c r="T7" i="2" s="1"/>
  <c r="B12" i="13" a="1"/>
  <c r="B12" i="13" s="1"/>
  <c r="Q2" i="2"/>
  <c r="T2" i="2" s="1"/>
  <c r="C21" i="13" a="1"/>
  <c r="C21" i="13" s="1"/>
  <c r="Z35" i="2" a="1"/>
  <c r="Z35" i="2" s="1"/>
  <c r="Q676" i="2"/>
  <c r="T676" i="2" s="1"/>
  <c r="C23" i="13" a="1"/>
  <c r="C23" i="13" s="1"/>
  <c r="Q8" i="2"/>
  <c r="T8" i="2" s="1"/>
  <c r="G10" i="10"/>
  <c r="B6" i="13" a="1"/>
  <c r="B6" i="13" s="1"/>
  <c r="O3" i="10"/>
  <c r="Q3" i="10" s="1"/>
  <c r="E47" i="11" l="1" a="1"/>
  <c r="E47" i="11" s="1"/>
  <c r="E3" i="11" a="1"/>
  <c r="E3" i="11" s="1"/>
  <c r="C40" i="11"/>
  <c r="C20" i="11"/>
  <c r="B26" i="11"/>
  <c r="B14" i="11"/>
  <c r="C30" i="11"/>
  <c r="C7" i="11"/>
  <c r="B32" i="11"/>
  <c r="E33" i="11" a="1"/>
  <c r="E33" i="11" s="1"/>
  <c r="C22" i="11"/>
  <c r="C57" i="11"/>
  <c r="E42" i="11" a="1"/>
  <c r="E42" i="11" s="1"/>
  <c r="E35" i="11" a="1"/>
  <c r="E35" i="11" s="1"/>
  <c r="C36" i="11"/>
  <c r="E51" i="11" a="1"/>
  <c r="E51" i="11" s="1"/>
  <c r="B11" i="11"/>
  <c r="C49" i="11"/>
  <c r="C27" i="11"/>
  <c r="B24" i="11"/>
  <c r="E31" i="11" a="1"/>
  <c r="E31" i="11" s="1"/>
  <c r="E38" i="11" a="1"/>
  <c r="E38" i="11" s="1"/>
  <c r="C48" i="11"/>
  <c r="C51" i="11"/>
  <c r="E55" i="11" a="1"/>
  <c r="E55" i="11" s="1"/>
  <c r="E13" i="11" a="1"/>
  <c r="E13" i="11" s="1"/>
  <c r="B21" i="11"/>
  <c r="C11" i="11"/>
  <c r="B48" i="11"/>
  <c r="C26" i="11"/>
  <c r="B39" i="11"/>
  <c r="C29" i="11"/>
  <c r="B54" i="11"/>
  <c r="C32" i="11"/>
  <c r="B29" i="11"/>
  <c r="C24" i="11"/>
  <c r="E9" i="11" a="1"/>
  <c r="E9" i="11" s="1"/>
  <c r="B2" i="11"/>
  <c r="C55" i="11"/>
  <c r="B10" i="11"/>
  <c r="E28" i="11" a="1"/>
  <c r="E28" i="11" s="1"/>
  <c r="C50" i="11"/>
  <c r="E30" i="11" a="1"/>
  <c r="E30" i="11" s="1"/>
  <c r="B16" i="11"/>
  <c r="E6" i="11" a="1"/>
  <c r="E6" i="11" s="1"/>
  <c r="B43" i="11"/>
  <c r="C21" i="11"/>
  <c r="B58" i="11"/>
  <c r="B53" i="11"/>
  <c r="E36" i="11" a="1"/>
  <c r="E36" i="11" s="1"/>
  <c r="E61" i="11" a="1"/>
  <c r="E61" i="11" s="1"/>
  <c r="E15" i="11" a="1"/>
  <c r="E15" i="11" s="1"/>
  <c r="C38" i="11"/>
  <c r="E24" i="11" a="1"/>
  <c r="E24" i="11" s="1"/>
  <c r="C44" i="11"/>
  <c r="B23" i="11"/>
  <c r="B50" i="11"/>
  <c r="E2" i="11" a="1"/>
  <c r="E2" i="11" s="1"/>
  <c r="C54" i="11"/>
  <c r="B44" i="11"/>
  <c r="C34" i="11"/>
  <c r="E44" i="11" a="1"/>
  <c r="E44" i="11" s="1"/>
  <c r="C61" i="11"/>
  <c r="E53" i="11" a="1"/>
  <c r="E53" i="11" s="1"/>
  <c r="C52" i="11"/>
  <c r="E56" i="11" a="1"/>
  <c r="E56" i="11" s="1"/>
  <c r="B19" i="11"/>
  <c r="C15" i="11"/>
  <c r="C59" i="11"/>
  <c r="B46" i="11"/>
  <c r="E45" i="11" a="1"/>
  <c r="E45" i="11" s="1"/>
  <c r="E5" i="11" a="1"/>
  <c r="E5" i="11" s="1"/>
  <c r="B41" i="11"/>
  <c r="E49" i="11" a="1"/>
  <c r="E49" i="11" s="1"/>
  <c r="B9" i="11"/>
  <c r="E21" i="11" a="1"/>
  <c r="E21" i="11" s="1"/>
  <c r="B36" i="11"/>
  <c r="C14" i="11"/>
  <c r="B27" i="11"/>
  <c r="C17" i="11"/>
  <c r="B42" i="11"/>
  <c r="B57" i="11"/>
  <c r="B6" i="11"/>
  <c r="C28" i="11"/>
  <c r="E32" i="11" a="1"/>
  <c r="E32" i="11" s="1"/>
  <c r="E50" i="11" a="1"/>
  <c r="E50" i="11" s="1"/>
  <c r="C12" i="11"/>
  <c r="C3" i="11"/>
  <c r="E46" i="11" a="1"/>
  <c r="E46" i="11" s="1"/>
  <c r="B5" i="11"/>
  <c r="E48" i="11" a="1"/>
  <c r="E48" i="11" s="1"/>
  <c r="B8" i="11"/>
  <c r="C33" i="11"/>
  <c r="E27" i="11" a="1"/>
  <c r="E27" i="11" s="1"/>
  <c r="C60" i="11"/>
  <c r="E11" i="11" a="1"/>
  <c r="E11" i="11" s="1"/>
  <c r="E60" i="11" a="1"/>
  <c r="E60" i="11" s="1"/>
  <c r="B15" i="11"/>
  <c r="C4" i="11"/>
  <c r="B33" i="11"/>
  <c r="C43" i="11"/>
  <c r="B7" i="11"/>
  <c r="B34" i="11"/>
  <c r="B61" i="11"/>
  <c r="B52" i="11"/>
  <c r="B17" i="11"/>
  <c r="E19" i="11" a="1"/>
  <c r="E19" i="11" s="1"/>
  <c r="B20" i="11"/>
  <c r="C10" i="11"/>
  <c r="B59" i="11"/>
  <c r="C37" i="11"/>
  <c r="E16" i="11" a="1"/>
  <c r="E16" i="11" s="1"/>
  <c r="C35" i="11"/>
  <c r="B49" i="11"/>
  <c r="B30" i="11"/>
  <c r="E34" i="11" a="1"/>
  <c r="E34" i="11" s="1"/>
  <c r="E52" i="11" a="1"/>
  <c r="E52" i="11" s="1"/>
  <c r="E54" i="11" a="1"/>
  <c r="E54" i="11" s="1"/>
  <c r="B40" i="11"/>
  <c r="C18" i="11"/>
  <c r="E25" i="11" a="1"/>
  <c r="E25" i="11" s="1"/>
  <c r="C45" i="11"/>
  <c r="E43" i="11" a="1"/>
  <c r="E43" i="11" s="1"/>
  <c r="B47" i="11"/>
  <c r="C25" i="11"/>
  <c r="C42" i="11"/>
  <c r="B56" i="11"/>
  <c r="C19" i="11"/>
  <c r="B3" i="11"/>
  <c r="E18" i="11" a="1"/>
  <c r="E18" i="11" s="1"/>
  <c r="C8" i="11"/>
  <c r="C47" i="11"/>
  <c r="B37" i="11"/>
  <c r="E4" i="11" a="1"/>
  <c r="E4" i="11" s="1"/>
  <c r="B28" i="11"/>
  <c r="C6" i="11"/>
  <c r="E40" i="11" a="1"/>
  <c r="E40" i="11" s="1"/>
  <c r="C56" i="11"/>
  <c r="E14" i="11" a="1"/>
  <c r="E14" i="11" s="1"/>
  <c r="B35" i="11"/>
  <c r="B22" i="11"/>
  <c r="E7" i="11" a="1"/>
  <c r="E7" i="11" s="1"/>
  <c r="B18" i="11"/>
  <c r="B45" i="11"/>
  <c r="B25" i="11"/>
  <c r="B51" i="11"/>
  <c r="C41" i="11"/>
  <c r="E58" i="11" a="1"/>
  <c r="E58" i="11" s="1"/>
  <c r="C39" i="11"/>
  <c r="E57" i="11" a="1"/>
  <c r="E57" i="11" s="1"/>
  <c r="C13" i="11"/>
  <c r="C16" i="11"/>
  <c r="E23" i="11" a="1"/>
  <c r="E23" i="11" s="1"/>
  <c r="E26" i="11" a="1"/>
  <c r="E26" i="11" s="1"/>
  <c r="C23" i="11"/>
  <c r="E59" i="11" a="1"/>
  <c r="E59" i="11" s="1"/>
  <c r="B13" i="11"/>
  <c r="E10" i="11" a="1"/>
  <c r="E10" i="11" s="1"/>
  <c r="B4" i="11"/>
  <c r="E12" i="11" a="1"/>
  <c r="E12" i="11" s="1"/>
  <c r="B31" i="11"/>
  <c r="C9" i="11"/>
  <c r="C58" i="11"/>
  <c r="E37" i="11" a="1"/>
  <c r="E37" i="11" s="1"/>
  <c r="E20" i="11" a="1"/>
  <c r="E20" i="11" s="1"/>
  <c r="E22" i="11" a="1"/>
  <c r="E22" i="11" s="1"/>
  <c r="B38" i="11"/>
  <c r="C31" i="11"/>
  <c r="C46" i="11"/>
  <c r="B60" i="11"/>
  <c r="E17" i="11" a="1"/>
  <c r="E17" i="11" s="1"/>
  <c r="C53" i="11"/>
  <c r="B55" i="11"/>
  <c r="E8" i="11" a="1"/>
  <c r="E8" i="11" s="1"/>
  <c r="B12" i="11"/>
  <c r="E29" i="11" a="1"/>
  <c r="E29" i="11" s="1"/>
  <c r="C5" i="11"/>
  <c r="E39" i="11" a="1"/>
  <c r="E39" i="11" s="1"/>
  <c r="E41" i="11" a="1"/>
  <c r="E41" i="11" s="1"/>
  <c r="C50" i="13" a="1"/>
  <c r="C50" i="13" s="1"/>
  <c r="T3" i="2"/>
  <c r="B51" i="13"/>
  <c r="T5" i="2"/>
  <c r="C51" i="13"/>
  <c r="B50" i="13" a="1"/>
  <c r="B50" i="13" s="1"/>
  <c r="D49" i="13"/>
  <c r="D48" i="13"/>
  <c r="B15" i="13"/>
  <c r="C7" i="13" a="1"/>
  <c r="C7" i="13" s="1"/>
  <c r="B14" i="13" a="1"/>
  <c r="B14" i="13" s="1"/>
  <c r="C15" i="13"/>
  <c r="C14" i="13" a="1"/>
  <c r="C14" i="13" s="1"/>
  <c r="D12" i="13"/>
  <c r="D51" i="13" l="1"/>
  <c r="D50" i="13"/>
  <c r="D15" i="13"/>
  <c r="D14"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A591C0-01BC-492D-BAA7-63C11FDDC4F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1729D40-C658-46CC-82D9-E74A91233AFF}" name="WorksheetConnection_AyantikaChowdhury_Answers_Day6.xlsx!orderlinesTABLE" type="102" refreshedVersion="8" minRefreshableVersion="5">
    <extLst>
      <ext xmlns:x15="http://schemas.microsoft.com/office/spreadsheetml/2010/11/main" uri="{DE250136-89BD-433C-8126-D09CA5730AF9}">
        <x15:connection id="orderlinesTABLE" autoDelete="1">
          <x15:rangePr sourceName="_xlcn.WorksheetConnection_AyantikaChowdhury_Answers_Day6.xlsxorderlinesTABLE1"/>
        </x15:connection>
      </ext>
    </extLst>
  </connection>
  <connection id="3" xr16:uid="{1EC17171-2198-4332-B30A-19DC5EAD7BBB}" name="WorksheetConnection_OrderLines!$A$1:$M$925" type="102" refreshedVersion="8" minRefreshableVersion="5">
    <extLst>
      <ext xmlns:x15="http://schemas.microsoft.com/office/spreadsheetml/2010/11/main" uri="{DE250136-89BD-433C-8126-D09CA5730AF9}">
        <x15:connection id="Range" autoDelete="1">
          <x15:rangePr sourceName="_xlcn.WorksheetConnection_OrderLinesA1M925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5">
    <s v="ThisWorkbookDataModel"/>
    <s v="{[orderlinesTABLE].[ComboFlag].&amp;[Combo]}"/>
    <s v="{[orderlinesTABLE].[Shift].&amp;[Lunch]}"/>
    <s v="{[orderlinesTABLE].[Branch].&amp;[Head Office Café]}"/>
    <s v="{[orderlinesTABLE].[MonthName].&amp;[August]}"/>
  </metadataStrings>
  <mdxMetadata count="4">
    <mdx n="0" f="s">
      <ms ns="1" c="0"/>
    </mdx>
    <mdx n="0" f="s">
      <ms ns="2" c="0"/>
    </mdx>
    <mdx n="0" f="s">
      <ms ns="3" c="0"/>
    </mdx>
    <mdx n="0" f="s">
      <ms ns="4" c="0"/>
    </mdx>
  </mdxMetadata>
  <futureMetadata name="XLDAPR" count="1">
    <bk>
      <extLst>
        <ext uri="{bdbb8cdc-fa1e-496e-a857-3c3f30c029c3}">
          <xda:dynamicArrayProperties fDynamic="1" fCollapsed="0"/>
        </ext>
      </extLst>
    </bk>
  </futureMetadata>
  <cellMetadata count="1">
    <bk>
      <rc t="1" v="0"/>
    </bk>
  </cellMetadata>
  <valueMetadata count="4">
    <bk>
      <rc t="2" v="0"/>
    </bk>
    <bk>
      <rc t="2" v="1"/>
    </bk>
    <bk>
      <rc t="2" v="2"/>
    </bk>
    <bk>
      <rc t="2" v="3"/>
    </bk>
  </valueMetadata>
</metadata>
</file>

<file path=xl/sharedStrings.xml><?xml version="1.0" encoding="utf-8"?>
<sst xmlns="http://schemas.openxmlformats.org/spreadsheetml/2006/main" count="4872" uniqueCount="656">
  <si>
    <t>OrderID</t>
  </si>
  <si>
    <t>OrderDateTime</t>
  </si>
  <si>
    <t>Branch</t>
  </si>
  <si>
    <t>CustomerType</t>
  </si>
  <si>
    <t>PaymentType</t>
  </si>
  <si>
    <t>Shift</t>
  </si>
  <si>
    <t>StaffID</t>
  </si>
  <si>
    <t>DiscountPct</t>
  </si>
  <si>
    <t>O00001</t>
  </si>
  <si>
    <t>Head Office Café</t>
  </si>
  <si>
    <t>Visitor</t>
  </si>
  <si>
    <t>UPI</t>
  </si>
  <si>
    <t>Breakfast</t>
  </si>
  <si>
    <t>E016</t>
  </si>
  <si>
    <t>O00002</t>
  </si>
  <si>
    <t>Plant 2 Canteen</t>
  </si>
  <si>
    <t>Staff</t>
  </si>
  <si>
    <t>Cash</t>
  </si>
  <si>
    <t>Dinner</t>
  </si>
  <si>
    <t>E004</t>
  </si>
  <si>
    <t>O00003</t>
  </si>
  <si>
    <t>Card</t>
  </si>
  <si>
    <t>Lunch</t>
  </si>
  <si>
    <t>E014</t>
  </si>
  <si>
    <t>O00004</t>
  </si>
  <si>
    <t>O00005</t>
  </si>
  <si>
    <t>O00006</t>
  </si>
  <si>
    <t>Plant 1 Canteen</t>
  </si>
  <si>
    <t>Worker</t>
  </si>
  <si>
    <t>E015</t>
  </si>
  <si>
    <t>O00007</t>
  </si>
  <si>
    <t>O00008</t>
  </si>
  <si>
    <t>O00009</t>
  </si>
  <si>
    <t>E003</t>
  </si>
  <si>
    <t>O00010</t>
  </si>
  <si>
    <t>O00011</t>
  </si>
  <si>
    <t>E013</t>
  </si>
  <si>
    <t>O00012</t>
  </si>
  <si>
    <t>E010</t>
  </si>
  <si>
    <t>O00013</t>
  </si>
  <si>
    <t>O00014</t>
  </si>
  <si>
    <t>E002</t>
  </si>
  <si>
    <t>O00015</t>
  </si>
  <si>
    <t>E011</t>
  </si>
  <si>
    <t>O00016</t>
  </si>
  <si>
    <t>E017</t>
  </si>
  <si>
    <t>O00017</t>
  </si>
  <si>
    <t>O00018</t>
  </si>
  <si>
    <t>E008</t>
  </si>
  <si>
    <t>O00019</t>
  </si>
  <si>
    <t>O00020</t>
  </si>
  <si>
    <t>O00021</t>
  </si>
  <si>
    <t>O00022</t>
  </si>
  <si>
    <t>O00023</t>
  </si>
  <si>
    <t>O00024</t>
  </si>
  <si>
    <t>E007</t>
  </si>
  <si>
    <t>O00025</t>
  </si>
  <si>
    <t>O00026</t>
  </si>
  <si>
    <t>O00027</t>
  </si>
  <si>
    <t>O00028</t>
  </si>
  <si>
    <t>O00029</t>
  </si>
  <si>
    <t>E018</t>
  </si>
  <si>
    <t>O00030</t>
  </si>
  <si>
    <t>O00031</t>
  </si>
  <si>
    <t>E009</t>
  </si>
  <si>
    <t>O00032</t>
  </si>
  <si>
    <t>O00033</t>
  </si>
  <si>
    <t>O00034</t>
  </si>
  <si>
    <t>O00035</t>
  </si>
  <si>
    <t>E001</t>
  </si>
  <si>
    <t>O00036</t>
  </si>
  <si>
    <t>O00037</t>
  </si>
  <si>
    <t>E005</t>
  </si>
  <si>
    <t>O00038</t>
  </si>
  <si>
    <t>E012</t>
  </si>
  <si>
    <t>O00039</t>
  </si>
  <si>
    <t>O00040</t>
  </si>
  <si>
    <t>O00041</t>
  </si>
  <si>
    <t>O00042</t>
  </si>
  <si>
    <t>O00043</t>
  </si>
  <si>
    <t>O00044</t>
  </si>
  <si>
    <t>O00045</t>
  </si>
  <si>
    <t>O00046</t>
  </si>
  <si>
    <t>O00047</t>
  </si>
  <si>
    <t>O00048</t>
  </si>
  <si>
    <t>O00049</t>
  </si>
  <si>
    <t>O00050</t>
  </si>
  <si>
    <t>O00051</t>
  </si>
  <si>
    <t>O00052</t>
  </si>
  <si>
    <t>O00053</t>
  </si>
  <si>
    <t>O00054</t>
  </si>
  <si>
    <t>O00055</t>
  </si>
  <si>
    <t>O00056</t>
  </si>
  <si>
    <t>O00057</t>
  </si>
  <si>
    <t>O00058</t>
  </si>
  <si>
    <t>E006</t>
  </si>
  <si>
    <t>O00059</t>
  </si>
  <si>
    <t>O00060</t>
  </si>
  <si>
    <t>O00061</t>
  </si>
  <si>
    <t>O00062</t>
  </si>
  <si>
    <t>O00063</t>
  </si>
  <si>
    <t>O00064</t>
  </si>
  <si>
    <t>O00065</t>
  </si>
  <si>
    <t>O00066</t>
  </si>
  <si>
    <t>O00067</t>
  </si>
  <si>
    <t>O00068</t>
  </si>
  <si>
    <t>O00069</t>
  </si>
  <si>
    <t>O00070</t>
  </si>
  <si>
    <t>O00071</t>
  </si>
  <si>
    <t>O00072</t>
  </si>
  <si>
    <t>O00073</t>
  </si>
  <si>
    <t>O00074</t>
  </si>
  <si>
    <t>O00075</t>
  </si>
  <si>
    <t>O00076</t>
  </si>
  <si>
    <t>O00077</t>
  </si>
  <si>
    <t>O00078</t>
  </si>
  <si>
    <t>O00079</t>
  </si>
  <si>
    <t>O00080</t>
  </si>
  <si>
    <t>O00081</t>
  </si>
  <si>
    <t>O00082</t>
  </si>
  <si>
    <t>O00083</t>
  </si>
  <si>
    <t>O00084</t>
  </si>
  <si>
    <t>O00085</t>
  </si>
  <si>
    <t>O00086</t>
  </si>
  <si>
    <t>O00087</t>
  </si>
  <si>
    <t>O00088</t>
  </si>
  <si>
    <t>O00089</t>
  </si>
  <si>
    <t>O00090</t>
  </si>
  <si>
    <t>O00091</t>
  </si>
  <si>
    <t>O00092</t>
  </si>
  <si>
    <t>O00093</t>
  </si>
  <si>
    <t>O00094</t>
  </si>
  <si>
    <t>O00095</t>
  </si>
  <si>
    <t>O00096</t>
  </si>
  <si>
    <t>O00097</t>
  </si>
  <si>
    <t>O00098</t>
  </si>
  <si>
    <t>O00099</t>
  </si>
  <si>
    <t>O00100</t>
  </si>
  <si>
    <t>O00101</t>
  </si>
  <si>
    <t>O00102</t>
  </si>
  <si>
    <t>O00103</t>
  </si>
  <si>
    <t>O00104</t>
  </si>
  <si>
    <t>O00105</t>
  </si>
  <si>
    <t>O00106</t>
  </si>
  <si>
    <t>O00107</t>
  </si>
  <si>
    <t>O00108</t>
  </si>
  <si>
    <t>O00109</t>
  </si>
  <si>
    <t>O00110</t>
  </si>
  <si>
    <t>O00111</t>
  </si>
  <si>
    <t>O00112</t>
  </si>
  <si>
    <t>O00113</t>
  </si>
  <si>
    <t>O00114</t>
  </si>
  <si>
    <t>O00115</t>
  </si>
  <si>
    <t>O00116</t>
  </si>
  <si>
    <t>O00117</t>
  </si>
  <si>
    <t>O00118</t>
  </si>
  <si>
    <t>O00119</t>
  </si>
  <si>
    <t>O00120</t>
  </si>
  <si>
    <t>O00121</t>
  </si>
  <si>
    <t>O00122</t>
  </si>
  <si>
    <t>O00123</t>
  </si>
  <si>
    <t>O00124</t>
  </si>
  <si>
    <t>O00125</t>
  </si>
  <si>
    <t>O00126</t>
  </si>
  <si>
    <t>O00127</t>
  </si>
  <si>
    <t>O00128</t>
  </si>
  <si>
    <t>O00129</t>
  </si>
  <si>
    <t>O00130</t>
  </si>
  <si>
    <t>O00131</t>
  </si>
  <si>
    <t>O00132</t>
  </si>
  <si>
    <t>O00133</t>
  </si>
  <si>
    <t>O00134</t>
  </si>
  <si>
    <t>O00135</t>
  </si>
  <si>
    <t>O00136</t>
  </si>
  <si>
    <t>O00137</t>
  </si>
  <si>
    <t>O00138</t>
  </si>
  <si>
    <t>O00139</t>
  </si>
  <si>
    <t>O00140</t>
  </si>
  <si>
    <t>O00141</t>
  </si>
  <si>
    <t>O00142</t>
  </si>
  <si>
    <t>O00143</t>
  </si>
  <si>
    <t>O00144</t>
  </si>
  <si>
    <t>O00145</t>
  </si>
  <si>
    <t>O00146</t>
  </si>
  <si>
    <t>O00147</t>
  </si>
  <si>
    <t>O00148</t>
  </si>
  <si>
    <t>O00149</t>
  </si>
  <si>
    <t>O00150</t>
  </si>
  <si>
    <t>O00151</t>
  </si>
  <si>
    <t>O00152</t>
  </si>
  <si>
    <t>O00153</t>
  </si>
  <si>
    <t>O00154</t>
  </si>
  <si>
    <t>O00155</t>
  </si>
  <si>
    <t>O00156</t>
  </si>
  <si>
    <t>O00157</t>
  </si>
  <si>
    <t>O00158</t>
  </si>
  <si>
    <t>O00159</t>
  </si>
  <si>
    <t>O00160</t>
  </si>
  <si>
    <t>O00161</t>
  </si>
  <si>
    <t>O00162</t>
  </si>
  <si>
    <t>O00163</t>
  </si>
  <si>
    <t>O00164</t>
  </si>
  <si>
    <t>O00165</t>
  </si>
  <si>
    <t>O00166</t>
  </si>
  <si>
    <t>O00167</t>
  </si>
  <si>
    <t>O00168</t>
  </si>
  <si>
    <t>O00169</t>
  </si>
  <si>
    <t>O00170</t>
  </si>
  <si>
    <t>O00171</t>
  </si>
  <si>
    <t>O00172</t>
  </si>
  <si>
    <t>O00173</t>
  </si>
  <si>
    <t>O00174</t>
  </si>
  <si>
    <t>O00175</t>
  </si>
  <si>
    <t>O00176</t>
  </si>
  <si>
    <t>O00177</t>
  </si>
  <si>
    <t>O00178</t>
  </si>
  <si>
    <t>O00179</t>
  </si>
  <si>
    <t>O00180</t>
  </si>
  <si>
    <t>O00181</t>
  </si>
  <si>
    <t>O00182</t>
  </si>
  <si>
    <t>O00183</t>
  </si>
  <si>
    <t>O00184</t>
  </si>
  <si>
    <t>O00185</t>
  </si>
  <si>
    <t>O00186</t>
  </si>
  <si>
    <t>O00187</t>
  </si>
  <si>
    <t>O00188</t>
  </si>
  <si>
    <t>O00189</t>
  </si>
  <si>
    <t>O00190</t>
  </si>
  <si>
    <t>O00191</t>
  </si>
  <si>
    <t>O00192</t>
  </si>
  <si>
    <t>O00193</t>
  </si>
  <si>
    <t>O00194</t>
  </si>
  <si>
    <t>O00195</t>
  </si>
  <si>
    <t>O00196</t>
  </si>
  <si>
    <t>O00197</t>
  </si>
  <si>
    <t>O00198</t>
  </si>
  <si>
    <t>O00199</t>
  </si>
  <si>
    <t>O00200</t>
  </si>
  <si>
    <t>O00201</t>
  </si>
  <si>
    <t>O00202</t>
  </si>
  <si>
    <t>O00203</t>
  </si>
  <si>
    <t>O00204</t>
  </si>
  <si>
    <t>O00205</t>
  </si>
  <si>
    <t>O00206</t>
  </si>
  <si>
    <t>O00207</t>
  </si>
  <si>
    <t>O00208</t>
  </si>
  <si>
    <t>O00209</t>
  </si>
  <si>
    <t>O00210</t>
  </si>
  <si>
    <t>O00211</t>
  </si>
  <si>
    <t>O00212</t>
  </si>
  <si>
    <t>O00213</t>
  </si>
  <si>
    <t>O00214</t>
  </si>
  <si>
    <t>O00215</t>
  </si>
  <si>
    <t>O00216</t>
  </si>
  <si>
    <t>O00217</t>
  </si>
  <si>
    <t>O00218</t>
  </si>
  <si>
    <t>O00219</t>
  </si>
  <si>
    <t>O00220</t>
  </si>
  <si>
    <t>O00221</t>
  </si>
  <si>
    <t>O00222</t>
  </si>
  <si>
    <t>O00223</t>
  </si>
  <si>
    <t>O00224</t>
  </si>
  <si>
    <t>O00225</t>
  </si>
  <si>
    <t>O00226</t>
  </si>
  <si>
    <t>O00227</t>
  </si>
  <si>
    <t>O00228</t>
  </si>
  <si>
    <t>O00229</t>
  </si>
  <si>
    <t>O00230</t>
  </si>
  <si>
    <t>O00231</t>
  </si>
  <si>
    <t>O00232</t>
  </si>
  <si>
    <t>O00233</t>
  </si>
  <si>
    <t>O00234</t>
  </si>
  <si>
    <t>O00235</t>
  </si>
  <si>
    <t>O00236</t>
  </si>
  <si>
    <t>O00237</t>
  </si>
  <si>
    <t>O00238</t>
  </si>
  <si>
    <t>O00239</t>
  </si>
  <si>
    <t>O00240</t>
  </si>
  <si>
    <t>O00241</t>
  </si>
  <si>
    <t>O00242</t>
  </si>
  <si>
    <t>O00243</t>
  </si>
  <si>
    <t>O00244</t>
  </si>
  <si>
    <t>O00245</t>
  </si>
  <si>
    <t>O00246</t>
  </si>
  <si>
    <t>O00247</t>
  </si>
  <si>
    <t>O00248</t>
  </si>
  <si>
    <t>O00249</t>
  </si>
  <si>
    <t>O00250</t>
  </si>
  <si>
    <t>O00251</t>
  </si>
  <si>
    <t>O00252</t>
  </si>
  <si>
    <t>O00253</t>
  </si>
  <si>
    <t>O00254</t>
  </si>
  <si>
    <t>O00255</t>
  </si>
  <si>
    <t>O00256</t>
  </si>
  <si>
    <t>O00257</t>
  </si>
  <si>
    <t>O00258</t>
  </si>
  <si>
    <t>O00259</t>
  </si>
  <si>
    <t>O00260</t>
  </si>
  <si>
    <t>O00261</t>
  </si>
  <si>
    <t>O00262</t>
  </si>
  <si>
    <t>O00263</t>
  </si>
  <si>
    <t>O00264</t>
  </si>
  <si>
    <t>O00265</t>
  </si>
  <si>
    <t>O00266</t>
  </si>
  <si>
    <t>O00267</t>
  </si>
  <si>
    <t>O00268</t>
  </si>
  <si>
    <t>O00269</t>
  </si>
  <si>
    <t>O00270</t>
  </si>
  <si>
    <t>O00271</t>
  </si>
  <si>
    <t>O00272</t>
  </si>
  <si>
    <t>O00273</t>
  </si>
  <si>
    <t>O00274</t>
  </si>
  <si>
    <t>O00275</t>
  </si>
  <si>
    <t>O00276</t>
  </si>
  <si>
    <t>O00277</t>
  </si>
  <si>
    <t>O00278</t>
  </si>
  <si>
    <t>O00279</t>
  </si>
  <si>
    <t>O00280</t>
  </si>
  <si>
    <t>O00281</t>
  </si>
  <si>
    <t>O00282</t>
  </si>
  <si>
    <t>O00283</t>
  </si>
  <si>
    <t>O00284</t>
  </si>
  <si>
    <t>O00285</t>
  </si>
  <si>
    <t>O00286</t>
  </si>
  <si>
    <t>O00287</t>
  </si>
  <si>
    <t>O00288</t>
  </si>
  <si>
    <t>O00289</t>
  </si>
  <si>
    <t>O00290</t>
  </si>
  <si>
    <t>O00291</t>
  </si>
  <si>
    <t>O00292</t>
  </si>
  <si>
    <t>O00293</t>
  </si>
  <si>
    <t>O00294</t>
  </si>
  <si>
    <t>O00295</t>
  </si>
  <si>
    <t>O00296</t>
  </si>
  <si>
    <t>O00297</t>
  </si>
  <si>
    <t>O00298</t>
  </si>
  <si>
    <t>O00299</t>
  </si>
  <si>
    <t>O00300</t>
  </si>
  <si>
    <t>O00301</t>
  </si>
  <si>
    <t>O00302</t>
  </si>
  <si>
    <t>O00303</t>
  </si>
  <si>
    <t>O00304</t>
  </si>
  <si>
    <t>O00305</t>
  </si>
  <si>
    <t>O00306</t>
  </si>
  <si>
    <t>O00307</t>
  </si>
  <si>
    <t>O00308</t>
  </si>
  <si>
    <t>O00309</t>
  </si>
  <si>
    <t>O00310</t>
  </si>
  <si>
    <t>O00311</t>
  </si>
  <si>
    <t>O00312</t>
  </si>
  <si>
    <t>O00313</t>
  </si>
  <si>
    <t>O00314</t>
  </si>
  <si>
    <t>O00315</t>
  </si>
  <si>
    <t>O00316</t>
  </si>
  <si>
    <t>O00317</t>
  </si>
  <si>
    <t>O00318</t>
  </si>
  <si>
    <t>O00319</t>
  </si>
  <si>
    <t>O00320</t>
  </si>
  <si>
    <t>O00321</t>
  </si>
  <si>
    <t>O00322</t>
  </si>
  <si>
    <t>O00323</t>
  </si>
  <si>
    <t>O00324</t>
  </si>
  <si>
    <t>O00325</t>
  </si>
  <si>
    <t>O00326</t>
  </si>
  <si>
    <t>O00327</t>
  </si>
  <si>
    <t>O00328</t>
  </si>
  <si>
    <t>O00329</t>
  </si>
  <si>
    <t>O00330</t>
  </si>
  <si>
    <t>O00331</t>
  </si>
  <si>
    <t>O00332</t>
  </si>
  <si>
    <t>O00333</t>
  </si>
  <si>
    <t>O00334</t>
  </si>
  <si>
    <t>O00335</t>
  </si>
  <si>
    <t>O00336</t>
  </si>
  <si>
    <t>O00337</t>
  </si>
  <si>
    <t>O00338</t>
  </si>
  <si>
    <t>O00339</t>
  </si>
  <si>
    <t>O00340</t>
  </si>
  <si>
    <t>O00341</t>
  </si>
  <si>
    <t>O00342</t>
  </si>
  <si>
    <t>O00343</t>
  </si>
  <si>
    <t>O00344</t>
  </si>
  <si>
    <t>O00345</t>
  </si>
  <si>
    <t>O00346</t>
  </si>
  <si>
    <t>O00347</t>
  </si>
  <si>
    <t>O00348</t>
  </si>
  <si>
    <t>O00349</t>
  </si>
  <si>
    <t>O00350</t>
  </si>
  <si>
    <t>O00351</t>
  </si>
  <si>
    <t>O00352</t>
  </si>
  <si>
    <t>O00353</t>
  </si>
  <si>
    <t>O00354</t>
  </si>
  <si>
    <t>O00355</t>
  </si>
  <si>
    <t>O00356</t>
  </si>
  <si>
    <t>O00357</t>
  </si>
  <si>
    <t>O00358</t>
  </si>
  <si>
    <t>O00359</t>
  </si>
  <si>
    <t>O00360</t>
  </si>
  <si>
    <t>SKU</t>
  </si>
  <si>
    <t>Qty</t>
  </si>
  <si>
    <t>UnitPrice</t>
  </si>
  <si>
    <t>SHJ7XV</t>
  </si>
  <si>
    <t>BTIQJ7</t>
  </si>
  <si>
    <t>DH9SDB</t>
  </si>
  <si>
    <t>BOC6UZ</t>
  </si>
  <si>
    <t>H3A3ZM</t>
  </si>
  <si>
    <t>SZBIKC</t>
  </si>
  <si>
    <t>HH1DNM</t>
  </si>
  <si>
    <t>SCKW5N</t>
  </si>
  <si>
    <t>B0T0PV</t>
  </si>
  <si>
    <t>BXO6QJ</t>
  </si>
  <si>
    <t>BHL1C3</t>
  </si>
  <si>
    <t>DYTJXE</t>
  </si>
  <si>
    <t>DFFYVN</t>
  </si>
  <si>
    <t>D9T84A</t>
  </si>
  <si>
    <t>HDPBHS</t>
  </si>
  <si>
    <t>HXAJI0</t>
  </si>
  <si>
    <t>HUZZPQ</t>
  </si>
  <si>
    <t>SV30T9</t>
  </si>
  <si>
    <t>S5NQ4F</t>
  </si>
  <si>
    <t>ItemName</t>
  </si>
  <si>
    <t>Category</t>
  </si>
  <si>
    <t>SupplierID</t>
  </si>
  <si>
    <t>UnitCost</t>
  </si>
  <si>
    <t>Veg Thali</t>
  </si>
  <si>
    <t>Hot Meal</t>
  </si>
  <si>
    <t>S009</t>
  </si>
  <si>
    <t>Chicken Thali</t>
  </si>
  <si>
    <t>S001</t>
  </si>
  <si>
    <t>Rajma Chawal</t>
  </si>
  <si>
    <t>S005</t>
  </si>
  <si>
    <t>Paneer Butter Masala + Naan</t>
  </si>
  <si>
    <t>S003</t>
  </si>
  <si>
    <t>Egg Curry + Rice</t>
  </si>
  <si>
    <t>S006</t>
  </si>
  <si>
    <t>Samosa</t>
  </si>
  <si>
    <t>Snack</t>
  </si>
  <si>
    <t>S007</t>
  </si>
  <si>
    <t>Veg Sandwich</t>
  </si>
  <si>
    <t>S004</t>
  </si>
  <si>
    <t>Paneer Roll</t>
  </si>
  <si>
    <t>Masala Puff</t>
  </si>
  <si>
    <t>Poha</t>
  </si>
  <si>
    <t>Tea</t>
  </si>
  <si>
    <t>Beverage</t>
  </si>
  <si>
    <t>Coffee</t>
  </si>
  <si>
    <t>Masala Chaas</t>
  </si>
  <si>
    <t>Nimbu Pani</t>
  </si>
  <si>
    <t>Bottled Water</t>
  </si>
  <si>
    <t>Gulab Jamun (2 pc)</t>
  </si>
  <si>
    <t>Dessert</t>
  </si>
  <si>
    <t>S002</t>
  </si>
  <si>
    <t>Kheer Cup</t>
  </si>
  <si>
    <t>S010</t>
  </si>
  <si>
    <t>Brownie</t>
  </si>
  <si>
    <t>Fruit Cup</t>
  </si>
  <si>
    <t>StaffName</t>
  </si>
  <si>
    <t>Role</t>
  </si>
  <si>
    <t>HourlyRateINR</t>
  </si>
  <si>
    <t>Tarun</t>
  </si>
  <si>
    <t>Cashier</t>
  </si>
  <si>
    <t>Payal</t>
  </si>
  <si>
    <t>Karan</t>
  </si>
  <si>
    <t>Cook</t>
  </si>
  <si>
    <t>Vikram</t>
  </si>
  <si>
    <t>Rina</t>
  </si>
  <si>
    <t>Sanjay</t>
  </si>
  <si>
    <t>Manish</t>
  </si>
  <si>
    <t>Pooja</t>
  </si>
  <si>
    <t>Server</t>
  </si>
  <si>
    <t>Sourav</t>
  </si>
  <si>
    <t>Neha</t>
  </si>
  <si>
    <t>Amit</t>
  </si>
  <si>
    <t>Sneha</t>
  </si>
  <si>
    <t>Iqbal</t>
  </si>
  <si>
    <t>OnHandQty</t>
  </si>
  <si>
    <t>ReorderPoint</t>
  </si>
  <si>
    <t>LeadTimeDays</t>
  </si>
  <si>
    <t>LastRestockDate</t>
  </si>
  <si>
    <t>SupplierName</t>
  </si>
  <si>
    <t>City</t>
  </si>
  <si>
    <t>Phone</t>
  </si>
  <si>
    <t>DailyDairy 1</t>
  </si>
  <si>
    <t>Howrah</t>
  </si>
  <si>
    <t>+91-9624636385</t>
  </si>
  <si>
    <t>BakersHub 2</t>
  </si>
  <si>
    <t>Durgapur</t>
  </si>
  <si>
    <t>+91-9120912992</t>
  </si>
  <si>
    <t>FreshFoods 3</t>
  </si>
  <si>
    <t>+91-9220117054</t>
  </si>
  <si>
    <t>Tea&amp;Co 4</t>
  </si>
  <si>
    <t>Jamshedpur</t>
  </si>
  <si>
    <t>+91-9489747629</t>
  </si>
  <si>
    <t>SpiceRoute 5</t>
  </si>
  <si>
    <t>+91-9992994062</t>
  </si>
  <si>
    <t>DailyDairy 6</t>
  </si>
  <si>
    <t>+91-9966267851</t>
  </si>
  <si>
    <t>SpiceRoute 7</t>
  </si>
  <si>
    <t>+91-9430190783</t>
  </si>
  <si>
    <t>S008</t>
  </si>
  <si>
    <t>AgroDelight 8</t>
  </si>
  <si>
    <t>Kolkata</t>
  </si>
  <si>
    <t>+91-9357109965</t>
  </si>
  <si>
    <t>Tea&amp;Co 9</t>
  </si>
  <si>
    <t>+91-9162196678</t>
  </si>
  <si>
    <t>SpiceRoute 10</t>
  </si>
  <si>
    <t>+91-9358633898</t>
  </si>
  <si>
    <t>Date</t>
  </si>
  <si>
    <t>Reason</t>
  </si>
  <si>
    <t>Spoilage</t>
  </si>
  <si>
    <t>Damaged</t>
  </si>
  <si>
    <t>Expired</t>
  </si>
  <si>
    <t>Overproduction</t>
  </si>
  <si>
    <t>Rating</t>
  </si>
  <si>
    <t>Comment</t>
  </si>
  <si>
    <t>Ok</t>
  </si>
  <si>
    <t>Great staff</t>
  </si>
  <si>
    <t>Good</t>
  </si>
  <si>
    <t>Less spicy</t>
  </si>
  <si>
    <t>Loved chai</t>
  </si>
  <si>
    <t>Crowded</t>
  </si>
  <si>
    <t>Slow service</t>
  </si>
  <si>
    <t>OrderDate</t>
  </si>
  <si>
    <t>LineNetAmount</t>
  </si>
  <si>
    <t>Sum of LineNetAmount</t>
  </si>
  <si>
    <t>MonthName</t>
  </si>
  <si>
    <t>Row Labels</t>
  </si>
  <si>
    <t>Grand Total</t>
  </si>
  <si>
    <t>July</t>
  </si>
  <si>
    <t>August</t>
  </si>
  <si>
    <t>mom%</t>
  </si>
  <si>
    <t>count orders with any beverage item and paid via upi,counted by order</t>
  </si>
  <si>
    <t>Calculate avg ticket size by shift for july and august combined (avg order totals not line amounts)</t>
  </si>
  <si>
    <t>shift</t>
  </si>
  <si>
    <t>AverageTicketSize</t>
  </si>
  <si>
    <t>lunch</t>
  </si>
  <si>
    <t>dinner</t>
  </si>
  <si>
    <t>Distinct Count of OrderID</t>
  </si>
  <si>
    <t>breakfast</t>
  </si>
  <si>
    <t>Q2&gt;</t>
  </si>
  <si>
    <t>Q4&gt;</t>
  </si>
  <si>
    <t>Q5&gt;</t>
  </si>
  <si>
    <t>method 1&gt;</t>
  </si>
  <si>
    <t>method2&gt;</t>
  </si>
  <si>
    <r>
      <t xml:space="preserve">if order has </t>
    </r>
    <r>
      <rPr>
        <b/>
        <sz val="11"/>
        <color theme="1"/>
        <rFont val="Calibri"/>
        <family val="2"/>
        <scheme val="minor"/>
      </rPr>
      <t>&gt;= 1 hot meal &gt;=1 bev</t>
    </r>
    <r>
      <rPr>
        <sz val="11"/>
        <color theme="1"/>
        <rFont val="Calibri"/>
        <family val="2"/>
        <scheme val="minor"/>
      </rPr>
      <t xml:space="preserve">, return </t>
    </r>
    <r>
      <rPr>
        <b/>
        <sz val="11"/>
        <color theme="1"/>
        <rFont val="Calibri"/>
        <family val="2"/>
        <scheme val="minor"/>
      </rPr>
      <t>combo</t>
    </r>
    <r>
      <rPr>
        <sz val="11"/>
        <color theme="1"/>
        <rFont val="Calibri"/>
        <family val="2"/>
        <scheme val="minor"/>
      </rPr>
      <t xml:space="preserve">,ow </t>
    </r>
    <r>
      <rPr>
        <b/>
        <sz val="11"/>
        <color theme="1"/>
        <rFont val="Calibri"/>
        <family val="2"/>
        <scheme val="minor"/>
      </rPr>
      <t>single</t>
    </r>
  </si>
  <si>
    <t>Add a combo flag( based on category) on orders</t>
  </si>
  <si>
    <t>ComboFlag</t>
  </si>
  <si>
    <t xml:space="preserve">             </t>
  </si>
  <si>
    <t>Create a disc flag per order.</t>
  </si>
  <si>
    <t>if total order discount value = pre disc total* disc pct</t>
  </si>
  <si>
    <t>(p*q)*disc pct</t>
  </si>
  <si>
    <t>if total order discount value &gt; 40, "highdisc","ok"</t>
  </si>
  <si>
    <t>DiscountFlag</t>
  </si>
  <si>
    <t>Q 1</t>
  </si>
  <si>
    <t>Q 3</t>
  </si>
  <si>
    <t>DAY 2 SOLUTIONS</t>
  </si>
  <si>
    <t>total cost</t>
  </si>
  <si>
    <t>Total Revenue</t>
  </si>
  <si>
    <t>GM%</t>
  </si>
  <si>
    <t>Revenue</t>
  </si>
  <si>
    <t>qty</t>
  </si>
  <si>
    <t>Q 2</t>
  </si>
  <si>
    <t>(All)</t>
  </si>
  <si>
    <t>% contribution</t>
  </si>
  <si>
    <t>In Inventory, highlight rows where OnHandQty is less than ReorderPoint using yellow fill.</t>
  </si>
  <si>
    <t>Avg Feedback Rating</t>
  </si>
  <si>
    <t>Avg Waste Cost</t>
  </si>
  <si>
    <t>Waste Cost</t>
  </si>
  <si>
    <t>unitCost</t>
  </si>
  <si>
    <t>SELECT ANY</t>
  </si>
  <si>
    <t>VALUE</t>
  </si>
  <si>
    <t>1. Make a summary of combo-order performance showing total combo orders, combo orders as a percentage of all orders,</t>
  </si>
  <si>
    <t>average ticket size of combo orders, and average gross profit per combo order.</t>
  </si>
  <si>
    <t>t.o</t>
  </si>
  <si>
    <t>totalCOST</t>
  </si>
  <si>
    <t>Profit</t>
  </si>
  <si>
    <t>2. Compare Combo and Single orders on average ticket size, average total cost, average gross profit, and gross margin. Show</t>
  </si>
  <si>
    <t>the performance gap between the two groups.</t>
  </si>
  <si>
    <t>average ticket size</t>
  </si>
  <si>
    <t>average total cost</t>
  </si>
  <si>
    <t>average gross profit</t>
  </si>
  <si>
    <t>gross margin</t>
  </si>
  <si>
    <t>combo</t>
  </si>
  <si>
    <t>single</t>
  </si>
  <si>
    <t>gap</t>
  </si>
  <si>
    <t>3. Show the percentage of Combo orders out of total orders across each branch so I can identify where combo adoption is</t>
  </si>
  <si>
    <t>strongest.</t>
  </si>
  <si>
    <t>% of combo orders</t>
  </si>
  <si>
    <t>4. Show the percentage of Combo orders out of total orders across each shift so I can identify which shift generates the highest</t>
  </si>
  <si>
    <t>proportion of combo orders.</t>
  </si>
  <si>
    <t>Combination</t>
  </si>
  <si>
    <t>UNITcost</t>
  </si>
  <si>
    <t>total combo orders</t>
  </si>
  <si>
    <t>average ticket size of combo orders</t>
  </si>
  <si>
    <t>average gross profit per combo orders</t>
  </si>
  <si>
    <t>Combo</t>
  </si>
  <si>
    <t>Single</t>
  </si>
  <si>
    <t>Distinct Count of OrderID2</t>
  </si>
  <si>
    <t>Column1</t>
  </si>
  <si>
    <t>Average of LineNetAmount</t>
  </si>
  <si>
    <t>Average of totalCOST</t>
  </si>
  <si>
    <t>Average of Profit</t>
  </si>
  <si>
    <t>Average of GM%</t>
  </si>
  <si>
    <t>performance gap between combo and single orders</t>
  </si>
  <si>
    <t>?</t>
  </si>
  <si>
    <t>1000g</t>
  </si>
  <si>
    <t>350g</t>
  </si>
  <si>
    <t>day</t>
  </si>
  <si>
    <t>Sum of LineNetAmount2</t>
  </si>
  <si>
    <t>WRONG WAY</t>
  </si>
  <si>
    <t>Has beverage</t>
  </si>
  <si>
    <t>ItemList</t>
  </si>
  <si>
    <t>TotalCost</t>
  </si>
  <si>
    <t>GrossProfit</t>
  </si>
  <si>
    <t>FoodCost</t>
  </si>
  <si>
    <t>LineAmount</t>
  </si>
  <si>
    <t>combo flag</t>
  </si>
  <si>
    <t>discount flag</t>
  </si>
  <si>
    <t>Column Labels</t>
  </si>
  <si>
    <t>Count of OrderID</t>
  </si>
  <si>
    <t>Average of LineAmount</t>
  </si>
  <si>
    <t>Average of GrossProfit</t>
  </si>
  <si>
    <t>Values</t>
  </si>
  <si>
    <t>Average of TotalCost</t>
  </si>
  <si>
    <t>Sum of GM%</t>
  </si>
  <si>
    <t>Difference%</t>
  </si>
  <si>
    <t>Beverage+Dessert</t>
  </si>
  <si>
    <t>Beverage+Dessert+Hot Meal</t>
  </si>
  <si>
    <t>Beverage+Dessert+Hot Meal+Snack</t>
  </si>
  <si>
    <t>Beverage+Dessert+Snack</t>
  </si>
  <si>
    <t>Beverage+Hot Meal</t>
  </si>
  <si>
    <t>Beverage+Hot Meal+Snack</t>
  </si>
  <si>
    <t>Beverage+Snack</t>
  </si>
  <si>
    <t>Dessert+Hot Meal</t>
  </si>
  <si>
    <t>Dessert+Hot Meal+Snack</t>
  </si>
  <si>
    <t>Dessert+Snack</t>
  </si>
  <si>
    <t>Hot Meal+Snack</t>
  </si>
  <si>
    <t>Count of ItemList</t>
  </si>
  <si>
    <t>Solution(CORRECT)</t>
  </si>
  <si>
    <t>piv 1</t>
  </si>
  <si>
    <t>Combo order analysis dashboard</t>
  </si>
  <si>
    <t>Total combos</t>
  </si>
  <si>
    <t>%Combos</t>
  </si>
  <si>
    <t>Combo Ticket Size</t>
  </si>
  <si>
    <t>Avg. Combo GP</t>
  </si>
  <si>
    <t>Field</t>
  </si>
  <si>
    <t>Value</t>
  </si>
  <si>
    <t>discount%(assumed)</t>
  </si>
  <si>
    <t>net selling price</t>
  </si>
  <si>
    <t>food cost</t>
  </si>
  <si>
    <t>gross profit</t>
  </si>
  <si>
    <t>gross margin percentage</t>
  </si>
  <si>
    <t>current beverage stock</t>
  </si>
  <si>
    <t>Avg Revenue</t>
  </si>
  <si>
    <t>Avg Cost</t>
  </si>
  <si>
    <t>Avg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</si>
</sst>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yyyy/mm/dd\ hh:mm"/>
    <numFmt numFmtId="166" formatCode="[$-F800]dddd\,\ mmmm\ dd\,\ yyyy"/>
    <numFmt numFmtId="167" formatCode="&quot;₹&quot;\ #,##0.00"/>
    <numFmt numFmtId="168" formatCode="0.0"/>
  </numFmts>
  <fonts count="18" x14ac:knownFonts="1">
    <font>
      <sz val="11"/>
      <color theme="1"/>
      <name val="Calibri"/>
      <family val="2"/>
      <scheme val="minor"/>
    </font>
    <font>
      <b/>
      <sz val="11"/>
      <color theme="1"/>
      <name val="Calibri"/>
      <family val="2"/>
      <scheme val="minor"/>
    </font>
    <font>
      <b/>
      <i/>
      <sz val="11"/>
      <color theme="1"/>
      <name val="Calibri"/>
      <family val="2"/>
      <scheme val="minor"/>
    </font>
    <font>
      <sz val="11"/>
      <name val="Calibri"/>
      <family val="2"/>
      <scheme val="minor"/>
    </font>
    <font>
      <b/>
      <sz val="11"/>
      <color theme="5" tint="-0.249977111117893"/>
      <name val="Calibri"/>
      <family val="2"/>
      <scheme val="minor"/>
    </font>
    <font>
      <b/>
      <i/>
      <sz val="11"/>
      <color theme="5" tint="-0.249977111117893"/>
      <name val="Calibri"/>
      <family val="2"/>
      <scheme val="minor"/>
    </font>
    <font>
      <sz val="11"/>
      <color theme="5" tint="-0.249977111117893"/>
      <name val="Calibri"/>
      <family val="2"/>
      <scheme val="minor"/>
    </font>
    <font>
      <b/>
      <sz val="12"/>
      <color theme="1"/>
      <name val="Arial Black"/>
      <family val="2"/>
    </font>
    <font>
      <sz val="11"/>
      <color theme="1" tint="4.9989318521683403E-2"/>
      <name val="Calibri"/>
      <family val="2"/>
      <scheme val="minor"/>
    </font>
    <font>
      <sz val="11"/>
      <color theme="1"/>
      <name val="Calibri"/>
      <family val="2"/>
      <scheme val="minor"/>
    </font>
    <font>
      <sz val="11"/>
      <color theme="0" tint="-4.9989318521683403E-2"/>
      <name val="Calibri"/>
      <family val="2"/>
      <scheme val="minor"/>
    </font>
    <font>
      <sz val="11"/>
      <color rgb="FFFF0000"/>
      <name val="Calibri"/>
      <family val="2"/>
      <scheme val="minor"/>
    </font>
    <font>
      <b/>
      <sz val="18"/>
      <color theme="1"/>
      <name val="Algerian"/>
      <family val="5"/>
    </font>
    <font>
      <sz val="20"/>
      <color theme="1"/>
      <name val="Calibri"/>
      <family val="2"/>
      <scheme val="minor"/>
    </font>
    <font>
      <b/>
      <sz val="16"/>
      <color theme="1"/>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5" tint="0.79998168889431442"/>
        <bgColor theme="5" tint="0.79998168889431442"/>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bgColor indexed="64"/>
      </patternFill>
    </fill>
    <fill>
      <patternFill patternType="solid">
        <fgColor theme="9" tint="-0.249977111117893"/>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style="thin">
        <color theme="5"/>
      </top>
      <bottom/>
      <diagonal/>
    </border>
    <border>
      <left/>
      <right/>
      <top style="thin">
        <color theme="5"/>
      </top>
      <bottom/>
      <diagonal/>
    </border>
    <border>
      <left/>
      <right/>
      <top style="thin">
        <color auto="1"/>
      </top>
      <bottom/>
      <diagonal/>
    </border>
    <border>
      <left/>
      <right/>
      <top/>
      <bottom style="thin">
        <color theme="5"/>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9" fontId="9" fillId="0" borderId="0" applyFont="0" applyFill="0" applyBorder="0" applyAlignment="0" applyProtection="0"/>
  </cellStyleXfs>
  <cellXfs count="98">
    <xf numFmtId="0" fontId="0" fillId="0" borderId="0" xfId="0"/>
    <xf numFmtId="0" fontId="1" fillId="0" borderId="1" xfId="0" applyFont="1" applyBorder="1" applyAlignment="1">
      <alignment horizontal="center" vertical="top"/>
    </xf>
    <xf numFmtId="164" fontId="0" fillId="0" borderId="0" xfId="0" applyNumberFormat="1"/>
    <xf numFmtId="14" fontId="0" fillId="0" borderId="0" xfId="0" applyNumberFormat="1"/>
    <xf numFmtId="166" fontId="0" fillId="0" borderId="0" xfId="0" applyNumberFormat="1"/>
    <xf numFmtId="165" fontId="0" fillId="0" borderId="0" xfId="0" applyNumberFormat="1"/>
    <xf numFmtId="22" fontId="1" fillId="0" borderId="1" xfId="0" applyNumberFormat="1" applyFont="1" applyBorder="1" applyAlignment="1">
      <alignment horizontal="center" vertical="top"/>
    </xf>
    <xf numFmtId="22" fontId="0" fillId="0" borderId="0" xfId="0" applyNumberFormat="1"/>
    <xf numFmtId="14" fontId="1" fillId="0" borderId="0" xfId="0" applyNumberFormat="1" applyFont="1" applyAlignment="1">
      <alignment horizontal="center" vertical="top"/>
    </xf>
    <xf numFmtId="0" fontId="1" fillId="0" borderId="0" xfId="0" applyFont="1"/>
    <xf numFmtId="0" fontId="3" fillId="0" borderId="0" xfId="0" applyFont="1"/>
    <xf numFmtId="0" fontId="0" fillId="0" borderId="0" xfId="0" pivotButton="1"/>
    <xf numFmtId="0" fontId="0" fillId="0" borderId="0" xfId="0" applyAlignment="1">
      <alignment horizontal="left"/>
    </xf>
    <xf numFmtId="0" fontId="0" fillId="2" borderId="0" xfId="0" applyFill="1"/>
    <xf numFmtId="0" fontId="6" fillId="3" borderId="0" xfId="0" applyFont="1" applyFill="1"/>
    <xf numFmtId="0" fontId="6" fillId="0" borderId="0" xfId="0" applyFont="1"/>
    <xf numFmtId="0" fontId="4" fillId="0" borderId="2" xfId="0" applyFont="1" applyBorder="1" applyAlignment="1">
      <alignment horizontal="center" vertical="top"/>
    </xf>
    <xf numFmtId="0" fontId="5" fillId="0" borderId="2" xfId="0" applyFont="1" applyBorder="1" applyAlignment="1">
      <alignment horizontal="center" vertical="top"/>
    </xf>
    <xf numFmtId="166" fontId="5" fillId="0" borderId="2" xfId="0" applyNumberFormat="1" applyFont="1" applyBorder="1"/>
    <xf numFmtId="0" fontId="5" fillId="0" borderId="2" xfId="0" applyFont="1" applyBorder="1"/>
    <xf numFmtId="0" fontId="5" fillId="0" borderId="3" xfId="0" applyFont="1" applyBorder="1"/>
    <xf numFmtId="166" fontId="5" fillId="0" borderId="4" xfId="0" applyNumberFormat="1" applyFont="1" applyBorder="1"/>
    <xf numFmtId="0" fontId="5" fillId="0" borderId="4" xfId="0" applyFont="1" applyBorder="1"/>
    <xf numFmtId="0" fontId="6" fillId="3" borderId="5" xfId="0" applyFont="1" applyFill="1" applyBorder="1"/>
    <xf numFmtId="166" fontId="6" fillId="3" borderId="5" xfId="0" applyNumberFormat="1" applyFont="1" applyFill="1" applyBorder="1"/>
    <xf numFmtId="0" fontId="6" fillId="3" borderId="4" xfId="0" applyFont="1" applyFill="1" applyBorder="1"/>
    <xf numFmtId="166" fontId="6" fillId="3" borderId="4" xfId="0" applyNumberFormat="1" applyFont="1" applyFill="1" applyBorder="1"/>
    <xf numFmtId="166" fontId="6" fillId="0" borderId="0" xfId="0" applyNumberFormat="1" applyFont="1"/>
    <xf numFmtId="166" fontId="6" fillId="3" borderId="0" xfId="0" applyNumberFormat="1" applyFont="1" applyFill="1"/>
    <xf numFmtId="0" fontId="6" fillId="0" borderId="6" xfId="0" applyFont="1" applyBorder="1"/>
    <xf numFmtId="166" fontId="6" fillId="0" borderId="6" xfId="0" applyNumberFormat="1" applyFont="1" applyBorder="1"/>
    <xf numFmtId="0" fontId="6" fillId="4" borderId="5" xfId="0" applyFont="1" applyFill="1" applyBorder="1"/>
    <xf numFmtId="0" fontId="0" fillId="2" borderId="1" xfId="0" applyFill="1" applyBorder="1"/>
    <xf numFmtId="0" fontId="0" fillId="5" borderId="0" xfId="0" applyFill="1"/>
    <xf numFmtId="2" fontId="5" fillId="0" borderId="2" xfId="0" applyNumberFormat="1" applyFont="1" applyBorder="1" applyAlignment="1">
      <alignment horizontal="center" vertical="top"/>
    </xf>
    <xf numFmtId="2" fontId="6" fillId="3" borderId="5" xfId="0" applyNumberFormat="1" applyFont="1" applyFill="1" applyBorder="1"/>
    <xf numFmtId="2" fontId="6" fillId="0" borderId="0" xfId="0" applyNumberFormat="1" applyFont="1"/>
    <xf numFmtId="2" fontId="6" fillId="3" borderId="0" xfId="0" applyNumberFormat="1" applyFont="1" applyFill="1"/>
    <xf numFmtId="2" fontId="6" fillId="0" borderId="6" xfId="0" applyNumberFormat="1" applyFont="1" applyBorder="1"/>
    <xf numFmtId="2" fontId="0" fillId="0" borderId="0" xfId="0" applyNumberFormat="1"/>
    <xf numFmtId="10" fontId="0" fillId="0" borderId="0" xfId="0" applyNumberFormat="1"/>
    <xf numFmtId="0" fontId="1" fillId="6" borderId="1" xfId="0" applyFont="1" applyFill="1" applyBorder="1" applyAlignment="1">
      <alignment horizontal="center" vertical="top"/>
    </xf>
    <xf numFmtId="0" fontId="1" fillId="0" borderId="0" xfId="0" applyFont="1" applyAlignment="1">
      <alignment horizontal="center" vertical="top"/>
    </xf>
    <xf numFmtId="0" fontId="6" fillId="0" borderId="5" xfId="0" applyFont="1" applyBorder="1"/>
    <xf numFmtId="0" fontId="1" fillId="0" borderId="2" xfId="0" applyFont="1" applyBorder="1"/>
    <xf numFmtId="0" fontId="1" fillId="0" borderId="0" xfId="0" applyFont="1" applyAlignment="1">
      <alignment horizontal="center"/>
    </xf>
    <xf numFmtId="0" fontId="8" fillId="0" borderId="0" xfId="0" applyFont="1"/>
    <xf numFmtId="0" fontId="8" fillId="3" borderId="0" xfId="0" applyFont="1" applyFill="1"/>
    <xf numFmtId="0" fontId="8" fillId="0" borderId="5" xfId="0" applyFont="1" applyBorder="1"/>
    <xf numFmtId="0" fontId="0" fillId="0" borderId="0" xfId="0" applyAlignment="1">
      <alignment horizontal="left" indent="1"/>
    </xf>
    <xf numFmtId="0" fontId="1" fillId="2" borderId="0" xfId="0" applyFont="1" applyFill="1" applyAlignment="1">
      <alignment horizontal="center"/>
    </xf>
    <xf numFmtId="0" fontId="1" fillId="0" borderId="8" xfId="0" applyFont="1" applyBorder="1" applyAlignment="1">
      <alignment horizontal="center" vertical="top"/>
    </xf>
    <xf numFmtId="14" fontId="1" fillId="0" borderId="1" xfId="0" applyNumberFormat="1" applyFont="1" applyBorder="1" applyAlignment="1">
      <alignment horizontal="center" vertical="top"/>
    </xf>
    <xf numFmtId="14" fontId="1" fillId="0" borderId="0" xfId="0" applyNumberFormat="1" applyFont="1"/>
    <xf numFmtId="9" fontId="0" fillId="0" borderId="0" xfId="1" applyFont="1"/>
    <xf numFmtId="0" fontId="1" fillId="0" borderId="0" xfId="0" applyFont="1" applyAlignment="1">
      <alignment horizontal="left" vertical="top"/>
    </xf>
    <xf numFmtId="10" fontId="0" fillId="0" borderId="1" xfId="1" applyNumberFormat="1" applyFont="1" applyBorder="1"/>
    <xf numFmtId="167" fontId="0" fillId="0" borderId="1" xfId="0" applyNumberFormat="1" applyBorder="1"/>
    <xf numFmtId="10" fontId="0" fillId="0" borderId="1" xfId="0" applyNumberFormat="1" applyBorder="1"/>
    <xf numFmtId="167" fontId="0" fillId="0" borderId="0" xfId="0" applyNumberFormat="1"/>
    <xf numFmtId="0" fontId="0" fillId="0" borderId="0" xfId="0" applyAlignment="1">
      <alignment horizontal="center"/>
    </xf>
    <xf numFmtId="9" fontId="1" fillId="0" borderId="0" xfId="1" applyFont="1" applyAlignment="1">
      <alignment horizontal="left" vertical="top"/>
    </xf>
    <xf numFmtId="9" fontId="0" fillId="0" borderId="0" xfId="0" applyNumberFormat="1"/>
    <xf numFmtId="0" fontId="0" fillId="0" borderId="1" xfId="0" applyBorder="1"/>
    <xf numFmtId="9" fontId="0" fillId="0" borderId="1" xfId="1" applyFont="1" applyBorder="1"/>
    <xf numFmtId="0" fontId="10" fillId="8" borderId="0" xfId="0" applyFont="1" applyFill="1"/>
    <xf numFmtId="0" fontId="0" fillId="0" borderId="0" xfId="0" applyAlignment="1">
      <alignment horizontal="right"/>
    </xf>
    <xf numFmtId="0" fontId="11" fillId="0" borderId="0" xfId="0" applyFont="1"/>
    <xf numFmtId="0" fontId="0" fillId="9" borderId="0" xfId="0" applyFill="1"/>
    <xf numFmtId="2" fontId="1" fillId="0" borderId="0" xfId="1" applyNumberFormat="1" applyFont="1" applyAlignment="1">
      <alignment horizontal="left" vertical="top"/>
    </xf>
    <xf numFmtId="2" fontId="0" fillId="0" borderId="0" xfId="1" applyNumberFormat="1" applyFont="1"/>
    <xf numFmtId="2" fontId="1" fillId="0" borderId="8" xfId="0" applyNumberFormat="1" applyFont="1" applyBorder="1" applyAlignment="1">
      <alignment horizontal="center" vertical="top"/>
    </xf>
    <xf numFmtId="168" fontId="0" fillId="0" borderId="0" xfId="0" applyNumberFormat="1"/>
    <xf numFmtId="0" fontId="13" fillId="0" borderId="0" xfId="0" applyFont="1"/>
    <xf numFmtId="0" fontId="15" fillId="0" borderId="0" xfId="0" applyFont="1"/>
    <xf numFmtId="0" fontId="1" fillId="0" borderId="1" xfId="0" applyFont="1" applyBorder="1" applyAlignment="1">
      <alignment horizontal="left"/>
    </xf>
    <xf numFmtId="0" fontId="0" fillId="0" borderId="1" xfId="0" applyBorder="1" applyAlignment="1">
      <alignment horizontal="left"/>
    </xf>
    <xf numFmtId="0" fontId="16" fillId="12" borderId="1" xfId="0" applyFont="1" applyFill="1" applyBorder="1"/>
    <xf numFmtId="2" fontId="17" fillId="12" borderId="1" xfId="0" applyNumberFormat="1" applyFont="1" applyFill="1" applyBorder="1"/>
    <xf numFmtId="0" fontId="14" fillId="11" borderId="0" xfId="0" applyFont="1" applyFill="1" applyAlignment="1">
      <alignment horizontal="center"/>
    </xf>
    <xf numFmtId="0" fontId="1" fillId="2" borderId="0" xfId="0" applyFont="1" applyFill="1" applyAlignment="1">
      <alignment horizontal="center"/>
    </xf>
    <xf numFmtId="0" fontId="1" fillId="0" borderId="0" xfId="0" applyFont="1" applyAlignment="1">
      <alignment horizontal="center"/>
    </xf>
    <xf numFmtId="0" fontId="1" fillId="2" borderId="7" xfId="0" applyFont="1" applyFill="1" applyBorder="1" applyAlignment="1">
      <alignment horizontal="center"/>
    </xf>
    <xf numFmtId="0" fontId="7" fillId="7" borderId="0" xfId="0" applyFont="1" applyFill="1" applyAlignment="1">
      <alignment horizontal="center"/>
    </xf>
    <xf numFmtId="0" fontId="0" fillId="2" borderId="0" xfId="0" applyFill="1" applyAlignment="1">
      <alignment horizontal="left"/>
    </xf>
    <xf numFmtId="0" fontId="0" fillId="0" borderId="0" xfId="0" applyAlignment="1">
      <alignment horizontal="center"/>
    </xf>
    <xf numFmtId="0" fontId="12" fillId="10" borderId="0" xfId="0" applyFont="1" applyFill="1" applyAlignment="1">
      <alignment horizontal="center"/>
    </xf>
    <xf numFmtId="0" fontId="1" fillId="0" borderId="9" xfId="0" applyFont="1" applyBorder="1" applyAlignment="1">
      <alignment horizontal="center" vertical="top"/>
    </xf>
    <xf numFmtId="0" fontId="1" fillId="2" borderId="9" xfId="0" applyFont="1" applyFill="1" applyBorder="1" applyAlignment="1">
      <alignment horizontal="center" vertical="top"/>
    </xf>
    <xf numFmtId="0" fontId="2" fillId="0" borderId="9" xfId="0" applyFont="1" applyBorder="1" applyAlignment="1">
      <alignment horizontal="center" vertical="top"/>
    </xf>
    <xf numFmtId="0" fontId="17" fillId="13" borderId="0" xfId="0" applyFont="1" applyFill="1"/>
    <xf numFmtId="0" fontId="17" fillId="13" borderId="0" xfId="0" applyFont="1" applyFill="1" applyAlignment="1">
      <alignment horizontal="center"/>
    </xf>
    <xf numFmtId="9" fontId="17" fillId="13" borderId="0" xfId="1" applyFont="1" applyFill="1" applyBorder="1" applyAlignment="1">
      <alignment horizontal="center" vertical="center" wrapText="1"/>
    </xf>
    <xf numFmtId="10" fontId="17" fillId="13" borderId="0" xfId="0" applyNumberFormat="1" applyFont="1" applyFill="1" applyAlignment="1">
      <alignment horizontal="center"/>
    </xf>
    <xf numFmtId="9" fontId="17" fillId="13" borderId="0" xfId="1" applyFont="1" applyFill="1" applyBorder="1" applyAlignment="1">
      <alignment horizontal="center" vertical="center" wrapText="1"/>
    </xf>
    <xf numFmtId="2" fontId="17" fillId="13" borderId="0" xfId="0" applyNumberFormat="1" applyFont="1" applyFill="1" applyAlignment="1">
      <alignment horizontal="center"/>
    </xf>
    <xf numFmtId="2" fontId="17" fillId="13" borderId="0" xfId="0" applyNumberFormat="1" applyFont="1" applyFill="1" applyAlignment="1">
      <alignment horizontal="center"/>
    </xf>
    <xf numFmtId="0" fontId="0" fillId="0" borderId="0" xfId="0" applyNumberFormat="1"/>
  </cellXfs>
  <cellStyles count="2">
    <cellStyle name="Normal" xfId="0" builtinId="0"/>
    <cellStyle name="Percent" xfId="1" builtinId="5"/>
  </cellStyles>
  <dxfs count="56">
    <dxf>
      <numFmt numFmtId="2" formatCode="0.00"/>
    </dxf>
    <dxf>
      <numFmt numFmtId="168" formatCode="0.0"/>
    </dxf>
    <dxf>
      <numFmt numFmtId="0" formatCode="General"/>
    </dxf>
    <dxf>
      <numFmt numFmtId="14" formatCode="0.00%"/>
    </dxf>
    <dxf>
      <numFmt numFmtId="2" formatCode="0.00"/>
    </dxf>
    <dxf>
      <numFmt numFmtId="168" formatCode="0.0"/>
    </dxf>
    <dxf>
      <numFmt numFmtId="2" formatCode="0.00"/>
    </dxf>
    <dxf>
      <numFmt numFmtId="168" formatCode="0.0"/>
    </dxf>
    <dxf>
      <numFmt numFmtId="2" formatCode="0.00"/>
    </dxf>
    <dxf>
      <numFmt numFmtId="168" formatCode="0.0"/>
    </dxf>
    <dxf>
      <numFmt numFmtId="0" formatCode="General"/>
    </dxf>
    <dxf>
      <numFmt numFmtId="14" formatCode="0.00%"/>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bottom style="thin">
          <color auto="1"/>
        </bottom>
      </border>
    </dxf>
    <dxf>
      <border outline="0">
        <top style="thin">
          <color auto="1"/>
        </top>
      </border>
    </dxf>
    <dxf>
      <fill>
        <patternFill>
          <bgColor rgb="FFFFFF00"/>
        </patternFill>
      </fill>
    </dxf>
    <dxf>
      <fill>
        <patternFill>
          <bgColor rgb="FFFFFF00"/>
        </patternFill>
      </fill>
    </dxf>
    <dxf>
      <fill>
        <patternFill>
          <bgColor rgb="FFFF0000"/>
        </patternFill>
      </fill>
    </dxf>
    <dxf>
      <fill>
        <patternFill>
          <bgColor rgb="FFFF0000"/>
        </patternFill>
      </fill>
    </dxf>
    <dxf>
      <numFmt numFmtId="167" formatCode="&quot;₹&quot;\ #,##0.00"/>
      <border diagonalUp="0" diagonalDown="0">
        <left style="thin">
          <color auto="1"/>
        </left>
        <right style="thin">
          <color auto="1"/>
        </right>
        <top style="thin">
          <color auto="1"/>
        </top>
        <bottom style="thin">
          <color auto="1"/>
        </bottom>
        <vertical/>
        <horizontal/>
      </border>
    </dxf>
    <dxf>
      <numFmt numFmtId="167" formatCode="&quot;₹&quot;\ #,##0.00"/>
      <border diagonalUp="0" diagonalDown="0">
        <left style="thin">
          <color auto="1"/>
        </left>
        <right style="thin">
          <color auto="1"/>
        </right>
        <top style="thin">
          <color auto="1"/>
        </top>
        <bottom style="thin">
          <color auto="1"/>
        </bottom>
        <vertical/>
        <horizontal/>
      </border>
    </dxf>
    <dxf>
      <numFmt numFmtId="167" formatCode="&quot;₹&quot;\ #,##0.00"/>
      <border diagonalUp="0" diagonalDown="0">
        <left style="thin">
          <color auto="1"/>
        </left>
        <right style="thin">
          <color auto="1"/>
        </right>
        <top style="thin">
          <color auto="1"/>
        </top>
        <bottom style="thin">
          <color auto="1"/>
        </bottom>
        <vertical/>
        <horizontal/>
      </border>
    </dxf>
    <dxf>
      <numFmt numFmtId="14" formatCode="0.00%"/>
    </dxf>
    <dxf>
      <numFmt numFmtId="0" formatCode="General"/>
    </dxf>
    <dxf>
      <numFmt numFmtId="168" formatCode="0.0"/>
    </dxf>
    <dxf>
      <numFmt numFmtId="2" formatCode="0.00"/>
    </dxf>
    <dxf>
      <numFmt numFmtId="2" formatCode="0.0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5" tint="-0.249977111117893"/>
        <name val="Calibri"/>
        <family val="2"/>
        <scheme val="minor"/>
      </font>
    </dxf>
    <dxf>
      <font>
        <b val="0"/>
        <i val="0"/>
        <strike val="0"/>
        <condense val="0"/>
        <extend val="0"/>
        <outline val="0"/>
        <shadow val="0"/>
        <u val="none"/>
        <vertAlign val="baseline"/>
        <sz val="11"/>
        <color theme="5" tint="-0.249977111117893"/>
        <name val="Calibri"/>
        <family val="2"/>
        <scheme val="minor"/>
      </font>
      <numFmt numFmtId="166" formatCode="[$-F800]dddd\,\ mmmm\ dd\,\ yyyy"/>
    </dxf>
    <dxf>
      <font>
        <b val="0"/>
        <i val="0"/>
        <strike val="0"/>
        <condense val="0"/>
        <extend val="0"/>
        <outline val="0"/>
        <shadow val="0"/>
        <u val="none"/>
        <vertAlign val="baseline"/>
        <sz val="11"/>
        <color theme="5" tint="-0.249977111117893"/>
        <name val="Calibri"/>
        <family val="2"/>
        <scheme val="minor"/>
      </font>
    </dxf>
    <dxf>
      <font>
        <b val="0"/>
        <i val="0"/>
        <strike val="0"/>
        <condense val="0"/>
        <extend val="0"/>
        <outline val="0"/>
        <shadow val="0"/>
        <u val="none"/>
        <vertAlign val="baseline"/>
        <sz val="11"/>
        <color theme="5" tint="-0.249977111117893"/>
        <name val="Calibri"/>
        <family val="2"/>
        <scheme val="minor"/>
      </font>
    </dxf>
    <dxf>
      <font>
        <b val="0"/>
        <i val="0"/>
        <strike val="0"/>
        <condense val="0"/>
        <extend val="0"/>
        <outline val="0"/>
        <shadow val="0"/>
        <u val="none"/>
        <vertAlign val="baseline"/>
        <sz val="11"/>
        <color theme="5" tint="-0.249977111117893"/>
        <name val="Calibri"/>
        <family val="2"/>
        <scheme val="minor"/>
      </font>
    </dxf>
    <dxf>
      <font>
        <b val="0"/>
        <i val="0"/>
        <strike val="0"/>
        <condense val="0"/>
        <extend val="0"/>
        <outline val="0"/>
        <shadow val="0"/>
        <u val="none"/>
        <vertAlign val="baseline"/>
        <sz val="11"/>
        <color theme="5" tint="-0.249977111117893"/>
        <name val="Calibri"/>
        <family val="2"/>
        <scheme val="minor"/>
      </font>
      <numFmt numFmtId="166" formatCode="[$-F800]dddd\,\ mmmm\ dd\,\ yyyy"/>
    </dxf>
    <dxf>
      <font>
        <b val="0"/>
        <i val="0"/>
        <strike val="0"/>
        <condense val="0"/>
        <extend val="0"/>
        <outline val="0"/>
        <shadow val="0"/>
        <u val="none"/>
        <vertAlign val="baseline"/>
        <sz val="11"/>
        <color theme="5" tint="-0.249977111117893"/>
        <name val="Calibri"/>
        <family val="2"/>
        <scheme val="minor"/>
      </font>
      <numFmt numFmtId="2" formatCode="0.00"/>
    </dxf>
    <dxf>
      <font>
        <b val="0"/>
        <i val="0"/>
        <strike val="0"/>
        <condense val="0"/>
        <extend val="0"/>
        <outline val="0"/>
        <shadow val="0"/>
        <u val="none"/>
        <vertAlign val="baseline"/>
        <sz val="11"/>
        <color theme="5" tint="-0.249977111117893"/>
        <name val="Calibri"/>
        <family val="2"/>
        <scheme val="minor"/>
      </font>
    </dxf>
    <dxf>
      <font>
        <b val="0"/>
        <i val="0"/>
        <strike val="0"/>
        <condense val="0"/>
        <extend val="0"/>
        <outline val="0"/>
        <shadow val="0"/>
        <u val="none"/>
        <vertAlign val="baseline"/>
        <sz val="11"/>
        <color theme="5" tint="-0.249977111117893"/>
        <name val="Calibri"/>
        <family val="2"/>
        <scheme val="minor"/>
      </font>
      <numFmt numFmtId="2" formatCode="0.00"/>
    </dxf>
    <dxf>
      <font>
        <b val="0"/>
        <i val="0"/>
        <strike val="0"/>
        <condense val="0"/>
        <extend val="0"/>
        <outline val="0"/>
        <shadow val="0"/>
        <u val="none"/>
        <vertAlign val="baseline"/>
        <sz val="11"/>
        <color theme="5" tint="-0.249977111117893"/>
        <name val="Calibri"/>
        <family val="2"/>
        <scheme val="minor"/>
      </font>
    </dxf>
    <dxf>
      <font>
        <b val="0"/>
        <i val="0"/>
        <strike val="0"/>
        <condense val="0"/>
        <extend val="0"/>
        <outline val="0"/>
        <shadow val="0"/>
        <u val="none"/>
        <vertAlign val="baseline"/>
        <sz val="11"/>
        <color theme="5" tint="-0.249977111117893"/>
        <name val="Calibri"/>
        <family val="2"/>
        <scheme val="minor"/>
      </font>
    </dxf>
    <dxf>
      <font>
        <b val="0"/>
        <i val="0"/>
        <strike val="0"/>
        <condense val="0"/>
        <extend val="0"/>
        <outline val="0"/>
        <shadow val="0"/>
        <u val="none"/>
        <vertAlign val="baseline"/>
        <sz val="11"/>
        <color theme="5" tint="-0.249977111117893"/>
        <name val="Calibri"/>
        <family val="2"/>
        <scheme val="minor"/>
      </font>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19" formatCode="dd/mm/yyyy"/>
    </dxf>
    <dxf>
      <numFmt numFmtId="27" formatCode="dd/mm/yyyy\ hh:mm"/>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D3DF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ivotCacheDefinition" Target="pivotCache/pivotCacheDefinition12.xml"/><Relationship Id="rId39" Type="http://schemas.openxmlformats.org/officeDocument/2006/relationships/calcChain" Target="calcChain.xml"/><Relationship Id="rId21" Type="http://schemas.openxmlformats.org/officeDocument/2006/relationships/pivotCacheDefinition" Target="pivotCache/pivotCacheDefinition7.xml"/><Relationship Id="rId34"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theme" Target="theme/theme1.xml"/><Relationship Id="rId38"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microsoft.com/office/2007/relationships/slicerCache" Target="slicerCaches/slicerCache6.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2.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[AyantikaChowdhury_Answers_Day7.xlsx]pivots!combo % branch</c:name>
    <c:fmtId val="0"/>
  </c:pivotSource>
  <c:chart>
    <c:title>
      <c:tx>
        <c:rich>
          <a:bodyPr rot="0" spcFirstLastPara="1" vertOverflow="ellipsis" vert="horz" wrap="square" anchor="ctr" anchorCtr="1"/>
          <a:lstStyle/>
          <a:p>
            <a:pPr>
              <a:defRPr sz="1600" b="1" i="0" u="none" strike="noStrike" kern="1200" cap="small" spc="120" normalizeH="0" baseline="0">
                <a:solidFill>
                  <a:schemeClr val="tx1">
                    <a:lumMod val="65000"/>
                    <a:lumOff val="35000"/>
                  </a:schemeClr>
                </a:solidFill>
                <a:latin typeface="+mn-lt"/>
                <a:ea typeface="+mn-ea"/>
                <a:cs typeface="+mn-cs"/>
              </a:defRPr>
            </a:pPr>
            <a:r>
              <a:rPr lang="en-IN" cap="small" normalizeH="0" baseline="0"/>
              <a:t>Combo % in each branch</a:t>
            </a:r>
          </a:p>
        </c:rich>
      </c:tx>
      <c:overlay val="0"/>
      <c:spPr>
        <a:noFill/>
        <a:ln>
          <a:noFill/>
        </a:ln>
        <a:effectLst/>
      </c:spPr>
      <c:txPr>
        <a:bodyPr rot="0" spcFirstLastPara="1" vertOverflow="ellipsis" vert="horz" wrap="square" anchor="ctr" anchorCtr="1"/>
        <a:lstStyle/>
        <a:p>
          <a:pPr>
            <a:defRPr sz="1600" b="1" i="0" u="none" strike="noStrike" kern="1200" cap="sm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pPr>
            <a:solidFill>
              <a:schemeClr val="accent6"/>
            </a:solidFill>
            <a:ln w="9525">
              <a:solidFill>
                <a:schemeClr val="accent6"/>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pPr>
            <a:solidFill>
              <a:schemeClr val="accent6"/>
            </a:solidFill>
            <a:ln w="9525">
              <a:solidFill>
                <a:schemeClr val="accent6"/>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pivots!$B$104:$B$105</c:f>
              <c:strCache>
                <c:ptCount val="1"/>
                <c:pt idx="0">
                  <c:v>combo</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pivots!$A$106:$A$108</c:f>
              <c:strCache>
                <c:ptCount val="3"/>
                <c:pt idx="0">
                  <c:v>Head Office Café</c:v>
                </c:pt>
                <c:pt idx="1">
                  <c:v>Plant 1 Canteen</c:v>
                </c:pt>
                <c:pt idx="2">
                  <c:v>Plant 2 Canteen</c:v>
                </c:pt>
              </c:strCache>
            </c:strRef>
          </c:cat>
          <c:val>
            <c:numRef>
              <c:f>pivots!$B$106:$B$108</c:f>
              <c:numCache>
                <c:formatCode>0.00%</c:formatCode>
                <c:ptCount val="3"/>
                <c:pt idx="0">
                  <c:v>0.28925619834710742</c:v>
                </c:pt>
                <c:pt idx="1">
                  <c:v>0.13761467889908258</c:v>
                </c:pt>
                <c:pt idx="2">
                  <c:v>0.27692307692307694</c:v>
                </c:pt>
              </c:numCache>
            </c:numRef>
          </c:val>
          <c:extLst>
            <c:ext xmlns:c16="http://schemas.microsoft.com/office/drawing/2014/chart" uri="{C3380CC4-5D6E-409C-BE32-E72D297353CC}">
              <c16:uniqueId val="{00000000-1184-4561-982E-B1D1AE0CAF5A}"/>
            </c:ext>
          </c:extLst>
        </c:ser>
        <c:ser>
          <c:idx val="1"/>
          <c:order val="1"/>
          <c:tx>
            <c:strRef>
              <c:f>pivots!$C$104:$C$105</c:f>
              <c:strCache>
                <c:ptCount val="1"/>
                <c:pt idx="0">
                  <c:v>single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pivots!$A$106:$A$108</c:f>
              <c:strCache>
                <c:ptCount val="3"/>
                <c:pt idx="0">
                  <c:v>Head Office Café</c:v>
                </c:pt>
                <c:pt idx="1">
                  <c:v>Plant 1 Canteen</c:v>
                </c:pt>
                <c:pt idx="2">
                  <c:v>Plant 2 Canteen</c:v>
                </c:pt>
              </c:strCache>
            </c:strRef>
          </c:cat>
          <c:val>
            <c:numRef>
              <c:f>pivots!$C$106:$C$108</c:f>
              <c:numCache>
                <c:formatCode>0.00%</c:formatCode>
                <c:ptCount val="3"/>
                <c:pt idx="0">
                  <c:v>0.71074380165289253</c:v>
                </c:pt>
                <c:pt idx="1">
                  <c:v>0.86238532110091748</c:v>
                </c:pt>
                <c:pt idx="2">
                  <c:v>0.72307692307692306</c:v>
                </c:pt>
              </c:numCache>
            </c:numRef>
          </c:val>
          <c:extLst>
            <c:ext xmlns:c16="http://schemas.microsoft.com/office/drawing/2014/chart" uri="{C3380CC4-5D6E-409C-BE32-E72D297353CC}">
              <c16:uniqueId val="{00000001-1184-4561-982E-B1D1AE0CAF5A}"/>
            </c:ext>
          </c:extLst>
        </c:ser>
        <c:dLbls>
          <c:dLblPos val="ctr"/>
          <c:showLegendKey val="0"/>
          <c:showVal val="1"/>
          <c:showCatName val="0"/>
          <c:showSerName val="0"/>
          <c:showPercent val="0"/>
          <c:showBubbleSize val="0"/>
        </c:dLbls>
        <c:gapWidth val="79"/>
        <c:overlap val="100"/>
        <c:axId val="2052317824"/>
        <c:axId val="1962843248"/>
      </c:barChart>
      <c:catAx>
        <c:axId val="2052317824"/>
        <c:scaling>
          <c:orientation val="minMax"/>
        </c:scaling>
        <c:delete val="0"/>
        <c:axPos val="l"/>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1962843248"/>
        <c:crosses val="autoZero"/>
        <c:auto val="1"/>
        <c:lblAlgn val="ctr"/>
        <c:lblOffset val="100"/>
        <c:noMultiLvlLbl val="0"/>
      </c:catAx>
      <c:valAx>
        <c:axId val="1962843248"/>
        <c:scaling>
          <c:orientation val="minMax"/>
        </c:scaling>
        <c:delete val="1"/>
        <c:axPos val="b"/>
        <c:numFmt formatCode="0.00%" sourceLinked="1"/>
        <c:majorTickMark val="none"/>
        <c:minorTickMark val="none"/>
        <c:tickLblPos val="nextTo"/>
        <c:crossAx val="205231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[AyantikaChowdhury_Answers_Day7.xlsx]pivots!combo % shift</c:name>
    <c:fmtId val="0"/>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Combo % in each shift</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18307086614174"/>
          <c:y val="0.25167364016736404"/>
          <c:w val="0.66642344706911638"/>
          <c:h val="0.66464435146443512"/>
        </c:manualLayout>
      </c:layout>
      <c:barChart>
        <c:barDir val="bar"/>
        <c:grouping val="stacked"/>
        <c:varyColors val="0"/>
        <c:ser>
          <c:idx val="0"/>
          <c:order val="0"/>
          <c:tx>
            <c:strRef>
              <c:f>pivots!$B$115:$B$116</c:f>
              <c:strCache>
                <c:ptCount val="1"/>
                <c:pt idx="0">
                  <c:v>combo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pivots!$A$117:$A$119</c:f>
              <c:strCache>
                <c:ptCount val="3"/>
                <c:pt idx="0">
                  <c:v>Breakfast</c:v>
                </c:pt>
                <c:pt idx="1">
                  <c:v>Dinner</c:v>
                </c:pt>
                <c:pt idx="2">
                  <c:v>Lunch</c:v>
                </c:pt>
              </c:strCache>
            </c:strRef>
          </c:cat>
          <c:val>
            <c:numRef>
              <c:f>pivots!$B$117:$B$119</c:f>
              <c:numCache>
                <c:formatCode>0.00%</c:formatCode>
                <c:ptCount val="3"/>
                <c:pt idx="0">
                  <c:v>0.22598870056497175</c:v>
                </c:pt>
                <c:pt idx="1">
                  <c:v>0.2818181818181818</c:v>
                </c:pt>
                <c:pt idx="2">
                  <c:v>0.20547945205479451</c:v>
                </c:pt>
              </c:numCache>
            </c:numRef>
          </c:val>
          <c:extLst>
            <c:ext xmlns:c16="http://schemas.microsoft.com/office/drawing/2014/chart" uri="{C3380CC4-5D6E-409C-BE32-E72D297353CC}">
              <c16:uniqueId val="{00000000-7EA8-496F-B1BA-87B1FEDBFB86}"/>
            </c:ext>
          </c:extLst>
        </c:ser>
        <c:ser>
          <c:idx val="1"/>
          <c:order val="1"/>
          <c:tx>
            <c:strRef>
              <c:f>pivots!$C$115:$C$116</c:f>
              <c:strCache>
                <c:ptCount val="1"/>
                <c:pt idx="0">
                  <c:v>single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pivots!$A$117:$A$119</c:f>
              <c:strCache>
                <c:ptCount val="3"/>
                <c:pt idx="0">
                  <c:v>Breakfast</c:v>
                </c:pt>
                <c:pt idx="1">
                  <c:v>Dinner</c:v>
                </c:pt>
                <c:pt idx="2">
                  <c:v>Lunch</c:v>
                </c:pt>
              </c:strCache>
            </c:strRef>
          </c:cat>
          <c:val>
            <c:numRef>
              <c:f>pivots!$C$117:$C$119</c:f>
              <c:numCache>
                <c:formatCode>0.00%</c:formatCode>
                <c:ptCount val="3"/>
                <c:pt idx="0">
                  <c:v>0.77401129943502822</c:v>
                </c:pt>
                <c:pt idx="1">
                  <c:v>0.71818181818181814</c:v>
                </c:pt>
                <c:pt idx="2">
                  <c:v>0.79452054794520544</c:v>
                </c:pt>
              </c:numCache>
            </c:numRef>
          </c:val>
          <c:extLst>
            <c:ext xmlns:c16="http://schemas.microsoft.com/office/drawing/2014/chart" uri="{C3380CC4-5D6E-409C-BE32-E72D297353CC}">
              <c16:uniqueId val="{00000001-7EA8-496F-B1BA-87B1FEDBFB86}"/>
            </c:ext>
          </c:extLst>
        </c:ser>
        <c:dLbls>
          <c:dLblPos val="ctr"/>
          <c:showLegendKey val="0"/>
          <c:showVal val="1"/>
          <c:showCatName val="0"/>
          <c:showSerName val="0"/>
          <c:showPercent val="0"/>
          <c:showBubbleSize val="0"/>
        </c:dLbls>
        <c:gapWidth val="79"/>
        <c:overlap val="100"/>
        <c:axId val="1961879232"/>
        <c:axId val="1912436368"/>
      </c:barChart>
      <c:catAx>
        <c:axId val="196187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12436368"/>
        <c:crosses val="autoZero"/>
        <c:auto val="1"/>
        <c:lblAlgn val="ctr"/>
        <c:lblOffset val="100"/>
        <c:noMultiLvlLbl val="0"/>
      </c:catAx>
      <c:valAx>
        <c:axId val="1912436368"/>
        <c:scaling>
          <c:orientation val="minMax"/>
        </c:scaling>
        <c:delete val="1"/>
        <c:axPos val="b"/>
        <c:numFmt formatCode="0.00%" sourceLinked="1"/>
        <c:majorTickMark val="none"/>
        <c:minorTickMark val="none"/>
        <c:tickLblPos val="nextTo"/>
        <c:crossAx val="196187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[AyantikaChowdhury_Answers_Day7.xlsx]pivots!grp order freq</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Combo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pivots!$A$128:$A$139</c:f>
              <c:strCache>
                <c:ptCount val="11"/>
                <c:pt idx="0">
                  <c:v>Beverage+Dessert+Hot Meal+Snack</c:v>
                </c:pt>
                <c:pt idx="1">
                  <c:v>Dessert+Snack</c:v>
                </c:pt>
                <c:pt idx="2">
                  <c:v>Beverage+Dessert+Snack</c:v>
                </c:pt>
                <c:pt idx="3">
                  <c:v>Dessert+Hot Meal+Snack</c:v>
                </c:pt>
                <c:pt idx="4">
                  <c:v>Beverage+Dessert</c:v>
                </c:pt>
                <c:pt idx="5">
                  <c:v>Beverage+Hot Meal+Snack</c:v>
                </c:pt>
                <c:pt idx="6">
                  <c:v>Beverage+Hot Meal</c:v>
                </c:pt>
                <c:pt idx="7">
                  <c:v>Dessert+Hot Meal</c:v>
                </c:pt>
                <c:pt idx="8">
                  <c:v>Beverage+Dessert+Hot Meal</c:v>
                </c:pt>
                <c:pt idx="9">
                  <c:v>Hot Meal+Snack</c:v>
                </c:pt>
                <c:pt idx="10">
                  <c:v>Beverage+Snack</c:v>
                </c:pt>
              </c:strCache>
            </c:strRef>
          </c:cat>
          <c:val>
            <c:numRef>
              <c:f>pivots!$B$128:$B$139</c:f>
              <c:numCache>
                <c:formatCode>General</c:formatCode>
                <c:ptCount val="11"/>
                <c:pt idx="0">
                  <c:v>9</c:v>
                </c:pt>
                <c:pt idx="1">
                  <c:v>18</c:v>
                </c:pt>
                <c:pt idx="2">
                  <c:v>22</c:v>
                </c:pt>
                <c:pt idx="3">
                  <c:v>23</c:v>
                </c:pt>
                <c:pt idx="4">
                  <c:v>23</c:v>
                </c:pt>
                <c:pt idx="5">
                  <c:v>25</c:v>
                </c:pt>
                <c:pt idx="6">
                  <c:v>25</c:v>
                </c:pt>
                <c:pt idx="7">
                  <c:v>27</c:v>
                </c:pt>
                <c:pt idx="8">
                  <c:v>27</c:v>
                </c:pt>
                <c:pt idx="9">
                  <c:v>28</c:v>
                </c:pt>
                <c:pt idx="10">
                  <c:v>31</c:v>
                </c:pt>
              </c:numCache>
            </c:numRef>
          </c:val>
          <c:extLst>
            <c:ext xmlns:c16="http://schemas.microsoft.com/office/drawing/2014/chart" uri="{C3380CC4-5D6E-409C-BE32-E72D297353CC}">
              <c16:uniqueId val="{00000000-2ECF-44E0-928E-7BE858A417DB}"/>
            </c:ext>
          </c:extLst>
        </c:ser>
        <c:dLbls>
          <c:dLblPos val="outEnd"/>
          <c:showLegendKey val="0"/>
          <c:showVal val="1"/>
          <c:showCatName val="0"/>
          <c:showSerName val="0"/>
          <c:showPercent val="0"/>
          <c:showBubbleSize val="0"/>
        </c:dLbls>
        <c:gapWidth val="182"/>
        <c:axId val="1839845551"/>
        <c:axId val="1780097519"/>
      </c:barChart>
      <c:catAx>
        <c:axId val="18398455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097519"/>
        <c:crosses val="autoZero"/>
        <c:auto val="1"/>
        <c:lblAlgn val="ctr"/>
        <c:lblOffset val="100"/>
        <c:noMultiLvlLbl val="0"/>
      </c:catAx>
      <c:valAx>
        <c:axId val="17800975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8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[AyantikaChowdhury_Answers_Day7.xlsx]pivots!combo % branch</c:name>
    <c:fmtId val="18"/>
  </c:pivotSource>
  <c:chart>
    <c:title>
      <c:tx>
        <c:rich>
          <a:bodyPr rot="0" spcFirstLastPara="1" vertOverflow="ellipsis" vert="horz" wrap="square" anchor="ctr" anchorCtr="1"/>
          <a:lstStyle/>
          <a:p>
            <a:pPr>
              <a:defRPr sz="1600" b="1" i="0" u="none" strike="noStrike" kern="1200" cap="small" spc="120" normalizeH="0" baseline="0">
                <a:solidFill>
                  <a:schemeClr val="tx1">
                    <a:lumMod val="65000"/>
                    <a:lumOff val="35000"/>
                  </a:schemeClr>
                </a:solidFill>
                <a:latin typeface="+mn-lt"/>
                <a:ea typeface="+mn-ea"/>
                <a:cs typeface="+mn-cs"/>
              </a:defRPr>
            </a:pPr>
            <a:r>
              <a:rPr lang="en-IN" cap="small" normalizeH="0" baseline="0"/>
              <a:t>Combo % in each branch</a:t>
            </a:r>
          </a:p>
        </c:rich>
      </c:tx>
      <c:overlay val="0"/>
      <c:spPr>
        <a:noFill/>
        <a:ln>
          <a:noFill/>
        </a:ln>
        <a:effectLst/>
      </c:spPr>
      <c:txPr>
        <a:bodyPr rot="0" spcFirstLastPara="1" vertOverflow="ellipsis" vert="horz" wrap="square" anchor="ctr" anchorCtr="1"/>
        <a:lstStyle/>
        <a:p>
          <a:pPr>
            <a:defRPr sz="1600" b="1" i="0" u="none" strike="noStrike" kern="1200" cap="sm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pPr>
            <a:solidFill>
              <a:schemeClr val="accent6"/>
            </a:solidFill>
            <a:ln w="9525">
              <a:solidFill>
                <a:schemeClr val="accent6"/>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pPr>
            <a:solidFill>
              <a:schemeClr val="accent6"/>
            </a:solidFill>
            <a:ln w="9525">
              <a:solidFill>
                <a:schemeClr val="accent6"/>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hade val="76000"/>
            </a:schemeClr>
          </a:solidFill>
          <a:ln>
            <a:noFill/>
          </a:ln>
          <a:effectLst/>
        </c:spPr>
        <c:dLbl>
          <c:idx val="0"/>
          <c:layout>
            <c:manualLayout>
              <c:x val="2.2965873332229388E-2"/>
              <c:y val="-6.741394522175910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pivots!$B$104:$B$105</c:f>
              <c:strCache>
                <c:ptCount val="1"/>
                <c:pt idx="0">
                  <c:v>combo</c:v>
                </c:pt>
              </c:strCache>
            </c:strRef>
          </c:tx>
          <c:spPr>
            <a:solidFill>
              <a:schemeClr val="accent6">
                <a:shade val="76000"/>
              </a:schemeClr>
            </a:solidFill>
            <a:ln>
              <a:noFill/>
            </a:ln>
            <a:effectLst/>
          </c:spPr>
          <c:invertIfNegative val="0"/>
          <c:dLbls>
            <c:dLbl>
              <c:idx val="1"/>
              <c:layout>
                <c:manualLayout>
                  <c:x val="2.2965873332229388E-2"/>
                  <c:y val="-6.741394522175910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8B-45DD-8FAB-26FBB183BF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pivots!$A$106:$A$108</c:f>
              <c:strCache>
                <c:ptCount val="3"/>
                <c:pt idx="0">
                  <c:v>Head Office Café</c:v>
                </c:pt>
                <c:pt idx="1">
                  <c:v>Plant 1 Canteen</c:v>
                </c:pt>
                <c:pt idx="2">
                  <c:v>Plant 2 Canteen</c:v>
                </c:pt>
              </c:strCache>
            </c:strRef>
          </c:cat>
          <c:val>
            <c:numRef>
              <c:f>pivots!$B$106:$B$108</c:f>
              <c:numCache>
                <c:formatCode>0.00%</c:formatCode>
                <c:ptCount val="3"/>
                <c:pt idx="0">
                  <c:v>0.28925619834710742</c:v>
                </c:pt>
                <c:pt idx="1">
                  <c:v>0.13761467889908258</c:v>
                </c:pt>
                <c:pt idx="2">
                  <c:v>0.27692307692307694</c:v>
                </c:pt>
              </c:numCache>
            </c:numRef>
          </c:val>
          <c:extLst>
            <c:ext xmlns:c16="http://schemas.microsoft.com/office/drawing/2014/chart" uri="{C3380CC4-5D6E-409C-BE32-E72D297353CC}">
              <c16:uniqueId val="{00000000-E6AC-4BEC-B084-B34EC46C3EB7}"/>
            </c:ext>
          </c:extLst>
        </c:ser>
        <c:ser>
          <c:idx val="1"/>
          <c:order val="1"/>
          <c:tx>
            <c:strRef>
              <c:f>pivots!$C$104:$C$105</c:f>
              <c:strCache>
                <c:ptCount val="1"/>
                <c:pt idx="0">
                  <c:v>single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pivots!$A$106:$A$108</c:f>
              <c:strCache>
                <c:ptCount val="3"/>
                <c:pt idx="0">
                  <c:v>Head Office Café</c:v>
                </c:pt>
                <c:pt idx="1">
                  <c:v>Plant 1 Canteen</c:v>
                </c:pt>
                <c:pt idx="2">
                  <c:v>Plant 2 Canteen</c:v>
                </c:pt>
              </c:strCache>
            </c:strRef>
          </c:cat>
          <c:val>
            <c:numRef>
              <c:f>pivots!$C$106:$C$108</c:f>
              <c:numCache>
                <c:formatCode>0.00%</c:formatCode>
                <c:ptCount val="3"/>
                <c:pt idx="0">
                  <c:v>0.71074380165289253</c:v>
                </c:pt>
                <c:pt idx="1">
                  <c:v>0.86238532110091748</c:v>
                </c:pt>
                <c:pt idx="2">
                  <c:v>0.72307692307692306</c:v>
                </c:pt>
              </c:numCache>
            </c:numRef>
          </c:val>
          <c:extLst>
            <c:ext xmlns:c16="http://schemas.microsoft.com/office/drawing/2014/chart" uri="{C3380CC4-5D6E-409C-BE32-E72D297353CC}">
              <c16:uniqueId val="{00000001-E6AC-4BEC-B084-B34EC46C3EB7}"/>
            </c:ext>
          </c:extLst>
        </c:ser>
        <c:dLbls>
          <c:dLblPos val="ctr"/>
          <c:showLegendKey val="0"/>
          <c:showVal val="1"/>
          <c:showCatName val="0"/>
          <c:showSerName val="0"/>
          <c:showPercent val="0"/>
          <c:showBubbleSize val="0"/>
        </c:dLbls>
        <c:gapWidth val="79"/>
        <c:overlap val="100"/>
        <c:axId val="2052317824"/>
        <c:axId val="1962843248"/>
      </c:barChart>
      <c:catAx>
        <c:axId val="2052317824"/>
        <c:scaling>
          <c:orientation val="minMax"/>
        </c:scaling>
        <c:delete val="0"/>
        <c:axPos val="l"/>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800" b="0" i="0" u="none" strike="noStrike" kern="1200" cap="all" spc="120" normalizeH="0" baseline="0">
                <a:solidFill>
                  <a:schemeClr val="tx1"/>
                </a:solidFill>
                <a:latin typeface="+mn-lt"/>
                <a:ea typeface="+mn-ea"/>
                <a:cs typeface="+mn-cs"/>
              </a:defRPr>
            </a:pPr>
            <a:endParaRPr lang="en-US"/>
          </a:p>
        </c:txPr>
        <c:crossAx val="1962843248"/>
        <c:crosses val="autoZero"/>
        <c:auto val="1"/>
        <c:lblAlgn val="ctr"/>
        <c:lblOffset val="100"/>
        <c:noMultiLvlLbl val="0"/>
      </c:catAx>
      <c:valAx>
        <c:axId val="1962843248"/>
        <c:scaling>
          <c:orientation val="minMax"/>
        </c:scaling>
        <c:delete val="1"/>
        <c:axPos val="b"/>
        <c:numFmt formatCode="0.00%" sourceLinked="1"/>
        <c:majorTickMark val="none"/>
        <c:minorTickMark val="none"/>
        <c:tickLblPos val="nextTo"/>
        <c:crossAx val="205231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[AyantikaChowdhury_Answers_Day7.xlsx]pivots!combo % shift</c:name>
    <c:fmtId val="5"/>
  </c:pivotSource>
  <c:chart>
    <c:title>
      <c:tx>
        <c:rich>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r>
              <a:rPr lang="en-US" sz="1400"/>
              <a:t>Combo % in each shift</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18307086614174"/>
          <c:y val="0.25167364016736404"/>
          <c:w val="0.66642344706911638"/>
          <c:h val="0.66464435146443512"/>
        </c:manualLayout>
      </c:layout>
      <c:barChart>
        <c:barDir val="bar"/>
        <c:grouping val="stacked"/>
        <c:varyColors val="0"/>
        <c:ser>
          <c:idx val="0"/>
          <c:order val="0"/>
          <c:tx>
            <c:strRef>
              <c:f>pivots!$B$115:$B$116</c:f>
              <c:strCache>
                <c:ptCount val="1"/>
                <c:pt idx="0">
                  <c:v>combo</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pivots!$A$117:$A$119</c:f>
              <c:strCache>
                <c:ptCount val="3"/>
                <c:pt idx="0">
                  <c:v>Breakfast</c:v>
                </c:pt>
                <c:pt idx="1">
                  <c:v>Dinner</c:v>
                </c:pt>
                <c:pt idx="2">
                  <c:v>Lunch</c:v>
                </c:pt>
              </c:strCache>
            </c:strRef>
          </c:cat>
          <c:val>
            <c:numRef>
              <c:f>pivots!$B$117:$B$119</c:f>
              <c:numCache>
                <c:formatCode>0.00%</c:formatCode>
                <c:ptCount val="3"/>
                <c:pt idx="0">
                  <c:v>0.22598870056497175</c:v>
                </c:pt>
                <c:pt idx="1">
                  <c:v>0.2818181818181818</c:v>
                </c:pt>
                <c:pt idx="2">
                  <c:v>0.20547945205479451</c:v>
                </c:pt>
              </c:numCache>
            </c:numRef>
          </c:val>
          <c:extLst>
            <c:ext xmlns:c16="http://schemas.microsoft.com/office/drawing/2014/chart" uri="{C3380CC4-5D6E-409C-BE32-E72D297353CC}">
              <c16:uniqueId val="{00000000-1B6E-4A44-B341-A0F9B74E31E6}"/>
            </c:ext>
          </c:extLst>
        </c:ser>
        <c:ser>
          <c:idx val="1"/>
          <c:order val="1"/>
          <c:tx>
            <c:strRef>
              <c:f>pivots!$C$115:$C$116</c:f>
              <c:strCache>
                <c:ptCount val="1"/>
                <c:pt idx="0">
                  <c:v>single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pivots!$A$117:$A$119</c:f>
              <c:strCache>
                <c:ptCount val="3"/>
                <c:pt idx="0">
                  <c:v>Breakfast</c:v>
                </c:pt>
                <c:pt idx="1">
                  <c:v>Dinner</c:v>
                </c:pt>
                <c:pt idx="2">
                  <c:v>Lunch</c:v>
                </c:pt>
              </c:strCache>
            </c:strRef>
          </c:cat>
          <c:val>
            <c:numRef>
              <c:f>pivots!$C$117:$C$119</c:f>
              <c:numCache>
                <c:formatCode>0.00%</c:formatCode>
                <c:ptCount val="3"/>
                <c:pt idx="0">
                  <c:v>0.77401129943502822</c:v>
                </c:pt>
                <c:pt idx="1">
                  <c:v>0.71818181818181814</c:v>
                </c:pt>
                <c:pt idx="2">
                  <c:v>0.79452054794520544</c:v>
                </c:pt>
              </c:numCache>
            </c:numRef>
          </c:val>
          <c:extLst>
            <c:ext xmlns:c16="http://schemas.microsoft.com/office/drawing/2014/chart" uri="{C3380CC4-5D6E-409C-BE32-E72D297353CC}">
              <c16:uniqueId val="{00000001-1B6E-4A44-B341-A0F9B74E31E6}"/>
            </c:ext>
          </c:extLst>
        </c:ser>
        <c:dLbls>
          <c:dLblPos val="ctr"/>
          <c:showLegendKey val="0"/>
          <c:showVal val="1"/>
          <c:showCatName val="0"/>
          <c:showSerName val="0"/>
          <c:showPercent val="0"/>
          <c:showBubbleSize val="0"/>
        </c:dLbls>
        <c:gapWidth val="79"/>
        <c:overlap val="100"/>
        <c:axId val="1961879232"/>
        <c:axId val="1912436368"/>
      </c:barChart>
      <c:catAx>
        <c:axId val="1961879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12436368"/>
        <c:crosses val="autoZero"/>
        <c:auto val="1"/>
        <c:lblAlgn val="ctr"/>
        <c:lblOffset val="100"/>
        <c:noMultiLvlLbl val="0"/>
      </c:catAx>
      <c:valAx>
        <c:axId val="1912436368"/>
        <c:scaling>
          <c:orientation val="minMax"/>
        </c:scaling>
        <c:delete val="1"/>
        <c:axPos val="b"/>
        <c:numFmt formatCode="0.00%" sourceLinked="1"/>
        <c:majorTickMark val="none"/>
        <c:minorTickMark val="none"/>
        <c:tickLblPos val="nextTo"/>
        <c:crossAx val="196187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[AyantikaChowdhury_Answers_Day7.xlsx]pivots!grp order freq</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Combo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pivots!$B$127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pivots!$A$128:$A$139</c:f>
              <c:strCache>
                <c:ptCount val="11"/>
                <c:pt idx="0">
                  <c:v>Beverage+Dessert+Hot Meal+Snack</c:v>
                </c:pt>
                <c:pt idx="1">
                  <c:v>Dessert+Snack</c:v>
                </c:pt>
                <c:pt idx="2">
                  <c:v>Beverage+Dessert+Snack</c:v>
                </c:pt>
                <c:pt idx="3">
                  <c:v>Dessert+Hot Meal+Snack</c:v>
                </c:pt>
                <c:pt idx="4">
                  <c:v>Beverage+Dessert</c:v>
                </c:pt>
                <c:pt idx="5">
                  <c:v>Beverage+Hot Meal+Snack</c:v>
                </c:pt>
                <c:pt idx="6">
                  <c:v>Beverage+Hot Meal</c:v>
                </c:pt>
                <c:pt idx="7">
                  <c:v>Dessert+Hot Meal</c:v>
                </c:pt>
                <c:pt idx="8">
                  <c:v>Beverage+Dessert+Hot Meal</c:v>
                </c:pt>
                <c:pt idx="9">
                  <c:v>Hot Meal+Snack</c:v>
                </c:pt>
                <c:pt idx="10">
                  <c:v>Beverage+Snack</c:v>
                </c:pt>
              </c:strCache>
            </c:strRef>
          </c:cat>
          <c:val>
            <c:numRef>
              <c:f>pivots!$B$128:$B$139</c:f>
              <c:numCache>
                <c:formatCode>General</c:formatCode>
                <c:ptCount val="11"/>
                <c:pt idx="0">
                  <c:v>9</c:v>
                </c:pt>
                <c:pt idx="1">
                  <c:v>18</c:v>
                </c:pt>
                <c:pt idx="2">
                  <c:v>22</c:v>
                </c:pt>
                <c:pt idx="3">
                  <c:v>23</c:v>
                </c:pt>
                <c:pt idx="4">
                  <c:v>23</c:v>
                </c:pt>
                <c:pt idx="5">
                  <c:v>25</c:v>
                </c:pt>
                <c:pt idx="6">
                  <c:v>25</c:v>
                </c:pt>
                <c:pt idx="7">
                  <c:v>27</c:v>
                </c:pt>
                <c:pt idx="8">
                  <c:v>27</c:v>
                </c:pt>
                <c:pt idx="9">
                  <c:v>28</c:v>
                </c:pt>
                <c:pt idx="10">
                  <c:v>31</c:v>
                </c:pt>
              </c:numCache>
            </c:numRef>
          </c:val>
          <c:extLst>
            <c:ext xmlns:c16="http://schemas.microsoft.com/office/drawing/2014/chart" uri="{C3380CC4-5D6E-409C-BE32-E72D297353CC}">
              <c16:uniqueId val="{00000000-D9E5-4804-BC77-3C78DBDD04AC}"/>
            </c:ext>
          </c:extLst>
        </c:ser>
        <c:dLbls>
          <c:dLblPos val="outEnd"/>
          <c:showLegendKey val="0"/>
          <c:showVal val="1"/>
          <c:showCatName val="0"/>
          <c:showSerName val="0"/>
          <c:showPercent val="0"/>
          <c:showBubbleSize val="0"/>
        </c:dLbls>
        <c:gapWidth val="182"/>
        <c:axId val="1839845551"/>
        <c:axId val="1780097519"/>
      </c:barChart>
      <c:catAx>
        <c:axId val="18398455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097519"/>
        <c:crosses val="autoZero"/>
        <c:auto val="1"/>
        <c:lblAlgn val="ctr"/>
        <c:lblOffset val="100"/>
        <c:noMultiLvlLbl val="0"/>
      </c:catAx>
      <c:valAx>
        <c:axId val="178009751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8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792480</xdr:colOff>
      <xdr:row>101</xdr:row>
      <xdr:rowOff>99060</xdr:rowOff>
    </xdr:from>
    <xdr:to>
      <xdr:col>8</xdr:col>
      <xdr:colOff>556260</xdr:colOff>
      <xdr:row>111</xdr:row>
      <xdr:rowOff>15240</xdr:rowOff>
    </xdr:to>
    <xdr:graphicFrame macro="">
      <xdr:nvGraphicFramePr>
        <xdr:cNvPr id="4" name="Chart 3">
          <a:extLst>
            <a:ext uri="{FF2B5EF4-FFF2-40B4-BE49-F238E27FC236}">
              <a16:creationId xmlns:a16="http://schemas.microsoft.com/office/drawing/2014/main" id="{4E712D76-9752-0646-EB9A-88721951F5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822960</xdr:colOff>
      <xdr:row>113</xdr:row>
      <xdr:rowOff>15240</xdr:rowOff>
    </xdr:from>
    <xdr:to>
      <xdr:col>8</xdr:col>
      <xdr:colOff>541020</xdr:colOff>
      <xdr:row>122</xdr:row>
      <xdr:rowOff>114300</xdr:rowOff>
    </xdr:to>
    <xdr:graphicFrame macro="">
      <xdr:nvGraphicFramePr>
        <xdr:cNvPr id="5" name="Chart 4">
          <a:extLst>
            <a:ext uri="{FF2B5EF4-FFF2-40B4-BE49-F238E27FC236}">
              <a16:creationId xmlns:a16="http://schemas.microsoft.com/office/drawing/2014/main" id="{431ACEE6-3917-04BA-7D11-A1F7A289B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503146</xdr:colOff>
      <xdr:row>73</xdr:row>
      <xdr:rowOff>141159</xdr:rowOff>
    </xdr:from>
    <xdr:to>
      <xdr:col>5</xdr:col>
      <xdr:colOff>347728</xdr:colOff>
      <xdr:row>80</xdr:row>
      <xdr:rowOff>113168</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F2D02508-A4D3-2734-3EF7-79509DC75194}"/>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3468156" y="134950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1134097</xdr:colOff>
      <xdr:row>74</xdr:row>
      <xdr:rowOff>2566</xdr:rowOff>
    </xdr:from>
    <xdr:to>
      <xdr:col>7</xdr:col>
      <xdr:colOff>163867</xdr:colOff>
      <xdr:row>80</xdr:row>
      <xdr:rowOff>150892</xdr:rowOff>
    </xdr:to>
    <mc:AlternateContent xmlns:mc="http://schemas.openxmlformats.org/markup-compatibility/2006" xmlns:a14="http://schemas.microsoft.com/office/drawing/2010/main">
      <mc:Choice Requires="a14">
        <xdr:graphicFrame macro="">
          <xdr:nvGraphicFramePr>
            <xdr:cNvPr id="3" name="Shift">
              <a:extLst>
                <a:ext uri="{FF2B5EF4-FFF2-40B4-BE49-F238E27FC236}">
                  <a16:creationId xmlns:a16="http://schemas.microsoft.com/office/drawing/2014/main" id="{89E0E2A4-3A1D-8C4C-59D3-65B8AB671772}"/>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6083325" y="1353749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637516</xdr:colOff>
      <xdr:row>126</xdr:row>
      <xdr:rowOff>120711</xdr:rowOff>
    </xdr:from>
    <xdr:to>
      <xdr:col>7</xdr:col>
      <xdr:colOff>339505</xdr:colOff>
      <xdr:row>140</xdr:row>
      <xdr:rowOff>32442</xdr:rowOff>
    </xdr:to>
    <xdr:graphicFrame macro="">
      <xdr:nvGraphicFramePr>
        <xdr:cNvPr id="7" name="Chart 6">
          <a:extLst>
            <a:ext uri="{FF2B5EF4-FFF2-40B4-BE49-F238E27FC236}">
              <a16:creationId xmlns:a16="http://schemas.microsoft.com/office/drawing/2014/main" id="{163E25ED-48F4-0227-1D19-4BB099686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3</xdr:col>
      <xdr:colOff>0</xdr:colOff>
      <xdr:row>7</xdr:row>
      <xdr:rowOff>149835</xdr:rowOff>
    </xdr:to>
    <mc:AlternateContent xmlns:mc="http://schemas.openxmlformats.org/markup-compatibility/2006" xmlns:a14="http://schemas.microsoft.com/office/drawing/2010/main">
      <mc:Choice Requires="a14">
        <xdr:graphicFrame macro="">
          <xdr:nvGraphicFramePr>
            <xdr:cNvPr id="2" name="Branch 3">
              <a:extLst>
                <a:ext uri="{FF2B5EF4-FFF2-40B4-BE49-F238E27FC236}">
                  <a16:creationId xmlns:a16="http://schemas.microsoft.com/office/drawing/2014/main" id="{32B912EA-365A-47AD-BBA5-42607A8823E1}"/>
                </a:ext>
              </a:extLst>
            </xdr:cNvPr>
            <xdr:cNvGraphicFramePr/>
          </xdr:nvGraphicFramePr>
          <xdr:xfrm>
            <a:off x="0" y="0"/>
            <a:ext cx="0" cy="0"/>
          </xdr:xfrm>
          <a:graphic>
            <a:graphicData uri="http://schemas.microsoft.com/office/drawing/2010/slicer">
              <sle:slicer xmlns:sle="http://schemas.microsoft.com/office/drawing/2010/slicer" name="Branch 3"/>
            </a:graphicData>
          </a:graphic>
        </xdr:graphicFrame>
      </mc:Choice>
      <mc:Fallback xmlns="">
        <xdr:sp macro="" textlink="">
          <xdr:nvSpPr>
            <xdr:cNvPr id="0" name=""/>
            <xdr:cNvSpPr>
              <a:spLocks noTextEdit="1"/>
            </xdr:cNvSpPr>
          </xdr:nvSpPr>
          <xdr:spPr>
            <a:xfrm>
              <a:off x="0" y="449580"/>
              <a:ext cx="1828800" cy="1239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0</xdr:rowOff>
    </xdr:from>
    <xdr:to>
      <xdr:col>3</xdr:col>
      <xdr:colOff>0</xdr:colOff>
      <xdr:row>15</xdr:row>
      <xdr:rowOff>137462</xdr:rowOff>
    </xdr:to>
    <mc:AlternateContent xmlns:mc="http://schemas.openxmlformats.org/markup-compatibility/2006" xmlns:a14="http://schemas.microsoft.com/office/drawing/2010/main">
      <mc:Choice Requires="a14">
        <xdr:graphicFrame macro="">
          <xdr:nvGraphicFramePr>
            <xdr:cNvPr id="3" name="Shift 3">
              <a:extLst>
                <a:ext uri="{FF2B5EF4-FFF2-40B4-BE49-F238E27FC236}">
                  <a16:creationId xmlns:a16="http://schemas.microsoft.com/office/drawing/2014/main" id="{CF031E70-CFD2-4B45-AEE8-C9E424A33174}"/>
                </a:ext>
              </a:extLst>
            </xdr:cNvPr>
            <xdr:cNvGraphicFramePr/>
          </xdr:nvGraphicFramePr>
          <xdr:xfrm>
            <a:off x="0" y="0"/>
            <a:ext cx="0" cy="0"/>
          </xdr:xfrm>
          <a:graphic>
            <a:graphicData uri="http://schemas.microsoft.com/office/drawing/2010/slicer">
              <sle:slicer xmlns:sle="http://schemas.microsoft.com/office/drawing/2010/slicer" name="Shift 3"/>
            </a:graphicData>
          </a:graphic>
        </xdr:graphicFrame>
      </mc:Choice>
      <mc:Fallback xmlns="">
        <xdr:sp macro="" textlink="">
          <xdr:nvSpPr>
            <xdr:cNvPr id="0" name=""/>
            <xdr:cNvSpPr>
              <a:spLocks noTextEdit="1"/>
            </xdr:cNvSpPr>
          </xdr:nvSpPr>
          <xdr:spPr>
            <a:xfrm>
              <a:off x="0" y="1874520"/>
              <a:ext cx="1828800" cy="1234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556260</xdr:colOff>
      <xdr:row>6</xdr:row>
      <xdr:rowOff>0</xdr:rowOff>
    </xdr:from>
    <xdr:to>
      <xdr:col>9</xdr:col>
      <xdr:colOff>541021</xdr:colOff>
      <xdr:row>15</xdr:row>
      <xdr:rowOff>80953</xdr:rowOff>
    </xdr:to>
    <xdr:graphicFrame macro="">
      <xdr:nvGraphicFramePr>
        <xdr:cNvPr id="4" name="Chart 3">
          <a:extLst>
            <a:ext uri="{FF2B5EF4-FFF2-40B4-BE49-F238E27FC236}">
              <a16:creationId xmlns:a16="http://schemas.microsoft.com/office/drawing/2014/main" id="{A3AD0575-E966-46D2-BDE3-4019FA083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967741</xdr:colOff>
      <xdr:row>6</xdr:row>
      <xdr:rowOff>7620</xdr:rowOff>
    </xdr:from>
    <xdr:to>
      <xdr:col>16</xdr:col>
      <xdr:colOff>160020</xdr:colOff>
      <xdr:row>15</xdr:row>
      <xdr:rowOff>90383</xdr:rowOff>
    </xdr:to>
    <xdr:graphicFrame macro="">
      <xdr:nvGraphicFramePr>
        <xdr:cNvPr id="5" name="Chart 4">
          <a:extLst>
            <a:ext uri="{FF2B5EF4-FFF2-40B4-BE49-F238E27FC236}">
              <a16:creationId xmlns:a16="http://schemas.microsoft.com/office/drawing/2014/main" id="{033C641D-1664-49E4-A358-EE2642611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281940</xdr:colOff>
      <xdr:row>16</xdr:row>
      <xdr:rowOff>68580</xdr:rowOff>
    </xdr:from>
    <xdr:to>
      <xdr:col>14</xdr:col>
      <xdr:colOff>144779</xdr:colOff>
      <xdr:row>29</xdr:row>
      <xdr:rowOff>61641</xdr:rowOff>
    </xdr:to>
    <xdr:graphicFrame macro="">
      <xdr:nvGraphicFramePr>
        <xdr:cNvPr id="6" name="Chart 5">
          <a:extLst>
            <a:ext uri="{FF2B5EF4-FFF2-40B4-BE49-F238E27FC236}">
              <a16:creationId xmlns:a16="http://schemas.microsoft.com/office/drawing/2014/main" id="{92A0B76F-3BEA-47F3-B422-CCC4335CF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426720</xdr:colOff>
      <xdr:row>1</xdr:row>
      <xdr:rowOff>114300</xdr:rowOff>
    </xdr:from>
    <xdr:to>
      <xdr:col>1</xdr:col>
      <xdr:colOff>914400</xdr:colOff>
      <xdr:row>7</xdr:row>
      <xdr:rowOff>121920</xdr:rowOff>
    </xdr:to>
    <xdr:sp macro="" textlink="pivots!B2">
      <xdr:nvSpPr>
        <xdr:cNvPr id="2" name="Rectangle 1">
          <a:extLst>
            <a:ext uri="{FF2B5EF4-FFF2-40B4-BE49-F238E27FC236}">
              <a16:creationId xmlns:a16="http://schemas.microsoft.com/office/drawing/2014/main" id="{9C289CB7-B6F2-F28F-68DB-6A63BE0318BA}"/>
            </a:ext>
          </a:extLst>
        </xdr:cNvPr>
        <xdr:cNvSpPr/>
      </xdr:nvSpPr>
      <xdr:spPr>
        <a:xfrm>
          <a:off x="426720" y="297180"/>
          <a:ext cx="1348740" cy="110490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fld id="{749A0910-79C7-44EB-80BF-850E46891D71}" type="TxLink">
            <a:rPr lang="en-US" sz="1100" b="0" i="0" u="none" strike="noStrike">
              <a:solidFill>
                <a:srgbClr val="000000"/>
              </a:solidFill>
              <a:latin typeface="Calibri"/>
              <a:ea typeface="Calibri"/>
              <a:cs typeface="Calibri"/>
            </a:rPr>
            <a:pPr algn="l"/>
            <a:t>86</a:t>
          </a:fld>
          <a:endParaRPr lang="en-IN" sz="1100"/>
        </a:p>
      </xdr:txBody>
    </xdr:sp>
    <xdr:clientData/>
  </xdr:twoCellAnchor>
  <xdr:twoCellAnchor>
    <xdr:from>
      <xdr:col>1</xdr:col>
      <xdr:colOff>1272540</xdr:colOff>
      <xdr:row>1</xdr:row>
      <xdr:rowOff>129540</xdr:rowOff>
    </xdr:from>
    <xdr:to>
      <xdr:col>3</xdr:col>
      <xdr:colOff>53340</xdr:colOff>
      <xdr:row>7</xdr:row>
      <xdr:rowOff>152400</xdr:rowOff>
    </xdr:to>
    <xdr:sp macro="" textlink="">
      <xdr:nvSpPr>
        <xdr:cNvPr id="3" name="Rectangle 2">
          <a:extLst>
            <a:ext uri="{FF2B5EF4-FFF2-40B4-BE49-F238E27FC236}">
              <a16:creationId xmlns:a16="http://schemas.microsoft.com/office/drawing/2014/main" id="{506E28FA-7B65-3FF8-76A7-9C067E28322D}"/>
            </a:ext>
          </a:extLst>
        </xdr:cNvPr>
        <xdr:cNvSpPr/>
      </xdr:nvSpPr>
      <xdr:spPr>
        <a:xfrm>
          <a:off x="2133600" y="312420"/>
          <a:ext cx="1752600" cy="112014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609600</xdr:colOff>
      <xdr:row>2</xdr:row>
      <xdr:rowOff>83820</xdr:rowOff>
    </xdr:from>
    <xdr:to>
      <xdr:col>1</xdr:col>
      <xdr:colOff>739140</xdr:colOff>
      <xdr:row>4</xdr:row>
      <xdr:rowOff>106680</xdr:rowOff>
    </xdr:to>
    <xdr:sp macro="" textlink="">
      <xdr:nvSpPr>
        <xdr:cNvPr id="4" name="TextBox 3">
          <a:extLst>
            <a:ext uri="{FF2B5EF4-FFF2-40B4-BE49-F238E27FC236}">
              <a16:creationId xmlns:a16="http://schemas.microsoft.com/office/drawing/2014/main" id="{9E85383E-F927-C0D7-E06B-0C637B566E1C}"/>
            </a:ext>
          </a:extLst>
        </xdr:cNvPr>
        <xdr:cNvSpPr txBox="1"/>
      </xdr:nvSpPr>
      <xdr:spPr>
        <a:xfrm>
          <a:off x="609600" y="449580"/>
          <a:ext cx="99060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 combo orders</a:t>
          </a:r>
        </a:p>
      </xdr:txBody>
    </xdr:sp>
    <xdr:clientData/>
  </xdr:twoCellAnchor>
  <xdr:twoCellAnchor>
    <xdr:from>
      <xdr:col>2</xdr:col>
      <xdr:colOff>129540</xdr:colOff>
      <xdr:row>2</xdr:row>
      <xdr:rowOff>68580</xdr:rowOff>
    </xdr:from>
    <xdr:to>
      <xdr:col>2</xdr:col>
      <xdr:colOff>1684020</xdr:colOff>
      <xdr:row>4</xdr:row>
      <xdr:rowOff>60960</xdr:rowOff>
    </xdr:to>
    <xdr:sp macro="" textlink="">
      <xdr:nvSpPr>
        <xdr:cNvPr id="6" name="TextBox 5">
          <a:extLst>
            <a:ext uri="{FF2B5EF4-FFF2-40B4-BE49-F238E27FC236}">
              <a16:creationId xmlns:a16="http://schemas.microsoft.com/office/drawing/2014/main" id="{329AE9F1-B0C2-0555-D839-7DEDAFFEA16D}"/>
            </a:ext>
          </a:extLst>
        </xdr:cNvPr>
        <xdr:cNvSpPr txBox="1"/>
      </xdr:nvSpPr>
      <xdr:spPr>
        <a:xfrm>
          <a:off x="2598420" y="434340"/>
          <a:ext cx="1554480" cy="35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%of</a:t>
          </a:r>
          <a:r>
            <a:rPr lang="en-IN" sz="1100" baseline="0"/>
            <a:t> combo orders</a:t>
          </a:r>
          <a:endParaRPr lang="en-IN" sz="1100"/>
        </a:p>
      </xdr:txBody>
    </xdr:sp>
    <xdr:clientData/>
  </xdr:twoCellAnchor>
  <xdr:twoCellAnchor>
    <xdr:from>
      <xdr:col>0</xdr:col>
      <xdr:colOff>1143000</xdr:colOff>
      <xdr:row>5</xdr:row>
      <xdr:rowOff>60960</xdr:rowOff>
    </xdr:from>
    <xdr:to>
      <xdr:col>1</xdr:col>
      <xdr:colOff>396240</xdr:colOff>
      <xdr:row>6</xdr:row>
      <xdr:rowOff>152400</xdr:rowOff>
    </xdr:to>
    <xdr:sp macro="" textlink="pivots!B40">
      <xdr:nvSpPr>
        <xdr:cNvPr id="12" name="TextBox 11">
          <a:extLst>
            <a:ext uri="{FF2B5EF4-FFF2-40B4-BE49-F238E27FC236}">
              <a16:creationId xmlns:a16="http://schemas.microsoft.com/office/drawing/2014/main" id="{B7F762E6-5C5B-2511-BB8C-15B47BB52673}"/>
            </a:ext>
          </a:extLst>
        </xdr:cNvPr>
        <xdr:cNvSpPr txBox="1"/>
      </xdr:nvSpPr>
      <xdr:spPr>
        <a:xfrm>
          <a:off x="1143000" y="975360"/>
          <a:ext cx="434340" cy="274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3645BA-A4BB-4FF4-966F-68A6DB4BE034}" type="TxLink">
            <a:rPr lang="en-US" sz="1100" b="0" i="0" u="none" strike="noStrike">
              <a:solidFill>
                <a:srgbClr val="000000"/>
              </a:solidFill>
              <a:latin typeface="Calibri"/>
              <a:ea typeface="Calibri"/>
              <a:cs typeface="Calibri"/>
            </a:rPr>
            <a:pPr/>
            <a:t>86</a:t>
          </a:fld>
          <a:endParaRPr lang="en-IN" sz="1100"/>
        </a:p>
      </xdr:txBody>
    </xdr:sp>
    <xdr:clientData/>
  </xdr:twoCellAnchor>
  <xdr:twoCellAnchor>
    <xdr:from>
      <xdr:col>2</xdr:col>
      <xdr:colOff>609600</xdr:colOff>
      <xdr:row>5</xdr:row>
      <xdr:rowOff>53340</xdr:rowOff>
    </xdr:from>
    <xdr:to>
      <xdr:col>2</xdr:col>
      <xdr:colOff>1249680</xdr:colOff>
      <xdr:row>6</xdr:row>
      <xdr:rowOff>152400</xdr:rowOff>
    </xdr:to>
    <xdr:sp macro="" textlink="pivots!C40">
      <xdr:nvSpPr>
        <xdr:cNvPr id="13" name="TextBox 12">
          <a:extLst>
            <a:ext uri="{FF2B5EF4-FFF2-40B4-BE49-F238E27FC236}">
              <a16:creationId xmlns:a16="http://schemas.microsoft.com/office/drawing/2014/main" id="{904204C7-CA45-AC00-032C-94B43756729A}"/>
            </a:ext>
          </a:extLst>
        </xdr:cNvPr>
        <xdr:cNvSpPr txBox="1"/>
      </xdr:nvSpPr>
      <xdr:spPr>
        <a:xfrm>
          <a:off x="3078480" y="967740"/>
          <a:ext cx="640080" cy="281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98886C-BA96-47FD-97DD-3C62DE876C55}" type="TxLink">
            <a:rPr lang="en-US" sz="1100" b="0" i="0" u="none" strike="noStrike">
              <a:solidFill>
                <a:srgbClr val="000000"/>
              </a:solidFill>
              <a:latin typeface="Calibri"/>
              <a:ea typeface="Calibri"/>
              <a:cs typeface="Calibri"/>
            </a:rPr>
            <a:pPr/>
            <a:t>23.89%</a:t>
          </a:fld>
          <a:endParaRPr lang="en-IN" sz="1100"/>
        </a:p>
      </xdr:txBody>
    </xdr:sp>
    <xdr:clientData/>
  </xdr:twoCellAnchor>
  <xdr:twoCellAnchor editAs="oneCell">
    <xdr:from>
      <xdr:col>7</xdr:col>
      <xdr:colOff>289560</xdr:colOff>
      <xdr:row>2</xdr:row>
      <xdr:rowOff>0</xdr:rowOff>
    </xdr:from>
    <xdr:to>
      <xdr:col>9</xdr:col>
      <xdr:colOff>365760</xdr:colOff>
      <xdr:row>8</xdr:row>
      <xdr:rowOff>45720</xdr:rowOff>
    </xdr:to>
    <mc:AlternateContent xmlns:mc="http://schemas.openxmlformats.org/markup-compatibility/2006" xmlns:a14="http://schemas.microsoft.com/office/drawing/2010/main">
      <mc:Choice Requires="a14">
        <xdr:graphicFrame macro="">
          <xdr:nvGraphicFramePr>
            <xdr:cNvPr id="7" name="Branch 1">
              <a:extLst>
                <a:ext uri="{FF2B5EF4-FFF2-40B4-BE49-F238E27FC236}">
                  <a16:creationId xmlns:a16="http://schemas.microsoft.com/office/drawing/2014/main" id="{554D5C24-0E6D-41F8-AD9A-5046E2409C83}"/>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9784080" y="365760"/>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838200</xdr:colOff>
      <xdr:row>2</xdr:row>
      <xdr:rowOff>38101</xdr:rowOff>
    </xdr:from>
    <xdr:to>
      <xdr:col>11</xdr:col>
      <xdr:colOff>655320</xdr:colOff>
      <xdr:row>8</xdr:row>
      <xdr:rowOff>99061</xdr:rowOff>
    </xdr:to>
    <mc:AlternateContent xmlns:mc="http://schemas.openxmlformats.org/markup-compatibility/2006" xmlns:a14="http://schemas.microsoft.com/office/drawing/2010/main">
      <mc:Choice Requires="a14">
        <xdr:graphicFrame macro="">
          <xdr:nvGraphicFramePr>
            <xdr:cNvPr id="8" name="Shift 1">
              <a:extLst>
                <a:ext uri="{FF2B5EF4-FFF2-40B4-BE49-F238E27FC236}">
                  <a16:creationId xmlns:a16="http://schemas.microsoft.com/office/drawing/2014/main" id="{A417B370-ACD8-4186-81AA-11F473BD9B85}"/>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mlns="">
        <xdr:sp macro="" textlink="">
          <xdr:nvSpPr>
            <xdr:cNvPr id="0" name=""/>
            <xdr:cNvSpPr>
              <a:spLocks noTextEdit="1"/>
            </xdr:cNvSpPr>
          </xdr:nvSpPr>
          <xdr:spPr>
            <a:xfrm>
              <a:off x="12085320" y="40386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899160</xdr:colOff>
      <xdr:row>12</xdr:row>
      <xdr:rowOff>76201</xdr:rowOff>
    </xdr:from>
    <xdr:to>
      <xdr:col>11</xdr:col>
      <xdr:colOff>655320</xdr:colOff>
      <xdr:row>19</xdr:row>
      <xdr:rowOff>7621</xdr:rowOff>
    </xdr:to>
    <mc:AlternateContent xmlns:mc="http://schemas.openxmlformats.org/markup-compatibility/2006" xmlns:a14="http://schemas.microsoft.com/office/drawing/2010/main">
      <mc:Choice Requires="a14">
        <xdr:graphicFrame macro="">
          <xdr:nvGraphicFramePr>
            <xdr:cNvPr id="10" name="Branch 2">
              <a:extLst>
                <a:ext uri="{FF2B5EF4-FFF2-40B4-BE49-F238E27FC236}">
                  <a16:creationId xmlns:a16="http://schemas.microsoft.com/office/drawing/2014/main" id="{066F0B69-5E8C-5575-21F2-FA1339AE8E45}"/>
                </a:ext>
              </a:extLst>
            </xdr:cNvPr>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mlns="">
        <xdr:sp macro="" textlink="">
          <xdr:nvSpPr>
            <xdr:cNvPr id="0" name=""/>
            <xdr:cNvSpPr>
              <a:spLocks noTextEdit="1"/>
            </xdr:cNvSpPr>
          </xdr:nvSpPr>
          <xdr:spPr>
            <a:xfrm>
              <a:off x="12146280" y="2270761"/>
              <a:ext cx="176784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449580</xdr:colOff>
      <xdr:row>12</xdr:row>
      <xdr:rowOff>91441</xdr:rowOff>
    </xdr:from>
    <xdr:to>
      <xdr:col>9</xdr:col>
      <xdr:colOff>441960</xdr:colOff>
      <xdr:row>19</xdr:row>
      <xdr:rowOff>83821</xdr:rowOff>
    </xdr:to>
    <mc:AlternateContent xmlns:mc="http://schemas.openxmlformats.org/markup-compatibility/2006" xmlns:a14="http://schemas.microsoft.com/office/drawing/2010/main">
      <mc:Choice Requires="a14">
        <xdr:graphicFrame macro="">
          <xdr:nvGraphicFramePr>
            <xdr:cNvPr id="14" name="Shift 2">
              <a:extLst>
                <a:ext uri="{FF2B5EF4-FFF2-40B4-BE49-F238E27FC236}">
                  <a16:creationId xmlns:a16="http://schemas.microsoft.com/office/drawing/2014/main" id="{767AE6BA-1C06-1AB1-1DE8-5EFAFBF1BB75}"/>
                </a:ext>
              </a:extLst>
            </xdr:cNvPr>
            <xdr:cNvGraphicFramePr/>
          </xdr:nvGraphicFramePr>
          <xdr:xfrm>
            <a:off x="0" y="0"/>
            <a:ext cx="0" cy="0"/>
          </xdr:xfrm>
          <a:graphic>
            <a:graphicData uri="http://schemas.microsoft.com/office/drawing/2010/slicer">
              <sle:slicer xmlns:sle="http://schemas.microsoft.com/office/drawing/2010/slicer" name="Shift 2"/>
            </a:graphicData>
          </a:graphic>
        </xdr:graphicFrame>
      </mc:Choice>
      <mc:Fallback xmlns="">
        <xdr:sp macro="" textlink="">
          <xdr:nvSpPr>
            <xdr:cNvPr id="0" name=""/>
            <xdr:cNvSpPr>
              <a:spLocks noTextEdit="1"/>
            </xdr:cNvSpPr>
          </xdr:nvSpPr>
          <xdr:spPr>
            <a:xfrm>
              <a:off x="9944100" y="2286001"/>
              <a:ext cx="174498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228600</xdr:colOff>
      <xdr:row>1</xdr:row>
      <xdr:rowOff>121920</xdr:rowOff>
    </xdr:from>
    <xdr:to>
      <xdr:col>4</xdr:col>
      <xdr:colOff>876300</xdr:colOff>
      <xdr:row>7</xdr:row>
      <xdr:rowOff>144780</xdr:rowOff>
    </xdr:to>
    <xdr:sp macro="" textlink="">
      <xdr:nvSpPr>
        <xdr:cNvPr id="5" name="Rectangle 4">
          <a:extLst>
            <a:ext uri="{FF2B5EF4-FFF2-40B4-BE49-F238E27FC236}">
              <a16:creationId xmlns:a16="http://schemas.microsoft.com/office/drawing/2014/main" id="{B3B7FA96-8623-4912-4FD4-369EECB5B8DD}"/>
            </a:ext>
          </a:extLst>
        </xdr:cNvPr>
        <xdr:cNvSpPr/>
      </xdr:nvSpPr>
      <xdr:spPr>
        <a:xfrm>
          <a:off x="4480560" y="304800"/>
          <a:ext cx="2293620" cy="112014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266700</xdr:colOff>
      <xdr:row>1</xdr:row>
      <xdr:rowOff>129540</xdr:rowOff>
    </xdr:from>
    <xdr:to>
      <xdr:col>6</xdr:col>
      <xdr:colOff>457200</xdr:colOff>
      <xdr:row>7</xdr:row>
      <xdr:rowOff>137160</xdr:rowOff>
    </xdr:to>
    <xdr:sp macro="" textlink="">
      <xdr:nvSpPr>
        <xdr:cNvPr id="9" name="Rectangle 8">
          <a:extLst>
            <a:ext uri="{FF2B5EF4-FFF2-40B4-BE49-F238E27FC236}">
              <a16:creationId xmlns:a16="http://schemas.microsoft.com/office/drawing/2014/main" id="{8B2C5C76-23BA-6AE3-3B5E-71C615A8B07B}"/>
            </a:ext>
          </a:extLst>
        </xdr:cNvPr>
        <xdr:cNvSpPr/>
      </xdr:nvSpPr>
      <xdr:spPr>
        <a:xfrm>
          <a:off x="7063740" y="312420"/>
          <a:ext cx="2087880" cy="1104900"/>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998220</xdr:colOff>
      <xdr:row>5</xdr:row>
      <xdr:rowOff>137160</xdr:rowOff>
    </xdr:from>
    <xdr:to>
      <xdr:col>4</xdr:col>
      <xdr:colOff>144780</xdr:colOff>
      <xdr:row>7</xdr:row>
      <xdr:rowOff>30480</xdr:rowOff>
    </xdr:to>
    <xdr:sp macro="" textlink="B25">
      <xdr:nvSpPr>
        <xdr:cNvPr id="11" name="TextBox 10">
          <a:extLst>
            <a:ext uri="{FF2B5EF4-FFF2-40B4-BE49-F238E27FC236}">
              <a16:creationId xmlns:a16="http://schemas.microsoft.com/office/drawing/2014/main" id="{A0F5AA48-1E32-91C5-AAB0-4811ED5BB3FB}"/>
            </a:ext>
          </a:extLst>
        </xdr:cNvPr>
        <xdr:cNvSpPr txBox="1"/>
      </xdr:nvSpPr>
      <xdr:spPr>
        <a:xfrm>
          <a:off x="5250180" y="1051560"/>
          <a:ext cx="79248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A4F33F1-5A68-4114-84A2-5DE972FC4146}" type="TxLink">
            <a:rPr lang="en-US" sz="1100" b="0" i="0" u="none" strike="noStrike">
              <a:solidFill>
                <a:srgbClr val="000000"/>
              </a:solidFill>
              <a:latin typeface="Calibri"/>
              <a:ea typeface="Calibri"/>
              <a:cs typeface="Calibri"/>
            </a:rPr>
            <a:pPr/>
            <a:t>₹ 158.11</a:t>
          </a:fld>
          <a:endParaRPr lang="en-IN" sz="1100"/>
        </a:p>
      </xdr:txBody>
    </xdr:sp>
    <xdr:clientData/>
  </xdr:twoCellAnchor>
  <xdr:twoCellAnchor>
    <xdr:from>
      <xdr:col>5</xdr:col>
      <xdr:colOff>655320</xdr:colOff>
      <xdr:row>5</xdr:row>
      <xdr:rowOff>114300</xdr:rowOff>
    </xdr:from>
    <xdr:to>
      <xdr:col>6</xdr:col>
      <xdr:colOff>22860</xdr:colOff>
      <xdr:row>6</xdr:row>
      <xdr:rowOff>144780</xdr:rowOff>
    </xdr:to>
    <xdr:sp macro="" textlink="D25">
      <xdr:nvSpPr>
        <xdr:cNvPr id="15" name="TextBox 14">
          <a:extLst>
            <a:ext uri="{FF2B5EF4-FFF2-40B4-BE49-F238E27FC236}">
              <a16:creationId xmlns:a16="http://schemas.microsoft.com/office/drawing/2014/main" id="{1F4409B9-15EB-99F1-68E3-7E6A3A6B45EB}"/>
            </a:ext>
          </a:extLst>
        </xdr:cNvPr>
        <xdr:cNvSpPr txBox="1"/>
      </xdr:nvSpPr>
      <xdr:spPr>
        <a:xfrm>
          <a:off x="7452360" y="1028700"/>
          <a:ext cx="1264920" cy="213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B9DD06-936B-49FB-9B76-5CC93C45E9FE}" type="TxLink">
            <a:rPr lang="en-US" sz="1100" b="0" i="0" u="none" strike="noStrike">
              <a:solidFill>
                <a:srgbClr val="000000"/>
              </a:solidFill>
              <a:latin typeface="Calibri"/>
              <a:ea typeface="Calibri"/>
              <a:cs typeface="Calibri"/>
            </a:rPr>
            <a:pPr/>
            <a:t>₹ 81.00</a:t>
          </a:fld>
          <a:endParaRPr lang="en-IN" sz="1100"/>
        </a:p>
      </xdr:txBody>
    </xdr:sp>
    <xdr:clientData/>
  </xdr:twoCellAnchor>
  <xdr:twoCellAnchor>
    <xdr:from>
      <xdr:col>3</xdr:col>
      <xdr:colOff>510540</xdr:colOff>
      <xdr:row>2</xdr:row>
      <xdr:rowOff>45720</xdr:rowOff>
    </xdr:from>
    <xdr:to>
      <xdr:col>4</xdr:col>
      <xdr:colOff>495300</xdr:colOff>
      <xdr:row>4</xdr:row>
      <xdr:rowOff>152400</xdr:rowOff>
    </xdr:to>
    <xdr:sp macro="" textlink="">
      <xdr:nvSpPr>
        <xdr:cNvPr id="16" name="TextBox 15">
          <a:extLst>
            <a:ext uri="{FF2B5EF4-FFF2-40B4-BE49-F238E27FC236}">
              <a16:creationId xmlns:a16="http://schemas.microsoft.com/office/drawing/2014/main" id="{303A3E45-7023-4304-8496-A2C526687FE5}"/>
            </a:ext>
          </a:extLst>
        </xdr:cNvPr>
        <xdr:cNvSpPr txBox="1"/>
      </xdr:nvSpPr>
      <xdr:spPr>
        <a:xfrm>
          <a:off x="4762500" y="411480"/>
          <a:ext cx="1630680" cy="472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 ticket size of combo orders</a:t>
          </a:r>
        </a:p>
      </xdr:txBody>
    </xdr:sp>
    <xdr:clientData/>
  </xdr:twoCellAnchor>
  <xdr:twoCellAnchor>
    <xdr:from>
      <xdr:col>5</xdr:col>
      <xdr:colOff>350520</xdr:colOff>
      <xdr:row>2</xdr:row>
      <xdr:rowOff>60960</xdr:rowOff>
    </xdr:from>
    <xdr:to>
      <xdr:col>6</xdr:col>
      <xdr:colOff>274320</xdr:colOff>
      <xdr:row>4</xdr:row>
      <xdr:rowOff>129540</xdr:rowOff>
    </xdr:to>
    <xdr:sp macro="" textlink="">
      <xdr:nvSpPr>
        <xdr:cNvPr id="17" name="TextBox 16">
          <a:extLst>
            <a:ext uri="{FF2B5EF4-FFF2-40B4-BE49-F238E27FC236}">
              <a16:creationId xmlns:a16="http://schemas.microsoft.com/office/drawing/2014/main" id="{1938DA73-6027-2830-81D6-CACDE7152B48}"/>
            </a:ext>
          </a:extLst>
        </xdr:cNvPr>
        <xdr:cNvSpPr txBox="1"/>
      </xdr:nvSpPr>
      <xdr:spPr>
        <a:xfrm>
          <a:off x="7147560" y="426720"/>
          <a:ext cx="1821180" cy="4343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Avg gross profit per combo ofeers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ANTIKA CHOWDHURY" refreshedDate="46193.567210532405" createdVersion="8" refreshedVersion="8" minRefreshableVersion="3" recordCount="924" xr:uid="{781F6130-B9D6-49C1-AB84-26048D629755}">
  <cacheSource type="worksheet">
    <worksheetSource ref="A1:J925" sheet="OrderLines"/>
  </cacheSource>
  <cacheFields count="10">
    <cacheField name="OrderID" numFmtId="0">
      <sharedItems/>
    </cacheField>
    <cacheField name="SKU" numFmtId="0">
      <sharedItems/>
    </cacheField>
    <cacheField name="Qty" numFmtId="0">
      <sharedItems containsSemiMixedTypes="0" containsString="0" containsNumber="1" containsInteger="1" minValue="1" maxValue="3"/>
    </cacheField>
    <cacheField name="UnitPrice" numFmtId="0">
      <sharedItems containsSemiMixedTypes="0" containsString="0" containsNumber="1" minValue="20.11" maxValue="256.91000000000003"/>
    </cacheField>
    <cacheField name="Category" numFmtId="0">
      <sharedItems/>
    </cacheField>
    <cacheField name="UnitCost" numFmtId="0">
      <sharedItems containsSemiMixedTypes="0" containsString="0" containsNumber="1" minValue="8" maxValue="121.24"/>
    </cacheField>
    <cacheField name="OrderDate" numFmtId="14">
      <sharedItems containsSemiMixedTypes="0" containsNonDate="0" containsDate="1" containsString="0" minDate="2025-07-01T00:00:00" maxDate="2025-08-30T00:00:00"/>
    </cacheField>
    <cacheField name="Branch" numFmtId="0">
      <sharedItems/>
    </cacheField>
    <cacheField name="DiscountPct" numFmtId="0">
      <sharedItems containsSemiMixedTypes="0" containsString="0" containsNumber="1" minValue="0" maxValue="0.21"/>
    </cacheField>
    <cacheField name="LineNetAmount" numFmtId="0">
      <sharedItems containsSemiMixedTypes="0" containsString="0" containsNumber="1" minValue="17.093499999999999" maxValue="739.90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ANTIKA CHOWDHURY" refreshedDate="46193.844215509256" createdVersion="8" refreshedVersion="8" minRefreshableVersion="3" recordCount="924" xr:uid="{61C71997-E251-4BDE-9F66-6A57FAA6B602}">
  <cacheSource type="worksheet">
    <worksheetSource ref="A1:L925" sheet="OrderLines"/>
  </cacheSource>
  <cacheFields count="11">
    <cacheField name="OrderID" numFmtId="0">
      <sharedItems/>
    </cacheField>
    <cacheField name="SKU" numFmtId="0">
      <sharedItems/>
    </cacheField>
    <cacheField name="Qty" numFmtId="0">
      <sharedItems containsSemiMixedTypes="0" containsString="0" containsNumber="1" containsInteger="1" minValue="1" maxValue="3"/>
    </cacheField>
    <cacheField name="UnitPrice" numFmtId="0">
      <sharedItems containsSemiMixedTypes="0" containsString="0" containsNumber="1" minValue="20.11" maxValue="256.91000000000003"/>
    </cacheField>
    <cacheField name="Category" numFmtId="0">
      <sharedItems/>
    </cacheField>
    <cacheField name="UnitCost" numFmtId="0">
      <sharedItems containsSemiMixedTypes="0" containsString="0" containsNumber="1" minValue="8" maxValue="121.24"/>
    </cacheField>
    <cacheField name="OrderDate" numFmtId="166">
      <sharedItems containsSemiMixedTypes="0" containsNonDate="0" containsDate="1" containsString="0" minDate="2025-07-01T00:00:00" maxDate="2025-08-30T00:00:00"/>
    </cacheField>
    <cacheField name="Branch" numFmtId="0">
      <sharedItems/>
    </cacheField>
    <cacheField name="DiscountPct" numFmtId="0">
      <sharedItems containsSemiMixedTypes="0" containsString="0" containsNumber="1" minValue="0" maxValue="0.21"/>
    </cacheField>
    <cacheField name="LineNetAmount" numFmtId="0">
      <sharedItems containsSemiMixedTypes="0" containsString="0" containsNumber="1" minValue="17.093499999999999" maxValue="739.9008" count="509">
        <n v="147.90900000000002"/>
        <n v="28.822999999999997"/>
        <n v="72.722499999999997"/>
        <n v="65.959999999999994"/>
        <n v="52.45"/>
        <n v="512.49"/>
        <n v="38.06"/>
        <n v="477.41460000000001"/>
        <n v="67.718400000000003"/>
        <n v="27.2928"/>
        <n v="54.296999999999997"/>
        <n v="30.671399999999995"/>
        <n v="317.74380000000002"/>
        <n v="22.2"/>
        <n v="171.21"/>
        <n v="30.34"/>
        <n v="106.1502"/>
        <n v="35.395800000000001"/>
        <n v="42.623999999999995"/>
        <n v="236.24639999999999"/>
        <n v="73.488"/>
        <n v="27.577099999999998"/>
        <n v="49.864000000000004"/>
        <n v="48.254000000000005"/>
        <n v="206.68499999999997"/>
        <n v="54.612000000000002"/>
        <n v="315.36"/>
        <n v="231.21900000000002"/>
        <n v="25.587"/>
        <n v="137.79"/>
        <n v="18.099"/>
        <n v="165.70510000000002"/>
        <n v="95.971800000000002"/>
        <n v="148.50699999999998"/>
        <n v="54.216499999999996"/>
        <n v="67.013000000000005"/>
        <n v="149.48250000000002"/>
        <n v="216.2295"/>
        <n v="105.12"/>
        <n v="59.363999999999997"/>
        <n v="140.54400000000001"/>
        <n v="493.2672"/>
        <n v="154.47000000000003"/>
        <n v="31.330999999999996"/>
        <n v="154.20300000000003"/>
        <n v="39.151000000000003"/>
        <n v="98.372399999999999"/>
        <n v="53.658000000000001"/>
        <n v="56.291399999999996"/>
        <n v="254.34090000000003"/>
        <n v="18.3001"/>
        <n v="223.9419"/>
        <n v="390.88800000000003"/>
        <n v="47.178599999999996"/>
        <n v="47.205000000000005"/>
        <n v="34.254000000000005"/>
        <n v="476.6157"/>
        <n v="28.216199999999997"/>
        <n v="228.86369999999999"/>
        <n v="48.684299999999993"/>
        <n v="226.59199999999998"/>
        <n v="68.4238"/>
        <n v="39.013399999999997"/>
        <n v="140.03009999999998"/>
        <n v="25.0184"/>
        <n v="216.5592"/>
        <n v="124.1504"/>
        <n v="50.948"/>
        <n v="275.23199999999997"/>
        <n v="109.79199999999999"/>
        <n v="47.696000000000005"/>
        <n v="102.78399999999999"/>
        <n v="58.044799999999995"/>
        <n v="257.66399999999999"/>
        <n v="39.950000000000003"/>
        <n v="350.4"/>
        <n v="30.011799999999997"/>
        <n v="36.354500000000002"/>
        <n v="20.202000000000002"/>
        <n v="427.90679999999998"/>
        <n v="71.956999999999994"/>
        <n v="26.7242"/>
        <n v="47.680499999999995"/>
        <n v="162.2885"/>
        <n v="321.16039999999998"/>
        <n v="486.8655"/>
        <n v="92.014199999999988"/>
        <n v="26.439899999999998"/>
        <n v="477.8526"/>
        <n v="87.0672"/>
        <n v="62.075200000000002"/>
        <n v="54.787199999999999"/>
        <n v="21.311999999999998"/>
        <n v="218.50560000000002"/>
        <n v="52.032000000000004"/>
        <n v="21.533999999999999"/>
        <n v="50.352000000000004"/>
        <n v="210.24"/>
        <n v="37.153500000000001"/>
        <n v="35.0152"/>
        <n v="92.349599999999995"/>
        <n v="52.311199999999999"/>
        <n v="213.95339999999999"/>
        <n v="62.002399999999987"/>
        <n v="68.894999999999996"/>
        <n v="29.681999999999999"/>
        <n v="238.7073"/>
        <n v="113.29599999999999"/>
        <n v="222.76049999999998"/>
        <n v="134.02600000000001"/>
        <n v="49.827500000000001"/>
        <n v="100.70400000000001"/>
        <n v="233.6"/>
        <n v="325.87199999999996"/>
        <n v="136.15199999999999"/>
        <n v="85.558799999999991"/>
        <n v="35.776400000000002"/>
        <n v="233.78549999999998"/>
        <n v="153.1"/>
        <n v="54.2"/>
        <n v="455.22"/>
        <n v="327.99360000000001"/>
        <n v="246.6336"/>
        <n v="135.43680000000001"/>
        <n v="57.645999999999994"/>
        <n v="113.8575"/>
        <n v="58.8596"/>
        <n v="145.44499999999999"/>
        <n v="18.501200000000001"/>
        <n v="441.88520000000005"/>
        <n v="121.32880000000002"/>
        <n v="24.4498"/>
        <n v="408.45600000000002"/>
        <n v="142.38299999999998"/>
        <n v="423.3546"/>
        <n v="65.602199999999996"/>
        <n v="217.24799999999999"/>
        <n v="160.58019999999999"/>
        <n v="28.519599999999997"/>
        <n v="137.61599999999999"/>
        <n v="738.27"/>
        <n v="513.82000000000005"/>
        <n v="141.08000000000001"/>
        <n v="146.4"/>
        <n v="56.710199999999993"/>
        <n v="143.91399999999999"/>
        <n v="286.99439999999998"/>
        <n v="25.485599999999998"/>
        <n v="23.8812"/>
        <n v="95.36099999999999"/>
        <n v="20.645999999999997"/>
        <n v="48.778500000000001"/>
        <n v="131.20439999999999"/>
        <n v="635.03189999999995"/>
        <n v="53.448399999999999"/>
        <n v="71.552800000000005"/>
        <n v="112.65900000000001"/>
        <n v="49.688099999999999"/>
        <n v="289.87200000000001"/>
        <n v="29.352199999999996"/>
        <n v="62.780600000000007"/>
        <n v="45.672899999999998"/>
        <n v="90.035399999999996"/>
        <n v="34.634600000000006"/>
        <n v="51.742600000000003"/>
        <n v="43.512"/>
        <n v="64.640799999999999"/>
        <n v="251.77180000000001"/>
        <n v="59.4664"/>
        <n v="44.167200000000001"/>
        <n v="119.85000000000001"/>
        <n v="27.912800000000001"/>
        <n v="269.37600000000003"/>
        <n v="25.788999999999998"/>
        <n v="130.13499999999999"/>
        <n v="44.582500000000003"/>
        <n v="53.116"/>
        <n v="31.660799999999995"/>
        <n v="146.976"/>
        <n v="98.605999999999995"/>
        <n v="20.867999999999999"/>
        <n v="132.61520000000002"/>
        <n v="104.9"/>
        <n v="641.86019999999996"/>
        <n v="31.001199999999994"/>
        <n v="41.735999999999997"/>
        <n v="286.94400000000002"/>
        <n v="418.80240000000003"/>
        <n v="214.91200000000001"/>
        <n v="111.85719999999999"/>
        <n v="77.503"/>
        <n v="662.3451"/>
        <n v="701.35649999999998"/>
        <n v="51.49"/>
        <n v="97.950599999999994"/>
        <n v="84.437099999999987"/>
        <n v="89.338200000000001"/>
        <n v="228.64990000000003"/>
        <n v="70.540000000000006"/>
        <n v="70.791600000000003"/>
        <n v="49.322000000000003"/>
        <n v="30.0366"/>
        <n v="113.0382"/>
        <n v="37.002400000000002"/>
        <n v="20.423999999999999"/>
        <n v="71.191499999999991"/>
        <n v="56.432399999999994"/>
        <n v="53.075099999999999"/>
        <n v="284.01600000000002"/>
        <n v="31.990599999999997"/>
        <n v="19.506699999999999"/>
        <n v="108.624"/>
        <n v="272.30399999999997"/>
        <n v="158.87190000000001"/>
        <n v="146.05289999999999"/>
        <n v="105.148"/>
        <n v="428.19659999999999"/>
        <n v="28.692599999999999"/>
        <n v="199.79549999999998"/>
        <n v="94.308000000000007"/>
        <n v="110.26200000000001"/>
        <n v="236.35720000000003"/>
        <n v="30.3416"/>
        <n v="231.26399999999998"/>
        <n v="149.0643"/>
        <n v="59.726700000000001"/>
        <n v="227.35349999999997"/>
        <n v="47.729500000000002"/>
        <n v="69.129200000000012"/>
        <n v="64.191400000000002"/>
        <n v="311.85599999999999"/>
        <n v="68.129499999999993"/>
        <n v="67.746800000000007"/>
        <n v="93.361000000000004"/>
        <n v="249.20270000000002"/>
        <n v="29.4298"/>
        <n v="110.7158"/>
        <n v="131.76000000000002"/>
        <n v="664.44299999999998"/>
        <n v="141.61500000000004"/>
        <n v="48.78"/>
        <n v="322.36799999999999"/>
        <n v="52.504400000000004"/>
        <n v="452.80560000000003"/>
        <n v="106.288"/>
        <n v="45.106999999999999"/>
        <n v="125.904"/>
        <n v="147.2406"/>
        <n v="136.8476"/>
        <n v="498.40540000000004"/>
        <n v="63.981199999999994"/>
        <n v="334.82679999999999"/>
        <n v="159.34800000000001"/>
        <n v="241.16820000000001"/>
        <n v="241.49540000000002"/>
        <n v="238.9263"/>
        <n v="107.29159999999999"/>
        <n v="18.903399999999998"/>
        <n v="92.312000000000012"/>
        <n v="400.59360000000004"/>
        <n v="21.09"/>
        <n v="108.43299999999999"/>
        <n v="139.08000000000001"/>
        <n v="83.315399999999997"/>
        <n v="103.8674"/>
        <n v="414.25020000000006"/>
        <n v="143.18850000000003"/>
        <n v="73.836399999999998"/>
        <n v="51.401000000000003"/>
        <n v="27.8614"/>
        <n v="26.1556"/>
        <n v="138.52439999999999"/>
        <n v="38.208999999999996"/>
        <n v="60.683199999999999"/>
        <n v="724.48619999999994"/>
        <n v="693.97379999999998"/>
        <n v="310.91060000000004"/>
        <n v="207.12510000000003"/>
        <n v="686.59109999999998"/>
        <n v="144.93600000000001"/>
        <n v="90.109799999999993"/>
        <n v="18.702299999999997"/>
        <n v="52.879799999999996"/>
        <n v="46.174799999999998"/>
        <n v="78.302000000000007"/>
        <n v="503.54360000000003"/>
        <n v="55.928599999999996"/>
        <n v="84.648599999999988"/>
        <n v="111.4605"/>
        <n v="53.645799999999994"/>
        <n v="19.908899999999999"/>
        <n v="107.316"/>
        <n v="169.49790000000002"/>
        <n v="37.679400000000001"/>
        <n v="314.32720000000006"/>
        <n v="51.363"/>
        <n v="462.43800000000005"/>
        <n v="97.56"/>
        <n v="71.910000000000011"/>
        <n v="154.089"/>
        <n v="138.25840000000002"/>
        <n v="64.896800000000013"/>
        <n v="91.024799999999999"/>
        <n v="231.31200000000001"/>
        <n v="39.650100000000002"/>
        <n v="60.474499999999999"/>
        <n v="209.40120000000002"/>
        <n v="33.873400000000004"/>
        <n v="39.515999999999998"/>
        <n v="44.6691"/>
        <n v="35.555500000000002"/>
        <n v="63.486000000000004"/>
        <n v="307.49400000000003"/>
        <n v="488.12900000000002"/>
        <n v="36.600200000000001"/>
        <n v="69.660499999999999"/>
        <n v="60.023599999999995"/>
        <n v="77.613900000000001"/>
        <n v="97.368599999999986"/>
        <n v="220.7817"/>
        <n v="19.104499999999998"/>
        <n v="244.06450000000001"/>
        <n v="54.585599999999999"/>
        <n v="36.537599999999998"/>
        <n v="329.37599999999998"/>
        <n v="209.1765"/>
        <n v="85.322999999999993"/>
        <n v="28.43"/>
        <n v="621.37530000000004"/>
        <n v="233.78810000000004"/>
        <n v="87.379199999999997"/>
        <n v="63.321599999999989"/>
        <n v="45.170999999999999"/>
        <n v="66.307600000000008"/>
        <n v="40.404000000000003"/>
        <n v="94.357199999999992"/>
        <n v="160.9374"/>
        <n v="17.093499999999999"/>
        <n v="59.959000000000003"/>
        <n v="84.09899999999999"/>
        <n v="48.509499999999996"/>
        <n v="91.345799999999997"/>
        <n v="95.459000000000003"/>
        <n v="116.8"/>
        <n v="100.38"/>
        <n v="51.933700000000002"/>
        <n v="55.218800000000002"/>
        <n v="331.41020000000003"/>
        <n v="37.552999999999997"/>
        <n v="155.45530000000002"/>
        <n v="648.68849999999998"/>
        <n v="76.704000000000008"/>
        <n v="29.1264"/>
        <n v="82.73129999999999"/>
        <n v="36.918199999999999"/>
        <n v="214.09829999999999"/>
        <n v="148.95269999999999"/>
        <n v="61.271999999999998"/>
        <n v="70.0304"/>
        <n v="442.96199999999999"/>
        <n v="19.98"/>
        <n v="662.82780000000002"/>
        <n v="181.9932"/>
        <n v="35.955000000000005"/>
        <n v="204.84900000000002"/>
        <n v="114.18"/>
        <n v="227.61"/>
        <n v="655.51679999999999"/>
        <n v="130.29600000000002"/>
        <n v="17.8979"/>
        <n v="136.25899999999999"/>
        <n v="157.16360000000003"/>
        <n v="73.50800000000001"/>
        <n v="144.76200000000003"/>
        <n v="25.871300000000002"/>
        <n v="223.05780000000001"/>
        <n v="215.87099999999995"/>
        <n v="152.84400000000002"/>
        <n v="57.07"/>
        <n v="39.415599999999998"/>
        <n v="102.98"/>
        <n v="54.016999999999996"/>
        <n v="155.77650000000003"/>
        <n v="61.369800000000005"/>
        <n v="49.468199999999996"/>
        <n v="670.53510000000006"/>
        <n v="52.791600000000003"/>
        <n v="100.812"/>
        <n v="143.08800000000002"/>
        <n v="33.492800000000003"/>
        <n v="170.83"/>
        <n v="103.952"/>
        <n v="58.704399999999993"/>
        <n v="204.38849999999999"/>
        <n v="462.64920000000001"/>
        <n v="29.7332"/>
        <n v="36.754000000000005"/>
        <n v="75.105999999999995"/>
        <n v="192.57420000000002"/>
        <n v="208.98149999999998"/>
        <n v="467.57620000000009"/>
        <n v="26.699200000000001"/>
        <n v="508.68180000000007"/>
        <n v="79.100999999999999"/>
        <n v="487.25819999999999"/>
        <n v="97.018999999999991"/>
        <n v="99.28"/>
        <n v="20.11"/>
        <n v="278.16000000000003"/>
        <n v="194.69040000000001"/>
        <n v="457.72739999999999"/>
        <n v="38.352000000000004"/>
        <n v="324.577"/>
        <n v="57.916799999999995"/>
        <n v="437.01120000000003"/>
        <n v="109.5744"/>
        <n v="472.49279999999999"/>
        <n v="48.182399999999994"/>
        <n v="281.08800000000002"/>
        <n v="69.269200000000012"/>
        <n v="211.6773"/>
        <n v="43.067999999999998"/>
        <n v="60.605999999999995"/>
        <n v="266.44800000000004"/>
        <n v="133.22400000000002"/>
        <n v="140.852"/>
        <n v="472.71440000000007"/>
        <n v="54.005200000000002"/>
        <n v="35.7958"/>
        <n v="438.04020000000003"/>
        <n v="224.256"/>
        <n v="226.40280000000001"/>
        <n v="78.466799999999992"/>
        <n v="732.19349999999997"/>
        <n v="162.64949999999999"/>
        <n v="27.008499999999998"/>
        <n v="693.65700000000004"/>
        <n v="126.97200000000001"/>
        <n v="482.99080000000004"/>
        <n v="318.86399999999998"/>
        <n v="137.0187"/>
        <n v="36.157000000000004"/>
        <n v="332.87999999999994"/>
        <n v="221.92"/>
        <n v="83.738399999999999"/>
        <n v="68.713999999999999"/>
        <n v="26.092399999999998"/>
        <n v="669.17340000000002"/>
        <n v="75.784499999999994"/>
        <n v="103.851"/>
        <n v="48.238000000000007"/>
        <n v="46.680500000000002"/>
        <n v="152.03870000000001"/>
        <n v="134.00729999999999"/>
        <n v="139.321"/>
        <n v="134.68800000000002"/>
        <n v="198.9228"/>
        <n v="32.320399999999999"/>
        <n v="19.707799999999999"/>
        <n v="409.69800000000004"/>
        <n v="55.357900000000001"/>
        <n v="50.405999999999999"/>
        <n v="97.557000000000002"/>
        <n v="63.935999999999993"/>
        <n v="73.075199999999995"/>
        <n v="79.900000000000006"/>
        <n v="492.18"/>
        <n v="50.19"/>
        <n v="439.20000000000005"/>
        <n v="74.253499999999988"/>
        <n v="110.96"/>
        <n v="467.57099999999997"/>
        <n v="17.6968"/>
        <n v="100.4432"/>
        <n v="63.269999999999989"/>
        <n v="142.00800000000001"/>
        <n v="300.66080000000005"/>
        <n v="40.847999999999999"/>
        <n v="144.54719999999998"/>
        <n v="46.676699999999997"/>
        <n v="412.84800000000001"/>
        <n v="49.302999999999997"/>
        <n v="66.985600000000005"/>
        <n v="70.312000000000012"/>
        <n v="50.221600000000002"/>
        <n v="39.96"/>
        <n v="441.5634"/>
        <n v="52.573999999999998"/>
        <n v="212.57599999999999"/>
        <n v="93.353399999999993"/>
        <n v="124.44"/>
        <n v="166.0737"/>
        <n v="151.05600000000001"/>
        <n v="229.64999999999998"/>
        <n v="151.21800000000002"/>
        <n v="17.294599999999999"/>
        <n v="48.8996"/>
        <n v="263.52000000000004"/>
        <n v="739.9008"/>
        <n v="114.464"/>
        <n v="225.05699999999996"/>
        <n v="60.0732"/>
        <n v="17.495699999999999"/>
        <n v="26.395800000000001"/>
        <n v="66.224400000000003"/>
        <n v="405.14580000000001"/>
        <n v="27.002600000000001"/>
        <n v="163.99680000000001"/>
        <n v="58.252800000000001"/>
      </sharedItems>
    </cacheField>
    <cacheField name="MonthName" numFmtId="166">
      <sharedItems count="2">
        <s v="July"/>
        <s v="August"/>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ANTIKA CHOWDHURY" refreshedDate="46198.581171759259" createdVersion="8" refreshedVersion="8" minRefreshableVersion="3" recordCount="924" xr:uid="{EE34585F-810F-4F32-8C75-2A79F172189F}">
  <cacheSource type="worksheet">
    <worksheetSource ref="A1:O925" sheet="OrderLines"/>
  </cacheSource>
  <cacheFields count="15">
    <cacheField name="OrderID" numFmtId="0">
      <sharedItems/>
    </cacheField>
    <cacheField name="SKU" numFmtId="0">
      <sharedItems/>
    </cacheField>
    <cacheField name="Qty" numFmtId="0">
      <sharedItems containsSemiMixedTypes="0" containsString="0" containsNumber="1" containsInteger="1" minValue="1" maxValue="3"/>
    </cacheField>
    <cacheField name="UnitPrice" numFmtId="2">
      <sharedItems containsSemiMixedTypes="0" containsString="0" containsNumber="1" minValue="20.11" maxValue="256.91000000000003"/>
    </cacheField>
    <cacheField name="Category" numFmtId="0">
      <sharedItems count="4">
        <s v="Snack"/>
        <s v="Beverage"/>
        <s v="Dessert"/>
        <s v="Hot Meal"/>
      </sharedItems>
    </cacheField>
    <cacheField name="UnitCost" numFmtId="2">
      <sharedItems containsSemiMixedTypes="0" containsString="0" containsNumber="1" minValue="8" maxValue="121.24"/>
    </cacheField>
    <cacheField name="OrderDate" numFmtId="166">
      <sharedItems containsSemiMixedTypes="0" containsNonDate="0" containsDate="1" containsString="0" minDate="2025-07-01T00:00:00" maxDate="2025-08-30T00:00:00"/>
    </cacheField>
    <cacheField name="Branch" numFmtId="0">
      <sharedItems count="3">
        <s v="Head Office Café"/>
        <s v="Plant 2 Canteen"/>
        <s v="Plant 1 Canteen"/>
      </sharedItems>
    </cacheField>
    <cacheField name="DiscountPct" numFmtId="0">
      <sharedItems containsSemiMixedTypes="0" containsString="0" containsNumber="1" minValue="0" maxValue="0.21"/>
    </cacheField>
    <cacheField name="LineNetAmount" numFmtId="0">
      <sharedItems containsSemiMixedTypes="0" containsString="0" containsNumber="1" minValue="17.093499999999999" maxValue="739.9008"/>
    </cacheField>
    <cacheField name="MonthName" numFmtId="166">
      <sharedItems count="2">
        <s v="July"/>
        <s v="August"/>
      </sharedItems>
    </cacheField>
    <cacheField name="Shift" numFmtId="0">
      <sharedItems/>
    </cacheField>
    <cacheField name="PaymentType" numFmtId="0">
      <sharedItems/>
    </cacheField>
    <cacheField name="ComboFlag" numFmtId="0">
      <sharedItems/>
    </cacheField>
    <cacheField name="DiscountFlag"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TIKA CHOWDHURY" refreshedDate="46194.869978587965" backgroundQuery="1" createdVersion="8" refreshedVersion="8" minRefreshableVersion="3" recordCount="0" supportSubquery="1" supportAdvancedDrill="1" xr:uid="{58AC96F2-9BBD-40F8-B0F7-D856CA4CE854}">
  <cacheSource type="external" connectionId="1"/>
  <cacheFields count="3">
    <cacheField name="[Range].[Shift].[Shift]" caption="Shift" numFmtId="0" hierarchy="30" level="1">
      <sharedItems count="3">
        <s v="Breakfast"/>
        <s v="Dinner"/>
        <s v="Lunch"/>
      </sharedItems>
    </cacheField>
    <cacheField name="[Measures].[Sum of LineNetAmount]" caption="Sum of LineNetAmount" numFmtId="0" hierarchy="35" level="32767"/>
    <cacheField name="[Measures].[Distinct Count of OrderID]" caption="Distinct Count of OrderID" numFmtId="0" hierarchy="37" level="32767"/>
  </cacheFields>
  <cacheHierarchies count="43">
    <cacheHierarchy uniqueName="[orderlinesTABLE].[OrderID]" caption="OrderID" attribute="1" defaultMemberUniqueName="[orderlinesTABLE].[OrderID].[All]" allUniqueName="[orderlinesTABLE].[OrderID].[All]" dimensionUniqueName="[orderlinesTABLE]" displayFolder="" count="0" memberValueDatatype="130" unbalanced="0"/>
    <cacheHierarchy uniqueName="[orderlinesTABLE].[SKU]" caption="SKU" attribute="1" defaultMemberUniqueName="[orderlinesTABLE].[SKU].[All]" allUniqueName="[orderlinesTABLE].[SKU].[All]" dimensionUniqueName="[orderlinesTABLE]" displayFolder="" count="0" memberValueDatatype="130" unbalanced="0"/>
    <cacheHierarchy uniqueName="[orderlinesTABLE].[Qty]" caption="Qty" attribute="1" defaultMemberUniqueName="[orderlinesTABLE].[Qty].[All]" allUniqueName="[orderlinesTABLE].[Qty].[All]" dimensionUniqueName="[orderlinesTABLE]" displayFolder="" count="0" memberValueDatatype="20" unbalanced="0"/>
    <cacheHierarchy uniqueName="[orderlinesTABLE].[UnitPrice]" caption="UnitPrice" attribute="1" defaultMemberUniqueName="[orderlinesTABLE].[UnitPrice].[All]" allUniqueName="[orderlinesTABLE].[UnitPrice].[All]" dimensionUniqueName="[orderlinesTABLE]" displayFolder="" count="0" memberValueDatatype="5" unbalanced="0"/>
    <cacheHierarchy uniqueName="[orderlinesTABLE].[Category]" caption="Category" attribute="1" defaultMemberUniqueName="[orderlinesTABLE].[Category].[All]" allUniqueName="[orderlinesTABLE].[Category].[All]" dimensionUniqueName="[orderlinesTABLE]" displayFolder="" count="0" memberValueDatatype="130" unbalanced="0"/>
    <cacheHierarchy uniqueName="[orderlinesTABLE].[UnitCost]" caption="UnitCost" attribute="1" defaultMemberUniqueName="[orderlinesTABLE].[UnitCost].[All]" allUniqueName="[orderlinesTABLE].[UnitCost].[All]" dimensionUniqueName="[orderlinesTABLE]" displayFolder="" count="0" memberValueDatatype="5" unbalanced="0"/>
    <cacheHierarchy uniqueName="[orderlinesTABLE].[OrderDate]" caption="OrderDate" attribute="1" time="1" defaultMemberUniqueName="[orderlinesTABLE].[OrderDate].[All]" allUniqueName="[orderlinesTABLE].[OrderDate].[All]" dimensionUniqueName="[orderlinesTABLE]" displayFolder="" count="0" memberValueDatatype="7" unbalanced="0"/>
    <cacheHierarchy uniqueName="[orderlinesTABLE].[Branch]" caption="Branch" attribute="1" defaultMemberUniqueName="[orderlinesTABLE].[Branch].[All]" allUniqueName="[orderlinesTABLE].[Branch].[All]" dimensionUniqueName="[orderlinesTABLE]" displayFolder="" count="0" memberValueDatatype="130" unbalanced="0"/>
    <cacheHierarchy uniqueName="[orderlinesTABLE].[DiscountPct]" caption="DiscountPct" attribute="1" defaultMemberUniqueName="[orderlinesTABLE].[DiscountPct].[All]" allUniqueName="[orderlinesTABLE].[DiscountPct].[All]" dimensionUniqueName="[orderlinesTABLE]" displayFolder="" count="0" memberValueDatatype="5" unbalanced="0"/>
    <cacheHierarchy uniqueName="[orderlinesTABLE].[LineNetAmount]" caption="LineNetAmount" attribute="1" defaultMemberUniqueName="[orderlinesTABLE].[LineNetAmount].[All]" allUniqueName="[orderlinesTABLE].[LineNetAmount].[All]" dimensionUniqueName="[orderlinesTABLE]" displayFolder="" count="0" memberValueDatatype="5" unbalanced="0"/>
    <cacheHierarchy uniqueName="[orderlinesTABLE].[MonthName]" caption="MonthName" attribute="1" defaultMemberUniqueName="[orderlinesTABLE].[MonthName].[All]" allUniqueName="[orderlinesTABLE].[MonthName].[All]" dimensionUniqueName="[orderlinesTABLE]" displayFolder="" count="0" memberValueDatatype="130" unbalanced="0"/>
    <cacheHierarchy uniqueName="[orderlinesTABLE].[Shift]" caption="Shift" attribute="1" defaultMemberUniqueName="[orderlinesTABLE].[Shift].[All]" allUniqueName="[orderlinesTABLE].[Shift].[All]" dimensionUniqueName="[orderlinesTABLE]" displayFolder="" count="0" memberValueDatatype="130" unbalanced="0"/>
    <cacheHierarchy uniqueName="[orderlinesTABLE].[PaymentType]" caption="PaymentType" attribute="1" defaultMemberUniqueName="[orderlinesTABLE].[PaymentType].[All]" allUniqueName="[orderlinesTABLE].[PaymentType].[All]" dimensionUniqueName="[orderlinesTABLE]" displayFolder="" count="0" memberValueDatatype="130" unbalanced="0"/>
    <cacheHierarchy uniqueName="[orderlinesTABLE].[ComboFlag]" caption="ComboFlag" attribute="1" defaultMemberUniqueName="[orderlinesTABLE].[ComboFlag].[All]" allUniqueName="[orderlinesTABLE].[ComboFlag].[All]" dimensionUniqueName="[orderlinesTABLE]" displayFolder="" count="0" memberValueDatatype="130" unbalanced="0"/>
    <cacheHierarchy uniqueName="[orderlinesTABLE].[DiscountFlag]" caption="DiscountFlag" attribute="1" defaultMemberUniqueName="[orderlinesTABLE].[DiscountFlag].[All]" allUniqueName="[orderlinesTABLE].[DiscountFlag].[All]" dimensionUniqueName="[orderlinesTABLE]" displayFolder="" count="0" memberValueDatatype="130" unbalanced="0"/>
    <cacheHierarchy uniqueName="[orderlinesTABLE].[totalCOST]" caption="totalCOST" attribute="1" defaultMemberUniqueName="[orderlinesTABLE].[totalCOST].[All]" allUniqueName="[orderlinesTABLE].[totalCOST].[All]" dimensionUniqueName="[orderlinesTABLE]" displayFolder="" count="0" memberValueDatatype="5" unbalanced="0"/>
    <cacheHierarchy uniqueName="[orderlinesTABLE].[Profit]" caption="Profit" attribute="1" defaultMemberUniqueName="[orderlinesTABLE].[Profit].[All]" allUniqueName="[orderlinesTABLE].[Profit].[All]" dimensionUniqueName="[orderlinesTABLE]" displayFolder="" count="0" memberValueDatatype="5" unbalanced="0"/>
    <cacheHierarchy uniqueName="[orderlinesTABLE].[ItemName]" caption="ItemName" attribute="1" defaultMemberUniqueName="[orderlinesTABLE].[ItemName].[All]" allUniqueName="[orderlinesTABLE].[ItemName].[All]" dimensionUniqueName="[orderlinesTABLE]" displayFolder="" count="0" memberValueDatatype="130" unbalanced="0"/>
    <cacheHierarchy uniqueName="[orderlinesTABLE].[Combination]" caption="Combination" attribute="1" defaultMemberUniqueName="[orderlinesTABLE].[Combination].[All]" allUniqueName="[orderlinesTABLE].[Combination].[All]" dimensionUniqueName="[orderlinesTABLE]" displayFolder="" count="0" memberValueDatatype="130" unbalanced="0"/>
    <cacheHierarchy uniqueName="[Range].[OrderID]" caption="OrderID" attribute="1" defaultMemberUniqueName="[Range].[OrderID].[All]" allUniqueName="[Range].[Order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Category]" caption="Category" attribute="1" defaultMemberUniqueName="[Range].[Category].[All]" allUniqueName="[Range].[Category].[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Branch]" caption="Branch" attribute="1" defaultMemberUniqueName="[Range].[Branch].[All]" allUniqueName="[Range].[Branch].[All]" dimensionUniqueName="[Range]" displayFolder="" count="0" memberValueDatatype="130" unbalanced="0"/>
    <cacheHierarchy uniqueName="[Range].[DiscountPct]" caption="DiscountPct" attribute="1" defaultMemberUniqueName="[Range].[DiscountPct].[All]" allUniqueName="[Range].[DiscountPct].[All]" dimensionUniqueName="[Range]" displayFolder="" count="0" memberValueDatatype="5" unbalanced="0"/>
    <cacheHierarchy uniqueName="[Range].[LineNetAmount]" caption="LineNetAmount" attribute="1" defaultMemberUniqueName="[Range].[LineNetAmount].[All]" allUniqueName="[Range].[LineNetAmount].[All]" dimensionUniqueName="[Range]" displayFolder="" count="0" memberValueDatatype="5" unbalanced="0"/>
    <cacheHierarchy uniqueName="[Range].[MonthName]" caption="MonthName" attribute="1" defaultMemberUniqueName="[Range].[MonthName].[All]" allUniqueName="[Range].[MonthName].[All]" dimensionUniqueName="[Range]" displayFolder="" count="0" memberValueDatatype="130" unbalanced="0"/>
    <cacheHierarchy uniqueName="[Range].[Shift]" caption="Shift" attribute="1" defaultMemberUniqueName="[Range].[Shift].[All]" allUniqueName="[Range].[Shift].[All]" dimensionUniqueName="[Range]" displayFolder="" count="2" memberValueDatatype="130" unbalanced="0">
      <fieldsUsage count="2">
        <fieldUsage x="-1"/>
        <fieldUsage x="0"/>
      </fieldsUsage>
    </cacheHierarchy>
    <cacheHierarchy uniqueName="[Range].[PaymentType]" caption="PaymentType" attribute="1" defaultMemberUniqueName="[Range].[PaymentType].[All]" allUniqueName="[Range].[PaymentType].[All]" dimensionUniqueName="[Range]" displayFolder="" count="0" memberValueDatatype="130" unbalanced="0"/>
    <cacheHierarchy uniqueName="[Measures].[__XL_Count Range]" caption="__XL_Count Range" measure="1" displayFolder="" measureGroup="Range" count="0" hidden="1"/>
    <cacheHierarchy uniqueName="[Measures].[__XL_Count orderlinesTABLE]" caption="__XL_Count orderlinesTABLE" measure="1" displayFolder="" measureGroup="orderlinesTABLE" count="0" hidden="1"/>
    <cacheHierarchy uniqueName="[Measures].[__No measures defined]" caption="__No measures defined" measure="1" displayFolder="" count="0" hidden="1"/>
    <cacheHierarchy uniqueName="[Measures].[Sum of LineNetAmount]" caption="Sum of LineNetAmount" measure="1" displayFolder="" measureGroup="Range"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Range" count="0" oneField="1" hidden="1">
      <fieldsUsage count="1">
        <fieldUsage x="2"/>
      </fieldsUsage>
      <extLst>
        <ext xmlns:x15="http://schemas.microsoft.com/office/spreadsheetml/2010/11/main" uri="{B97F6D7D-B522-45F9-BDA1-12C45D357490}">
          <x15:cacheHierarchy aggregatedColumn="19"/>
        </ext>
      </extLst>
    </cacheHierarchy>
    <cacheHierarchy uniqueName="[Measures].[Count of OrderID 2]" caption="Count of OrderID 2" measure="1" displayFolder="" measureGroup="orderlinesTABLE"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orderlinesTABLE" count="0" hidden="1">
      <extLst>
        <ext xmlns:x15="http://schemas.microsoft.com/office/spreadsheetml/2010/11/main" uri="{B97F6D7D-B522-45F9-BDA1-12C45D357490}">
          <x15:cacheHierarchy aggregatedColumn="0"/>
        </ext>
      </extLst>
    </cacheHierarchy>
    <cacheHierarchy uniqueName="[Measures].[Sum of LineNetAmount 2]" caption="Sum of LineNetAmount 2" measure="1" displayFolder="" measureGroup="orderlinesTABLE" count="0" hidden="1">
      <extLst>
        <ext xmlns:x15="http://schemas.microsoft.com/office/spreadsheetml/2010/11/main" uri="{B97F6D7D-B522-45F9-BDA1-12C45D357490}">
          <x15:cacheHierarchy aggregatedColumn="9"/>
        </ext>
      </extLst>
    </cacheHierarchy>
    <cacheHierarchy uniqueName="[Measures].[Sum of totalCOST]" caption="Sum of totalCOST" measure="1" displayFolder="" measureGroup="orderlinesTABLE"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linesTABLE"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orderlinesTABLE" uniqueName="[orderlinesTABLE]" caption="orderlinesTABLE"/>
    <dimension name="Range" uniqueName="[Range]" caption="Range"/>
  </dimensions>
  <measureGroups count="2">
    <measureGroup name="orderlinesTABLE" caption="orderlinesTABLE"/>
    <measureGroup name="Range" caption="Rang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ANTIKA CHOWDHURY" refreshedDate="46209.474298842593" createdVersion="8" refreshedVersion="8" minRefreshableVersion="3" recordCount="924" xr:uid="{53CCFA17-372F-4078-9514-BF582F285250}">
  <cacheSource type="worksheet">
    <worksheetSource name="orderlinesTABLE"/>
  </cacheSource>
  <cacheFields count="20">
    <cacheField name="OrderID" numFmtId="0">
      <sharedItems/>
    </cacheField>
    <cacheField name="SKU" numFmtId="0">
      <sharedItems/>
    </cacheField>
    <cacheField name="Qty" numFmtId="0">
      <sharedItems containsSemiMixedTypes="0" containsString="0" containsNumber="1" containsInteger="1" minValue="1" maxValue="3"/>
    </cacheField>
    <cacheField name="UnitPrice" numFmtId="2">
      <sharedItems containsSemiMixedTypes="0" containsString="0" containsNumber="1" minValue="20.11" maxValue="256.91000000000003"/>
    </cacheField>
    <cacheField name="Category" numFmtId="0">
      <sharedItems/>
    </cacheField>
    <cacheField name="UnitCost" numFmtId="2">
      <sharedItems containsSemiMixedTypes="0" containsString="0" containsNumber="1" minValue="8" maxValue="121.24"/>
    </cacheField>
    <cacheField name="OrderDate" numFmtId="166">
      <sharedItems containsSemiMixedTypes="0" containsNonDate="0" containsDate="1" containsString="0" minDate="2025-07-01T00:00:00" maxDate="2025-08-30T00:00:00"/>
    </cacheField>
    <cacheField name="Branch" numFmtId="0">
      <sharedItems count="3">
        <s v="Head Office Café"/>
        <s v="Plant 2 Canteen"/>
        <s v="Plant 1 Canteen"/>
      </sharedItems>
    </cacheField>
    <cacheField name="DiscountPct" numFmtId="0">
      <sharedItems containsSemiMixedTypes="0" containsString="0" containsNumber="1" minValue="0" maxValue="0.21"/>
    </cacheField>
    <cacheField name="LineNetAmount" numFmtId="0">
      <sharedItems containsSemiMixedTypes="0" containsString="0" containsNumber="1" minValue="17.093499999999999" maxValue="739.9008"/>
    </cacheField>
    <cacheField name="MonthName" numFmtId="166">
      <sharedItems/>
    </cacheField>
    <cacheField name="Shift" numFmtId="0">
      <sharedItems count="3">
        <s v="Breakfast"/>
        <s v="Dinner"/>
        <s v="Lunch"/>
      </sharedItems>
    </cacheField>
    <cacheField name="PaymentType" numFmtId="0">
      <sharedItems/>
    </cacheField>
    <cacheField name="ComboFlag" numFmtId="0">
      <sharedItems count="2">
        <s v="Single"/>
        <s v="Combo"/>
      </sharedItems>
    </cacheField>
    <cacheField name="DiscountFlag" numFmtId="0">
      <sharedItems/>
    </cacheField>
    <cacheField name="totalCOST" numFmtId="0">
      <sharedItems containsSemiMixedTypes="0" containsString="0" containsNumber="1" minValue="8" maxValue="363.71999999999997"/>
    </cacheField>
    <cacheField name="Profit" numFmtId="0">
      <sharedItems containsSemiMixedTypes="0" containsString="0" containsNumber="1" minValue="9.0934999999999988" maxValue="402.03"/>
    </cacheField>
    <cacheField name="ItemName" numFmtId="0">
      <sharedItems/>
    </cacheField>
    <cacheField name="Combination" numFmtId="0">
      <sharedItems/>
    </cacheField>
    <cacheField name="GM%" numFmtId="9">
      <sharedItems containsSemiMixedTypes="0" containsString="0" containsNumber="1" minValue="0.30033893615549562" maxValue="0.64099454214675555"/>
    </cacheField>
  </cacheFields>
  <extLst>
    <ext xmlns:x14="http://schemas.microsoft.com/office/spreadsheetml/2009/9/main" uri="{725AE2AE-9491-48be-B2B4-4EB974FC3084}">
      <x14:pivotCacheDefinition pivotCacheId="152894223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TIKA CHOWDHURY" refreshedDate="46209.575519444443" backgroundQuery="1" createdVersion="8" refreshedVersion="8" minRefreshableVersion="3" recordCount="0" supportSubquery="1" supportAdvancedDrill="1" xr:uid="{0A7C55E2-3154-4884-8430-F2F0BCCE4501}">
  <cacheSource type="external" connectionId="1"/>
  <cacheFields count="4">
    <cacheField name="[orderlinesTABLE].[ComboFlag].[ComboFlag]" caption="ComboFlag" numFmtId="0" hierarchy="13" level="1">
      <sharedItems count="2">
        <s v="Combo"/>
        <s v="Single"/>
      </sharedItems>
    </cacheField>
    <cacheField name="[Measures].[Distinct Count of OrderID 2]" caption="Distinct Count of OrderID 2" numFmtId="0" hierarchy="39" level="32767"/>
    <cacheField name="[orderlinesTABLE].[Branch].[Branch]" caption="Branch" numFmtId="0" hierarchy="7" level="1">
      <sharedItems containsSemiMixedTypes="0" containsNonDate="0" containsString="0"/>
    </cacheField>
    <cacheField name="Unsupported0" numFmtId="0" hierarchy="43" level="32767">
      <extLst>
        <ext xmlns:x14="http://schemas.microsoft.com/office/spreadsheetml/2009/9/main" uri="{63CAB8AC-B538-458d-9737-405883B0398D}">
          <x14:cacheField ignore="1"/>
        </ext>
      </extLst>
    </cacheField>
  </cacheFields>
  <cacheHierarchies count="44">
    <cacheHierarchy uniqueName="[orderlinesTABLE].[OrderID]" caption="OrderID" attribute="1" defaultMemberUniqueName="[orderlinesTABLE].[OrderID].[All]" allUniqueName="[orderlinesTABLE].[OrderID].[All]" dimensionUniqueName="[orderlinesTABLE]" displayFolder="" count="0" memberValueDatatype="130" unbalanced="0"/>
    <cacheHierarchy uniqueName="[orderlinesTABLE].[SKU]" caption="SKU" attribute="1" defaultMemberUniqueName="[orderlinesTABLE].[SKU].[All]" allUniqueName="[orderlinesTABLE].[SKU].[All]" dimensionUniqueName="[orderlinesTABLE]" displayFolder="" count="0" memberValueDatatype="130" unbalanced="0"/>
    <cacheHierarchy uniqueName="[orderlinesTABLE].[Qty]" caption="Qty" attribute="1" defaultMemberUniqueName="[orderlinesTABLE].[Qty].[All]" allUniqueName="[orderlinesTABLE].[Qty].[All]" dimensionUniqueName="[orderlinesTABLE]" displayFolder="" count="0" memberValueDatatype="20" unbalanced="0"/>
    <cacheHierarchy uniqueName="[orderlinesTABLE].[UnitPrice]" caption="UnitPrice" attribute="1" defaultMemberUniqueName="[orderlinesTABLE].[UnitPrice].[All]" allUniqueName="[orderlinesTABLE].[UnitPrice].[All]" dimensionUniqueName="[orderlinesTABLE]" displayFolder="" count="0" memberValueDatatype="5" unbalanced="0"/>
    <cacheHierarchy uniqueName="[orderlinesTABLE].[Category]" caption="Category" attribute="1" defaultMemberUniqueName="[orderlinesTABLE].[Category].[All]" allUniqueName="[orderlinesTABLE].[Category].[All]" dimensionUniqueName="[orderlinesTABLE]" displayFolder="" count="0" memberValueDatatype="130" unbalanced="0"/>
    <cacheHierarchy uniqueName="[orderlinesTABLE].[UnitCost]" caption="UnitCost" attribute="1" defaultMemberUniqueName="[orderlinesTABLE].[UnitCost].[All]" allUniqueName="[orderlinesTABLE].[UnitCost].[All]" dimensionUniqueName="[orderlinesTABLE]" displayFolder="" count="0" memberValueDatatype="5" unbalanced="0"/>
    <cacheHierarchy uniqueName="[orderlinesTABLE].[OrderDate]" caption="OrderDate" attribute="1" time="1" defaultMemberUniqueName="[orderlinesTABLE].[OrderDate].[All]" allUniqueName="[orderlinesTABLE].[OrderDate].[All]" dimensionUniqueName="[orderlinesTABLE]" displayFolder="" count="0" memberValueDatatype="7" unbalanced="0"/>
    <cacheHierarchy uniqueName="[orderlinesTABLE].[Branch]" caption="Branch" attribute="1" defaultMemberUniqueName="[orderlinesTABLE].[Branch].[All]" allUniqueName="[orderlinesTABLE].[Branch].[All]" dimensionUniqueName="[orderlinesTABLE]" displayFolder="" count="2" memberValueDatatype="130" unbalanced="0">
      <fieldsUsage count="2">
        <fieldUsage x="-1"/>
        <fieldUsage x="2"/>
      </fieldsUsage>
    </cacheHierarchy>
    <cacheHierarchy uniqueName="[orderlinesTABLE].[DiscountPct]" caption="DiscountPct" attribute="1" defaultMemberUniqueName="[orderlinesTABLE].[DiscountPct].[All]" allUniqueName="[orderlinesTABLE].[DiscountPct].[All]" dimensionUniqueName="[orderlinesTABLE]" displayFolder="" count="0" memberValueDatatype="5" unbalanced="0"/>
    <cacheHierarchy uniqueName="[orderlinesTABLE].[LineNetAmount]" caption="LineNetAmount" attribute="1" defaultMemberUniqueName="[orderlinesTABLE].[LineNetAmount].[All]" allUniqueName="[orderlinesTABLE].[LineNetAmount].[All]" dimensionUniqueName="[orderlinesTABLE]" displayFolder="" count="0" memberValueDatatype="5" unbalanced="0"/>
    <cacheHierarchy uniqueName="[orderlinesTABLE].[MonthName]" caption="MonthName" attribute="1" defaultMemberUniqueName="[orderlinesTABLE].[MonthName].[All]" allUniqueName="[orderlinesTABLE].[MonthName].[All]" dimensionUniqueName="[orderlinesTABLE]" displayFolder="" count="0" memberValueDatatype="130" unbalanced="0"/>
    <cacheHierarchy uniqueName="[orderlinesTABLE].[Shift]" caption="Shift" attribute="1" defaultMemberUniqueName="[orderlinesTABLE].[Shift].[All]" allUniqueName="[orderlinesTABLE].[Shift].[All]" dimensionUniqueName="[orderlinesTABLE]" displayFolder="" count="2" memberValueDatatype="130" unbalanced="0"/>
    <cacheHierarchy uniqueName="[orderlinesTABLE].[PaymentType]" caption="PaymentType" attribute="1" defaultMemberUniqueName="[orderlinesTABLE].[PaymentType].[All]" allUniqueName="[orderlinesTABLE].[PaymentType].[All]" dimensionUniqueName="[orderlinesTABLE]" displayFolder="" count="0" memberValueDatatype="130" unbalanced="0"/>
    <cacheHierarchy uniqueName="[orderlinesTABLE].[ComboFlag]" caption="ComboFlag" attribute="1" defaultMemberUniqueName="[orderlinesTABLE].[ComboFlag].[All]" allUniqueName="[orderlinesTABLE].[ComboFlag].[All]" dimensionUniqueName="[orderlinesTABLE]" displayFolder="" count="2" memberValueDatatype="130" unbalanced="0">
      <fieldsUsage count="2">
        <fieldUsage x="-1"/>
        <fieldUsage x="0"/>
      </fieldsUsage>
    </cacheHierarchy>
    <cacheHierarchy uniqueName="[orderlinesTABLE].[DiscountFlag]" caption="DiscountFlag" attribute="1" defaultMemberUniqueName="[orderlinesTABLE].[DiscountFlag].[All]" allUniqueName="[orderlinesTABLE].[DiscountFlag].[All]" dimensionUniqueName="[orderlinesTABLE]" displayFolder="" count="0" memberValueDatatype="130" unbalanced="0"/>
    <cacheHierarchy uniqueName="[orderlinesTABLE].[totalCOST]" caption="totalCOST" attribute="1" defaultMemberUniqueName="[orderlinesTABLE].[totalCOST].[All]" allUniqueName="[orderlinesTABLE].[totalCOST].[All]" dimensionUniqueName="[orderlinesTABLE]" displayFolder="" count="0" memberValueDatatype="5" unbalanced="0"/>
    <cacheHierarchy uniqueName="[orderlinesTABLE].[Profit]" caption="Profit" attribute="1" defaultMemberUniqueName="[orderlinesTABLE].[Profit].[All]" allUniqueName="[orderlinesTABLE].[Profit].[All]" dimensionUniqueName="[orderlinesTABLE]" displayFolder="" count="0" memberValueDatatype="5" unbalanced="0"/>
    <cacheHierarchy uniqueName="[orderlinesTABLE].[ItemName]" caption="ItemName" attribute="1" defaultMemberUniqueName="[orderlinesTABLE].[ItemName].[All]" allUniqueName="[orderlinesTABLE].[ItemName].[All]" dimensionUniqueName="[orderlinesTABLE]" displayFolder="" count="0" memberValueDatatype="130" unbalanced="0"/>
    <cacheHierarchy uniqueName="[orderlinesTABLE].[Combination]" caption="Combination" attribute="1" defaultMemberUniqueName="[orderlinesTABLE].[Combination].[All]" allUniqueName="[orderlinesTABLE].[Combination].[All]" dimensionUniqueName="[orderlinesTABLE]" displayFolder="" count="0" memberValueDatatype="130" unbalanced="0"/>
    <cacheHierarchy uniqueName="[Range].[OrderID]" caption="OrderID" attribute="1" defaultMemberUniqueName="[Range].[OrderID].[All]" allUniqueName="[Range].[Order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Category]" caption="Category" attribute="1" defaultMemberUniqueName="[Range].[Category].[All]" allUniqueName="[Range].[Category].[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Branch]" caption="Branch" attribute="1" defaultMemberUniqueName="[Range].[Branch].[All]" allUniqueName="[Range].[Branch].[All]" dimensionUniqueName="[Range]" displayFolder="" count="0" memberValueDatatype="130" unbalanced="0"/>
    <cacheHierarchy uniqueName="[Range].[DiscountPct]" caption="DiscountPct" attribute="1" defaultMemberUniqueName="[Range].[DiscountPct].[All]" allUniqueName="[Range].[DiscountPct].[All]" dimensionUniqueName="[Range]" displayFolder="" count="0" memberValueDatatype="5" unbalanced="0"/>
    <cacheHierarchy uniqueName="[Range].[LineNetAmount]" caption="LineNetAmount" attribute="1" defaultMemberUniqueName="[Range].[LineNetAmount].[All]" allUniqueName="[Range].[LineNetAmount].[All]" dimensionUniqueName="[Range]" displayFolder="" count="0" memberValueDatatype="5" unbalanced="0"/>
    <cacheHierarchy uniqueName="[Range].[MonthName]" caption="MonthName" attribute="1" defaultMemberUniqueName="[Range].[MonthName].[All]" allUniqueName="[Range].[MonthName].[All]" dimensionUniqueName="[Range]" displayFolder="" count="0" memberValueDatatype="130" unbalanced="0"/>
    <cacheHierarchy uniqueName="[Range].[Shift]" caption="Shift" attribute="1" defaultMemberUniqueName="[Range].[Shift].[All]" allUniqueName="[Range].[Shift].[All]" dimensionUniqueName="[Range]" displayFolder="" count="0" memberValueDatatype="130" unbalanced="0"/>
    <cacheHierarchy uniqueName="[Range].[PaymentType]" caption="PaymentType" attribute="1" defaultMemberUniqueName="[Range].[PaymentType].[All]" allUniqueName="[Range].[PaymentType].[All]" dimensionUniqueName="[Range]" displayFolder="" count="0" memberValueDatatype="130" unbalanced="0"/>
    <cacheHierarchy uniqueName="[Measures].[__XL_Count Range]" caption="__XL_Count Range" measure="1" displayFolder="" measureGroup="Range" count="0" hidden="1"/>
    <cacheHierarchy uniqueName="[Measures].[__XL_Count orderlinesTABLE]" caption="__XL_Count orderlinesTABLE" measure="1" displayFolder="" measureGroup="orderlinesTABLE" count="0" hidden="1"/>
    <cacheHierarchy uniqueName="[Measures].[__No measures defined]" caption="__No measures defined" measure="1" displayFolder="" count="0" hidden="1"/>
    <cacheHierarchy uniqueName="[Measures].[Sum of LineNetAmount]" caption="Sum of LineNetAmount" measure="1" displayFolder="" measureGroup="Range"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19"/>
        </ext>
      </extLst>
    </cacheHierarchy>
    <cacheHierarchy uniqueName="[Measures].[Count of OrderID 2]" caption="Count of OrderID 2" measure="1" displayFolder="" measureGroup="orderlinesTABLE"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orderlinesTABL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LineNetAmount 2]" caption="Sum of LineNetAmount 2" measure="1" displayFolder="" measureGroup="orderlinesTABLE" count="0" hidden="1">
      <extLst>
        <ext xmlns:x15="http://schemas.microsoft.com/office/spreadsheetml/2010/11/main" uri="{B97F6D7D-B522-45F9-BDA1-12C45D357490}">
          <x15:cacheHierarchy aggregatedColumn="9"/>
        </ext>
      </extLst>
    </cacheHierarchy>
    <cacheHierarchy uniqueName="[Measures].[Sum of totalCOST]" caption="Sum of totalCOST" measure="1" displayFolder="" measureGroup="orderlinesTABLE"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linesTABLE" count="0" hidden="1">
      <extLst>
        <ext xmlns:x15="http://schemas.microsoft.com/office/spreadsheetml/2010/11/main" uri="{B97F6D7D-B522-45F9-BDA1-12C45D357490}">
          <x15:cacheHierarchy aggregatedColumn="16"/>
        </ext>
      </extLst>
    </cacheHierarchy>
    <cacheHierarchy uniqueName="Unsupported0" caption="OrderID"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orderlinesTABLE" uniqueName="[orderlinesTABLE]" caption="orderlinesTABLE"/>
    <dimension name="Range" uniqueName="[Range]" caption="Range"/>
  </dimensions>
  <measureGroups count="2">
    <measureGroup name="orderlinesTABLE" caption="orderlinesTABLE"/>
    <measureGroup name="Range" caption="Rang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TIKA CHOWDHURY" refreshedDate="46209.575519907405" backgroundQuery="1" createdVersion="8" refreshedVersion="8" minRefreshableVersion="3" recordCount="0" supportSubquery="1" supportAdvancedDrill="1" xr:uid="{B4702A84-96E9-4144-B84D-7C5FAEEB9C41}">
  <cacheSource type="external" connectionId="1"/>
  <cacheFields count="4">
    <cacheField name="[orderlinesTABLE].[Shift].[Shift]" caption="Shift" numFmtId="0" hierarchy="11" level="1">
      <sharedItems count="3">
        <s v="Breakfast"/>
        <s v="Dinner"/>
        <s v="Lunch"/>
      </sharedItems>
    </cacheField>
    <cacheField name="[orderlinesTABLE].[ComboFlag].[ComboFlag]" caption="ComboFlag" numFmtId="0" hierarchy="13" level="1">
      <sharedItems containsSemiMixedTypes="0" containsNonDate="0" containsString="0"/>
    </cacheField>
    <cacheField name="[Measures].[Distinct Count of OrderID 2]" caption="Distinct Count of OrderID 2" numFmtId="0" hierarchy="39" level="32767"/>
    <cacheField name="[orderlinesTABLE].[Branch].[Branch]" caption="Branch" numFmtId="0" hierarchy="7" level="1">
      <sharedItems containsSemiMixedTypes="0" containsNonDate="0" containsString="0"/>
    </cacheField>
  </cacheFields>
  <cacheHierarchies count="43">
    <cacheHierarchy uniqueName="[orderlinesTABLE].[OrderID]" caption="OrderID" attribute="1" defaultMemberUniqueName="[orderlinesTABLE].[OrderID].[All]" allUniqueName="[orderlinesTABLE].[OrderID].[All]" dimensionUniqueName="[orderlinesTABLE]" displayFolder="" count="0" memberValueDatatype="130" unbalanced="0"/>
    <cacheHierarchy uniqueName="[orderlinesTABLE].[SKU]" caption="SKU" attribute="1" defaultMemberUniqueName="[orderlinesTABLE].[SKU].[All]" allUniqueName="[orderlinesTABLE].[SKU].[All]" dimensionUniqueName="[orderlinesTABLE]" displayFolder="" count="0" memberValueDatatype="130" unbalanced="0"/>
    <cacheHierarchy uniqueName="[orderlinesTABLE].[Qty]" caption="Qty" attribute="1" defaultMemberUniqueName="[orderlinesTABLE].[Qty].[All]" allUniqueName="[orderlinesTABLE].[Qty].[All]" dimensionUniqueName="[orderlinesTABLE]" displayFolder="" count="0" memberValueDatatype="20" unbalanced="0"/>
    <cacheHierarchy uniqueName="[orderlinesTABLE].[UnitPrice]" caption="UnitPrice" attribute="1" defaultMemberUniqueName="[orderlinesTABLE].[UnitPrice].[All]" allUniqueName="[orderlinesTABLE].[UnitPrice].[All]" dimensionUniqueName="[orderlinesTABLE]" displayFolder="" count="0" memberValueDatatype="5" unbalanced="0"/>
    <cacheHierarchy uniqueName="[orderlinesTABLE].[Category]" caption="Category" attribute="1" defaultMemberUniqueName="[orderlinesTABLE].[Category].[All]" allUniqueName="[orderlinesTABLE].[Category].[All]" dimensionUniqueName="[orderlinesTABLE]" displayFolder="" count="0" memberValueDatatype="130" unbalanced="0"/>
    <cacheHierarchy uniqueName="[orderlinesTABLE].[UnitCost]" caption="UnitCost" attribute="1" defaultMemberUniqueName="[orderlinesTABLE].[UnitCost].[All]" allUniqueName="[orderlinesTABLE].[UnitCost].[All]" dimensionUniqueName="[orderlinesTABLE]" displayFolder="" count="0" memberValueDatatype="5" unbalanced="0"/>
    <cacheHierarchy uniqueName="[orderlinesTABLE].[OrderDate]" caption="OrderDate" attribute="1" time="1" defaultMemberUniqueName="[orderlinesTABLE].[OrderDate].[All]" allUniqueName="[orderlinesTABLE].[OrderDate].[All]" dimensionUniqueName="[orderlinesTABLE]" displayFolder="" count="0" memberValueDatatype="7" unbalanced="0"/>
    <cacheHierarchy uniqueName="[orderlinesTABLE].[Branch]" caption="Branch" attribute="1" defaultMemberUniqueName="[orderlinesTABLE].[Branch].[All]" allUniqueName="[orderlinesTABLE].[Branch].[All]" dimensionUniqueName="[orderlinesTABLE]" displayFolder="" count="2" memberValueDatatype="130" unbalanced="0">
      <fieldsUsage count="2">
        <fieldUsage x="-1"/>
        <fieldUsage x="3"/>
      </fieldsUsage>
    </cacheHierarchy>
    <cacheHierarchy uniqueName="[orderlinesTABLE].[DiscountPct]" caption="DiscountPct" attribute="1" defaultMemberUniqueName="[orderlinesTABLE].[DiscountPct].[All]" allUniqueName="[orderlinesTABLE].[DiscountPct].[All]" dimensionUniqueName="[orderlinesTABLE]" displayFolder="" count="0" memberValueDatatype="5" unbalanced="0"/>
    <cacheHierarchy uniqueName="[orderlinesTABLE].[LineNetAmount]" caption="LineNetAmount" attribute="1" defaultMemberUniqueName="[orderlinesTABLE].[LineNetAmount].[All]" allUniqueName="[orderlinesTABLE].[LineNetAmount].[All]" dimensionUniqueName="[orderlinesTABLE]" displayFolder="" count="0" memberValueDatatype="5" unbalanced="0"/>
    <cacheHierarchy uniqueName="[orderlinesTABLE].[MonthName]" caption="MonthName" attribute="1" defaultMemberUniqueName="[orderlinesTABLE].[MonthName].[All]" allUniqueName="[orderlinesTABLE].[MonthName].[All]" dimensionUniqueName="[orderlinesTABLE]" displayFolder="" count="0" memberValueDatatype="130" unbalanced="0"/>
    <cacheHierarchy uniqueName="[orderlinesTABLE].[Shift]" caption="Shift" attribute="1" defaultMemberUniqueName="[orderlinesTABLE].[Shift].[All]" allUniqueName="[orderlinesTABLE].[Shift].[All]" dimensionUniqueName="[orderlinesTABLE]" displayFolder="" count="2" memberValueDatatype="130" unbalanced="0">
      <fieldsUsage count="2">
        <fieldUsage x="-1"/>
        <fieldUsage x="0"/>
      </fieldsUsage>
    </cacheHierarchy>
    <cacheHierarchy uniqueName="[orderlinesTABLE].[PaymentType]" caption="PaymentType" attribute="1" defaultMemberUniqueName="[orderlinesTABLE].[PaymentType].[All]" allUniqueName="[orderlinesTABLE].[PaymentType].[All]" dimensionUniqueName="[orderlinesTABLE]" displayFolder="" count="0" memberValueDatatype="130" unbalanced="0"/>
    <cacheHierarchy uniqueName="[orderlinesTABLE].[ComboFlag]" caption="ComboFlag" attribute="1" defaultMemberUniqueName="[orderlinesTABLE].[ComboFlag].[All]" allUniqueName="[orderlinesTABLE].[ComboFlag].[All]" dimensionUniqueName="[orderlinesTABLE]" displayFolder="" count="2" memberValueDatatype="130" unbalanced="0">
      <fieldsUsage count="2">
        <fieldUsage x="-1"/>
        <fieldUsage x="1"/>
      </fieldsUsage>
    </cacheHierarchy>
    <cacheHierarchy uniqueName="[orderlinesTABLE].[DiscountFlag]" caption="DiscountFlag" attribute="1" defaultMemberUniqueName="[orderlinesTABLE].[DiscountFlag].[All]" allUniqueName="[orderlinesTABLE].[DiscountFlag].[All]" dimensionUniqueName="[orderlinesTABLE]" displayFolder="" count="0" memberValueDatatype="130" unbalanced="0"/>
    <cacheHierarchy uniqueName="[orderlinesTABLE].[totalCOST]" caption="totalCOST" attribute="1" defaultMemberUniqueName="[orderlinesTABLE].[totalCOST].[All]" allUniqueName="[orderlinesTABLE].[totalCOST].[All]" dimensionUniqueName="[orderlinesTABLE]" displayFolder="" count="0" memberValueDatatype="5" unbalanced="0"/>
    <cacheHierarchy uniqueName="[orderlinesTABLE].[Profit]" caption="Profit" attribute="1" defaultMemberUniqueName="[orderlinesTABLE].[Profit].[All]" allUniqueName="[orderlinesTABLE].[Profit].[All]" dimensionUniqueName="[orderlinesTABLE]" displayFolder="" count="0" memberValueDatatype="5" unbalanced="0"/>
    <cacheHierarchy uniqueName="[orderlinesTABLE].[ItemName]" caption="ItemName" attribute="1" defaultMemberUniqueName="[orderlinesTABLE].[ItemName].[All]" allUniqueName="[orderlinesTABLE].[ItemName].[All]" dimensionUniqueName="[orderlinesTABLE]" displayFolder="" count="0" memberValueDatatype="130" unbalanced="0"/>
    <cacheHierarchy uniqueName="[orderlinesTABLE].[Combination]" caption="Combination" attribute="1" defaultMemberUniqueName="[orderlinesTABLE].[Combination].[All]" allUniqueName="[orderlinesTABLE].[Combination].[All]" dimensionUniqueName="[orderlinesTABLE]" displayFolder="" count="0" memberValueDatatype="130" unbalanced="0"/>
    <cacheHierarchy uniqueName="[Range].[OrderID]" caption="OrderID" attribute="1" defaultMemberUniqueName="[Range].[OrderID].[All]" allUniqueName="[Range].[Order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Category]" caption="Category" attribute="1" defaultMemberUniqueName="[Range].[Category].[All]" allUniqueName="[Range].[Category].[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Branch]" caption="Branch" attribute="1" defaultMemberUniqueName="[Range].[Branch].[All]" allUniqueName="[Range].[Branch].[All]" dimensionUniqueName="[Range]" displayFolder="" count="0" memberValueDatatype="130" unbalanced="0"/>
    <cacheHierarchy uniqueName="[Range].[DiscountPct]" caption="DiscountPct" attribute="1" defaultMemberUniqueName="[Range].[DiscountPct].[All]" allUniqueName="[Range].[DiscountPct].[All]" dimensionUniqueName="[Range]" displayFolder="" count="0" memberValueDatatype="5" unbalanced="0"/>
    <cacheHierarchy uniqueName="[Range].[LineNetAmount]" caption="LineNetAmount" attribute="1" defaultMemberUniqueName="[Range].[LineNetAmount].[All]" allUniqueName="[Range].[LineNetAmount].[All]" dimensionUniqueName="[Range]" displayFolder="" count="0" memberValueDatatype="5" unbalanced="0"/>
    <cacheHierarchy uniqueName="[Range].[MonthName]" caption="MonthName" attribute="1" defaultMemberUniqueName="[Range].[MonthName].[All]" allUniqueName="[Range].[MonthName].[All]" dimensionUniqueName="[Range]" displayFolder="" count="0" memberValueDatatype="130" unbalanced="0"/>
    <cacheHierarchy uniqueName="[Range].[Shift]" caption="Shift" attribute="1" defaultMemberUniqueName="[Range].[Shift].[All]" allUniqueName="[Range].[Shift].[All]" dimensionUniqueName="[Range]" displayFolder="" count="0" memberValueDatatype="130" unbalanced="0"/>
    <cacheHierarchy uniqueName="[Range].[PaymentType]" caption="PaymentType" attribute="1" defaultMemberUniqueName="[Range].[PaymentType].[All]" allUniqueName="[Range].[PaymentType].[All]" dimensionUniqueName="[Range]" displayFolder="" count="0" memberValueDatatype="130" unbalanced="0"/>
    <cacheHierarchy uniqueName="[Measures].[__XL_Count Range]" caption="__XL_Count Range" measure="1" displayFolder="" measureGroup="Range" count="0" hidden="1"/>
    <cacheHierarchy uniqueName="[Measures].[__XL_Count orderlinesTABLE]" caption="__XL_Count orderlinesTABLE" measure="1" displayFolder="" measureGroup="orderlinesTABLE" count="0" hidden="1"/>
    <cacheHierarchy uniqueName="[Measures].[__No measures defined]" caption="__No measures defined" measure="1" displayFolder="" count="0" hidden="1"/>
    <cacheHierarchy uniqueName="[Measures].[Sum of LineNetAmount]" caption="Sum of LineNetAmount" measure="1" displayFolder="" measureGroup="Range"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19"/>
        </ext>
      </extLst>
    </cacheHierarchy>
    <cacheHierarchy uniqueName="[Measures].[Count of OrderID 2]" caption="Count of OrderID 2" measure="1" displayFolder="" measureGroup="orderlinesTABLE"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orderlines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LineNetAmount 2]" caption="Sum of LineNetAmount 2" measure="1" displayFolder="" measureGroup="orderlinesTABLE" count="0" hidden="1">
      <extLst>
        <ext xmlns:x15="http://schemas.microsoft.com/office/spreadsheetml/2010/11/main" uri="{B97F6D7D-B522-45F9-BDA1-12C45D357490}">
          <x15:cacheHierarchy aggregatedColumn="9"/>
        </ext>
      </extLst>
    </cacheHierarchy>
    <cacheHierarchy uniqueName="[Measures].[Sum of totalCOST]" caption="Sum of totalCOST" measure="1" displayFolder="" measureGroup="orderlinesTABLE"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linesTABLE"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orderlinesTABLE" uniqueName="[orderlinesTABLE]" caption="orderlinesTABLE"/>
    <dimension name="Range" uniqueName="[Range]" caption="Range"/>
  </dimensions>
  <measureGroups count="2">
    <measureGroup name="orderlinesTABLE" caption="orderlinesTABLE"/>
    <measureGroup name="Range" caption="Rang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TIKA CHOWDHURY" refreshedDate="46209.575520370374" backgroundQuery="1" createdVersion="8" refreshedVersion="8" minRefreshableVersion="3" recordCount="0" supportSubquery="1" supportAdvancedDrill="1" xr:uid="{A9912F7B-9231-406D-84DE-AFA5D86FA0B9}">
  <cacheSource type="external" connectionId="1"/>
  <cacheFields count="3">
    <cacheField name="[orderlinesTABLE].[ComboFlag].[ComboFlag]" caption="ComboFlag" numFmtId="0" hierarchy="13" level="1">
      <sharedItems containsSemiMixedTypes="0" containsNonDate="0" containsString="0"/>
    </cacheField>
    <cacheField name="[orderlinesTABLE].[Branch].[Branch]" caption="Branch" numFmtId="0" hierarchy="7" level="1">
      <sharedItems count="3">
        <s v="Head Office Café"/>
        <s v="Plant 1 Canteen"/>
        <s v="Plant 2 Canteen"/>
      </sharedItems>
    </cacheField>
    <cacheField name="[Measures].[Distinct Count of OrderID 2]" caption="Distinct Count of OrderID 2" numFmtId="0" hierarchy="39" level="32767"/>
  </cacheFields>
  <cacheHierarchies count="43">
    <cacheHierarchy uniqueName="[orderlinesTABLE].[OrderID]" caption="OrderID" attribute="1" defaultMemberUniqueName="[orderlinesTABLE].[OrderID].[All]" allUniqueName="[orderlinesTABLE].[OrderID].[All]" dimensionUniqueName="[orderlinesTABLE]" displayFolder="" count="0" memberValueDatatype="130" unbalanced="0"/>
    <cacheHierarchy uniqueName="[orderlinesTABLE].[SKU]" caption="SKU" attribute="1" defaultMemberUniqueName="[orderlinesTABLE].[SKU].[All]" allUniqueName="[orderlinesTABLE].[SKU].[All]" dimensionUniqueName="[orderlinesTABLE]" displayFolder="" count="0" memberValueDatatype="130" unbalanced="0"/>
    <cacheHierarchy uniqueName="[orderlinesTABLE].[Qty]" caption="Qty" attribute="1" defaultMemberUniqueName="[orderlinesTABLE].[Qty].[All]" allUniqueName="[orderlinesTABLE].[Qty].[All]" dimensionUniqueName="[orderlinesTABLE]" displayFolder="" count="0" memberValueDatatype="20" unbalanced="0"/>
    <cacheHierarchy uniqueName="[orderlinesTABLE].[UnitPrice]" caption="UnitPrice" attribute="1" defaultMemberUniqueName="[orderlinesTABLE].[UnitPrice].[All]" allUniqueName="[orderlinesTABLE].[UnitPrice].[All]" dimensionUniqueName="[orderlinesTABLE]" displayFolder="" count="0" memberValueDatatype="5" unbalanced="0"/>
    <cacheHierarchy uniqueName="[orderlinesTABLE].[Category]" caption="Category" attribute="1" defaultMemberUniqueName="[orderlinesTABLE].[Category].[All]" allUniqueName="[orderlinesTABLE].[Category].[All]" dimensionUniqueName="[orderlinesTABLE]" displayFolder="" count="0" memberValueDatatype="130" unbalanced="0"/>
    <cacheHierarchy uniqueName="[orderlinesTABLE].[UnitCost]" caption="UnitCost" attribute="1" defaultMemberUniqueName="[orderlinesTABLE].[UnitCost].[All]" allUniqueName="[orderlinesTABLE].[UnitCost].[All]" dimensionUniqueName="[orderlinesTABLE]" displayFolder="" count="0" memberValueDatatype="5" unbalanced="0"/>
    <cacheHierarchy uniqueName="[orderlinesTABLE].[OrderDate]" caption="OrderDate" attribute="1" time="1" defaultMemberUniqueName="[orderlinesTABLE].[OrderDate].[All]" allUniqueName="[orderlinesTABLE].[OrderDate].[All]" dimensionUniqueName="[orderlinesTABLE]" displayFolder="" count="0" memberValueDatatype="7" unbalanced="0"/>
    <cacheHierarchy uniqueName="[orderlinesTABLE].[Branch]" caption="Branch" attribute="1" defaultMemberUniqueName="[orderlinesTABLE].[Branch].[All]" allUniqueName="[orderlinesTABLE].[Branch].[All]" dimensionUniqueName="[orderlinesTABLE]" displayFolder="" count="2" memberValueDatatype="130" unbalanced="0">
      <fieldsUsage count="2">
        <fieldUsage x="-1"/>
        <fieldUsage x="1"/>
      </fieldsUsage>
    </cacheHierarchy>
    <cacheHierarchy uniqueName="[orderlinesTABLE].[DiscountPct]" caption="DiscountPct" attribute="1" defaultMemberUniqueName="[orderlinesTABLE].[DiscountPct].[All]" allUniqueName="[orderlinesTABLE].[DiscountPct].[All]" dimensionUniqueName="[orderlinesTABLE]" displayFolder="" count="0" memberValueDatatype="5" unbalanced="0"/>
    <cacheHierarchy uniqueName="[orderlinesTABLE].[LineNetAmount]" caption="LineNetAmount" attribute="1" defaultMemberUniqueName="[orderlinesTABLE].[LineNetAmount].[All]" allUniqueName="[orderlinesTABLE].[LineNetAmount].[All]" dimensionUniqueName="[orderlinesTABLE]" displayFolder="" count="0" memberValueDatatype="5" unbalanced="0"/>
    <cacheHierarchy uniqueName="[orderlinesTABLE].[MonthName]" caption="MonthName" attribute="1" defaultMemberUniqueName="[orderlinesTABLE].[MonthName].[All]" allUniqueName="[orderlinesTABLE].[MonthName].[All]" dimensionUniqueName="[orderlinesTABLE]" displayFolder="" count="0" memberValueDatatype="130" unbalanced="0"/>
    <cacheHierarchy uniqueName="[orderlinesTABLE].[Shift]" caption="Shift" attribute="1" defaultMemberUniqueName="[orderlinesTABLE].[Shift].[All]" allUniqueName="[orderlinesTABLE].[Shift].[All]" dimensionUniqueName="[orderlinesTABLE]" displayFolder="" count="2" memberValueDatatype="130" unbalanced="0"/>
    <cacheHierarchy uniqueName="[orderlinesTABLE].[PaymentType]" caption="PaymentType" attribute="1" defaultMemberUniqueName="[orderlinesTABLE].[PaymentType].[All]" allUniqueName="[orderlinesTABLE].[PaymentType].[All]" dimensionUniqueName="[orderlinesTABLE]" displayFolder="" count="0" memberValueDatatype="130" unbalanced="0"/>
    <cacheHierarchy uniqueName="[orderlinesTABLE].[ComboFlag]" caption="ComboFlag" attribute="1" defaultMemberUniqueName="[orderlinesTABLE].[ComboFlag].[All]" allUniqueName="[orderlinesTABLE].[ComboFlag].[All]" dimensionUniqueName="[orderlinesTABLE]" displayFolder="" count="2" memberValueDatatype="130" unbalanced="0">
      <fieldsUsage count="2">
        <fieldUsage x="-1"/>
        <fieldUsage x="0"/>
      </fieldsUsage>
    </cacheHierarchy>
    <cacheHierarchy uniqueName="[orderlinesTABLE].[DiscountFlag]" caption="DiscountFlag" attribute="1" defaultMemberUniqueName="[orderlinesTABLE].[DiscountFlag].[All]" allUniqueName="[orderlinesTABLE].[DiscountFlag].[All]" dimensionUniqueName="[orderlinesTABLE]" displayFolder="" count="0" memberValueDatatype="130" unbalanced="0"/>
    <cacheHierarchy uniqueName="[orderlinesTABLE].[totalCOST]" caption="totalCOST" attribute="1" defaultMemberUniqueName="[orderlinesTABLE].[totalCOST].[All]" allUniqueName="[orderlinesTABLE].[totalCOST].[All]" dimensionUniqueName="[orderlinesTABLE]" displayFolder="" count="0" memberValueDatatype="5" unbalanced="0"/>
    <cacheHierarchy uniqueName="[orderlinesTABLE].[Profit]" caption="Profit" attribute="1" defaultMemberUniqueName="[orderlinesTABLE].[Profit].[All]" allUniqueName="[orderlinesTABLE].[Profit].[All]" dimensionUniqueName="[orderlinesTABLE]" displayFolder="" count="0" memberValueDatatype="5" unbalanced="0"/>
    <cacheHierarchy uniqueName="[orderlinesTABLE].[ItemName]" caption="ItemName" attribute="1" defaultMemberUniqueName="[orderlinesTABLE].[ItemName].[All]" allUniqueName="[orderlinesTABLE].[ItemName].[All]" dimensionUniqueName="[orderlinesTABLE]" displayFolder="" count="0" memberValueDatatype="130" unbalanced="0"/>
    <cacheHierarchy uniqueName="[orderlinesTABLE].[Combination]" caption="Combination" attribute="1" defaultMemberUniqueName="[orderlinesTABLE].[Combination].[All]" allUniqueName="[orderlinesTABLE].[Combination].[All]" dimensionUniqueName="[orderlinesTABLE]" displayFolder="" count="0" memberValueDatatype="130" unbalanced="0"/>
    <cacheHierarchy uniqueName="[Range].[OrderID]" caption="OrderID" attribute="1" defaultMemberUniqueName="[Range].[OrderID].[All]" allUniqueName="[Range].[Order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Category]" caption="Category" attribute="1" defaultMemberUniqueName="[Range].[Category].[All]" allUniqueName="[Range].[Category].[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Branch]" caption="Branch" attribute="1" defaultMemberUniqueName="[Range].[Branch].[All]" allUniqueName="[Range].[Branch].[All]" dimensionUniqueName="[Range]" displayFolder="" count="0" memberValueDatatype="130" unbalanced="0"/>
    <cacheHierarchy uniqueName="[Range].[DiscountPct]" caption="DiscountPct" attribute="1" defaultMemberUniqueName="[Range].[DiscountPct].[All]" allUniqueName="[Range].[DiscountPct].[All]" dimensionUniqueName="[Range]" displayFolder="" count="0" memberValueDatatype="5" unbalanced="0"/>
    <cacheHierarchy uniqueName="[Range].[LineNetAmount]" caption="LineNetAmount" attribute="1" defaultMemberUniqueName="[Range].[LineNetAmount].[All]" allUniqueName="[Range].[LineNetAmount].[All]" dimensionUniqueName="[Range]" displayFolder="" count="0" memberValueDatatype="5" unbalanced="0"/>
    <cacheHierarchy uniqueName="[Range].[MonthName]" caption="MonthName" attribute="1" defaultMemberUniqueName="[Range].[MonthName].[All]" allUniqueName="[Range].[MonthName].[All]" dimensionUniqueName="[Range]" displayFolder="" count="0" memberValueDatatype="130" unbalanced="0"/>
    <cacheHierarchy uniqueName="[Range].[Shift]" caption="Shift" attribute="1" defaultMemberUniqueName="[Range].[Shift].[All]" allUniqueName="[Range].[Shift].[All]" dimensionUniqueName="[Range]" displayFolder="" count="0" memberValueDatatype="130" unbalanced="0"/>
    <cacheHierarchy uniqueName="[Range].[PaymentType]" caption="PaymentType" attribute="1" defaultMemberUniqueName="[Range].[PaymentType].[All]" allUniqueName="[Range].[PaymentType].[All]" dimensionUniqueName="[Range]" displayFolder="" count="0" memberValueDatatype="130" unbalanced="0"/>
    <cacheHierarchy uniqueName="[Measures].[__XL_Count Range]" caption="__XL_Count Range" measure="1" displayFolder="" measureGroup="Range" count="0" hidden="1"/>
    <cacheHierarchy uniqueName="[Measures].[__XL_Count orderlinesTABLE]" caption="__XL_Count orderlinesTABLE" measure="1" displayFolder="" measureGroup="orderlinesTABLE" count="0" hidden="1"/>
    <cacheHierarchy uniqueName="[Measures].[__No measures defined]" caption="__No measures defined" measure="1" displayFolder="" count="0" hidden="1"/>
    <cacheHierarchy uniqueName="[Measures].[Sum of LineNetAmount]" caption="Sum of LineNetAmount" measure="1" displayFolder="" measureGroup="Range"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19"/>
        </ext>
      </extLst>
    </cacheHierarchy>
    <cacheHierarchy uniqueName="[Measures].[Count of OrderID 2]" caption="Count of OrderID 2" measure="1" displayFolder="" measureGroup="orderlinesTABLE"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orderlinesTABL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LineNetAmount 2]" caption="Sum of LineNetAmount 2" measure="1" displayFolder="" measureGroup="orderlinesTABLE" count="0" hidden="1">
      <extLst>
        <ext xmlns:x15="http://schemas.microsoft.com/office/spreadsheetml/2010/11/main" uri="{B97F6D7D-B522-45F9-BDA1-12C45D357490}">
          <x15:cacheHierarchy aggregatedColumn="9"/>
        </ext>
      </extLst>
    </cacheHierarchy>
    <cacheHierarchy uniqueName="[Measures].[Sum of totalCOST]" caption="Sum of totalCOST" measure="1" displayFolder="" measureGroup="orderlinesTABLE"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linesTABLE"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orderlinesTABLE" uniqueName="[orderlinesTABLE]" caption="orderlinesTABLE"/>
    <dimension name="Range" uniqueName="[Range]" caption="Range"/>
  </dimensions>
  <measureGroups count="2">
    <measureGroup name="orderlinesTABLE" caption="orderlinesTABLE"/>
    <measureGroup name="Range" caption="Rang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TIKA CHOWDHURY" refreshedDate="46209.596701620372" backgroundQuery="1" createdVersion="8" refreshedVersion="8" minRefreshableVersion="3" recordCount="0" supportSubquery="1" supportAdvancedDrill="1" xr:uid="{DF799E01-CD34-4FEC-A566-E92E7538ACE5}">
  <cacheSource type="external" connectionId="1"/>
  <cacheFields count="3">
    <cacheField name="[Measures].[Distinct Count of OrderID 2]" caption="Distinct Count of OrderID 2" numFmtId="0" hierarchy="39" level="32767"/>
    <cacheField name="[orderlinesTABLE].[ItemName].[ItemName]" caption="ItemName" numFmtId="0" hierarchy="17" level="1">
      <sharedItems count="19">
        <s v="Bottled Water"/>
        <s v="Coffee"/>
        <s v="Masala Chaas"/>
        <s v="Nimbu Pani"/>
        <s v="Tea"/>
        <s v="Brownie"/>
        <s v="Fruit Cup"/>
        <s v="Gulab Jamun (2 pc)"/>
        <s v="Kheer Cup"/>
        <s v="Chicken Thali"/>
        <s v="Egg Curry + Rice"/>
        <s v="Paneer Butter Masala + Naan"/>
        <s v="Rajma Chawal"/>
        <s v="Veg Thali"/>
        <s v="Masala Puff"/>
        <s v="Paneer Roll"/>
        <s v="Poha"/>
        <s v="Samosa"/>
        <s v="Veg Sandwich"/>
      </sharedItems>
    </cacheField>
    <cacheField name="[orderlinesTABLE].[Category].[Category]" caption="Category" numFmtId="0" hierarchy="4" level="1">
      <sharedItems count="4">
        <s v="Beverage"/>
        <s v="Dessert"/>
        <s v="Hot Meal"/>
        <s v="Snack"/>
      </sharedItems>
    </cacheField>
  </cacheFields>
  <cacheHierarchies count="43">
    <cacheHierarchy uniqueName="[orderlinesTABLE].[OrderID]" caption="OrderID" attribute="1" defaultMemberUniqueName="[orderlinesTABLE].[OrderID].[All]" allUniqueName="[orderlinesTABLE].[OrderID].[All]" dimensionUniqueName="[orderlinesTABLE]" displayFolder="" count="0" memberValueDatatype="130" unbalanced="0"/>
    <cacheHierarchy uniqueName="[orderlinesTABLE].[SKU]" caption="SKU" attribute="1" defaultMemberUniqueName="[orderlinesTABLE].[SKU].[All]" allUniqueName="[orderlinesTABLE].[SKU].[All]" dimensionUniqueName="[orderlinesTABLE]" displayFolder="" count="0" memberValueDatatype="130" unbalanced="0"/>
    <cacheHierarchy uniqueName="[orderlinesTABLE].[Qty]" caption="Qty" attribute="1" defaultMemberUniqueName="[orderlinesTABLE].[Qty].[All]" allUniqueName="[orderlinesTABLE].[Qty].[All]" dimensionUniqueName="[orderlinesTABLE]" displayFolder="" count="0" memberValueDatatype="20" unbalanced="0"/>
    <cacheHierarchy uniqueName="[orderlinesTABLE].[UnitPrice]" caption="UnitPrice" attribute="1" defaultMemberUniqueName="[orderlinesTABLE].[UnitPrice].[All]" allUniqueName="[orderlinesTABLE].[UnitPrice].[All]" dimensionUniqueName="[orderlinesTABLE]" displayFolder="" count="0" memberValueDatatype="5" unbalanced="0"/>
    <cacheHierarchy uniqueName="[orderlinesTABLE].[Category]" caption="Category" attribute="1" defaultMemberUniqueName="[orderlinesTABLE].[Category].[All]" allUniqueName="[orderlinesTABLE].[Category].[All]" dimensionUniqueName="[orderlinesTABLE]" displayFolder="" count="2" memberValueDatatype="130" unbalanced="0">
      <fieldsUsage count="2">
        <fieldUsage x="-1"/>
        <fieldUsage x="2"/>
      </fieldsUsage>
    </cacheHierarchy>
    <cacheHierarchy uniqueName="[orderlinesTABLE].[UnitCost]" caption="UnitCost" attribute="1" defaultMemberUniqueName="[orderlinesTABLE].[UnitCost].[All]" allUniqueName="[orderlinesTABLE].[UnitCost].[All]" dimensionUniqueName="[orderlinesTABLE]" displayFolder="" count="0" memberValueDatatype="5" unbalanced="0"/>
    <cacheHierarchy uniqueName="[orderlinesTABLE].[OrderDate]" caption="OrderDate" attribute="1" time="1" defaultMemberUniqueName="[orderlinesTABLE].[OrderDate].[All]" allUniqueName="[orderlinesTABLE].[OrderDate].[All]" dimensionUniqueName="[orderlinesTABLE]" displayFolder="" count="0" memberValueDatatype="7" unbalanced="0"/>
    <cacheHierarchy uniqueName="[orderlinesTABLE].[Branch]" caption="Branch" attribute="1" defaultMemberUniqueName="[orderlinesTABLE].[Branch].[All]" allUniqueName="[orderlinesTABLE].[Branch].[All]" dimensionUniqueName="[orderlinesTABLE]" displayFolder="" count="0" memberValueDatatype="130" unbalanced="0"/>
    <cacheHierarchy uniqueName="[orderlinesTABLE].[DiscountPct]" caption="DiscountPct" attribute="1" defaultMemberUniqueName="[orderlinesTABLE].[DiscountPct].[All]" allUniqueName="[orderlinesTABLE].[DiscountPct].[All]" dimensionUniqueName="[orderlinesTABLE]" displayFolder="" count="0" memberValueDatatype="5" unbalanced="0"/>
    <cacheHierarchy uniqueName="[orderlinesTABLE].[LineNetAmount]" caption="LineNetAmount" attribute="1" defaultMemberUniqueName="[orderlinesTABLE].[LineNetAmount].[All]" allUniqueName="[orderlinesTABLE].[LineNetAmount].[All]" dimensionUniqueName="[orderlinesTABLE]" displayFolder="" count="0" memberValueDatatype="5" unbalanced="0"/>
    <cacheHierarchy uniqueName="[orderlinesTABLE].[MonthName]" caption="MonthName" attribute="1" defaultMemberUniqueName="[orderlinesTABLE].[MonthName].[All]" allUniqueName="[orderlinesTABLE].[MonthName].[All]" dimensionUniqueName="[orderlinesTABLE]" displayFolder="" count="0" memberValueDatatype="130" unbalanced="0"/>
    <cacheHierarchy uniqueName="[orderlinesTABLE].[Shift]" caption="Shift" attribute="1" defaultMemberUniqueName="[orderlinesTABLE].[Shift].[All]" allUniqueName="[orderlinesTABLE].[Shift].[All]" dimensionUniqueName="[orderlinesTABLE]" displayFolder="" count="0" memberValueDatatype="130" unbalanced="0"/>
    <cacheHierarchy uniqueName="[orderlinesTABLE].[PaymentType]" caption="PaymentType" attribute="1" defaultMemberUniqueName="[orderlinesTABLE].[PaymentType].[All]" allUniqueName="[orderlinesTABLE].[PaymentType].[All]" dimensionUniqueName="[orderlinesTABLE]" displayFolder="" count="0" memberValueDatatype="130" unbalanced="0"/>
    <cacheHierarchy uniqueName="[orderlinesTABLE].[ComboFlag]" caption="ComboFlag" attribute="1" defaultMemberUniqueName="[orderlinesTABLE].[ComboFlag].[All]" allUniqueName="[orderlinesTABLE].[ComboFlag].[All]" dimensionUniqueName="[orderlinesTABLE]" displayFolder="" count="0" memberValueDatatype="130" unbalanced="0"/>
    <cacheHierarchy uniqueName="[orderlinesTABLE].[DiscountFlag]" caption="DiscountFlag" attribute="1" defaultMemberUniqueName="[orderlinesTABLE].[DiscountFlag].[All]" allUniqueName="[orderlinesTABLE].[DiscountFlag].[All]" dimensionUniqueName="[orderlinesTABLE]" displayFolder="" count="0" memberValueDatatype="130" unbalanced="0"/>
    <cacheHierarchy uniqueName="[orderlinesTABLE].[totalCOST]" caption="totalCOST" attribute="1" defaultMemberUniqueName="[orderlinesTABLE].[totalCOST].[All]" allUniqueName="[orderlinesTABLE].[totalCOST].[All]" dimensionUniqueName="[orderlinesTABLE]" displayFolder="" count="0" memberValueDatatype="5" unbalanced="0"/>
    <cacheHierarchy uniqueName="[orderlinesTABLE].[Profit]" caption="Profit" attribute="1" defaultMemberUniqueName="[orderlinesTABLE].[Profit].[All]" allUniqueName="[orderlinesTABLE].[Profit].[All]" dimensionUniqueName="[orderlinesTABLE]" displayFolder="" count="0" memberValueDatatype="5" unbalanced="0"/>
    <cacheHierarchy uniqueName="[orderlinesTABLE].[ItemName]" caption="ItemName" attribute="1" defaultMemberUniqueName="[orderlinesTABLE].[ItemName].[All]" allUniqueName="[orderlinesTABLE].[ItemName].[All]" dimensionUniqueName="[orderlinesTABLE]" displayFolder="" count="2" memberValueDatatype="130" unbalanced="0">
      <fieldsUsage count="2">
        <fieldUsage x="-1"/>
        <fieldUsage x="1"/>
      </fieldsUsage>
    </cacheHierarchy>
    <cacheHierarchy uniqueName="[orderlinesTABLE].[Combination]" caption="Combination" attribute="1" defaultMemberUniqueName="[orderlinesTABLE].[Combination].[All]" allUniqueName="[orderlinesTABLE].[Combination].[All]" dimensionUniqueName="[orderlinesTABLE]" displayFolder="" count="2" memberValueDatatype="130" unbalanced="0"/>
    <cacheHierarchy uniqueName="[Range].[OrderID]" caption="OrderID" attribute="1" defaultMemberUniqueName="[Range].[OrderID].[All]" allUniqueName="[Range].[Order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Category]" caption="Category" attribute="1" defaultMemberUniqueName="[Range].[Category].[All]" allUniqueName="[Range].[Category].[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Branch]" caption="Branch" attribute="1" defaultMemberUniqueName="[Range].[Branch].[All]" allUniqueName="[Range].[Branch].[All]" dimensionUniqueName="[Range]" displayFolder="" count="0" memberValueDatatype="130" unbalanced="0"/>
    <cacheHierarchy uniqueName="[Range].[DiscountPct]" caption="DiscountPct" attribute="1" defaultMemberUniqueName="[Range].[DiscountPct].[All]" allUniqueName="[Range].[DiscountPct].[All]" dimensionUniqueName="[Range]" displayFolder="" count="0" memberValueDatatype="5" unbalanced="0"/>
    <cacheHierarchy uniqueName="[Range].[LineNetAmount]" caption="LineNetAmount" attribute="1" defaultMemberUniqueName="[Range].[LineNetAmount].[All]" allUniqueName="[Range].[LineNetAmount].[All]" dimensionUniqueName="[Range]" displayFolder="" count="0" memberValueDatatype="5" unbalanced="0"/>
    <cacheHierarchy uniqueName="[Range].[MonthName]" caption="MonthName" attribute="1" defaultMemberUniqueName="[Range].[MonthName].[All]" allUniqueName="[Range].[MonthName].[All]" dimensionUniqueName="[Range]" displayFolder="" count="0" memberValueDatatype="130" unbalanced="0"/>
    <cacheHierarchy uniqueName="[Range].[Shift]" caption="Shift" attribute="1" defaultMemberUniqueName="[Range].[Shift].[All]" allUniqueName="[Range].[Shift].[All]" dimensionUniqueName="[Range]" displayFolder="" count="0" memberValueDatatype="130" unbalanced="0"/>
    <cacheHierarchy uniqueName="[Range].[PaymentType]" caption="PaymentType" attribute="1" defaultMemberUniqueName="[Range].[PaymentType].[All]" allUniqueName="[Range].[PaymentType].[All]" dimensionUniqueName="[Range]" displayFolder="" count="0" memberValueDatatype="130" unbalanced="0"/>
    <cacheHierarchy uniqueName="[Measures].[__XL_Count Range]" caption="__XL_Count Range" measure="1" displayFolder="" measureGroup="Range" count="0" hidden="1"/>
    <cacheHierarchy uniqueName="[Measures].[__XL_Count orderlinesTABLE]" caption="__XL_Count orderlinesTABLE" measure="1" displayFolder="" measureGroup="orderlinesTABLE" count="0" hidden="1"/>
    <cacheHierarchy uniqueName="[Measures].[__No measures defined]" caption="__No measures defined" measure="1" displayFolder="" count="0" hidden="1"/>
    <cacheHierarchy uniqueName="[Measures].[Sum of LineNetAmount]" caption="Sum of LineNetAmount" measure="1" displayFolder="" measureGroup="Range"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19"/>
        </ext>
      </extLst>
    </cacheHierarchy>
    <cacheHierarchy uniqueName="[Measures].[Count of OrderID 2]" caption="Count of OrderID 2" measure="1" displayFolder="" measureGroup="orderlinesTABLE"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orderlines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LineNetAmount 2]" caption="Sum of LineNetAmount 2" measure="1" displayFolder="" measureGroup="orderlinesTABLE" count="0" hidden="1">
      <extLst>
        <ext xmlns:x15="http://schemas.microsoft.com/office/spreadsheetml/2010/11/main" uri="{B97F6D7D-B522-45F9-BDA1-12C45D357490}">
          <x15:cacheHierarchy aggregatedColumn="9"/>
        </ext>
      </extLst>
    </cacheHierarchy>
    <cacheHierarchy uniqueName="[Measures].[Sum of totalCOST]" caption="Sum of totalCOST" measure="1" displayFolder="" measureGroup="orderlinesTABLE"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linesTABLE"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orderlinesTABLE" uniqueName="[orderlinesTABLE]" caption="orderlinesTABLE"/>
    <dimension name="Range" uniqueName="[Range]" caption="Range"/>
  </dimensions>
  <measureGroups count="2">
    <measureGroup name="orderlinesTABLE" caption="orderlinesTABLE"/>
    <measureGroup name="Range" caption="Rang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TIKA CHOWDHURY" refreshedDate="46234.872676736108" backgroundQuery="1" createdVersion="8" refreshedVersion="8" minRefreshableVersion="3" recordCount="0" supportSubquery="1" supportAdvancedDrill="1" xr:uid="{EB497EA8-8783-41EC-88F1-69A1CD2794EE}">
  <cacheSource type="external" connectionId="1"/>
  <cacheFields count="4">
    <cacheField name="[orderlinesTABLE].[Shift].[Shift]" caption="Shift" numFmtId="0" hierarchy="11" level="1">
      <sharedItems containsSemiMixedTypes="0" containsNonDate="0" containsString="0"/>
    </cacheField>
    <cacheField name="[orderlinesTABLE].[Branch].[Branch]" caption="Branch" numFmtId="0" hierarchy="7" level="1">
      <sharedItems containsSemiMixedTypes="0" containsNonDate="0" containsString="0"/>
    </cacheField>
    <cacheField name="[orderlinesTABLE].[MonthName].[MonthName]" caption="MonthName" numFmtId="0" hierarchy="10" level="1">
      <sharedItems containsSemiMixedTypes="0" containsNonDate="0" containsString="0"/>
    </cacheField>
    <cacheField name="[Measures].[Sum of LineNetAmount 2]" caption="Sum of LineNetAmount 2" numFmtId="0" hierarchy="40" level="32767"/>
  </cacheFields>
  <cacheHierarchies count="43">
    <cacheHierarchy uniqueName="[orderlinesTABLE].[OrderID]" caption="OrderID" attribute="1" defaultMemberUniqueName="[orderlinesTABLE].[OrderID].[All]" allUniqueName="[orderlinesTABLE].[OrderID].[All]" dimensionUniqueName="[orderlinesTABLE]" displayFolder="" count="0" memberValueDatatype="130" unbalanced="0"/>
    <cacheHierarchy uniqueName="[orderlinesTABLE].[SKU]" caption="SKU" attribute="1" defaultMemberUniqueName="[orderlinesTABLE].[SKU].[All]" allUniqueName="[orderlinesTABLE].[SKU].[All]" dimensionUniqueName="[orderlinesTABLE]" displayFolder="" count="0" memberValueDatatype="130" unbalanced="0"/>
    <cacheHierarchy uniqueName="[orderlinesTABLE].[Qty]" caption="Qty" attribute="1" defaultMemberUniqueName="[orderlinesTABLE].[Qty].[All]" allUniqueName="[orderlinesTABLE].[Qty].[All]" dimensionUniqueName="[orderlinesTABLE]" displayFolder="" count="0" memberValueDatatype="20" unbalanced="0"/>
    <cacheHierarchy uniqueName="[orderlinesTABLE].[UnitPrice]" caption="UnitPrice" attribute="1" defaultMemberUniqueName="[orderlinesTABLE].[UnitPrice].[All]" allUniqueName="[orderlinesTABLE].[UnitPrice].[All]" dimensionUniqueName="[orderlinesTABLE]" displayFolder="" count="0" memberValueDatatype="5" unbalanced="0"/>
    <cacheHierarchy uniqueName="[orderlinesTABLE].[Category]" caption="Category" attribute="1" defaultMemberUniqueName="[orderlinesTABLE].[Category].[All]" allUniqueName="[orderlinesTABLE].[Category].[All]" dimensionUniqueName="[orderlinesTABLE]" displayFolder="" count="0" memberValueDatatype="130" unbalanced="0"/>
    <cacheHierarchy uniqueName="[orderlinesTABLE].[UnitCost]" caption="UnitCost" attribute="1" defaultMemberUniqueName="[orderlinesTABLE].[UnitCost].[All]" allUniqueName="[orderlinesTABLE].[UnitCost].[All]" dimensionUniqueName="[orderlinesTABLE]" displayFolder="" count="0" memberValueDatatype="5" unbalanced="0"/>
    <cacheHierarchy uniqueName="[orderlinesTABLE].[OrderDate]" caption="OrderDate" attribute="1" time="1" defaultMemberUniqueName="[orderlinesTABLE].[OrderDate].[All]" allUniqueName="[orderlinesTABLE].[OrderDate].[All]" dimensionUniqueName="[orderlinesTABLE]" displayFolder="" count="0" memberValueDatatype="7" unbalanced="0"/>
    <cacheHierarchy uniqueName="[orderlinesTABLE].[Branch]" caption="Branch" attribute="1" defaultMemberUniqueName="[orderlinesTABLE].[Branch].[All]" allUniqueName="[orderlinesTABLE].[Branch].[All]" dimensionUniqueName="[orderlinesTABLE]" displayFolder="" count="2" memberValueDatatype="130" unbalanced="0">
      <fieldsUsage count="2">
        <fieldUsage x="-1"/>
        <fieldUsage x="1"/>
      </fieldsUsage>
    </cacheHierarchy>
    <cacheHierarchy uniqueName="[orderlinesTABLE].[DiscountPct]" caption="DiscountPct" attribute="1" defaultMemberUniqueName="[orderlinesTABLE].[DiscountPct].[All]" allUniqueName="[orderlinesTABLE].[DiscountPct].[All]" dimensionUniqueName="[orderlinesTABLE]" displayFolder="" count="0" memberValueDatatype="5" unbalanced="0"/>
    <cacheHierarchy uniqueName="[orderlinesTABLE].[LineNetAmount]" caption="LineNetAmount" attribute="1" defaultMemberUniqueName="[orderlinesTABLE].[LineNetAmount].[All]" allUniqueName="[orderlinesTABLE].[LineNetAmount].[All]" dimensionUniqueName="[orderlinesTABLE]" displayFolder="" count="0" memberValueDatatype="5" unbalanced="0"/>
    <cacheHierarchy uniqueName="[orderlinesTABLE].[MonthName]" caption="MonthName" attribute="1" defaultMemberUniqueName="[orderlinesTABLE].[MonthName].[All]" allUniqueName="[orderlinesTABLE].[MonthName].[All]" dimensionUniqueName="[orderlinesTABLE]" displayFolder="" count="2" memberValueDatatype="130" unbalanced="0">
      <fieldsUsage count="2">
        <fieldUsage x="-1"/>
        <fieldUsage x="2"/>
      </fieldsUsage>
    </cacheHierarchy>
    <cacheHierarchy uniqueName="[orderlinesTABLE].[Shift]" caption="Shift" attribute="1" defaultMemberUniqueName="[orderlinesTABLE].[Shift].[All]" allUniqueName="[orderlinesTABLE].[Shift].[All]" dimensionUniqueName="[orderlinesTABLE]" displayFolder="" count="2" memberValueDatatype="130" unbalanced="0">
      <fieldsUsage count="2">
        <fieldUsage x="-1"/>
        <fieldUsage x="0"/>
      </fieldsUsage>
    </cacheHierarchy>
    <cacheHierarchy uniqueName="[orderlinesTABLE].[PaymentType]" caption="PaymentType" attribute="1" defaultMemberUniqueName="[orderlinesTABLE].[PaymentType].[All]" allUniqueName="[orderlinesTABLE].[PaymentType].[All]" dimensionUniqueName="[orderlinesTABLE]" displayFolder="" count="0" memberValueDatatype="130" unbalanced="0"/>
    <cacheHierarchy uniqueName="[orderlinesTABLE].[ComboFlag]" caption="ComboFlag" attribute="1" defaultMemberUniqueName="[orderlinesTABLE].[ComboFlag].[All]" allUniqueName="[orderlinesTABLE].[ComboFlag].[All]" dimensionUniqueName="[orderlinesTABLE]" displayFolder="" count="0" memberValueDatatype="130" unbalanced="0"/>
    <cacheHierarchy uniqueName="[orderlinesTABLE].[DiscountFlag]" caption="DiscountFlag" attribute="1" defaultMemberUniqueName="[orderlinesTABLE].[DiscountFlag].[All]" allUniqueName="[orderlinesTABLE].[DiscountFlag].[All]" dimensionUniqueName="[orderlinesTABLE]" displayFolder="" count="0" memberValueDatatype="130" unbalanced="0"/>
    <cacheHierarchy uniqueName="[orderlinesTABLE].[totalCOST]" caption="totalCOST" attribute="1" defaultMemberUniqueName="[orderlinesTABLE].[totalCOST].[All]" allUniqueName="[orderlinesTABLE].[totalCOST].[All]" dimensionUniqueName="[orderlinesTABLE]" displayFolder="" count="0" memberValueDatatype="5" unbalanced="0"/>
    <cacheHierarchy uniqueName="[orderlinesTABLE].[Profit]" caption="Profit" attribute="1" defaultMemberUniqueName="[orderlinesTABLE].[Profit].[All]" allUniqueName="[orderlinesTABLE].[Profit].[All]" dimensionUniqueName="[orderlinesTABLE]" displayFolder="" count="0" memberValueDatatype="5" unbalanced="0"/>
    <cacheHierarchy uniqueName="[orderlinesTABLE].[ItemName]" caption="ItemName" attribute="1" defaultMemberUniqueName="[orderlinesTABLE].[ItemName].[All]" allUniqueName="[orderlinesTABLE].[ItemName].[All]" dimensionUniqueName="[orderlinesTABLE]" displayFolder="" count="0" memberValueDatatype="130" unbalanced="0"/>
    <cacheHierarchy uniqueName="[orderlinesTABLE].[Combination]" caption="Combination" attribute="1" defaultMemberUniqueName="[orderlinesTABLE].[Combination].[All]" allUniqueName="[orderlinesTABLE].[Combination].[All]" dimensionUniqueName="[orderlinesTABLE]" displayFolder="" count="0" memberValueDatatype="130" unbalanced="0"/>
    <cacheHierarchy uniqueName="[Range].[OrderID]" caption="OrderID" attribute="1" defaultMemberUniqueName="[Range].[OrderID].[All]" allUniqueName="[Range].[Order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Category]" caption="Category" attribute="1" defaultMemberUniqueName="[Range].[Category].[All]" allUniqueName="[Range].[Category].[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Branch]" caption="Branch" attribute="1" defaultMemberUniqueName="[Range].[Branch].[All]" allUniqueName="[Range].[Branch].[All]" dimensionUniqueName="[Range]" displayFolder="" count="0" memberValueDatatype="130" unbalanced="0"/>
    <cacheHierarchy uniqueName="[Range].[DiscountPct]" caption="DiscountPct" attribute="1" defaultMemberUniqueName="[Range].[DiscountPct].[All]" allUniqueName="[Range].[DiscountPct].[All]" dimensionUniqueName="[Range]" displayFolder="" count="0" memberValueDatatype="5" unbalanced="0"/>
    <cacheHierarchy uniqueName="[Range].[LineNetAmount]" caption="LineNetAmount" attribute="1" defaultMemberUniqueName="[Range].[LineNetAmount].[All]" allUniqueName="[Range].[LineNetAmount].[All]" dimensionUniqueName="[Range]" displayFolder="" count="0" memberValueDatatype="5" unbalanced="0"/>
    <cacheHierarchy uniqueName="[Range].[MonthName]" caption="MonthName" attribute="1" defaultMemberUniqueName="[Range].[MonthName].[All]" allUniqueName="[Range].[MonthName].[All]" dimensionUniqueName="[Range]" displayFolder="" count="0" memberValueDatatype="130" unbalanced="0"/>
    <cacheHierarchy uniqueName="[Range].[Shift]" caption="Shift" attribute="1" defaultMemberUniqueName="[Range].[Shift].[All]" allUniqueName="[Range].[Shift].[All]" dimensionUniqueName="[Range]" displayFolder="" count="0" memberValueDatatype="130" unbalanced="0"/>
    <cacheHierarchy uniqueName="[Range].[PaymentType]" caption="PaymentType" attribute="1" defaultMemberUniqueName="[Range].[PaymentType].[All]" allUniqueName="[Range].[PaymentType].[All]" dimensionUniqueName="[Range]" displayFolder="" count="0" memberValueDatatype="130" unbalanced="0"/>
    <cacheHierarchy uniqueName="[Measures].[__XL_Count Range]" caption="__XL_Count Range" measure="1" displayFolder="" measureGroup="Range" count="0" hidden="1"/>
    <cacheHierarchy uniqueName="[Measures].[__XL_Count orderlinesTABLE]" caption="__XL_Count orderlinesTABLE" measure="1" displayFolder="" measureGroup="orderlinesTABLE" count="0" hidden="1"/>
    <cacheHierarchy uniqueName="[Measures].[__No measures defined]" caption="__No measures defined" measure="1" displayFolder="" count="0" hidden="1"/>
    <cacheHierarchy uniqueName="[Measures].[Sum of LineNetAmount]" caption="Sum of LineNetAmount" measure="1" displayFolder="" measureGroup="Range"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19"/>
        </ext>
      </extLst>
    </cacheHierarchy>
    <cacheHierarchy uniqueName="[Measures].[Count of OrderID 2]" caption="Count of OrderID 2" measure="1" displayFolder="" measureGroup="orderlinesTABLE"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orderlinesTABLE" count="0" hidden="1">
      <extLst>
        <ext xmlns:x15="http://schemas.microsoft.com/office/spreadsheetml/2010/11/main" uri="{B97F6D7D-B522-45F9-BDA1-12C45D357490}">
          <x15:cacheHierarchy aggregatedColumn="0"/>
        </ext>
      </extLst>
    </cacheHierarchy>
    <cacheHierarchy uniqueName="[Measures].[Sum of LineNetAmount 2]" caption="Sum of LineNetAmount 2" measure="1" displayFolder="" measureGroup="orderlinesTABLE"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totalCOST]" caption="Sum of totalCOST" measure="1" displayFolder="" measureGroup="orderlinesTABLE"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linesTABLE" count="0" hidden="1">
      <extLst>
        <ext xmlns:x15="http://schemas.microsoft.com/office/spreadsheetml/2010/11/main" uri="{B97F6D7D-B522-45F9-BDA1-12C45D357490}">
          <x15:cacheHierarchy aggregatedColumn="16"/>
        </ext>
      </extLst>
    </cacheHierarchy>
  </cacheHierarchies>
  <kpis count="0"/>
  <dimensions count="3">
    <dimension measure="1" name="Measures" uniqueName="[Measures]" caption="Measures"/>
    <dimension name="orderlinesTABLE" uniqueName="[orderlinesTABLE]" caption="orderlinesTABLE"/>
    <dimension name="Range" uniqueName="[Range]" caption="Range"/>
  </dimensions>
  <measureGroups count="2">
    <measureGroup name="orderlinesTABLE" caption="orderlinesTABLE"/>
    <measureGroup name="Range" caption="Rang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ANTIKA CHOWDHURY" refreshedDate="46238.025469675929" createdVersion="8" refreshedVersion="8" minRefreshableVersion="3" recordCount="360" xr:uid="{0509E7D8-42B4-4EA3-8439-C1F487E3F25E}">
  <cacheSource type="worksheet">
    <worksheetSource name="Table3"/>
  </cacheSource>
  <cacheFields count="16">
    <cacheField name="OrderID" numFmtId="0">
      <sharedItems count="360">
        <s v="O00001"/>
        <s v="O00002"/>
        <s v="O00003"/>
        <s v="O00004"/>
        <s v="O00005"/>
        <s v="O00006"/>
        <s v="O00007"/>
        <s v="O00008"/>
        <s v="O00009"/>
        <s v="O00010"/>
        <s v="O00011"/>
        <s v="O00012"/>
        <s v="O00013"/>
        <s v="O00014"/>
        <s v="O00015"/>
        <s v="O00016"/>
        <s v="O00017"/>
        <s v="O00018"/>
        <s v="O00019"/>
        <s v="O00020"/>
        <s v="O00021"/>
        <s v="O00022"/>
        <s v="O00023"/>
        <s v="O00024"/>
        <s v="O00025"/>
        <s v="O00026"/>
        <s v="O00027"/>
        <s v="O00028"/>
        <s v="O00029"/>
        <s v="O00030"/>
        <s v="O00031"/>
        <s v="O00032"/>
        <s v="O00033"/>
        <s v="O00034"/>
        <s v="O00035"/>
        <s v="O00036"/>
        <s v="O00037"/>
        <s v="O00038"/>
        <s v="O00039"/>
        <s v="O00040"/>
        <s v="O00041"/>
        <s v="O00042"/>
        <s v="O00043"/>
        <s v="O00044"/>
        <s v="O00045"/>
        <s v="O00046"/>
        <s v="O00047"/>
        <s v="O00048"/>
        <s v="O00049"/>
        <s v="O00050"/>
        <s v="O00051"/>
        <s v="O00052"/>
        <s v="O00053"/>
        <s v="O00054"/>
        <s v="O00055"/>
        <s v="O00056"/>
        <s v="O00057"/>
        <s v="O00058"/>
        <s v="O00059"/>
        <s v="O00060"/>
        <s v="O00061"/>
        <s v="O00062"/>
        <s v="O00063"/>
        <s v="O00064"/>
        <s v="O00065"/>
        <s v="O00066"/>
        <s v="O00067"/>
        <s v="O00068"/>
        <s v="O00069"/>
        <s v="O00070"/>
        <s v="O00071"/>
        <s v="O00072"/>
        <s v="O00073"/>
        <s v="O00074"/>
        <s v="O00075"/>
        <s v="O00076"/>
        <s v="O00077"/>
        <s v="O00078"/>
        <s v="O00079"/>
        <s v="O00080"/>
        <s v="O00081"/>
        <s v="O00082"/>
        <s v="O00083"/>
        <s v="O00084"/>
        <s v="O00085"/>
        <s v="O00086"/>
        <s v="O00087"/>
        <s v="O00088"/>
        <s v="O00089"/>
        <s v="O00090"/>
        <s v="O00091"/>
        <s v="O00092"/>
        <s v="O00093"/>
        <s v="O00094"/>
        <s v="O00095"/>
        <s v="O00096"/>
        <s v="O00097"/>
        <s v="O00098"/>
        <s v="O00099"/>
        <s v="O00100"/>
        <s v="O00101"/>
        <s v="O00102"/>
        <s v="O00103"/>
        <s v="O00104"/>
        <s v="O00105"/>
        <s v="O00106"/>
        <s v="O00107"/>
        <s v="O00108"/>
        <s v="O00109"/>
        <s v="O00110"/>
        <s v="O00111"/>
        <s v="O00112"/>
        <s v="O00113"/>
        <s v="O00114"/>
        <s v="O00115"/>
        <s v="O00116"/>
        <s v="O00117"/>
        <s v="O00118"/>
        <s v="O00119"/>
        <s v="O00120"/>
        <s v="O00121"/>
        <s v="O00122"/>
        <s v="O00123"/>
        <s v="O00124"/>
        <s v="O00125"/>
        <s v="O00126"/>
        <s v="O00127"/>
        <s v="O00128"/>
        <s v="O00129"/>
        <s v="O00130"/>
        <s v="O00131"/>
        <s v="O00132"/>
        <s v="O00133"/>
        <s v="O00134"/>
        <s v="O00135"/>
        <s v="O00136"/>
        <s v="O00137"/>
        <s v="O00138"/>
        <s v="O00139"/>
        <s v="O00140"/>
        <s v="O00141"/>
        <s v="O00142"/>
        <s v="O00143"/>
        <s v="O00144"/>
        <s v="O00145"/>
        <s v="O00146"/>
        <s v="O00147"/>
        <s v="O00148"/>
        <s v="O00149"/>
        <s v="O00150"/>
        <s v="O00151"/>
        <s v="O00152"/>
        <s v="O00153"/>
        <s v="O00154"/>
        <s v="O00155"/>
        <s v="O00156"/>
        <s v="O00157"/>
        <s v="O00158"/>
        <s v="O00159"/>
        <s v="O00160"/>
        <s v="O00161"/>
        <s v="O00162"/>
        <s v="O00163"/>
        <s v="O00164"/>
        <s v="O00165"/>
        <s v="O00166"/>
        <s v="O00167"/>
        <s v="O00168"/>
        <s v="O00169"/>
        <s v="O00170"/>
        <s v="O00171"/>
        <s v="O00172"/>
        <s v="O00173"/>
        <s v="O00174"/>
        <s v="O00175"/>
        <s v="O00176"/>
        <s v="O00177"/>
        <s v="O00178"/>
        <s v="O00179"/>
        <s v="O00180"/>
        <s v="O00181"/>
        <s v="O00182"/>
        <s v="O00183"/>
        <s v="O00184"/>
        <s v="O00185"/>
        <s v="O00186"/>
        <s v="O00187"/>
        <s v="O00188"/>
        <s v="O00189"/>
        <s v="O00190"/>
        <s v="O00191"/>
        <s v="O00192"/>
        <s v="O00193"/>
        <s v="O00194"/>
        <s v="O00195"/>
        <s v="O00196"/>
        <s v="O00197"/>
        <s v="O00198"/>
        <s v="O00199"/>
        <s v="O00200"/>
        <s v="O00201"/>
        <s v="O00202"/>
        <s v="O00203"/>
        <s v="O00204"/>
        <s v="O00205"/>
        <s v="O00206"/>
        <s v="O00207"/>
        <s v="O00208"/>
        <s v="O00209"/>
        <s v="O00210"/>
        <s v="O00211"/>
        <s v="O00212"/>
        <s v="O00213"/>
        <s v="O00214"/>
        <s v="O00215"/>
        <s v="O00216"/>
        <s v="O00217"/>
        <s v="O00218"/>
        <s v="O00219"/>
        <s v="O00220"/>
        <s v="O00221"/>
        <s v="O00222"/>
        <s v="O00223"/>
        <s v="O00224"/>
        <s v="O00225"/>
        <s v="O00226"/>
        <s v="O00227"/>
        <s v="O00228"/>
        <s v="O00229"/>
        <s v="O00230"/>
        <s v="O00231"/>
        <s v="O00232"/>
        <s v="O00233"/>
        <s v="O00234"/>
        <s v="O00235"/>
        <s v="O00236"/>
        <s v="O00237"/>
        <s v="O00238"/>
        <s v="O00239"/>
        <s v="O00240"/>
        <s v="O00241"/>
        <s v="O00242"/>
        <s v="O00243"/>
        <s v="O00244"/>
        <s v="O00245"/>
        <s v="O00246"/>
        <s v="O00247"/>
        <s v="O00248"/>
        <s v="O00249"/>
        <s v="O00250"/>
        <s v="O00251"/>
        <s v="O00252"/>
        <s v="O00253"/>
        <s v="O00254"/>
        <s v="O00255"/>
        <s v="O00256"/>
        <s v="O00257"/>
        <s v="O00258"/>
        <s v="O00259"/>
        <s v="O00260"/>
        <s v="O00261"/>
        <s v="O00262"/>
        <s v="O00263"/>
        <s v="O00264"/>
        <s v="O00265"/>
        <s v="O00266"/>
        <s v="O00267"/>
        <s v="O00268"/>
        <s v="O00269"/>
        <s v="O00270"/>
        <s v="O00271"/>
        <s v="O00272"/>
        <s v="O00273"/>
        <s v="O00274"/>
        <s v="O00275"/>
        <s v="O00276"/>
        <s v="O00277"/>
        <s v="O00278"/>
        <s v="O00279"/>
        <s v="O00280"/>
        <s v="O00281"/>
        <s v="O00282"/>
        <s v="O00283"/>
        <s v="O00284"/>
        <s v="O00285"/>
        <s v="O00286"/>
        <s v="O00287"/>
        <s v="O00288"/>
        <s v="O00289"/>
        <s v="O00290"/>
        <s v="O00291"/>
        <s v="O00292"/>
        <s v="O00293"/>
        <s v="O00294"/>
        <s v="O00295"/>
        <s v="O00296"/>
        <s v="O00297"/>
        <s v="O00298"/>
        <s v="O00299"/>
        <s v="O00300"/>
        <s v="O00301"/>
        <s v="O00302"/>
        <s v="O00303"/>
        <s v="O00304"/>
        <s v="O00305"/>
        <s v="O00306"/>
        <s v="O00307"/>
        <s v="O00308"/>
        <s v="O00309"/>
        <s v="O00310"/>
        <s v="O00311"/>
        <s v="O00312"/>
        <s v="O00313"/>
        <s v="O00314"/>
        <s v="O00315"/>
        <s v="O00316"/>
        <s v="O00317"/>
        <s v="O00318"/>
        <s v="O00319"/>
        <s v="O00320"/>
        <s v="O00321"/>
        <s v="O00322"/>
        <s v="O00323"/>
        <s v="O00324"/>
        <s v="O00325"/>
        <s v="O00326"/>
        <s v="O00327"/>
        <s v="O00328"/>
        <s v="O00329"/>
        <s v="O00330"/>
        <s v="O00331"/>
        <s v="O00332"/>
        <s v="O00333"/>
        <s v="O00334"/>
        <s v="O00335"/>
        <s v="O00336"/>
        <s v="O00337"/>
        <s v="O00338"/>
        <s v="O00339"/>
        <s v="O00340"/>
        <s v="O00341"/>
        <s v="O00342"/>
        <s v="O00343"/>
        <s v="O00344"/>
        <s v="O00345"/>
        <s v="O00346"/>
        <s v="O00347"/>
        <s v="O00348"/>
        <s v="O00349"/>
        <s v="O00350"/>
        <s v="O00351"/>
        <s v="O00352"/>
        <s v="O00353"/>
        <s v="O00354"/>
        <s v="O00355"/>
        <s v="O00356"/>
        <s v="O00357"/>
        <s v="O00358"/>
        <s v="O00359"/>
        <s v="O00360"/>
      </sharedItems>
    </cacheField>
    <cacheField name="OrderDateTime" numFmtId="22">
      <sharedItems containsSemiMixedTypes="0" containsNonDate="0" containsDate="1" containsString="0" minDate="2025-07-01T09:56:27" maxDate="2025-08-29T12:47:25"/>
    </cacheField>
    <cacheField name="Branch" numFmtId="0">
      <sharedItems count="3">
        <s v="Head Office Café"/>
        <s v="Plant 2 Canteen"/>
        <s v="Plant 1 Canteen"/>
      </sharedItems>
    </cacheField>
    <cacheField name="CustomerType" numFmtId="0">
      <sharedItems/>
    </cacheField>
    <cacheField name="PaymentType" numFmtId="0">
      <sharedItems/>
    </cacheField>
    <cacheField name="Shift" numFmtId="0">
      <sharedItems count="3">
        <s v="Breakfast"/>
        <s v="Dinner"/>
        <s v="Lunch"/>
      </sharedItems>
    </cacheField>
    <cacheField name="DiscountPct" numFmtId="0">
      <sharedItems containsSemiMixedTypes="0" containsString="0" containsNumber="1" minValue="0" maxValue="0.21"/>
    </cacheField>
    <cacheField name="OrderDate" numFmtId="14">
      <sharedItems containsSemiMixedTypes="0" containsNonDate="0" containsDate="1" containsString="0" minDate="2025-07-01T00:00:00" maxDate="2025-08-30T00:00:00"/>
    </cacheField>
    <cacheField name="Has beverage" numFmtId="0">
      <sharedItems/>
    </cacheField>
    <cacheField name="LineAmount" numFmtId="0">
      <sharedItems containsSemiMixedTypes="0" containsString="0" containsNumber="1" minValue="18.501200000000001" maxValue="1569.9879999999998" count="356">
        <n v="147.90900000000002"/>
        <n v="101.54549999999999"/>
        <n v="668.96"/>
        <n v="477.41460000000001"/>
        <n v="95.011200000000002"/>
        <n v="54.296999999999997"/>
        <n v="348.41520000000003"/>
        <n v="223.75"/>
        <n v="459.28980000000001"/>
        <n v="420.07679999999999"/>
        <n v="27.577099999999998"/>
        <n v="98.118000000000009"/>
        <n v="807.87599999999998"/>
        <n v="181.47599999999997"/>
        <n v="410.18389999999999"/>
        <n v="486.94150000000002"/>
        <n v="30.671399999999995"/>
        <n v="164.48400000000001"/>
        <n v="701.52960000000007"/>
        <n v="474.75300000000004"/>
        <n v="291.72640000000001"/>
        <n v="364.2903"/>
        <n v="242.24200000000002"/>
        <n v="390.88800000000003"/>
        <n v="47.178599999999996"/>
        <n v="81.459000000000003"/>
        <n v="839.84580000000005"/>
        <n v="382.71350000000001"/>
        <n v="140.03009999999998"/>
        <n v="365.72800000000001"/>
        <n v="435.97199999999992"/>
        <n v="466.18879999999996"/>
        <n v="390.34999999999997"/>
        <n v="86.568299999999994"/>
        <n v="636.38"/>
        <n v="209.96899999999999"/>
        <n v="321.16039999999998"/>
        <n v="88.16"/>
        <n v="486.8655"/>
        <n v="624.52289999999994"/>
        <n v="149.14240000000001"/>
        <n v="346.63679999999999"/>
        <n v="21.533999999999999"/>
        <n v="139.38240000000002"/>
        <n v="323.90100000000001"/>
        <n v="37.153500000000001"/>
        <n v="595.65120000000002"/>
        <n v="179.67599999999999"/>
        <n v="275.95579999999995"/>
        <n v="98.576999999999998"/>
        <n v="574.76379999999995"/>
        <n v="183.8535"/>
        <n v="100.70400000000001"/>
        <n v="271.65999999999997"/>
        <n v="706.71630000000005"/>
        <n v="462.02399999999994"/>
        <n v="240.47079999999997"/>
        <n v="233.78549999999998"/>
        <n v="662.52"/>
        <n v="710.06400000000008"/>
        <n v="252.66200000000001"/>
        <n v="285.45159999999998"/>
        <n v="145.44499999999999"/>
        <n v="18.501200000000001"/>
        <n v="587.66380000000004"/>
        <n v="1009.5894"/>
        <n v="337.50630000000001"/>
        <n v="373.89439999999996"/>
        <n v="1539.5700000000002"/>
        <n v="56.710199999999993"/>
        <n v="304.49419999999998"/>
        <n v="336.36119999999994"/>
        <n v="95.36099999999999"/>
        <n v="835.66079999999988"/>
        <n v="512.8922"/>
        <n v="393.21810000000005"/>
        <n v="92.132800000000003"/>
        <n v="135.70830000000001"/>
        <n v="86.377200000000016"/>
        <n v="419.39100000000002"/>
        <n v="44.167200000000001"/>
        <n v="119.85000000000001"/>
        <n v="297.28880000000004"/>
        <n v="200.50649999999999"/>
        <n v="151.48840000000001"/>
        <n v="178.63679999999999"/>
        <n v="252.08920000000001"/>
        <n v="291.99360000000001"/>
        <n v="658.67000000000007"/>
        <n v="714.59739999999999"/>
        <n v="286.94400000000002"/>
        <n v="686.02560000000005"/>
        <n v="398.80119999999999"/>
        <n v="171.96960000000001"/>
        <n v="739.84810000000004"/>
        <n v="825.56899999999996"/>
        <n v="51.742600000000003"/>
        <n v="182.3877"/>
        <n v="242.30219999999997"/>
        <n v="317.98810000000003"/>
        <n v="140.83000000000001"/>
        <n v="70.791600000000003"/>
        <n v="131.20439999999999"/>
        <n v="49.322000000000003"/>
        <n v="30.0366"/>
        <n v="423.67050000000006"/>
        <n v="57.426400000000001"/>
        <n v="200.38709999999998"/>
        <n v="56.432399999999994"/>
        <n v="761.72579999999994"/>
        <n v="335.51330000000002"/>
        <n v="409.14420000000001"/>
        <n v="509.79810000000003"/>
        <n v="251.20089999999999"/>
        <n v="750.9926999999999"/>
        <n v="376.96080000000006"/>
        <n v="667.4085"/>
        <n v="47.729500000000002"/>
        <n v="69.129200000000012"/>
        <n v="82.491500000000002"/>
        <n v="541.0933"/>
        <n v="615.94029999999998"/>
        <n v="986.59799999999996"/>
        <n v="858.01959999999997"/>
        <n v="155.61000000000001"/>
        <n v="318.2516"/>
        <n v="191.672"/>
        <n v="699.23419999999999"/>
        <n v="735.34300000000007"/>
        <n v="404.48029999999994"/>
        <n v="593.14"/>
        <n v="456.17430000000002"/>
        <n v="349.8381"/>
        <n v="90.035399999999996"/>
        <n v="188.19739999999999"/>
        <n v="492.90560000000005"/>
        <n v="299.93399999999997"/>
        <n v="83.315399999999997"/>
        <n v="661.30610000000001"/>
        <n v="310.73950000000002"/>
        <n v="79.2624"/>
        <n v="164.67999999999998"/>
        <n v="38.208999999999996"/>
        <n v="328.09960000000001"/>
        <n v="1569.9879999999998"/>
        <n v="357.67779999999999"/>
        <n v="70.290000000000006"/>
        <n v="286.22400000000005"/>
        <n v="741.97760000000017"/>
        <n v="1518.4016999999999"/>
        <n v="235.04579999999999"/>
        <n v="71.582099999999997"/>
        <n v="343.7396"/>
        <n v="791.97720000000004"/>
        <n v="939.76499999999999"/>
        <n v="860.27859999999998"/>
        <n v="334.40219999999999"/>
        <n v="228.86369999999999"/>
        <n v="314.32720000000006"/>
        <n v="636.94800000000009"/>
        <n v="406.53899999999999"/>
        <n v="633.67000000000007"/>
        <n v="194.18700000000001"/>
        <n v="146.00400000000002"/>
        <n v="91.024799999999999"/>
        <n v="37.002400000000002"/>
        <n v="331.4366"/>
        <n v="318.40280000000001"/>
        <n v="153.614"/>
        <n v="502.74000000000007"/>
        <n v="414.25020000000006"/>
        <n v="488.12900000000002"/>
        <n v="243.8982"/>
        <n v="318.15030000000002"/>
        <n v="479.39850000000001"/>
        <n v="145.91039999999998"/>
        <n v="976.71639999999991"/>
        <n v="339.08199999999999"/>
        <n v="28.43"/>
        <n v="1182.9727000000003"/>
        <n v="52.45"/>
        <n v="150.70079999999999"/>
        <n v="130.78800000000001"/>
        <n v="138.85679999999999"/>
        <n v="59.4664"/>
        <n v="403.25810000000001"/>
        <n v="186.86850000000001"/>
        <n v="584.85180000000003"/>
        <n v="136.15199999999999"/>
        <n v="255.2946"/>
        <n v="498.40540000000004"/>
        <n v="209.661"/>
        <n v="227.2088"/>
        <n v="731"/>
        <n v="318.80399999999997"/>
        <n v="308.06230000000005"/>
        <n v="107.1525"/>
        <n v="851.31080000000009"/>
        <n v="37.552999999999997"/>
        <n v="35.0152"/>
        <n v="155.45530000000002"/>
        <n v="252.25200000000001"/>
        <n v="903.56399999999996"/>
        <n v="296.72640000000001"/>
        <n v="213.06049999999999"/>
        <n v="363.05099999999999"/>
        <n v="131.30240000000001"/>
        <n v="225.26459999999997"/>
        <n v="481.041"/>
        <n v="844.82100000000003"/>
        <n v="317.75400000000002"/>
        <n v="442.17"/>
        <n v="731.61599999999999"/>
        <n v="329.12199999999996"/>
        <n v="166.29679999999999"/>
        <n v="611.7908000000001"/>
        <n v="25.871300000000002"/>
        <n v="669.74180000000001"/>
        <n v="582.66840000000002"/>
        <n v="57.07"/>
        <n v="297.38099999999997"/>
        <n v="178.08699999999999"/>
        <n v="155.77650000000003"/>
        <n v="834.16470000000004"/>
        <n v="329.84000000000003"/>
        <n v="380.0256"/>
        <n v="100.812"/>
        <n v="455.21519999999998"/>
        <n v="199.26000000000002"/>
        <n v="460.40589999999997"/>
        <n v="483.5172"/>
        <n v="128.10560000000001"/>
        <n v="36.754000000000005"/>
        <n v="190.22399999999999"/>
        <n v="75.105999999999995"/>
        <n v="358.31040000000002"/>
        <n v="403.89919999999995"/>
        <n v="1180.0425"/>
        <n v="129.48319999999998"/>
        <n v="1112.7204000000002"/>
        <n v="196.29899999999998"/>
        <n v="420.02000000000004"/>
        <n v="591.89749999999992"/>
        <n v="194.69040000000001"/>
        <n v="775.47119999999995"/>
        <n v="274.59839999999997"/>
        <n v="612.57899999999995"/>
        <n v="1076.9951999999998"/>
        <n v="1478.0544"/>
        <n v="924.43260000000009"/>
        <n v="260.45580000000001"/>
        <n v="474.53370000000001"/>
        <n v="507.97800000000007"/>
        <n v="341.72849999999994"/>
        <n v="158.21260000000001"/>
        <n v="544.91710000000012"/>
        <n v="375.55489999999998"/>
        <n v="499.59360000000004"/>
        <n v="232.69610000000003"/>
        <n v="663.43040000000008"/>
        <n v="385.40940000000001"/>
        <n v="500.01419999999996"/>
        <n v="527.84120000000007"/>
        <n v="442.76160000000004"/>
        <n v="532.77200000000005"/>
        <n v="942.52350000000001"/>
        <n v="1109.4575"/>
        <n v="1485.0719999999999"/>
        <n v="139.18450000000001"/>
        <n v="228.46460000000002"/>
        <n v="311.85599999999999"/>
        <n v="633.99240000000009"/>
        <n v="822.01210000000003"/>
        <n v="407.24599999999992"/>
        <n v="72.549300000000002"/>
        <n v="413.03149999999999"/>
        <n v="28.519599999999997"/>
        <n v="267.05760000000004"/>
        <n v="29.4298"/>
        <n v="276.7996"/>
        <n v="1112.0354"/>
        <n v="328.69979999999998"/>
        <n v="380.96449999999999"/>
        <n v="294.77629999999999"/>
        <n v="371.04520000000002"/>
        <n v="291.31830000000002"/>
        <n v="289.78319999999997"/>
        <n v="52.028199999999998"/>
        <n v="482.99080000000004"/>
        <n v="78.366299999999995"/>
        <n v="464.31000000000006"/>
        <n v="54.016999999999996"/>
        <n v="76.891899999999993"/>
        <n v="161.53800000000001"/>
        <n v="246.6336"/>
        <n v="453.73690000000005"/>
        <n v="376.82670000000002"/>
        <n v="349.06619999999998"/>
        <n v="63.935999999999993"/>
        <n v="149.7792"/>
        <n v="572.08000000000004"/>
        <n v="680.33"/>
        <n v="414.88839999999999"/>
        <n v="977.06549999999993"/>
        <n v="101.46299999999999"/>
        <n v="162.30719999999999"/>
        <n v="314.87819999999999"/>
        <n v="260.96500000000003"/>
        <n v="50.948"/>
        <n v="32.320399999999999"/>
        <n v="325.66299999999995"/>
        <n v="63.269999999999989"/>
        <n v="233.709"/>
        <n v="386.19579999999996"/>
        <n v="89.506799999999998"/>
        <n v="300.66080000000005"/>
        <n v="592.32219999999995"/>
        <n v="668.0856"/>
        <n v="158.03059999999999"/>
        <n v="498.4896"/>
        <n v="46.676699999999997"/>
        <n v="18.903399999999998"/>
        <n v="109.67920000000001"/>
        <n v="284.01600000000002"/>
        <n v="513.09899999999993"/>
        <n v="666.88040000000012"/>
        <n v="404.07840000000004"/>
        <n v="197.39699999999999"/>
        <n v="147.2285"/>
        <n v="655.48719999999992"/>
        <n v="656.71060000000011"/>
        <n v="199.50360000000001"/>
        <n v="124.44"/>
        <n v="152.9787"/>
        <n v="392.66570000000002"/>
        <n v="263.87520000000001"/>
        <n v="416"/>
        <n v="104.9376"/>
        <n v="105.148"/>
        <n v="214.55099999999999"/>
        <n v="595.21860000000004"/>
        <n v="66.194199999999995"/>
        <n v="494.73900000000003"/>
        <n v="1245.1872000000001"/>
        <n v="915.51600000000008"/>
        <n v="356.21480000000003"/>
        <n v="60.0732"/>
        <n v="204.4239"/>
        <n v="204.38849999999999"/>
        <n v="183.5136"/>
        <n v="87.41"/>
        <n v="700.52790000000005"/>
        <n v="93.417199999999994"/>
        <n v="89.783200000000008"/>
        <n v="455.22"/>
        <n v="962.15039999999999"/>
      </sharedItems>
    </cacheField>
    <cacheField name="ItemList" numFmtId="0">
      <sharedItems count="15">
        <s v="Snack"/>
        <s v="Beverage+Dessert"/>
        <s v="Beverage+Hot Meal+Snack"/>
        <s v="Hot Meal"/>
        <s v="Beverage+Snack"/>
        <s v="Beverage"/>
        <s v="Beverage+Hot Meal"/>
        <s v="Dessert+Hot Meal+Snack"/>
        <s v="Beverage+Dessert+Hot Meal+Snack"/>
        <s v="Dessert+Snack"/>
        <s v="Beverage+Dessert+Hot Meal"/>
        <s v="Hot Meal+Snack"/>
        <s v="Beverage+Dessert+Snack"/>
        <s v="Dessert+Hot Meal"/>
        <s v="Dessert"/>
      </sharedItems>
    </cacheField>
    <cacheField name="TotalCost" numFmtId="2">
      <sharedItems containsSemiMixedTypes="0" containsString="0" containsNumber="1" minValue="8" maxValue="771.58"/>
    </cacheField>
    <cacheField name="GrossProfit" numFmtId="2">
      <sharedItems containsSemiMixedTypes="0" containsString="0" containsNumber="1" minValue="10.501200000000001" maxValue="808.31000000000017"/>
    </cacheField>
    <cacheField name="combo flag" numFmtId="0">
      <sharedItems count="2">
        <s v="single"/>
        <s v="combo"/>
      </sharedItems>
    </cacheField>
    <cacheField name="discount flag" numFmtId="0">
      <sharedItems/>
    </cacheField>
    <cacheField name="GM%" numFmtId="0" formula="( (LineAmount-TotalCost)/LineAmount)*100" databaseField="0"/>
  </cacheFields>
  <extLst>
    <ext xmlns:x14="http://schemas.microsoft.com/office/spreadsheetml/2009/9/main" uri="{725AE2AE-9491-48be-B2B4-4EB974FC3084}">
      <x14:pivotCacheDefinition pivotCacheId="762917309"/>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ANTIKA CHOWDHURY" refreshedDate="46209.002152777779" backgroundQuery="1" createdVersion="3" refreshedVersion="8" minRefreshableVersion="3" recordCount="0" supportSubquery="1" supportAdvancedDrill="1" xr:uid="{21264768-2912-4EA6-AAC5-5DC686D9C3C7}">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orderlinesTABLE].[OrderID]" caption="OrderID" attribute="1" defaultMemberUniqueName="[orderlinesTABLE].[OrderID].[All]" allUniqueName="[orderlinesTABLE].[OrderID].[All]" dimensionUniqueName="[orderlinesTABLE]" displayFolder="" count="0" memberValueDatatype="130" unbalanced="0"/>
    <cacheHierarchy uniqueName="[orderlinesTABLE].[SKU]" caption="SKU" attribute="1" defaultMemberUniqueName="[orderlinesTABLE].[SKU].[All]" allUniqueName="[orderlinesTABLE].[SKU].[All]" dimensionUniqueName="[orderlinesTABLE]" displayFolder="" count="0" memberValueDatatype="130" unbalanced="0"/>
    <cacheHierarchy uniqueName="[orderlinesTABLE].[Qty]" caption="Qty" attribute="1" defaultMemberUniqueName="[orderlinesTABLE].[Qty].[All]" allUniqueName="[orderlinesTABLE].[Qty].[All]" dimensionUniqueName="[orderlinesTABLE]" displayFolder="" count="0" memberValueDatatype="20" unbalanced="0"/>
    <cacheHierarchy uniqueName="[orderlinesTABLE].[UnitPrice]" caption="UnitPrice" attribute="1" defaultMemberUniqueName="[orderlinesTABLE].[UnitPrice].[All]" allUniqueName="[orderlinesTABLE].[UnitPrice].[All]" dimensionUniqueName="[orderlinesTABLE]" displayFolder="" count="0" memberValueDatatype="5" unbalanced="0"/>
    <cacheHierarchy uniqueName="[orderlinesTABLE].[Category]" caption="Category" attribute="1" defaultMemberUniqueName="[orderlinesTABLE].[Category].[All]" allUniqueName="[orderlinesTABLE].[Category].[All]" dimensionUniqueName="[orderlinesTABLE]" displayFolder="" count="0" memberValueDatatype="130" unbalanced="0"/>
    <cacheHierarchy uniqueName="[orderlinesTABLE].[UnitCost]" caption="UnitCost" attribute="1" defaultMemberUniqueName="[orderlinesTABLE].[UnitCost].[All]" allUniqueName="[orderlinesTABLE].[UnitCost].[All]" dimensionUniqueName="[orderlinesTABLE]" displayFolder="" count="0" memberValueDatatype="5" unbalanced="0"/>
    <cacheHierarchy uniqueName="[orderlinesTABLE].[OrderDate]" caption="OrderDate" attribute="1" time="1" defaultMemberUniqueName="[orderlinesTABLE].[OrderDate].[All]" allUniqueName="[orderlinesTABLE].[OrderDate].[All]" dimensionUniqueName="[orderlinesTABLE]" displayFolder="" count="0" memberValueDatatype="7" unbalanced="0"/>
    <cacheHierarchy uniqueName="[orderlinesTABLE].[Branch]" caption="Branch" attribute="1" defaultMemberUniqueName="[orderlinesTABLE].[Branch].[All]" allUniqueName="[orderlinesTABLE].[Branch].[All]" dimensionUniqueName="[orderlinesTABLE]" displayFolder="" count="2" memberValueDatatype="130" unbalanced="0"/>
    <cacheHierarchy uniqueName="[orderlinesTABLE].[DiscountPct]" caption="DiscountPct" attribute="1" defaultMemberUniqueName="[orderlinesTABLE].[DiscountPct].[All]" allUniqueName="[orderlinesTABLE].[DiscountPct].[All]" dimensionUniqueName="[orderlinesTABLE]" displayFolder="" count="0" memberValueDatatype="5" unbalanced="0"/>
    <cacheHierarchy uniqueName="[orderlinesTABLE].[LineNetAmount]" caption="LineNetAmount" attribute="1" defaultMemberUniqueName="[orderlinesTABLE].[LineNetAmount].[All]" allUniqueName="[orderlinesTABLE].[LineNetAmount].[All]" dimensionUniqueName="[orderlinesTABLE]" displayFolder="" count="0" memberValueDatatype="5" unbalanced="0"/>
    <cacheHierarchy uniqueName="[orderlinesTABLE].[MonthName]" caption="MonthName" attribute="1" defaultMemberUniqueName="[orderlinesTABLE].[MonthName].[All]" allUniqueName="[orderlinesTABLE].[MonthName].[All]" dimensionUniqueName="[orderlinesTABLE]" displayFolder="" count="0" memberValueDatatype="130" unbalanced="0"/>
    <cacheHierarchy uniqueName="[orderlinesTABLE].[Shift]" caption="Shift" attribute="1" defaultMemberUniqueName="[orderlinesTABLE].[Shift].[All]" allUniqueName="[orderlinesTABLE].[Shift].[All]" dimensionUniqueName="[orderlinesTABLE]" displayFolder="" count="2" memberValueDatatype="130" unbalanced="0"/>
    <cacheHierarchy uniqueName="[orderlinesTABLE].[PaymentType]" caption="PaymentType" attribute="1" defaultMemberUniqueName="[orderlinesTABLE].[PaymentType].[All]" allUniqueName="[orderlinesTABLE].[PaymentType].[All]" dimensionUniqueName="[orderlinesTABLE]" displayFolder="" count="0" memberValueDatatype="130" unbalanced="0"/>
    <cacheHierarchy uniqueName="[orderlinesTABLE].[ComboFlag]" caption="ComboFlag" attribute="1" defaultMemberUniqueName="[orderlinesTABLE].[ComboFlag].[All]" allUniqueName="[orderlinesTABLE].[ComboFlag].[All]" dimensionUniqueName="[orderlinesTABLE]" displayFolder="" count="0" memberValueDatatype="130" unbalanced="0"/>
    <cacheHierarchy uniqueName="[orderlinesTABLE].[DiscountFlag]" caption="DiscountFlag" attribute="1" defaultMemberUniqueName="[orderlinesTABLE].[DiscountFlag].[All]" allUniqueName="[orderlinesTABLE].[DiscountFlag].[All]" dimensionUniqueName="[orderlinesTABLE]" displayFolder="" count="0" memberValueDatatype="130" unbalanced="0"/>
    <cacheHierarchy uniqueName="[orderlinesTABLE].[totalCOST]" caption="totalCOST" attribute="1" defaultMemberUniqueName="[orderlinesTABLE].[totalCOST].[All]" allUniqueName="[orderlinesTABLE].[totalCOST].[All]" dimensionUniqueName="[orderlinesTABLE]" displayFolder="" count="0" memberValueDatatype="5" unbalanced="0"/>
    <cacheHierarchy uniqueName="[orderlinesTABLE].[Profit]" caption="Profit" attribute="1" defaultMemberUniqueName="[orderlinesTABLE].[Profit].[All]" allUniqueName="[orderlinesTABLE].[Profit].[All]" dimensionUniqueName="[orderlinesTABLE]" displayFolder="" count="0" memberValueDatatype="5" unbalanced="0"/>
    <cacheHierarchy uniqueName="[orderlinesTABLE].[ItemName]" caption="ItemName" attribute="1" defaultMemberUniqueName="[orderlinesTABLE].[ItemName].[All]" allUniqueName="[orderlinesTABLE].[ItemName].[All]" dimensionUniqueName="[orderlinesTABLE]" displayFolder="" count="0" memberValueDatatype="130" unbalanced="0"/>
    <cacheHierarchy uniqueName="[orderlinesTABLE].[Combination]" caption="Combination" attribute="1" defaultMemberUniqueName="[orderlinesTABLE].[Combination].[All]" allUniqueName="[orderlinesTABLE].[Combination].[All]" dimensionUniqueName="[orderlinesTABLE]" displayFolder="" count="0" memberValueDatatype="130" unbalanced="0"/>
    <cacheHierarchy uniqueName="[Range].[OrderID]" caption="OrderID" attribute="1" defaultMemberUniqueName="[Range].[OrderID].[All]" allUniqueName="[Range].[Order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Category]" caption="Category" attribute="1" defaultMemberUniqueName="[Range].[Category].[All]" allUniqueName="[Range].[Category].[All]" dimensionUniqueName="[Range]" displayFolder="" count="0" memberValueDatatype="130" unbalanced="0"/>
    <cacheHierarchy uniqueName="[Range].[UnitCost]" caption="UnitCost" attribute="1" defaultMemberUniqueName="[Range].[UnitCost].[All]" allUniqueName="[Range].[Unit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Branch]" caption="Branch" attribute="1" defaultMemberUniqueName="[Range].[Branch].[All]" allUniqueName="[Range].[Branch].[All]" dimensionUniqueName="[Range]" displayFolder="" count="0" memberValueDatatype="130" unbalanced="0"/>
    <cacheHierarchy uniqueName="[Range].[DiscountPct]" caption="DiscountPct" attribute="1" defaultMemberUniqueName="[Range].[DiscountPct].[All]" allUniqueName="[Range].[DiscountPct].[All]" dimensionUniqueName="[Range]" displayFolder="" count="0" memberValueDatatype="5" unbalanced="0"/>
    <cacheHierarchy uniqueName="[Range].[LineNetAmount]" caption="LineNetAmount" attribute="1" defaultMemberUniqueName="[Range].[LineNetAmount].[All]" allUniqueName="[Range].[LineNetAmount].[All]" dimensionUniqueName="[Range]" displayFolder="" count="0" memberValueDatatype="5" unbalanced="0"/>
    <cacheHierarchy uniqueName="[Range].[MonthName]" caption="MonthName" attribute="1" defaultMemberUniqueName="[Range].[MonthName].[All]" allUniqueName="[Range].[MonthName].[All]" dimensionUniqueName="[Range]" displayFolder="" count="0" memberValueDatatype="130" unbalanced="0"/>
    <cacheHierarchy uniqueName="[Range].[Shift]" caption="Shift" attribute="1" defaultMemberUniqueName="[Range].[Shift].[All]" allUniqueName="[Range].[Shift].[All]" dimensionUniqueName="[Range]" displayFolder="" count="0" memberValueDatatype="130" unbalanced="0"/>
    <cacheHierarchy uniqueName="[Range].[PaymentType]" caption="PaymentType" attribute="1" defaultMemberUniqueName="[Range].[PaymentType].[All]" allUniqueName="[Range].[PaymentType].[All]" dimensionUniqueName="[Range]" displayFolder="" count="0" memberValueDatatype="130" unbalanced="0"/>
    <cacheHierarchy uniqueName="[Measures].[__XL_Count Range]" caption="__XL_Count Range" measure="1" displayFolder="" measureGroup="Range" count="0" hidden="1"/>
    <cacheHierarchy uniqueName="[Measures].[__XL_Count orderlinesTABLE]" caption="__XL_Count orderlinesTABLE" measure="1" displayFolder="" measureGroup="orderlinesTABLE" count="0" hidden="1"/>
    <cacheHierarchy uniqueName="[Measures].[__No measures defined]" caption="__No measures defined" measure="1" displayFolder="" count="0" hidden="1"/>
    <cacheHierarchy uniqueName="[Measures].[Sum of LineNetAmount]" caption="Sum of LineNetAmount" measure="1" displayFolder="" measureGroup="Range" count="0" hidden="1">
      <extLst>
        <ext xmlns:x15="http://schemas.microsoft.com/office/spreadsheetml/2010/11/main" uri="{B97F6D7D-B522-45F9-BDA1-12C45D357490}">
          <x15:cacheHierarchy aggregatedColumn="28"/>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9"/>
        </ext>
      </extLst>
    </cacheHierarchy>
    <cacheHierarchy uniqueName="[Measures].[Distinct Count of OrderID]" caption="Distinct Count of OrderID" measure="1" displayFolder="" measureGroup="Range" count="0" hidden="1">
      <extLst>
        <ext xmlns:x15="http://schemas.microsoft.com/office/spreadsheetml/2010/11/main" uri="{B97F6D7D-B522-45F9-BDA1-12C45D357490}">
          <x15:cacheHierarchy aggregatedColumn="19"/>
        </ext>
      </extLst>
    </cacheHierarchy>
    <cacheHierarchy uniqueName="[Measures].[Count of OrderID 2]" caption="Count of OrderID 2" measure="1" displayFolder="" measureGroup="orderlinesTABLE" count="0" hidden="1">
      <extLst>
        <ext xmlns:x15="http://schemas.microsoft.com/office/spreadsheetml/2010/11/main" uri="{B97F6D7D-B522-45F9-BDA1-12C45D357490}">
          <x15:cacheHierarchy aggregatedColumn="0"/>
        </ext>
      </extLst>
    </cacheHierarchy>
    <cacheHierarchy uniqueName="[Measures].[Distinct Count of OrderID 2]" caption="Distinct Count of OrderID 2" measure="1" displayFolder="" measureGroup="orderlines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1087065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4">
  <r>
    <s v="O00001"/>
    <s v="SHJ7XV"/>
    <n v="3"/>
    <n v="52.45"/>
    <s v="Snack"/>
    <n v="25.8"/>
    <d v="2025-07-14T00:00:00"/>
    <s v="Head Office Café"/>
    <n v="0.06"/>
    <n v="147.90900000000002"/>
  </r>
  <r>
    <s v="O00002"/>
    <s v="BTIQJ7"/>
    <n v="1"/>
    <n v="30.34"/>
    <s v="Beverage"/>
    <n v="14.18"/>
    <d v="2025-07-24T00:00:00"/>
    <s v="Plant 2 Canteen"/>
    <n v="0.05"/>
    <n v="28.822999999999997"/>
  </r>
  <r>
    <s v="O00002"/>
    <s v="DH9SDB"/>
    <n v="1"/>
    <n v="76.55"/>
    <s v="Dessert"/>
    <n v="38.229999999999997"/>
    <d v="2025-07-24T00:00:00"/>
    <s v="Plant 2 Canteen"/>
    <n v="0.05"/>
    <n v="72.722499999999997"/>
  </r>
  <r>
    <s v="O00003"/>
    <s v="BOC6UZ"/>
    <n v="2"/>
    <n v="32.979999999999997"/>
    <s v="Beverage"/>
    <n v="11.84"/>
    <d v="2025-07-10T00:00:00"/>
    <s v="Head Office Café"/>
    <n v="0"/>
    <n v="65.959999999999994"/>
  </r>
  <r>
    <s v="O00003"/>
    <s v="SHJ7XV"/>
    <n v="1"/>
    <n v="52.45"/>
    <s v="Snack"/>
    <n v="25.8"/>
    <d v="2025-07-10T00:00:00"/>
    <s v="Head Office Café"/>
    <n v="0"/>
    <n v="52.45"/>
  </r>
  <r>
    <s v="O00003"/>
    <s v="H3A3ZM"/>
    <n v="3"/>
    <n v="170.83"/>
    <s v="Hot Meal"/>
    <n v="74.069999999999993"/>
    <d v="2025-07-10T00:00:00"/>
    <s v="Head Office Café"/>
    <n v="0"/>
    <n v="512.49"/>
  </r>
  <r>
    <s v="O00003"/>
    <s v="SZBIKC"/>
    <n v="1"/>
    <n v="38.06"/>
    <s v="Snack"/>
    <n v="19.55"/>
    <d v="2025-07-10T00:00:00"/>
    <s v="Head Office Café"/>
    <n v="0"/>
    <n v="38.06"/>
  </r>
  <r>
    <s v="O00004"/>
    <s v="HH1DNM"/>
    <n v="2"/>
    <n v="246.09"/>
    <s v="Hot Meal"/>
    <n v="112.08"/>
    <d v="2025-08-10T00:00:00"/>
    <s v="Plant 2 Canteen"/>
    <n v="0.03"/>
    <n v="477.41460000000001"/>
  </r>
  <r>
    <s v="O00005"/>
    <s v="SCKW5N"/>
    <n v="1"/>
    <n v="70.540000000000006"/>
    <s v="Snack"/>
    <n v="35.81"/>
    <d v="2025-07-07T00:00:00"/>
    <s v="Plant 2 Canteen"/>
    <n v="0.04"/>
    <n v="67.718400000000003"/>
  </r>
  <r>
    <s v="O00005"/>
    <s v="B0T0PV"/>
    <n v="1"/>
    <n v="28.43"/>
    <s v="Beverage"/>
    <n v="13.89"/>
    <d v="2025-07-07T00:00:00"/>
    <s v="Plant 2 Canteen"/>
    <n v="0.04"/>
    <n v="27.2928"/>
  </r>
  <r>
    <s v="O00006"/>
    <s v="BXO6QJ"/>
    <n v="3"/>
    <n v="20.11"/>
    <s v="Beverage"/>
    <n v="8"/>
    <d v="2025-07-25T00:00:00"/>
    <s v="Plant 1 Canteen"/>
    <n v="0.1"/>
    <n v="54.296999999999997"/>
  </r>
  <r>
    <s v="O00007"/>
    <s v="BOC6UZ"/>
    <n v="1"/>
    <n v="32.979999999999997"/>
    <s v="Beverage"/>
    <n v="11.84"/>
    <d v="2025-07-14T00:00:00"/>
    <s v="Plant 2 Canteen"/>
    <n v="7.0000000000000007E-2"/>
    <n v="30.671399999999995"/>
  </r>
  <r>
    <s v="O00007"/>
    <s v="H3A3ZM"/>
    <n v="2"/>
    <n v="170.83"/>
    <s v="Hot Meal"/>
    <n v="74.069999999999993"/>
    <d v="2025-07-14T00:00:00"/>
    <s v="Plant 2 Canteen"/>
    <n v="7.0000000000000007E-2"/>
    <n v="317.74380000000002"/>
  </r>
  <r>
    <s v="O00008"/>
    <s v="BHL1C3"/>
    <n v="1"/>
    <n v="22.2"/>
    <s v="Beverage"/>
    <n v="9.3800000000000008"/>
    <d v="2025-07-25T00:00:00"/>
    <s v="Plant 1 Canteen"/>
    <n v="0"/>
    <n v="22.2"/>
  </r>
  <r>
    <s v="O00008"/>
    <s v="DYTJXE"/>
    <n v="3"/>
    <n v="57.07"/>
    <s v="Dessert"/>
    <n v="29.14"/>
    <d v="2025-07-25T00:00:00"/>
    <s v="Plant 1 Canteen"/>
    <n v="0"/>
    <n v="171.21"/>
  </r>
  <r>
    <s v="O00008"/>
    <s v="BTIQJ7"/>
    <n v="1"/>
    <n v="30.34"/>
    <s v="Beverage"/>
    <n v="14.18"/>
    <d v="2025-07-25T00:00:00"/>
    <s v="Plant 1 Canteen"/>
    <n v="0"/>
    <n v="30.34"/>
  </r>
  <r>
    <s v="O00009"/>
    <s v="H3A3ZM"/>
    <n v="2"/>
    <n v="170.83"/>
    <s v="Hot Meal"/>
    <n v="74.069999999999993"/>
    <d v="2025-07-06T00:00:00"/>
    <s v="Head Office Café"/>
    <n v="7.0000000000000007E-2"/>
    <n v="317.74380000000002"/>
  </r>
  <r>
    <s v="O00009"/>
    <s v="DYTJXE"/>
    <n v="2"/>
    <n v="57.07"/>
    <s v="Dessert"/>
    <n v="29.14"/>
    <d v="2025-07-06T00:00:00"/>
    <s v="Head Office Café"/>
    <n v="7.0000000000000007E-2"/>
    <n v="106.1502"/>
  </r>
  <r>
    <s v="O00009"/>
    <s v="SZBIKC"/>
    <n v="1"/>
    <n v="38.06"/>
    <s v="Snack"/>
    <n v="19.55"/>
    <d v="2025-07-06T00:00:00"/>
    <s v="Head Office Café"/>
    <n v="7.0000000000000007E-2"/>
    <n v="35.395800000000001"/>
  </r>
  <r>
    <s v="O00010"/>
    <s v="BHL1C3"/>
    <n v="2"/>
    <n v="22.2"/>
    <s v="Beverage"/>
    <n v="9.3800000000000008"/>
    <d v="2025-07-24T00:00:00"/>
    <s v="Plant 1 Canteen"/>
    <n v="0.04"/>
    <n v="42.623999999999995"/>
  </r>
  <r>
    <s v="O00010"/>
    <s v="HH1DNM"/>
    <n v="1"/>
    <n v="246.09"/>
    <s v="Hot Meal"/>
    <n v="112.08"/>
    <d v="2025-07-24T00:00:00"/>
    <s v="Plant 1 Canteen"/>
    <n v="0.04"/>
    <n v="236.24639999999999"/>
  </r>
  <r>
    <s v="O00010"/>
    <s v="SCKW5N"/>
    <n v="1"/>
    <n v="70.540000000000006"/>
    <s v="Snack"/>
    <n v="35.81"/>
    <d v="2025-07-24T00:00:00"/>
    <s v="Plant 1 Canteen"/>
    <n v="0.04"/>
    <n v="67.718400000000003"/>
  </r>
  <r>
    <s v="O00010"/>
    <s v="DH9SDB"/>
    <n v="1"/>
    <n v="76.55"/>
    <s v="Dessert"/>
    <n v="38.229999999999997"/>
    <d v="2025-07-24T00:00:00"/>
    <s v="Plant 1 Canteen"/>
    <n v="0.04"/>
    <n v="73.488"/>
  </r>
  <r>
    <s v="O00011"/>
    <s v="B0T0PV"/>
    <n v="1"/>
    <n v="28.43"/>
    <s v="Beverage"/>
    <n v="13.89"/>
    <d v="2025-07-22T00:00:00"/>
    <s v="Plant 2 Canteen"/>
    <n v="0.03"/>
    <n v="27.577099999999998"/>
  </r>
  <r>
    <s v="O00012"/>
    <s v="DFFYVN"/>
    <n v="1"/>
    <n v="54.2"/>
    <s v="Dessert"/>
    <n v="21.95"/>
    <d v="2025-07-01T00:00:00"/>
    <s v="Plant 2 Canteen"/>
    <n v="0.08"/>
    <n v="49.864000000000004"/>
  </r>
  <r>
    <s v="O00012"/>
    <s v="SHJ7XV"/>
    <n v="1"/>
    <n v="52.45"/>
    <s v="Snack"/>
    <n v="25.8"/>
    <d v="2025-07-01T00:00:00"/>
    <s v="Plant 2 Canteen"/>
    <n v="0.08"/>
    <n v="48.254000000000005"/>
  </r>
  <r>
    <s v="O00013"/>
    <s v="DH9SDB"/>
    <n v="3"/>
    <n v="76.55"/>
    <s v="Dessert"/>
    <n v="38.229999999999997"/>
    <d v="2025-08-11T00:00:00"/>
    <s v="Head Office Café"/>
    <n v="0.1"/>
    <n v="206.68499999999997"/>
  </r>
  <r>
    <s v="O00013"/>
    <s v="BTIQJ7"/>
    <n v="2"/>
    <n v="30.34"/>
    <s v="Beverage"/>
    <n v="14.18"/>
    <d v="2025-08-11T00:00:00"/>
    <s v="Head Office Café"/>
    <n v="0.1"/>
    <n v="54.612000000000002"/>
  </r>
  <r>
    <s v="O00013"/>
    <s v="D9T84A"/>
    <n v="3"/>
    <n v="116.8"/>
    <s v="Dessert"/>
    <n v="48.97"/>
    <d v="2025-08-11T00:00:00"/>
    <s v="Head Office Café"/>
    <n v="0.1"/>
    <n v="315.36"/>
  </r>
  <r>
    <s v="O00013"/>
    <s v="HDPBHS"/>
    <n v="1"/>
    <n v="256.91000000000003"/>
    <s v="Hot Meal"/>
    <n v="121.24"/>
    <d v="2025-08-11T00:00:00"/>
    <s v="Head Office Café"/>
    <n v="0.1"/>
    <n v="231.21900000000002"/>
  </r>
  <r>
    <s v="O00014"/>
    <s v="B0T0PV"/>
    <n v="1"/>
    <n v="28.43"/>
    <s v="Beverage"/>
    <n v="13.89"/>
    <d v="2025-07-16T00:00:00"/>
    <s v="Plant 1 Canteen"/>
    <n v="0.1"/>
    <n v="25.587"/>
  </r>
  <r>
    <s v="O00014"/>
    <s v="DH9SDB"/>
    <n v="2"/>
    <n v="76.55"/>
    <s v="Dessert"/>
    <n v="38.229999999999997"/>
    <d v="2025-07-16T00:00:00"/>
    <s v="Plant 1 Canteen"/>
    <n v="0.1"/>
    <n v="137.79"/>
  </r>
  <r>
    <s v="O00014"/>
    <s v="BXO6QJ"/>
    <n v="1"/>
    <n v="20.11"/>
    <s v="Beverage"/>
    <n v="8"/>
    <d v="2025-07-16T00:00:00"/>
    <s v="Plant 1 Canteen"/>
    <n v="0.1"/>
    <n v="18.099"/>
  </r>
  <r>
    <s v="O00015"/>
    <s v="H3A3ZM"/>
    <n v="1"/>
    <n v="170.83"/>
    <s v="Hot Meal"/>
    <n v="74.069999999999993"/>
    <d v="2025-08-26T00:00:00"/>
    <s v="Head Office Café"/>
    <n v="0.03"/>
    <n v="165.70510000000002"/>
  </r>
  <r>
    <s v="O00015"/>
    <s v="BOC6UZ"/>
    <n v="3"/>
    <n v="32.979999999999997"/>
    <s v="Beverage"/>
    <n v="11.84"/>
    <d v="2025-08-26T00:00:00"/>
    <s v="Head Office Café"/>
    <n v="0.03"/>
    <n v="95.971800000000002"/>
  </r>
  <r>
    <s v="O00015"/>
    <s v="DH9SDB"/>
    <n v="2"/>
    <n v="76.55"/>
    <s v="Dessert"/>
    <n v="38.229999999999997"/>
    <d v="2025-08-26T00:00:00"/>
    <s v="Head Office Café"/>
    <n v="0.03"/>
    <n v="148.50699999999998"/>
  </r>
  <r>
    <s v="O00016"/>
    <s v="DYTJXE"/>
    <n v="1"/>
    <n v="57.07"/>
    <s v="Dessert"/>
    <n v="29.14"/>
    <d v="2025-07-06T00:00:00"/>
    <s v="Plant 1 Canteen"/>
    <n v="0.05"/>
    <n v="54.216499999999996"/>
  </r>
  <r>
    <s v="O00016"/>
    <s v="SCKW5N"/>
    <n v="1"/>
    <n v="70.540000000000006"/>
    <s v="Snack"/>
    <n v="35.81"/>
    <d v="2025-07-06T00:00:00"/>
    <s v="Plant 1 Canteen"/>
    <n v="0.05"/>
    <n v="67.013000000000005"/>
  </r>
  <r>
    <s v="O00016"/>
    <s v="SHJ7XV"/>
    <n v="3"/>
    <n v="52.45"/>
    <s v="Snack"/>
    <n v="25.8"/>
    <d v="2025-07-06T00:00:00"/>
    <s v="Plant 1 Canteen"/>
    <n v="0.05"/>
    <n v="149.48250000000002"/>
  </r>
  <r>
    <s v="O00016"/>
    <s v="HXAJI0"/>
    <n v="1"/>
    <n v="227.61"/>
    <s v="Hot Meal"/>
    <n v="96.22"/>
    <d v="2025-07-06T00:00:00"/>
    <s v="Plant 1 Canteen"/>
    <n v="0.05"/>
    <n v="216.2295"/>
  </r>
  <r>
    <s v="O00017"/>
    <s v="BOC6UZ"/>
    <n v="1"/>
    <n v="32.979999999999997"/>
    <s v="Beverage"/>
    <n v="11.84"/>
    <d v="2025-08-21T00:00:00"/>
    <s v="Plant 1 Canteen"/>
    <n v="7.0000000000000007E-2"/>
    <n v="30.671399999999995"/>
  </r>
  <r>
    <s v="O00018"/>
    <s v="D9T84A"/>
    <n v="1"/>
    <n v="116.8"/>
    <s v="Dessert"/>
    <n v="48.97"/>
    <d v="2025-07-19T00:00:00"/>
    <s v="Plant 1 Canteen"/>
    <n v="0.1"/>
    <n v="105.12"/>
  </r>
  <r>
    <s v="O00018"/>
    <s v="BOC6UZ"/>
    <n v="2"/>
    <n v="32.979999999999997"/>
    <s v="Beverage"/>
    <n v="11.84"/>
    <d v="2025-07-19T00:00:00"/>
    <s v="Plant 1 Canteen"/>
    <n v="0.1"/>
    <n v="59.363999999999997"/>
  </r>
  <r>
    <s v="O00019"/>
    <s v="HUZZPQ"/>
    <n v="1"/>
    <n v="146.4"/>
    <s v="Hot Meal"/>
    <n v="80.92"/>
    <d v="2025-08-09T00:00:00"/>
    <s v="Plant 1 Canteen"/>
    <n v="0.04"/>
    <n v="140.54400000000001"/>
  </r>
  <r>
    <s v="O00019"/>
    <s v="SCKW5N"/>
    <n v="1"/>
    <n v="70.540000000000006"/>
    <s v="Snack"/>
    <n v="35.81"/>
    <d v="2025-08-09T00:00:00"/>
    <s v="Plant 1 Canteen"/>
    <n v="0.04"/>
    <n v="67.718400000000003"/>
  </r>
  <r>
    <s v="O00019"/>
    <s v="HDPBHS"/>
    <n v="2"/>
    <n v="256.91000000000003"/>
    <s v="Hot Meal"/>
    <n v="121.24"/>
    <d v="2025-08-09T00:00:00"/>
    <s v="Plant 1 Canteen"/>
    <n v="0.04"/>
    <n v="493.2672"/>
  </r>
  <r>
    <s v="O00020"/>
    <s v="DFFYVN"/>
    <n v="3"/>
    <n v="54.2"/>
    <s v="Dessert"/>
    <n v="21.95"/>
    <d v="2025-07-09T00:00:00"/>
    <s v="Plant 2 Canteen"/>
    <n v="0.05"/>
    <n v="154.47000000000003"/>
  </r>
  <r>
    <s v="O00020"/>
    <s v="HXAJI0"/>
    <n v="1"/>
    <n v="227.61"/>
    <s v="Hot Meal"/>
    <n v="96.22"/>
    <d v="2025-07-09T00:00:00"/>
    <s v="Plant 2 Canteen"/>
    <n v="0.05"/>
    <n v="216.2295"/>
  </r>
  <r>
    <s v="O00020"/>
    <s v="BOC6UZ"/>
    <n v="1"/>
    <n v="32.979999999999997"/>
    <s v="Beverage"/>
    <n v="11.84"/>
    <d v="2025-07-09T00:00:00"/>
    <s v="Plant 2 Canteen"/>
    <n v="0.05"/>
    <n v="31.330999999999996"/>
  </r>
  <r>
    <s v="O00020"/>
    <s v="DH9SDB"/>
    <n v="1"/>
    <n v="76.55"/>
    <s v="Dessert"/>
    <n v="38.229999999999997"/>
    <d v="2025-07-09T00:00:00"/>
    <s v="Plant 2 Canteen"/>
    <n v="0.05"/>
    <n v="72.722499999999997"/>
  </r>
  <r>
    <s v="O00021"/>
    <s v="SHJ7XV"/>
    <n v="3"/>
    <n v="52.45"/>
    <s v="Snack"/>
    <n v="25.8"/>
    <d v="2025-07-31T00:00:00"/>
    <s v="Plant 2 Canteen"/>
    <n v="0.02"/>
    <n v="154.20300000000003"/>
  </r>
  <r>
    <s v="O00021"/>
    <s v="SV30T9"/>
    <n v="1"/>
    <n v="39.950000000000003"/>
    <s v="Snack"/>
    <n v="15.51"/>
    <d v="2025-07-31T00:00:00"/>
    <s v="Plant 2 Canteen"/>
    <n v="0.02"/>
    <n v="39.151000000000003"/>
  </r>
  <r>
    <s v="O00021"/>
    <s v="S5NQ4F"/>
    <n v="2"/>
    <n v="50.19"/>
    <s v="Snack"/>
    <n v="22.61"/>
    <d v="2025-07-31T00:00:00"/>
    <s v="Plant 2 Canteen"/>
    <n v="0.02"/>
    <n v="98.372399999999999"/>
  </r>
  <r>
    <s v="O00022"/>
    <s v="DFFYVN"/>
    <n v="1"/>
    <n v="54.2"/>
    <s v="Dessert"/>
    <n v="21.95"/>
    <d v="2025-07-24T00:00:00"/>
    <s v="Plant 2 Canteen"/>
    <n v="0.01"/>
    <n v="53.658000000000001"/>
  </r>
  <r>
    <s v="O00022"/>
    <s v="B0T0PV"/>
    <n v="2"/>
    <n v="28.43"/>
    <s v="Beverage"/>
    <n v="13.89"/>
    <d v="2025-07-24T00:00:00"/>
    <s v="Plant 2 Canteen"/>
    <n v="0.01"/>
    <n v="56.291399999999996"/>
  </r>
  <r>
    <s v="O00022"/>
    <s v="HDPBHS"/>
    <n v="1"/>
    <n v="256.91000000000003"/>
    <s v="Hot Meal"/>
    <n v="121.24"/>
    <d v="2025-07-24T00:00:00"/>
    <s v="Plant 2 Canteen"/>
    <n v="0.01"/>
    <n v="254.34090000000003"/>
  </r>
  <r>
    <s v="O00023"/>
    <s v="BXO6QJ"/>
    <n v="1"/>
    <n v="20.11"/>
    <s v="Beverage"/>
    <n v="8"/>
    <d v="2025-08-14T00:00:00"/>
    <s v="Plant 2 Canteen"/>
    <n v="0.09"/>
    <n v="18.3001"/>
  </r>
  <r>
    <s v="O00023"/>
    <s v="HH1DNM"/>
    <n v="1"/>
    <n v="246.09"/>
    <s v="Hot Meal"/>
    <n v="112.08"/>
    <d v="2025-08-14T00:00:00"/>
    <s v="Plant 2 Canteen"/>
    <n v="0.09"/>
    <n v="223.9419"/>
  </r>
  <r>
    <s v="O00024"/>
    <s v="HUZZPQ"/>
    <n v="3"/>
    <n v="146.4"/>
    <s v="Hot Meal"/>
    <n v="80.92"/>
    <d v="2025-08-24T00:00:00"/>
    <s v="Plant 1 Canteen"/>
    <n v="0.11"/>
    <n v="390.88800000000003"/>
  </r>
  <r>
    <s v="O00025"/>
    <s v="S5NQ4F"/>
    <n v="1"/>
    <n v="50.19"/>
    <s v="Snack"/>
    <n v="22.61"/>
    <d v="2025-08-19T00:00:00"/>
    <s v="Plant 2 Canteen"/>
    <n v="0.06"/>
    <n v="47.178599999999996"/>
  </r>
  <r>
    <s v="O00026"/>
    <s v="SHJ7XV"/>
    <n v="1"/>
    <n v="52.45"/>
    <s v="Snack"/>
    <n v="25.8"/>
    <d v="2025-07-24T00:00:00"/>
    <s v="Plant 2 Canteen"/>
    <n v="0.1"/>
    <n v="47.205000000000005"/>
  </r>
  <r>
    <s v="O00026"/>
    <s v="SZBIKC"/>
    <n v="1"/>
    <n v="38.06"/>
    <s v="Snack"/>
    <n v="19.55"/>
    <d v="2025-07-24T00:00:00"/>
    <s v="Plant 2 Canteen"/>
    <n v="0.1"/>
    <n v="34.254000000000005"/>
  </r>
  <r>
    <s v="O00027"/>
    <s v="H3A3ZM"/>
    <n v="3"/>
    <n v="170.83"/>
    <s v="Hot Meal"/>
    <n v="74.069999999999993"/>
    <d v="2025-08-22T00:00:00"/>
    <s v="Head Office Café"/>
    <n v="7.0000000000000007E-2"/>
    <n v="476.6157"/>
  </r>
  <r>
    <s v="O00027"/>
    <s v="BTIQJ7"/>
    <n v="1"/>
    <n v="30.34"/>
    <s v="Beverage"/>
    <n v="14.18"/>
    <d v="2025-08-22T00:00:00"/>
    <s v="Head Office Café"/>
    <n v="7.0000000000000007E-2"/>
    <n v="28.216199999999997"/>
  </r>
  <r>
    <s v="O00027"/>
    <s v="DYTJXE"/>
    <n v="2"/>
    <n v="57.07"/>
    <s v="Dessert"/>
    <n v="29.14"/>
    <d v="2025-08-22T00:00:00"/>
    <s v="Head Office Café"/>
    <n v="7.0000000000000007E-2"/>
    <n v="106.1502"/>
  </r>
  <r>
    <s v="O00027"/>
    <s v="HH1DNM"/>
    <n v="1"/>
    <n v="246.09"/>
    <s v="Hot Meal"/>
    <n v="112.08"/>
    <d v="2025-08-22T00:00:00"/>
    <s v="Head Office Café"/>
    <n v="7.0000000000000007E-2"/>
    <n v="228.86369999999999"/>
  </r>
  <r>
    <s v="O00028"/>
    <s v="S5NQ4F"/>
    <n v="1"/>
    <n v="50.19"/>
    <s v="Snack"/>
    <n v="22.61"/>
    <d v="2025-07-02T00:00:00"/>
    <s v="Head Office Café"/>
    <n v="0.03"/>
    <n v="48.684299999999993"/>
  </r>
  <r>
    <s v="O00028"/>
    <s v="D9T84A"/>
    <n v="2"/>
    <n v="116.8"/>
    <s v="Dessert"/>
    <n v="48.97"/>
    <d v="2025-07-02T00:00:00"/>
    <s v="Head Office Café"/>
    <n v="0.03"/>
    <n v="226.59199999999998"/>
  </r>
  <r>
    <s v="O00028"/>
    <s v="SCKW5N"/>
    <n v="1"/>
    <n v="70.540000000000006"/>
    <s v="Snack"/>
    <n v="35.81"/>
    <d v="2025-07-02T00:00:00"/>
    <s v="Head Office Café"/>
    <n v="0.03"/>
    <n v="68.4238"/>
  </r>
  <r>
    <s v="O00028"/>
    <s v="BXO6QJ"/>
    <n v="2"/>
    <n v="20.11"/>
    <s v="Beverage"/>
    <n v="8"/>
    <d v="2025-07-02T00:00:00"/>
    <s v="Head Office Café"/>
    <n v="0.03"/>
    <n v="39.013399999999997"/>
  </r>
  <r>
    <s v="O00029"/>
    <s v="S5NQ4F"/>
    <n v="3"/>
    <n v="50.19"/>
    <s v="Snack"/>
    <n v="22.61"/>
    <d v="2025-07-14T00:00:00"/>
    <s v="Plant 2 Canteen"/>
    <n v="7.0000000000000007E-2"/>
    <n v="140.03009999999998"/>
  </r>
  <r>
    <s v="O00030"/>
    <s v="B0T0PV"/>
    <n v="1"/>
    <n v="28.43"/>
    <s v="Beverage"/>
    <n v="13.89"/>
    <d v="2025-07-16T00:00:00"/>
    <s v="Plant 2 Canteen"/>
    <n v="0.12"/>
    <n v="25.0184"/>
  </r>
  <r>
    <s v="O00030"/>
    <s v="HH1DNM"/>
    <n v="1"/>
    <n v="246.09"/>
    <s v="Hot Meal"/>
    <n v="112.08"/>
    <d v="2025-07-16T00:00:00"/>
    <s v="Plant 2 Canteen"/>
    <n v="0.12"/>
    <n v="216.5592"/>
  </r>
  <r>
    <s v="O00030"/>
    <s v="SCKW5N"/>
    <n v="2"/>
    <n v="70.540000000000006"/>
    <s v="Snack"/>
    <n v="35.81"/>
    <d v="2025-07-16T00:00:00"/>
    <s v="Plant 2 Canteen"/>
    <n v="0.12"/>
    <n v="124.1504"/>
  </r>
  <r>
    <s v="O00031"/>
    <s v="DFFYVN"/>
    <n v="1"/>
    <n v="54.2"/>
    <s v="Dessert"/>
    <n v="21.95"/>
    <d v="2025-08-03T00:00:00"/>
    <s v="Plant 1 Canteen"/>
    <n v="0.06"/>
    <n v="50.948"/>
  </r>
  <r>
    <s v="O00031"/>
    <s v="HUZZPQ"/>
    <n v="2"/>
    <n v="146.4"/>
    <s v="Hot Meal"/>
    <n v="80.92"/>
    <d v="2025-08-03T00:00:00"/>
    <s v="Plant 1 Canteen"/>
    <n v="0.06"/>
    <n v="275.23199999999997"/>
  </r>
  <r>
    <s v="O00031"/>
    <s v="D9T84A"/>
    <n v="1"/>
    <n v="116.8"/>
    <s v="Dessert"/>
    <n v="48.97"/>
    <d v="2025-08-03T00:00:00"/>
    <s v="Plant 1 Canteen"/>
    <n v="0.06"/>
    <n v="109.79199999999999"/>
  </r>
  <r>
    <s v="O00032"/>
    <s v="DFFYVN"/>
    <n v="1"/>
    <n v="54.2"/>
    <s v="Dessert"/>
    <n v="21.95"/>
    <d v="2025-08-19T00:00:00"/>
    <s v="Plant 2 Canteen"/>
    <n v="0.12"/>
    <n v="47.696000000000005"/>
  </r>
  <r>
    <s v="O00032"/>
    <s v="D9T84A"/>
    <n v="1"/>
    <n v="116.8"/>
    <s v="Dessert"/>
    <n v="48.97"/>
    <d v="2025-08-19T00:00:00"/>
    <s v="Plant 2 Canteen"/>
    <n v="0.12"/>
    <n v="102.78399999999999"/>
  </r>
  <r>
    <s v="O00032"/>
    <s v="BOC6UZ"/>
    <n v="2"/>
    <n v="32.979999999999997"/>
    <s v="Beverage"/>
    <n v="11.84"/>
    <d v="2025-08-19T00:00:00"/>
    <s v="Plant 2 Canteen"/>
    <n v="0.12"/>
    <n v="58.044799999999995"/>
  </r>
  <r>
    <s v="O00032"/>
    <s v="HUZZPQ"/>
    <n v="2"/>
    <n v="146.4"/>
    <s v="Hot Meal"/>
    <n v="80.92"/>
    <d v="2025-08-19T00:00:00"/>
    <s v="Plant 2 Canteen"/>
    <n v="0.12"/>
    <n v="257.66399999999999"/>
  </r>
  <r>
    <s v="O00033"/>
    <s v="SV30T9"/>
    <n v="1"/>
    <n v="39.950000000000003"/>
    <s v="Snack"/>
    <n v="15.51"/>
    <d v="2025-08-11T00:00:00"/>
    <s v="Plant 2 Canteen"/>
    <n v="0"/>
    <n v="39.950000000000003"/>
  </r>
  <r>
    <s v="O00033"/>
    <s v="D9T84A"/>
    <n v="3"/>
    <n v="116.8"/>
    <s v="Dessert"/>
    <n v="48.97"/>
    <d v="2025-08-11T00:00:00"/>
    <s v="Plant 2 Canteen"/>
    <n v="0"/>
    <n v="350.4"/>
  </r>
  <r>
    <s v="O00034"/>
    <s v="BOC6UZ"/>
    <n v="1"/>
    <n v="32.979999999999997"/>
    <s v="Beverage"/>
    <n v="11.84"/>
    <d v="2025-07-13T00:00:00"/>
    <s v="Head Office Café"/>
    <n v="0.09"/>
    <n v="30.011799999999997"/>
  </r>
  <r>
    <s v="O00034"/>
    <s v="SV30T9"/>
    <n v="1"/>
    <n v="39.950000000000003"/>
    <s v="Snack"/>
    <n v="15.51"/>
    <d v="2025-07-13T00:00:00"/>
    <s v="Head Office Café"/>
    <n v="0.09"/>
    <n v="36.354500000000002"/>
  </r>
  <r>
    <s v="O00034"/>
    <s v="BHL1C3"/>
    <n v="1"/>
    <n v="22.2"/>
    <s v="Beverage"/>
    <n v="9.3800000000000008"/>
    <d v="2025-07-13T00:00:00"/>
    <s v="Head Office Café"/>
    <n v="0.09"/>
    <n v="20.202000000000002"/>
  </r>
  <r>
    <s v="O00035"/>
    <s v="D9T84A"/>
    <n v="1"/>
    <n v="116.8"/>
    <s v="Dessert"/>
    <n v="48.97"/>
    <d v="2025-08-23T00:00:00"/>
    <s v="Head Office Café"/>
    <n v="0.06"/>
    <n v="109.79199999999999"/>
  </r>
  <r>
    <s v="O00035"/>
    <s v="HXAJI0"/>
    <n v="2"/>
    <n v="227.61"/>
    <s v="Hot Meal"/>
    <n v="96.22"/>
    <d v="2025-08-23T00:00:00"/>
    <s v="Head Office Café"/>
    <n v="0.06"/>
    <n v="427.90679999999998"/>
  </r>
  <r>
    <s v="O00035"/>
    <s v="DH9SDB"/>
    <n v="1"/>
    <n v="76.55"/>
    <s v="Dessert"/>
    <n v="38.229999999999997"/>
    <d v="2025-08-23T00:00:00"/>
    <s v="Head Office Café"/>
    <n v="0.06"/>
    <n v="71.956999999999994"/>
  </r>
  <r>
    <s v="O00035"/>
    <s v="B0T0PV"/>
    <n v="1"/>
    <n v="28.43"/>
    <s v="Beverage"/>
    <n v="13.89"/>
    <d v="2025-08-23T00:00:00"/>
    <s v="Head Office Café"/>
    <n v="0.06"/>
    <n v="26.7242"/>
  </r>
  <r>
    <s v="O00036"/>
    <s v="S5NQ4F"/>
    <n v="1"/>
    <n v="50.19"/>
    <s v="Snack"/>
    <n v="22.61"/>
    <d v="2025-07-12T00:00:00"/>
    <s v="Plant 1 Canteen"/>
    <n v="0.05"/>
    <n v="47.680499999999995"/>
  </r>
  <r>
    <s v="O00036"/>
    <s v="H3A3ZM"/>
    <n v="1"/>
    <n v="170.83"/>
    <s v="Hot Meal"/>
    <n v="74.069999999999993"/>
    <d v="2025-07-12T00:00:00"/>
    <s v="Plant 1 Canteen"/>
    <n v="0.05"/>
    <n v="162.2885"/>
  </r>
  <r>
    <s v="O00037"/>
    <s v="H3A3ZM"/>
    <n v="2"/>
    <n v="170.83"/>
    <s v="Hot Meal"/>
    <n v="74.069999999999993"/>
    <d v="2025-07-04T00:00:00"/>
    <s v="Plant 2 Canteen"/>
    <n v="0.06"/>
    <n v="321.16039999999998"/>
  </r>
  <r>
    <s v="O00038"/>
    <s v="BHL1C3"/>
    <n v="1"/>
    <n v="22.2"/>
    <s v="Beverage"/>
    <n v="9.3800000000000008"/>
    <d v="2025-08-11T00:00:00"/>
    <s v="Plant 1 Canteen"/>
    <n v="0"/>
    <n v="22.2"/>
  </r>
  <r>
    <s v="O00038"/>
    <s v="BOC6UZ"/>
    <n v="2"/>
    <n v="32.979999999999997"/>
    <s v="Beverage"/>
    <n v="11.84"/>
    <d v="2025-08-11T00:00:00"/>
    <s v="Plant 1 Canteen"/>
    <n v="0"/>
    <n v="65.959999999999994"/>
  </r>
  <r>
    <s v="O00039"/>
    <s v="H3A3ZM"/>
    <n v="3"/>
    <n v="170.83"/>
    <s v="Hot Meal"/>
    <n v="74.069999999999993"/>
    <d v="2025-07-05T00:00:00"/>
    <s v="Plant 2 Canteen"/>
    <n v="0.05"/>
    <n v="486.8655"/>
  </r>
  <r>
    <s v="O00040"/>
    <s v="BOC6UZ"/>
    <n v="3"/>
    <n v="32.979999999999997"/>
    <s v="Beverage"/>
    <n v="11.84"/>
    <d v="2025-07-11T00:00:00"/>
    <s v="Plant 2 Canteen"/>
    <n v="7.0000000000000007E-2"/>
    <n v="92.014199999999988"/>
  </r>
  <r>
    <s v="O00040"/>
    <s v="B0T0PV"/>
    <n v="1"/>
    <n v="28.43"/>
    <s v="Beverage"/>
    <n v="13.89"/>
    <d v="2025-07-11T00:00:00"/>
    <s v="Plant 2 Canteen"/>
    <n v="7.0000000000000007E-2"/>
    <n v="26.439899999999998"/>
  </r>
  <r>
    <s v="O00040"/>
    <s v="HDPBHS"/>
    <n v="2"/>
    <n v="256.91000000000003"/>
    <s v="Hot Meal"/>
    <n v="121.24"/>
    <d v="2025-07-11T00:00:00"/>
    <s v="Plant 2 Canteen"/>
    <n v="7.0000000000000007E-2"/>
    <n v="477.8526"/>
  </r>
  <r>
    <s v="O00040"/>
    <s v="BTIQJ7"/>
    <n v="1"/>
    <n v="30.34"/>
    <s v="Beverage"/>
    <n v="14.18"/>
    <d v="2025-07-11T00:00:00"/>
    <s v="Plant 2 Canteen"/>
    <n v="7.0000000000000007E-2"/>
    <n v="28.216199999999997"/>
  </r>
  <r>
    <s v="O00041"/>
    <s v="BOC6UZ"/>
    <n v="3"/>
    <n v="32.979999999999997"/>
    <s v="Beverage"/>
    <n v="11.84"/>
    <d v="2025-07-24T00:00:00"/>
    <s v="Plant 1 Canteen"/>
    <n v="0.12"/>
    <n v="87.0672"/>
  </r>
  <r>
    <s v="O00041"/>
    <s v="SCKW5N"/>
    <n v="1"/>
    <n v="70.540000000000006"/>
    <s v="Snack"/>
    <n v="35.81"/>
    <d v="2025-07-24T00:00:00"/>
    <s v="Plant 1 Canteen"/>
    <n v="0.12"/>
    <n v="62.075200000000002"/>
  </r>
  <r>
    <s v="O00042"/>
    <s v="DYTJXE"/>
    <n v="1"/>
    <n v="57.07"/>
    <s v="Dessert"/>
    <n v="29.14"/>
    <d v="2025-07-18T00:00:00"/>
    <s v="Head Office Café"/>
    <n v="0.04"/>
    <n v="54.787199999999999"/>
  </r>
  <r>
    <s v="O00042"/>
    <s v="BHL1C3"/>
    <n v="1"/>
    <n v="22.2"/>
    <s v="Beverage"/>
    <n v="9.3800000000000008"/>
    <d v="2025-07-18T00:00:00"/>
    <s v="Head Office Café"/>
    <n v="0.04"/>
    <n v="21.311999999999998"/>
  </r>
  <r>
    <s v="O00042"/>
    <s v="HXAJI0"/>
    <n v="1"/>
    <n v="227.61"/>
    <s v="Hot Meal"/>
    <n v="96.22"/>
    <d v="2025-07-18T00:00:00"/>
    <s v="Head Office Café"/>
    <n v="0.04"/>
    <n v="218.50560000000002"/>
  </r>
  <r>
    <s v="O00042"/>
    <s v="DFFYVN"/>
    <n v="1"/>
    <n v="54.2"/>
    <s v="Dessert"/>
    <n v="21.95"/>
    <d v="2025-07-18T00:00:00"/>
    <s v="Head Office Café"/>
    <n v="0.04"/>
    <n v="52.032000000000004"/>
  </r>
  <r>
    <s v="O00043"/>
    <s v="BHL1C3"/>
    <n v="1"/>
    <n v="22.2"/>
    <s v="Beverage"/>
    <n v="9.3800000000000008"/>
    <d v="2025-07-27T00:00:00"/>
    <s v="Plant 1 Canteen"/>
    <n v="0.03"/>
    <n v="21.533999999999999"/>
  </r>
  <r>
    <s v="O00044"/>
    <s v="BHL1C3"/>
    <n v="1"/>
    <n v="22.2"/>
    <s v="Beverage"/>
    <n v="9.3800000000000008"/>
    <d v="2025-07-05T00:00:00"/>
    <s v="Plant 2 Canteen"/>
    <n v="0.04"/>
    <n v="21.311999999999998"/>
  </r>
  <r>
    <s v="O00044"/>
    <s v="SHJ7XV"/>
    <n v="1"/>
    <n v="52.45"/>
    <s v="Snack"/>
    <n v="25.8"/>
    <d v="2025-07-05T00:00:00"/>
    <s v="Plant 2 Canteen"/>
    <n v="0.04"/>
    <n v="50.352000000000004"/>
  </r>
  <r>
    <s v="O00044"/>
    <s v="SCKW5N"/>
    <n v="1"/>
    <n v="70.540000000000006"/>
    <s v="Snack"/>
    <n v="35.81"/>
    <d v="2025-07-05T00:00:00"/>
    <s v="Plant 2 Canteen"/>
    <n v="0.04"/>
    <n v="67.718400000000003"/>
  </r>
  <r>
    <s v="O00045"/>
    <s v="BXO6QJ"/>
    <n v="3"/>
    <n v="20.11"/>
    <s v="Beverage"/>
    <n v="8"/>
    <d v="2025-08-04T00:00:00"/>
    <s v="Plant 2 Canteen"/>
    <n v="0.1"/>
    <n v="54.296999999999997"/>
  </r>
  <r>
    <s v="O00045"/>
    <s v="BOC6UZ"/>
    <n v="2"/>
    <n v="32.979999999999997"/>
    <s v="Beverage"/>
    <n v="11.84"/>
    <d v="2025-08-04T00:00:00"/>
    <s v="Plant 2 Canteen"/>
    <n v="0.1"/>
    <n v="59.363999999999997"/>
  </r>
  <r>
    <s v="O00045"/>
    <s v="D9T84A"/>
    <n v="2"/>
    <n v="116.8"/>
    <s v="Dessert"/>
    <n v="48.97"/>
    <d v="2025-08-04T00:00:00"/>
    <s v="Plant 2 Canteen"/>
    <n v="0.1"/>
    <n v="210.24"/>
  </r>
  <r>
    <s v="O00046"/>
    <s v="SV30T9"/>
    <n v="1"/>
    <n v="39.950000000000003"/>
    <s v="Snack"/>
    <n v="15.51"/>
    <d v="2025-07-20T00:00:00"/>
    <s v="Plant 2 Canteen"/>
    <n v="7.0000000000000007E-2"/>
    <n v="37.153500000000001"/>
  </r>
  <r>
    <s v="O00047"/>
    <s v="HDPBHS"/>
    <n v="2"/>
    <n v="256.91000000000003"/>
    <s v="Hot Meal"/>
    <n v="121.24"/>
    <d v="2025-07-28T00:00:00"/>
    <s v="Plant 2 Canteen"/>
    <n v="0.04"/>
    <n v="493.2672"/>
  </r>
  <r>
    <s v="O00047"/>
    <s v="SHJ7XV"/>
    <n v="1"/>
    <n v="52.45"/>
    <s v="Snack"/>
    <n v="25.8"/>
    <d v="2025-07-28T00:00:00"/>
    <s v="Plant 2 Canteen"/>
    <n v="0.04"/>
    <n v="50.352000000000004"/>
  </r>
  <r>
    <s v="O00047"/>
    <s v="DFFYVN"/>
    <n v="1"/>
    <n v="54.2"/>
    <s v="Dessert"/>
    <n v="21.95"/>
    <d v="2025-07-28T00:00:00"/>
    <s v="Plant 2 Canteen"/>
    <n v="0.04"/>
    <n v="52.032000000000004"/>
  </r>
  <r>
    <s v="O00048"/>
    <s v="SZBIKC"/>
    <n v="1"/>
    <n v="38.06"/>
    <s v="Snack"/>
    <n v="19.55"/>
    <d v="2025-08-22T00:00:00"/>
    <s v="Plant 2 Canteen"/>
    <n v="0.08"/>
    <n v="35.0152"/>
  </r>
  <r>
    <s v="O00048"/>
    <s v="S5NQ4F"/>
    <n v="2"/>
    <n v="50.19"/>
    <s v="Snack"/>
    <n v="22.61"/>
    <d v="2025-08-22T00:00:00"/>
    <s v="Plant 2 Canteen"/>
    <n v="0.08"/>
    <n v="92.349599999999995"/>
  </r>
  <r>
    <s v="O00048"/>
    <s v="B0T0PV"/>
    <n v="2"/>
    <n v="28.43"/>
    <s v="Beverage"/>
    <n v="13.89"/>
    <d v="2025-08-22T00:00:00"/>
    <s v="Plant 2 Canteen"/>
    <n v="0.08"/>
    <n v="52.311199999999999"/>
  </r>
  <r>
    <s v="O00049"/>
    <s v="HXAJI0"/>
    <n v="1"/>
    <n v="227.61"/>
    <s v="Hot Meal"/>
    <n v="96.22"/>
    <d v="2025-07-18T00:00:00"/>
    <s v="Head Office Café"/>
    <n v="0.06"/>
    <n v="213.95339999999999"/>
  </r>
  <r>
    <s v="O00049"/>
    <s v="BOC6UZ"/>
    <n v="2"/>
    <n v="32.979999999999997"/>
    <s v="Beverage"/>
    <n v="11.84"/>
    <d v="2025-07-18T00:00:00"/>
    <s v="Head Office Café"/>
    <n v="0.06"/>
    <n v="62.002399999999987"/>
  </r>
  <r>
    <s v="O00050"/>
    <s v="DH9SDB"/>
    <n v="1"/>
    <n v="76.55"/>
    <s v="Dessert"/>
    <n v="38.229999999999997"/>
    <d v="2025-08-28T00:00:00"/>
    <s v="Plant 2 Canteen"/>
    <n v="0.1"/>
    <n v="68.894999999999996"/>
  </r>
  <r>
    <s v="O00050"/>
    <s v="BOC6UZ"/>
    <n v="1"/>
    <n v="32.979999999999997"/>
    <s v="Beverage"/>
    <n v="11.84"/>
    <d v="2025-08-28T00:00:00"/>
    <s v="Plant 2 Canteen"/>
    <n v="0.1"/>
    <n v="29.681999999999999"/>
  </r>
  <r>
    <s v="O00051"/>
    <s v="HH1DNM"/>
    <n v="1"/>
    <n v="246.09"/>
    <s v="Hot Meal"/>
    <n v="112.08"/>
    <d v="2025-08-12T00:00:00"/>
    <s v="Head Office Café"/>
    <n v="0.03"/>
    <n v="238.7073"/>
  </r>
  <r>
    <s v="O00051"/>
    <s v="D9T84A"/>
    <n v="1"/>
    <n v="116.8"/>
    <s v="Dessert"/>
    <n v="48.97"/>
    <d v="2025-08-12T00:00:00"/>
    <s v="Head Office Café"/>
    <n v="0.03"/>
    <n v="113.29599999999999"/>
  </r>
  <r>
    <s v="O00051"/>
    <s v="DH9SDB"/>
    <n v="3"/>
    <n v="76.55"/>
    <s v="Dessert"/>
    <n v="38.229999999999997"/>
    <d v="2025-08-12T00:00:00"/>
    <s v="Head Office Café"/>
    <n v="0.03"/>
    <n v="222.76049999999998"/>
  </r>
  <r>
    <s v="O00052"/>
    <s v="SCKW5N"/>
    <n v="2"/>
    <n v="70.540000000000006"/>
    <s v="Snack"/>
    <n v="35.81"/>
    <d v="2025-08-26T00:00:00"/>
    <s v="Plant 1 Canteen"/>
    <n v="0.05"/>
    <n v="134.02600000000001"/>
  </r>
  <r>
    <s v="O00052"/>
    <s v="SHJ7XV"/>
    <n v="1"/>
    <n v="52.45"/>
    <s v="Snack"/>
    <n v="25.8"/>
    <d v="2025-08-26T00:00:00"/>
    <s v="Plant 1 Canteen"/>
    <n v="0.05"/>
    <n v="49.827500000000001"/>
  </r>
  <r>
    <s v="O00053"/>
    <s v="SHJ7XV"/>
    <n v="2"/>
    <n v="52.45"/>
    <s v="Snack"/>
    <n v="25.8"/>
    <d v="2025-07-01T00:00:00"/>
    <s v="Head Office Café"/>
    <n v="0.04"/>
    <n v="100.70400000000001"/>
  </r>
  <r>
    <s v="O00054"/>
    <s v="SZBIKC"/>
    <n v="1"/>
    <n v="38.06"/>
    <s v="Snack"/>
    <n v="19.55"/>
    <d v="2025-08-05T00:00:00"/>
    <s v="Plant 2 Canteen"/>
    <n v="0"/>
    <n v="38.06"/>
  </r>
  <r>
    <s v="O00054"/>
    <s v="D9T84A"/>
    <n v="2"/>
    <n v="116.8"/>
    <s v="Dessert"/>
    <n v="48.97"/>
    <d v="2025-08-05T00:00:00"/>
    <s v="Plant 2 Canteen"/>
    <n v="0"/>
    <n v="233.6"/>
  </r>
  <r>
    <s v="O00055"/>
    <s v="HDPBHS"/>
    <n v="2"/>
    <n v="256.91000000000003"/>
    <s v="Hot Meal"/>
    <n v="121.24"/>
    <d v="2025-07-31T00:00:00"/>
    <s v="Head Office Café"/>
    <n v="7.0000000000000007E-2"/>
    <n v="477.8526"/>
  </r>
  <r>
    <s v="O00055"/>
    <s v="HH1DNM"/>
    <n v="1"/>
    <n v="246.09"/>
    <s v="Hot Meal"/>
    <n v="112.08"/>
    <d v="2025-07-31T00:00:00"/>
    <s v="Head Office Café"/>
    <n v="7.0000000000000007E-2"/>
    <n v="228.86369999999999"/>
  </r>
  <r>
    <s v="O00056"/>
    <s v="D9T84A"/>
    <n v="3"/>
    <n v="116.8"/>
    <s v="Dessert"/>
    <n v="48.97"/>
    <d v="2025-08-19T00:00:00"/>
    <s v="Plant 2 Canteen"/>
    <n v="7.0000000000000007E-2"/>
    <n v="325.87199999999996"/>
  </r>
  <r>
    <s v="O00056"/>
    <s v="HUZZPQ"/>
    <n v="1"/>
    <n v="146.4"/>
    <s v="Hot Meal"/>
    <n v="80.92"/>
    <d v="2025-08-19T00:00:00"/>
    <s v="Plant 2 Canteen"/>
    <n v="7.0000000000000007E-2"/>
    <n v="136.15199999999999"/>
  </r>
  <r>
    <s v="O00057"/>
    <s v="S5NQ4F"/>
    <n v="1"/>
    <n v="50.19"/>
    <s v="Snack"/>
    <n v="22.61"/>
    <d v="2025-08-09T00:00:00"/>
    <s v="Head Office Café"/>
    <n v="0.06"/>
    <n v="47.178599999999996"/>
  </r>
  <r>
    <s v="O00057"/>
    <s v="BTIQJ7"/>
    <n v="3"/>
    <n v="30.34"/>
    <s v="Beverage"/>
    <n v="14.18"/>
    <d v="2025-08-09T00:00:00"/>
    <s v="Head Office Café"/>
    <n v="0.06"/>
    <n v="85.558799999999991"/>
  </r>
  <r>
    <s v="O00057"/>
    <s v="SZBIKC"/>
    <n v="1"/>
    <n v="38.06"/>
    <s v="Snack"/>
    <n v="19.55"/>
    <d v="2025-08-09T00:00:00"/>
    <s v="Head Office Café"/>
    <n v="0.06"/>
    <n v="35.776400000000002"/>
  </r>
  <r>
    <s v="O00057"/>
    <s v="DH9SDB"/>
    <n v="1"/>
    <n v="76.55"/>
    <s v="Dessert"/>
    <n v="38.229999999999997"/>
    <d v="2025-08-09T00:00:00"/>
    <s v="Head Office Café"/>
    <n v="0.06"/>
    <n v="71.956999999999994"/>
  </r>
  <r>
    <s v="O00058"/>
    <s v="HH1DNM"/>
    <n v="1"/>
    <n v="246.09"/>
    <s v="Hot Meal"/>
    <n v="112.08"/>
    <d v="2025-07-19T00:00:00"/>
    <s v="Plant 2 Canteen"/>
    <n v="0.05"/>
    <n v="233.78549999999998"/>
  </r>
  <r>
    <s v="O00059"/>
    <s v="DH9SDB"/>
    <n v="2"/>
    <n v="76.55"/>
    <s v="Dessert"/>
    <n v="38.229999999999997"/>
    <d v="2025-08-25T00:00:00"/>
    <s v="Plant 2 Canteen"/>
    <n v="0"/>
    <n v="153.1"/>
  </r>
  <r>
    <s v="O00059"/>
    <s v="DFFYVN"/>
    <n v="1"/>
    <n v="54.2"/>
    <s v="Dessert"/>
    <n v="21.95"/>
    <d v="2025-08-25T00:00:00"/>
    <s v="Plant 2 Canteen"/>
    <n v="0"/>
    <n v="54.2"/>
  </r>
  <r>
    <s v="O00059"/>
    <s v="HXAJI0"/>
    <n v="2"/>
    <n v="227.61"/>
    <s v="Hot Meal"/>
    <n v="96.22"/>
    <d v="2025-08-25T00:00:00"/>
    <s v="Plant 2 Canteen"/>
    <n v="0"/>
    <n v="455.22"/>
  </r>
  <r>
    <s v="O00060"/>
    <s v="H3A3ZM"/>
    <n v="2"/>
    <n v="170.83"/>
    <s v="Hot Meal"/>
    <n v="74.069999999999993"/>
    <d v="2025-07-30T00:00:00"/>
    <s v="Plant 2 Canteen"/>
    <n v="0.04"/>
    <n v="327.99360000000001"/>
  </r>
  <r>
    <s v="O00060"/>
    <s v="HDPBHS"/>
    <n v="1"/>
    <n v="256.91000000000003"/>
    <s v="Hot Meal"/>
    <n v="121.24"/>
    <d v="2025-07-30T00:00:00"/>
    <s v="Plant 2 Canteen"/>
    <n v="0.04"/>
    <n v="246.6336"/>
  </r>
  <r>
    <s v="O00060"/>
    <s v="SCKW5N"/>
    <n v="2"/>
    <n v="70.540000000000006"/>
    <s v="Snack"/>
    <n v="35.81"/>
    <d v="2025-07-30T00:00:00"/>
    <s v="Plant 2 Canteen"/>
    <n v="0.04"/>
    <n v="135.43680000000001"/>
  </r>
  <r>
    <s v="O00061"/>
    <s v="SHJ7XV"/>
    <n v="1"/>
    <n v="52.45"/>
    <s v="Snack"/>
    <n v="25.8"/>
    <d v="2025-08-15T00:00:00"/>
    <s v="Plant 2 Canteen"/>
    <n v="0.05"/>
    <n v="49.827500000000001"/>
  </r>
  <r>
    <s v="O00061"/>
    <s v="BTIQJ7"/>
    <n v="2"/>
    <n v="30.34"/>
    <s v="Beverage"/>
    <n v="14.18"/>
    <d v="2025-08-15T00:00:00"/>
    <s v="Plant 2 Canteen"/>
    <n v="0.05"/>
    <n v="57.645999999999994"/>
  </r>
  <r>
    <s v="O00061"/>
    <s v="SV30T9"/>
    <n v="3"/>
    <n v="39.950000000000003"/>
    <s v="Snack"/>
    <n v="15.51"/>
    <d v="2025-08-15T00:00:00"/>
    <s v="Plant 2 Canteen"/>
    <n v="0.05"/>
    <n v="113.8575"/>
  </r>
  <r>
    <s v="O00061"/>
    <s v="BOC6UZ"/>
    <n v="1"/>
    <n v="32.979999999999997"/>
    <s v="Beverage"/>
    <n v="11.84"/>
    <d v="2025-08-15T00:00:00"/>
    <s v="Plant 2 Canteen"/>
    <n v="0.05"/>
    <n v="31.330999999999996"/>
  </r>
  <r>
    <s v="O00062"/>
    <s v="D9T84A"/>
    <n v="2"/>
    <n v="116.8"/>
    <s v="Dessert"/>
    <n v="48.97"/>
    <d v="2025-08-19T00:00:00"/>
    <s v="Plant 2 Canteen"/>
    <n v="0.03"/>
    <n v="226.59199999999998"/>
  </r>
  <r>
    <s v="O00062"/>
    <s v="BTIQJ7"/>
    <n v="2"/>
    <n v="30.34"/>
    <s v="Beverage"/>
    <n v="14.18"/>
    <d v="2025-08-19T00:00:00"/>
    <s v="Plant 2 Canteen"/>
    <n v="0.03"/>
    <n v="58.8596"/>
  </r>
  <r>
    <s v="O00063"/>
    <s v="DH9SDB"/>
    <n v="2"/>
    <n v="76.55"/>
    <s v="Dessert"/>
    <n v="38.229999999999997"/>
    <d v="2025-07-28T00:00:00"/>
    <s v="Head Office Café"/>
    <n v="0.05"/>
    <n v="145.44499999999999"/>
  </r>
  <r>
    <s v="O00064"/>
    <s v="BXO6QJ"/>
    <n v="1"/>
    <n v="20.11"/>
    <s v="Beverage"/>
    <n v="8"/>
    <d v="2025-07-10T00:00:00"/>
    <s v="Plant 1 Canteen"/>
    <n v="0.08"/>
    <n v="18.501200000000001"/>
  </r>
  <r>
    <s v="O00065"/>
    <s v="HDPBHS"/>
    <n v="2"/>
    <n v="256.91000000000003"/>
    <s v="Hot Meal"/>
    <n v="121.24"/>
    <d v="2025-07-20T00:00:00"/>
    <s v="Plant 1 Canteen"/>
    <n v="0.14000000000000001"/>
    <n v="441.88520000000005"/>
  </r>
  <r>
    <s v="O00065"/>
    <s v="SCKW5N"/>
    <n v="2"/>
    <n v="70.540000000000006"/>
    <s v="Snack"/>
    <n v="35.81"/>
    <d v="2025-07-20T00:00:00"/>
    <s v="Plant 1 Canteen"/>
    <n v="0.14000000000000001"/>
    <n v="121.32880000000002"/>
  </r>
  <r>
    <s v="O00065"/>
    <s v="B0T0PV"/>
    <n v="1"/>
    <n v="28.43"/>
    <s v="Beverage"/>
    <n v="13.89"/>
    <d v="2025-07-20T00:00:00"/>
    <s v="Plant 1 Canteen"/>
    <n v="0.14000000000000001"/>
    <n v="24.4498"/>
  </r>
  <r>
    <s v="O00066"/>
    <s v="SZBIKC"/>
    <n v="1"/>
    <n v="38.06"/>
    <s v="Snack"/>
    <n v="19.55"/>
    <d v="2025-08-16T00:00:00"/>
    <s v="Head Office Café"/>
    <n v="7.0000000000000007E-2"/>
    <n v="35.395800000000001"/>
  </r>
  <r>
    <s v="O00066"/>
    <s v="HUZZPQ"/>
    <n v="3"/>
    <n v="146.4"/>
    <s v="Hot Meal"/>
    <n v="80.92"/>
    <d v="2025-08-16T00:00:00"/>
    <s v="Head Office Café"/>
    <n v="7.0000000000000007E-2"/>
    <n v="408.45600000000002"/>
  </r>
  <r>
    <s v="O00066"/>
    <s v="DH9SDB"/>
    <n v="2"/>
    <n v="76.55"/>
    <s v="Dessert"/>
    <n v="38.229999999999997"/>
    <d v="2025-08-16T00:00:00"/>
    <s v="Head Office Café"/>
    <n v="7.0000000000000007E-2"/>
    <n v="142.38299999999998"/>
  </r>
  <r>
    <s v="O00066"/>
    <s v="HXAJI0"/>
    <n v="2"/>
    <n v="227.61"/>
    <s v="Hot Meal"/>
    <n v="96.22"/>
    <d v="2025-08-16T00:00:00"/>
    <s v="Head Office Café"/>
    <n v="7.0000000000000007E-2"/>
    <n v="423.3546"/>
  </r>
  <r>
    <s v="O00067"/>
    <s v="SCKW5N"/>
    <n v="1"/>
    <n v="70.540000000000006"/>
    <s v="Snack"/>
    <n v="35.81"/>
    <d v="2025-08-26T00:00:00"/>
    <s v="Plant 1 Canteen"/>
    <n v="7.0000000000000007E-2"/>
    <n v="65.602199999999996"/>
  </r>
  <r>
    <s v="O00067"/>
    <s v="B0T0PV"/>
    <n v="1"/>
    <n v="28.43"/>
    <s v="Beverage"/>
    <n v="13.89"/>
    <d v="2025-08-26T00:00:00"/>
    <s v="Plant 1 Canteen"/>
    <n v="7.0000000000000007E-2"/>
    <n v="26.439899999999998"/>
  </r>
  <r>
    <s v="O00067"/>
    <s v="BTIQJ7"/>
    <n v="1"/>
    <n v="30.34"/>
    <s v="Beverage"/>
    <n v="14.18"/>
    <d v="2025-08-26T00:00:00"/>
    <s v="Plant 1 Canteen"/>
    <n v="7.0000000000000007E-2"/>
    <n v="28.216199999999997"/>
  </r>
  <r>
    <s v="O00067"/>
    <s v="D9T84A"/>
    <n v="2"/>
    <n v="116.8"/>
    <s v="Dessert"/>
    <n v="48.97"/>
    <d v="2025-08-26T00:00:00"/>
    <s v="Plant 1 Canteen"/>
    <n v="7.0000000000000007E-2"/>
    <n v="217.24799999999999"/>
  </r>
  <r>
    <s v="O00068"/>
    <s v="H3A3ZM"/>
    <n v="1"/>
    <n v="170.83"/>
    <s v="Hot Meal"/>
    <n v="74.069999999999993"/>
    <d v="2025-08-18T00:00:00"/>
    <s v="Plant 2 Canteen"/>
    <n v="0.06"/>
    <n v="160.58019999999999"/>
  </r>
  <r>
    <s v="O00068"/>
    <s v="S5NQ4F"/>
    <n v="1"/>
    <n v="50.19"/>
    <s v="Snack"/>
    <n v="22.61"/>
    <d v="2025-08-18T00:00:00"/>
    <s v="Plant 2 Canteen"/>
    <n v="0.06"/>
    <n v="47.178599999999996"/>
  </r>
  <r>
    <s v="O00068"/>
    <s v="BTIQJ7"/>
    <n v="1"/>
    <n v="30.34"/>
    <s v="Beverage"/>
    <n v="14.18"/>
    <d v="2025-08-18T00:00:00"/>
    <s v="Plant 2 Canteen"/>
    <n v="0.06"/>
    <n v="28.519599999999997"/>
  </r>
  <r>
    <s v="O00068"/>
    <s v="HUZZPQ"/>
    <n v="1"/>
    <n v="146.4"/>
    <s v="Hot Meal"/>
    <n v="80.92"/>
    <d v="2025-08-18T00:00:00"/>
    <s v="Plant 2 Canteen"/>
    <n v="0.06"/>
    <n v="137.61599999999999"/>
  </r>
  <r>
    <s v="O00069"/>
    <s v="HH1DNM"/>
    <n v="3"/>
    <n v="246.09"/>
    <s v="Hot Meal"/>
    <n v="112.08"/>
    <d v="2025-07-11T00:00:00"/>
    <s v="Plant 2 Canteen"/>
    <n v="0"/>
    <n v="738.27"/>
  </r>
  <r>
    <s v="O00069"/>
    <s v="HDPBHS"/>
    <n v="2"/>
    <n v="256.91000000000003"/>
    <s v="Hot Meal"/>
    <n v="121.24"/>
    <d v="2025-07-11T00:00:00"/>
    <s v="Plant 2 Canteen"/>
    <n v="0"/>
    <n v="513.82000000000005"/>
  </r>
  <r>
    <s v="O00069"/>
    <s v="SCKW5N"/>
    <n v="2"/>
    <n v="70.540000000000006"/>
    <s v="Snack"/>
    <n v="35.81"/>
    <d v="2025-07-11T00:00:00"/>
    <s v="Plant 2 Canteen"/>
    <n v="0"/>
    <n v="141.08000000000001"/>
  </r>
  <r>
    <s v="O00069"/>
    <s v="HUZZPQ"/>
    <n v="1"/>
    <n v="146.4"/>
    <s v="Hot Meal"/>
    <n v="80.92"/>
    <d v="2025-07-11T00:00:00"/>
    <s v="Plant 2 Canteen"/>
    <n v="0"/>
    <n v="146.4"/>
  </r>
  <r>
    <s v="O00070"/>
    <s v="BXO6QJ"/>
    <n v="3"/>
    <n v="20.11"/>
    <s v="Beverage"/>
    <n v="8"/>
    <d v="2025-08-15T00:00:00"/>
    <s v="Plant 1 Canteen"/>
    <n v="0.06"/>
    <n v="56.710199999999993"/>
  </r>
  <r>
    <s v="O00071"/>
    <s v="H3A3ZM"/>
    <n v="1"/>
    <n v="170.83"/>
    <s v="Hot Meal"/>
    <n v="74.069999999999993"/>
    <d v="2025-08-14T00:00:00"/>
    <s v="Plant 1 Canteen"/>
    <n v="0.06"/>
    <n v="160.58019999999999"/>
  </r>
  <r>
    <s v="O00071"/>
    <s v="DH9SDB"/>
    <n v="2"/>
    <n v="76.55"/>
    <s v="Dessert"/>
    <n v="38.229999999999997"/>
    <d v="2025-08-14T00:00:00"/>
    <s v="Plant 1 Canteen"/>
    <n v="0.06"/>
    <n v="143.91399999999999"/>
  </r>
  <r>
    <s v="O00072"/>
    <s v="H3A3ZM"/>
    <n v="2"/>
    <n v="170.83"/>
    <s v="Hot Meal"/>
    <n v="74.069999999999993"/>
    <d v="2025-08-24T00:00:00"/>
    <s v="Head Office Café"/>
    <n v="0.16"/>
    <n v="286.99439999999998"/>
  </r>
  <r>
    <s v="O00072"/>
    <s v="BTIQJ7"/>
    <n v="1"/>
    <n v="30.34"/>
    <s v="Beverage"/>
    <n v="14.18"/>
    <d v="2025-08-24T00:00:00"/>
    <s v="Head Office Café"/>
    <n v="0.16"/>
    <n v="25.485599999999998"/>
  </r>
  <r>
    <s v="O00072"/>
    <s v="B0T0PV"/>
    <n v="1"/>
    <n v="28.43"/>
    <s v="Beverage"/>
    <n v="13.89"/>
    <d v="2025-08-24T00:00:00"/>
    <s v="Head Office Café"/>
    <n v="0.16"/>
    <n v="23.8812"/>
  </r>
  <r>
    <s v="O00073"/>
    <s v="S5NQ4F"/>
    <n v="2"/>
    <n v="50.19"/>
    <s v="Snack"/>
    <n v="22.61"/>
    <d v="2025-08-11T00:00:00"/>
    <s v="Head Office Café"/>
    <n v="0.05"/>
    <n v="95.36099999999999"/>
  </r>
  <r>
    <s v="O00074"/>
    <s v="BHL1C3"/>
    <n v="1"/>
    <n v="22.2"/>
    <s v="Beverage"/>
    <n v="9.3800000000000008"/>
    <d v="2025-08-13T00:00:00"/>
    <s v="Plant 2 Canteen"/>
    <n v="7.0000000000000007E-2"/>
    <n v="20.645999999999997"/>
  </r>
  <r>
    <s v="O00074"/>
    <s v="SHJ7XV"/>
    <n v="1"/>
    <n v="52.45"/>
    <s v="Snack"/>
    <n v="25.8"/>
    <d v="2025-08-13T00:00:00"/>
    <s v="Plant 2 Canteen"/>
    <n v="7.0000000000000007E-2"/>
    <n v="48.778500000000001"/>
  </r>
  <r>
    <s v="O00074"/>
    <s v="SCKW5N"/>
    <n v="2"/>
    <n v="70.540000000000006"/>
    <s v="Snack"/>
    <n v="35.81"/>
    <d v="2025-08-13T00:00:00"/>
    <s v="Plant 2 Canteen"/>
    <n v="7.0000000000000007E-2"/>
    <n v="131.20439999999999"/>
  </r>
  <r>
    <s v="O00074"/>
    <s v="HXAJI0"/>
    <n v="3"/>
    <n v="227.61"/>
    <s v="Hot Meal"/>
    <n v="96.22"/>
    <d v="2025-08-13T00:00:00"/>
    <s v="Plant 2 Canteen"/>
    <n v="7.0000000000000007E-2"/>
    <n v="635.03189999999995"/>
  </r>
  <r>
    <s v="O00075"/>
    <s v="B0T0PV"/>
    <n v="2"/>
    <n v="28.43"/>
    <s v="Beverage"/>
    <n v="13.89"/>
    <d v="2025-08-20T00:00:00"/>
    <s v="Plant 2 Canteen"/>
    <n v="0.06"/>
    <n v="53.448399999999999"/>
  </r>
  <r>
    <s v="O00075"/>
    <s v="HUZZPQ"/>
    <n v="2"/>
    <n v="146.4"/>
    <s v="Hot Meal"/>
    <n v="80.92"/>
    <d v="2025-08-20T00:00:00"/>
    <s v="Plant 2 Canteen"/>
    <n v="0.06"/>
    <n v="275.23199999999997"/>
  </r>
  <r>
    <s v="O00075"/>
    <s v="SZBIKC"/>
    <n v="2"/>
    <n v="38.06"/>
    <s v="Snack"/>
    <n v="19.55"/>
    <d v="2025-08-20T00:00:00"/>
    <s v="Plant 2 Canteen"/>
    <n v="0.06"/>
    <n v="71.552800000000005"/>
  </r>
  <r>
    <s v="O00075"/>
    <s v="SV30T9"/>
    <n v="3"/>
    <n v="39.950000000000003"/>
    <s v="Snack"/>
    <n v="15.51"/>
    <d v="2025-08-20T00:00:00"/>
    <s v="Plant 2 Canteen"/>
    <n v="0.06"/>
    <n v="112.65900000000001"/>
  </r>
  <r>
    <s v="O00076"/>
    <s v="DFFYVN"/>
    <n v="1"/>
    <n v="54.2"/>
    <s v="Dessert"/>
    <n v="21.95"/>
    <d v="2025-08-12T00:00:00"/>
    <s v="Plant 1 Canteen"/>
    <n v="0.01"/>
    <n v="53.658000000000001"/>
  </r>
  <r>
    <s v="O00076"/>
    <s v="S5NQ4F"/>
    <n v="1"/>
    <n v="50.19"/>
    <s v="Snack"/>
    <n v="22.61"/>
    <d v="2025-08-12T00:00:00"/>
    <s v="Plant 1 Canteen"/>
    <n v="0.01"/>
    <n v="49.688099999999999"/>
  </r>
  <r>
    <s v="O00076"/>
    <s v="HUZZPQ"/>
    <n v="2"/>
    <n v="146.4"/>
    <s v="Hot Meal"/>
    <n v="80.92"/>
    <d v="2025-08-12T00:00:00"/>
    <s v="Plant 1 Canteen"/>
    <n v="0.01"/>
    <n v="289.87200000000001"/>
  </r>
  <r>
    <s v="O00077"/>
    <s v="BOC6UZ"/>
    <n v="1"/>
    <n v="32.979999999999997"/>
    <s v="Beverage"/>
    <n v="11.84"/>
    <d v="2025-07-27T00:00:00"/>
    <s v="Plant 2 Canteen"/>
    <n v="0.11"/>
    <n v="29.352199999999996"/>
  </r>
  <r>
    <s v="O00077"/>
    <s v="SCKW5N"/>
    <n v="1"/>
    <n v="70.540000000000006"/>
    <s v="Snack"/>
    <n v="35.81"/>
    <d v="2025-07-27T00:00:00"/>
    <s v="Plant 2 Canteen"/>
    <n v="0.11"/>
    <n v="62.780600000000007"/>
  </r>
  <r>
    <s v="O00078"/>
    <s v="S5NQ4F"/>
    <n v="1"/>
    <n v="50.19"/>
    <s v="Snack"/>
    <n v="22.61"/>
    <d v="2025-07-14T00:00:00"/>
    <s v="Plant 1 Canteen"/>
    <n v="0.09"/>
    <n v="45.672899999999998"/>
  </r>
  <r>
    <s v="O00078"/>
    <s v="BOC6UZ"/>
    <n v="3"/>
    <n v="32.979999999999997"/>
    <s v="Beverage"/>
    <n v="11.84"/>
    <d v="2025-07-14T00:00:00"/>
    <s v="Plant 1 Canteen"/>
    <n v="0.09"/>
    <n v="90.035399999999996"/>
  </r>
  <r>
    <s v="O00079"/>
    <s v="SZBIKC"/>
    <n v="1"/>
    <n v="38.06"/>
    <s v="Snack"/>
    <n v="19.55"/>
    <d v="2025-07-22T00:00:00"/>
    <s v="Plant 1 Canteen"/>
    <n v="0.09"/>
    <n v="34.634600000000006"/>
  </r>
  <r>
    <s v="O00079"/>
    <s v="B0T0PV"/>
    <n v="2"/>
    <n v="28.43"/>
    <s v="Beverage"/>
    <n v="13.89"/>
    <d v="2025-07-22T00:00:00"/>
    <s v="Plant 1 Canteen"/>
    <n v="0.09"/>
    <n v="51.742600000000003"/>
  </r>
  <r>
    <s v="O00080"/>
    <s v="BHL1C3"/>
    <n v="2"/>
    <n v="22.2"/>
    <s v="Beverage"/>
    <n v="9.3800000000000008"/>
    <d v="2025-08-22T00:00:00"/>
    <s v="Plant 2 Canteen"/>
    <n v="0.02"/>
    <n v="43.512"/>
  </r>
  <r>
    <s v="O00080"/>
    <s v="BOC6UZ"/>
    <n v="2"/>
    <n v="32.979999999999997"/>
    <s v="Beverage"/>
    <n v="11.84"/>
    <d v="2025-08-22T00:00:00"/>
    <s v="Plant 2 Canteen"/>
    <n v="0.02"/>
    <n v="64.640799999999999"/>
  </r>
  <r>
    <s v="O00080"/>
    <s v="HDPBHS"/>
    <n v="1"/>
    <n v="256.91000000000003"/>
    <s v="Hot Meal"/>
    <n v="121.24"/>
    <d v="2025-08-22T00:00:00"/>
    <s v="Plant 2 Canteen"/>
    <n v="0.02"/>
    <n v="251.77180000000001"/>
  </r>
  <r>
    <s v="O00080"/>
    <s v="BTIQJ7"/>
    <n v="2"/>
    <n v="30.34"/>
    <s v="Beverage"/>
    <n v="14.18"/>
    <d v="2025-08-22T00:00:00"/>
    <s v="Plant 2 Canteen"/>
    <n v="0.02"/>
    <n v="59.4664"/>
  </r>
  <r>
    <s v="O00081"/>
    <s v="S5NQ4F"/>
    <n v="1"/>
    <n v="50.19"/>
    <s v="Snack"/>
    <n v="22.61"/>
    <d v="2025-08-11T00:00:00"/>
    <s v="Plant 2 Canteen"/>
    <n v="0.12"/>
    <n v="44.167200000000001"/>
  </r>
  <r>
    <s v="O00082"/>
    <s v="SV30T9"/>
    <n v="3"/>
    <n v="39.950000000000003"/>
    <s v="Snack"/>
    <n v="15.51"/>
    <d v="2025-08-26T00:00:00"/>
    <s v="Plant 2 Canteen"/>
    <n v="0"/>
    <n v="119.85000000000001"/>
  </r>
  <r>
    <s v="O00083"/>
    <s v="BTIQJ7"/>
    <n v="1"/>
    <n v="30.34"/>
    <s v="Beverage"/>
    <n v="14.18"/>
    <d v="2025-07-30T00:00:00"/>
    <s v="Plant 2 Canteen"/>
    <n v="0.08"/>
    <n v="27.912800000000001"/>
  </r>
  <r>
    <s v="O00083"/>
    <s v="HUZZPQ"/>
    <n v="2"/>
    <n v="146.4"/>
    <s v="Hot Meal"/>
    <n v="80.92"/>
    <d v="2025-07-30T00:00:00"/>
    <s v="Plant 2 Canteen"/>
    <n v="0.08"/>
    <n v="269.37600000000003"/>
  </r>
  <r>
    <s v="O00084"/>
    <s v="BTIQJ7"/>
    <n v="1"/>
    <n v="30.34"/>
    <s v="Beverage"/>
    <n v="14.18"/>
    <d v="2025-08-28T00:00:00"/>
    <s v="Plant 1 Canteen"/>
    <n v="0.15"/>
    <n v="25.788999999999998"/>
  </r>
  <r>
    <s v="O00084"/>
    <s v="DH9SDB"/>
    <n v="2"/>
    <n v="76.55"/>
    <s v="Dessert"/>
    <n v="38.229999999999997"/>
    <d v="2025-08-28T00:00:00"/>
    <s v="Plant 1 Canteen"/>
    <n v="0.15"/>
    <n v="130.13499999999999"/>
  </r>
  <r>
    <s v="O00084"/>
    <s v="SHJ7XV"/>
    <n v="1"/>
    <n v="52.45"/>
    <s v="Snack"/>
    <n v="25.8"/>
    <d v="2025-08-28T00:00:00"/>
    <s v="Plant 1 Canteen"/>
    <n v="0.15"/>
    <n v="44.582500000000003"/>
  </r>
  <r>
    <s v="O00085"/>
    <s v="DFFYVN"/>
    <n v="1"/>
    <n v="54.2"/>
    <s v="Dessert"/>
    <n v="21.95"/>
    <d v="2025-08-12T00:00:00"/>
    <s v="Plant 2 Canteen"/>
    <n v="0.02"/>
    <n v="53.116"/>
  </r>
  <r>
    <s v="O00085"/>
    <s v="S5NQ4F"/>
    <n v="2"/>
    <n v="50.19"/>
    <s v="Snack"/>
    <n v="22.61"/>
    <d v="2025-08-12T00:00:00"/>
    <s v="Plant 2 Canteen"/>
    <n v="0.02"/>
    <n v="98.372399999999999"/>
  </r>
  <r>
    <s v="O00086"/>
    <s v="BOC6UZ"/>
    <n v="1"/>
    <n v="32.979999999999997"/>
    <s v="Beverage"/>
    <n v="11.84"/>
    <d v="2025-08-09T00:00:00"/>
    <s v="Head Office Café"/>
    <n v="0.04"/>
    <n v="31.660799999999995"/>
  </r>
  <r>
    <s v="O00086"/>
    <s v="DH9SDB"/>
    <n v="2"/>
    <n v="76.55"/>
    <s v="Dessert"/>
    <n v="38.229999999999997"/>
    <d v="2025-08-09T00:00:00"/>
    <s v="Head Office Café"/>
    <n v="0.04"/>
    <n v="146.976"/>
  </r>
  <r>
    <s v="O00087"/>
    <s v="SHJ7XV"/>
    <n v="2"/>
    <n v="52.45"/>
    <s v="Snack"/>
    <n v="25.8"/>
    <d v="2025-08-22T00:00:00"/>
    <s v="Plant 1 Canteen"/>
    <n v="0.06"/>
    <n v="98.605999999999995"/>
  </r>
  <r>
    <s v="O00087"/>
    <s v="BHL1C3"/>
    <n v="1"/>
    <n v="22.2"/>
    <s v="Beverage"/>
    <n v="9.3800000000000008"/>
    <d v="2025-08-22T00:00:00"/>
    <s v="Plant 1 Canteen"/>
    <n v="0.06"/>
    <n v="20.867999999999999"/>
  </r>
  <r>
    <s v="O00087"/>
    <s v="SCKW5N"/>
    <n v="2"/>
    <n v="70.540000000000006"/>
    <s v="Snack"/>
    <n v="35.81"/>
    <d v="2025-08-22T00:00:00"/>
    <s v="Plant 1 Canteen"/>
    <n v="0.06"/>
    <n v="132.61520000000002"/>
  </r>
  <r>
    <s v="O00088"/>
    <s v="HXAJI0"/>
    <n v="1"/>
    <n v="227.61"/>
    <s v="Hot Meal"/>
    <n v="96.22"/>
    <d v="2025-07-09T00:00:00"/>
    <s v="Head Office Café"/>
    <n v="0.04"/>
    <n v="218.50560000000002"/>
  </r>
  <r>
    <s v="O00088"/>
    <s v="DH9SDB"/>
    <n v="1"/>
    <n v="76.55"/>
    <s v="Dessert"/>
    <n v="38.229999999999997"/>
    <d v="2025-07-09T00:00:00"/>
    <s v="Head Office Café"/>
    <n v="0.04"/>
    <n v="73.488"/>
  </r>
  <r>
    <s v="O00089"/>
    <s v="SV30T9"/>
    <n v="1"/>
    <n v="39.950000000000003"/>
    <s v="Snack"/>
    <n v="15.51"/>
    <d v="2025-07-18T00:00:00"/>
    <s v="Plant 1 Canteen"/>
    <n v="0"/>
    <n v="39.950000000000003"/>
  </r>
  <r>
    <s v="O00089"/>
    <s v="HDPBHS"/>
    <n v="2"/>
    <n v="256.91000000000003"/>
    <s v="Hot Meal"/>
    <n v="121.24"/>
    <d v="2025-07-18T00:00:00"/>
    <s v="Plant 1 Canteen"/>
    <n v="0"/>
    <n v="513.82000000000005"/>
  </r>
  <r>
    <s v="O00089"/>
    <s v="SHJ7XV"/>
    <n v="2"/>
    <n v="52.45"/>
    <s v="Snack"/>
    <n v="25.8"/>
    <d v="2025-07-18T00:00:00"/>
    <s v="Plant 1 Canteen"/>
    <n v="0"/>
    <n v="104.9"/>
  </r>
  <r>
    <s v="O00090"/>
    <s v="HXAJI0"/>
    <n v="3"/>
    <n v="227.61"/>
    <s v="Hot Meal"/>
    <n v="96.22"/>
    <d v="2025-07-21T00:00:00"/>
    <s v="Plant 2 Canteen"/>
    <n v="0.06"/>
    <n v="641.86019999999996"/>
  </r>
  <r>
    <s v="O00090"/>
    <s v="BOC6UZ"/>
    <n v="1"/>
    <n v="32.979999999999997"/>
    <s v="Beverage"/>
    <n v="11.84"/>
    <d v="2025-07-21T00:00:00"/>
    <s v="Plant 2 Canteen"/>
    <n v="0.06"/>
    <n v="31.001199999999994"/>
  </r>
  <r>
    <s v="O00090"/>
    <s v="BHL1C3"/>
    <n v="2"/>
    <n v="22.2"/>
    <s v="Beverage"/>
    <n v="9.3800000000000008"/>
    <d v="2025-07-21T00:00:00"/>
    <s v="Plant 2 Canteen"/>
    <n v="0.06"/>
    <n v="41.735999999999997"/>
  </r>
  <r>
    <s v="O00091"/>
    <s v="HUZZPQ"/>
    <n v="2"/>
    <n v="146.4"/>
    <s v="Hot Meal"/>
    <n v="80.92"/>
    <d v="2025-07-28T00:00:00"/>
    <s v="Plant 2 Canteen"/>
    <n v="0.02"/>
    <n v="286.94400000000002"/>
  </r>
  <r>
    <s v="O00092"/>
    <s v="B0T0PV"/>
    <n v="2"/>
    <n v="28.43"/>
    <s v="Beverage"/>
    <n v="13.89"/>
    <d v="2025-07-03T00:00:00"/>
    <s v="Head Office Café"/>
    <n v="0.08"/>
    <n v="52.311199999999999"/>
  </r>
  <r>
    <s v="O00092"/>
    <s v="HXAJI0"/>
    <n v="2"/>
    <n v="227.61"/>
    <s v="Hot Meal"/>
    <n v="96.22"/>
    <d v="2025-07-03T00:00:00"/>
    <s v="Head Office Café"/>
    <n v="0.08"/>
    <n v="418.80240000000003"/>
  </r>
  <r>
    <s v="O00092"/>
    <s v="D9T84A"/>
    <n v="2"/>
    <n v="116.8"/>
    <s v="Dessert"/>
    <n v="48.97"/>
    <d v="2025-07-03T00:00:00"/>
    <s v="Head Office Café"/>
    <n v="0.08"/>
    <n v="214.91200000000001"/>
  </r>
  <r>
    <s v="O00093"/>
    <s v="DYTJXE"/>
    <n v="2"/>
    <n v="57.07"/>
    <s v="Dessert"/>
    <n v="29.14"/>
    <d v="2025-07-23T00:00:00"/>
    <s v="Head Office Café"/>
    <n v="0.02"/>
    <n v="111.85719999999999"/>
  </r>
  <r>
    <s v="O00093"/>
    <s v="HUZZPQ"/>
    <n v="2"/>
    <n v="146.4"/>
    <s v="Hot Meal"/>
    <n v="80.92"/>
    <d v="2025-07-23T00:00:00"/>
    <s v="Head Office Café"/>
    <n v="0.02"/>
    <n v="286.94400000000002"/>
  </r>
  <r>
    <s v="O00094"/>
    <s v="S5NQ4F"/>
    <n v="1"/>
    <n v="50.19"/>
    <s v="Snack"/>
    <n v="22.61"/>
    <d v="2025-07-04T00:00:00"/>
    <s v="Plant 1 Canteen"/>
    <n v="0.12"/>
    <n v="44.167200000000001"/>
  </r>
  <r>
    <s v="O00094"/>
    <s v="D9T84A"/>
    <n v="1"/>
    <n v="116.8"/>
    <s v="Dessert"/>
    <n v="48.97"/>
    <d v="2025-07-04T00:00:00"/>
    <s v="Plant 1 Canteen"/>
    <n v="0.12"/>
    <n v="102.78399999999999"/>
  </r>
  <r>
    <s v="O00094"/>
    <s v="B0T0PV"/>
    <n v="1"/>
    <n v="28.43"/>
    <s v="Beverage"/>
    <n v="13.89"/>
    <d v="2025-07-04T00:00:00"/>
    <s v="Plant 1 Canteen"/>
    <n v="0.12"/>
    <n v="25.0184"/>
  </r>
  <r>
    <s v="O00095"/>
    <s v="SV30T9"/>
    <n v="2"/>
    <n v="39.950000000000003"/>
    <s v="Snack"/>
    <n v="15.51"/>
    <d v="2025-07-24T00:00:00"/>
    <s v="Plant 1 Canteen"/>
    <n v="0.03"/>
    <n v="77.503"/>
  </r>
  <r>
    <s v="O00095"/>
    <s v="HXAJI0"/>
    <n v="3"/>
    <n v="227.61"/>
    <s v="Hot Meal"/>
    <n v="96.22"/>
    <d v="2025-07-24T00:00:00"/>
    <s v="Plant 1 Canteen"/>
    <n v="0.03"/>
    <n v="662.3451"/>
  </r>
  <r>
    <s v="O00096"/>
    <s v="HH1DNM"/>
    <n v="3"/>
    <n v="246.09"/>
    <s v="Hot Meal"/>
    <n v="112.08"/>
    <d v="2025-08-25T00:00:00"/>
    <s v="Plant 1 Canteen"/>
    <n v="0.05"/>
    <n v="701.35649999999998"/>
  </r>
  <r>
    <s v="O00096"/>
    <s v="DFFYVN"/>
    <n v="1"/>
    <n v="54.2"/>
    <s v="Dessert"/>
    <n v="21.95"/>
    <d v="2025-08-25T00:00:00"/>
    <s v="Plant 1 Canteen"/>
    <n v="0.05"/>
    <n v="51.49"/>
  </r>
  <r>
    <s v="O00096"/>
    <s v="DH9SDB"/>
    <n v="1"/>
    <n v="76.55"/>
    <s v="Dessert"/>
    <n v="38.229999999999997"/>
    <d v="2025-08-25T00:00:00"/>
    <s v="Plant 1 Canteen"/>
    <n v="0.05"/>
    <n v="72.722499999999997"/>
  </r>
  <r>
    <s v="O00097"/>
    <s v="B0T0PV"/>
    <n v="2"/>
    <n v="28.43"/>
    <s v="Beverage"/>
    <n v="13.89"/>
    <d v="2025-08-06T00:00:00"/>
    <s v="Plant 1 Canteen"/>
    <n v="0.09"/>
    <n v="51.742600000000003"/>
  </r>
  <r>
    <s v="O00098"/>
    <s v="BOC6UZ"/>
    <n v="3"/>
    <n v="32.979999999999997"/>
    <s v="Beverage"/>
    <n v="11.84"/>
    <d v="2025-07-17T00:00:00"/>
    <s v="Plant 2 Canteen"/>
    <n v="0.01"/>
    <n v="97.950599999999994"/>
  </r>
  <r>
    <s v="O00098"/>
    <s v="B0T0PV"/>
    <n v="3"/>
    <n v="28.43"/>
    <s v="Beverage"/>
    <n v="13.89"/>
    <d v="2025-07-17T00:00:00"/>
    <s v="Plant 2 Canteen"/>
    <n v="0.01"/>
    <n v="84.437099999999987"/>
  </r>
  <r>
    <s v="O00099"/>
    <s v="DYTJXE"/>
    <n v="2"/>
    <n v="57.07"/>
    <s v="Dessert"/>
    <n v="29.14"/>
    <d v="2025-07-31T00:00:00"/>
    <s v="Head Office Café"/>
    <n v="7.0000000000000007E-2"/>
    <n v="106.1502"/>
  </r>
  <r>
    <s v="O00099"/>
    <s v="HUZZPQ"/>
    <n v="1"/>
    <n v="146.4"/>
    <s v="Hot Meal"/>
    <n v="80.92"/>
    <d v="2025-07-31T00:00:00"/>
    <s v="Head Office Café"/>
    <n v="7.0000000000000007E-2"/>
    <n v="136.15199999999999"/>
  </r>
  <r>
    <s v="O00100"/>
    <s v="S5NQ4F"/>
    <n v="2"/>
    <n v="50.19"/>
    <s v="Snack"/>
    <n v="22.61"/>
    <d v="2025-07-20T00:00:00"/>
    <s v="Plant 1 Canteen"/>
    <n v="0.11"/>
    <n v="89.338200000000001"/>
  </r>
  <r>
    <s v="O00100"/>
    <s v="HDPBHS"/>
    <n v="1"/>
    <n v="256.91000000000003"/>
    <s v="Hot Meal"/>
    <n v="121.24"/>
    <d v="2025-07-20T00:00:00"/>
    <s v="Plant 1 Canteen"/>
    <n v="0.11"/>
    <n v="228.64990000000003"/>
  </r>
  <r>
    <s v="O00101"/>
    <s v="BTIQJ7"/>
    <n v="1"/>
    <n v="30.34"/>
    <s v="Beverage"/>
    <n v="14.18"/>
    <d v="2025-07-11T00:00:00"/>
    <s v="Head Office Café"/>
    <n v="0"/>
    <n v="30.34"/>
  </r>
  <r>
    <s v="O00101"/>
    <s v="SCKW5N"/>
    <n v="1"/>
    <n v="70.540000000000006"/>
    <s v="Snack"/>
    <n v="35.81"/>
    <d v="2025-07-11T00:00:00"/>
    <s v="Head Office Café"/>
    <n v="0"/>
    <n v="70.540000000000006"/>
  </r>
  <r>
    <s v="O00101"/>
    <s v="SV30T9"/>
    <n v="1"/>
    <n v="39.950000000000003"/>
    <s v="Snack"/>
    <n v="15.51"/>
    <d v="2025-07-11T00:00:00"/>
    <s v="Head Office Café"/>
    <n v="0"/>
    <n v="39.950000000000003"/>
  </r>
  <r>
    <s v="O00102"/>
    <s v="SZBIKC"/>
    <n v="2"/>
    <n v="38.06"/>
    <s v="Snack"/>
    <n v="19.55"/>
    <d v="2025-08-25T00:00:00"/>
    <s v="Plant 1 Canteen"/>
    <n v="7.0000000000000007E-2"/>
    <n v="70.791600000000003"/>
  </r>
  <r>
    <s v="O00103"/>
    <s v="SCKW5N"/>
    <n v="2"/>
    <n v="70.540000000000006"/>
    <s v="Snack"/>
    <n v="35.81"/>
    <d v="2025-08-06T00:00:00"/>
    <s v="Plant 1 Canteen"/>
    <n v="7.0000000000000007E-2"/>
    <n v="131.20439999999999"/>
  </r>
  <r>
    <s v="O00104"/>
    <s v="DFFYVN"/>
    <n v="1"/>
    <n v="54.2"/>
    <s v="Dessert"/>
    <n v="21.95"/>
    <d v="2025-07-02T00:00:00"/>
    <s v="Plant 2 Canteen"/>
    <n v="0.09"/>
    <n v="49.322000000000003"/>
  </r>
  <r>
    <s v="O00105"/>
    <s v="BTIQJ7"/>
    <n v="1"/>
    <n v="30.34"/>
    <s v="Beverage"/>
    <n v="14.18"/>
    <d v="2025-08-05T00:00:00"/>
    <s v="Head Office Café"/>
    <n v="0.01"/>
    <n v="30.0366"/>
  </r>
  <r>
    <s v="O00106"/>
    <s v="SZBIKC"/>
    <n v="3"/>
    <n v="38.06"/>
    <s v="Snack"/>
    <n v="19.55"/>
    <d v="2025-08-12T00:00:00"/>
    <s v="Plant 1 Canteen"/>
    <n v="0.01"/>
    <n v="113.0382"/>
  </r>
  <r>
    <s v="O00106"/>
    <s v="B0T0PV"/>
    <n v="2"/>
    <n v="28.43"/>
    <s v="Beverage"/>
    <n v="13.89"/>
    <d v="2025-08-12T00:00:00"/>
    <s v="Plant 1 Canteen"/>
    <n v="0.01"/>
    <n v="56.291399999999996"/>
  </r>
  <r>
    <s v="O00106"/>
    <s v="HDPBHS"/>
    <n v="1"/>
    <n v="256.91000000000003"/>
    <s v="Hot Meal"/>
    <n v="121.24"/>
    <d v="2025-08-12T00:00:00"/>
    <s v="Plant 1 Canteen"/>
    <n v="0.01"/>
    <n v="254.34090000000003"/>
  </r>
  <r>
    <s v="O00107"/>
    <s v="BXO6QJ"/>
    <n v="2"/>
    <n v="20.11"/>
    <s v="Beverage"/>
    <n v="8"/>
    <d v="2025-08-22T00:00:00"/>
    <s v="Plant 2 Canteen"/>
    <n v="0.08"/>
    <n v="37.002400000000002"/>
  </r>
  <r>
    <s v="O00107"/>
    <s v="BHL1C3"/>
    <n v="1"/>
    <n v="22.2"/>
    <s v="Beverage"/>
    <n v="9.3800000000000008"/>
    <d v="2025-08-22T00:00:00"/>
    <s v="Plant 2 Canteen"/>
    <n v="0.08"/>
    <n v="20.423999999999999"/>
  </r>
  <r>
    <s v="O00108"/>
    <s v="DH9SDB"/>
    <n v="1"/>
    <n v="76.55"/>
    <s v="Dessert"/>
    <n v="38.229999999999997"/>
    <d v="2025-08-01T00:00:00"/>
    <s v="Plant 1 Canteen"/>
    <n v="7.0000000000000007E-2"/>
    <n v="71.191499999999991"/>
  </r>
  <r>
    <s v="O00108"/>
    <s v="B0T0PV"/>
    <n v="1"/>
    <n v="28.43"/>
    <s v="Beverage"/>
    <n v="13.89"/>
    <d v="2025-08-01T00:00:00"/>
    <s v="Plant 1 Canteen"/>
    <n v="7.0000000000000007E-2"/>
    <n v="26.439899999999998"/>
  </r>
  <r>
    <s v="O00108"/>
    <s v="SCKW5N"/>
    <n v="1"/>
    <n v="70.540000000000006"/>
    <s v="Snack"/>
    <n v="35.81"/>
    <d v="2025-08-01T00:00:00"/>
    <s v="Plant 1 Canteen"/>
    <n v="7.0000000000000007E-2"/>
    <n v="65.602199999999996"/>
  </r>
  <r>
    <s v="O00108"/>
    <s v="SV30T9"/>
    <n v="1"/>
    <n v="39.950000000000003"/>
    <s v="Snack"/>
    <n v="15.51"/>
    <d v="2025-08-01T00:00:00"/>
    <s v="Plant 1 Canteen"/>
    <n v="7.0000000000000007E-2"/>
    <n v="37.153500000000001"/>
  </r>
  <r>
    <s v="O00109"/>
    <s v="BTIQJ7"/>
    <n v="2"/>
    <n v="30.34"/>
    <s v="Beverage"/>
    <n v="14.18"/>
    <d v="2025-07-24T00:00:00"/>
    <s v="Plant 2 Canteen"/>
    <n v="7.0000000000000007E-2"/>
    <n v="56.432399999999994"/>
  </r>
  <r>
    <s v="O00110"/>
    <s v="BTIQJ7"/>
    <n v="2"/>
    <n v="30.34"/>
    <s v="Beverage"/>
    <n v="14.18"/>
    <d v="2025-08-02T00:00:00"/>
    <s v="Plant 1 Canteen"/>
    <n v="7.0000000000000007E-2"/>
    <n v="56.432399999999994"/>
  </r>
  <r>
    <s v="O00110"/>
    <s v="HXAJI0"/>
    <n v="2"/>
    <n v="227.61"/>
    <s v="Hot Meal"/>
    <n v="96.22"/>
    <d v="2025-08-02T00:00:00"/>
    <s v="Plant 1 Canteen"/>
    <n v="7.0000000000000007E-2"/>
    <n v="423.3546"/>
  </r>
  <r>
    <s v="O00110"/>
    <s v="DYTJXE"/>
    <n v="1"/>
    <n v="57.07"/>
    <s v="Dessert"/>
    <n v="29.14"/>
    <d v="2025-08-02T00:00:00"/>
    <s v="Plant 1 Canteen"/>
    <n v="7.0000000000000007E-2"/>
    <n v="53.075099999999999"/>
  </r>
  <r>
    <s v="O00110"/>
    <s v="HH1DNM"/>
    <n v="1"/>
    <n v="246.09"/>
    <s v="Hot Meal"/>
    <n v="112.08"/>
    <d v="2025-08-02T00:00:00"/>
    <s v="Plant 1 Canteen"/>
    <n v="7.0000000000000007E-2"/>
    <n v="228.86369999999999"/>
  </r>
  <r>
    <s v="O00111"/>
    <s v="HUZZPQ"/>
    <n v="2"/>
    <n v="146.4"/>
    <s v="Hot Meal"/>
    <n v="80.92"/>
    <d v="2025-08-17T00:00:00"/>
    <s v="Plant 1 Canteen"/>
    <n v="0.03"/>
    <n v="284.01600000000002"/>
  </r>
  <r>
    <s v="O00111"/>
    <s v="BOC6UZ"/>
    <n v="1"/>
    <n v="32.979999999999997"/>
    <s v="Beverage"/>
    <n v="11.84"/>
    <d v="2025-08-17T00:00:00"/>
    <s v="Plant 1 Canteen"/>
    <n v="0.03"/>
    <n v="31.990599999999997"/>
  </r>
  <r>
    <s v="O00111"/>
    <s v="BXO6QJ"/>
    <n v="1"/>
    <n v="20.11"/>
    <s v="Beverage"/>
    <n v="8"/>
    <d v="2025-08-17T00:00:00"/>
    <s v="Plant 1 Canteen"/>
    <n v="0.03"/>
    <n v="19.506699999999999"/>
  </r>
  <r>
    <s v="O00112"/>
    <s v="D9T84A"/>
    <n v="1"/>
    <n v="116.8"/>
    <s v="Dessert"/>
    <n v="48.97"/>
    <d v="2025-07-28T00:00:00"/>
    <s v="Head Office Café"/>
    <n v="7.0000000000000007E-2"/>
    <n v="108.624"/>
  </r>
  <r>
    <s v="O00112"/>
    <s v="HUZZPQ"/>
    <n v="2"/>
    <n v="146.4"/>
    <s v="Hot Meal"/>
    <n v="80.92"/>
    <d v="2025-07-28T00:00:00"/>
    <s v="Head Office Café"/>
    <n v="7.0000000000000007E-2"/>
    <n v="272.30399999999997"/>
  </r>
  <r>
    <s v="O00112"/>
    <s v="BTIQJ7"/>
    <n v="1"/>
    <n v="30.34"/>
    <s v="Beverage"/>
    <n v="14.18"/>
    <d v="2025-07-28T00:00:00"/>
    <s v="Head Office Café"/>
    <n v="7.0000000000000007E-2"/>
    <n v="28.216199999999997"/>
  </r>
  <r>
    <s v="O00113"/>
    <s v="HUZZPQ"/>
    <n v="1"/>
    <n v="146.4"/>
    <s v="Hot Meal"/>
    <n v="80.92"/>
    <d v="2025-07-02T00:00:00"/>
    <s v="Head Office Café"/>
    <n v="7.0000000000000007E-2"/>
    <n v="136.15199999999999"/>
  </r>
  <r>
    <s v="O00113"/>
    <s v="H3A3ZM"/>
    <n v="1"/>
    <n v="170.83"/>
    <s v="Hot Meal"/>
    <n v="74.069999999999993"/>
    <d v="2025-07-02T00:00:00"/>
    <s v="Head Office Café"/>
    <n v="7.0000000000000007E-2"/>
    <n v="158.87190000000001"/>
  </r>
  <r>
    <s v="O00113"/>
    <s v="D9T84A"/>
    <n v="1"/>
    <n v="116.8"/>
    <s v="Dessert"/>
    <n v="48.97"/>
    <d v="2025-07-02T00:00:00"/>
    <s v="Head Office Café"/>
    <n v="7.0000000000000007E-2"/>
    <n v="108.624"/>
  </r>
  <r>
    <s v="O00113"/>
    <s v="DYTJXE"/>
    <n v="2"/>
    <n v="57.07"/>
    <s v="Dessert"/>
    <n v="29.14"/>
    <d v="2025-07-02T00:00:00"/>
    <s v="Head Office Café"/>
    <n v="7.0000000000000007E-2"/>
    <n v="106.1502"/>
  </r>
  <r>
    <s v="O00114"/>
    <s v="S5NQ4F"/>
    <n v="3"/>
    <n v="50.19"/>
    <s v="Snack"/>
    <n v="22.61"/>
    <d v="2025-08-09T00:00:00"/>
    <s v="Plant 2 Canteen"/>
    <n v="0.03"/>
    <n v="146.05289999999999"/>
  </r>
  <r>
    <s v="O00114"/>
    <s v="DFFYVN"/>
    <n v="2"/>
    <n v="54.2"/>
    <s v="Dessert"/>
    <n v="21.95"/>
    <d v="2025-08-09T00:00:00"/>
    <s v="Plant 2 Canteen"/>
    <n v="0.03"/>
    <n v="105.148"/>
  </r>
  <r>
    <s v="O00115"/>
    <s v="HH1DNM"/>
    <n v="2"/>
    <n v="246.09"/>
    <s v="Hot Meal"/>
    <n v="112.08"/>
    <d v="2025-08-17T00:00:00"/>
    <s v="Plant 2 Canteen"/>
    <n v="0.13"/>
    <n v="428.19659999999999"/>
  </r>
  <r>
    <s v="O00115"/>
    <s v="BOC6UZ"/>
    <n v="1"/>
    <n v="32.979999999999997"/>
    <s v="Beverage"/>
    <n v="11.84"/>
    <d v="2025-08-17T00:00:00"/>
    <s v="Plant 2 Canteen"/>
    <n v="0.13"/>
    <n v="28.692599999999999"/>
  </r>
  <r>
    <s v="O00115"/>
    <s v="DH9SDB"/>
    <n v="3"/>
    <n v="76.55"/>
    <s v="Dessert"/>
    <n v="38.229999999999997"/>
    <d v="2025-08-17T00:00:00"/>
    <s v="Plant 2 Canteen"/>
    <n v="0.13"/>
    <n v="199.79549999999998"/>
  </r>
  <r>
    <s v="O00115"/>
    <s v="DFFYVN"/>
    <n v="2"/>
    <n v="54.2"/>
    <s v="Dessert"/>
    <n v="21.95"/>
    <d v="2025-08-17T00:00:00"/>
    <s v="Plant 2 Canteen"/>
    <n v="0.13"/>
    <n v="94.308000000000007"/>
  </r>
  <r>
    <s v="O00116"/>
    <s v="SV30T9"/>
    <n v="3"/>
    <n v="39.950000000000003"/>
    <s v="Snack"/>
    <n v="15.51"/>
    <d v="2025-07-22T00:00:00"/>
    <s v="Plant 2 Canteen"/>
    <n v="0.08"/>
    <n v="110.26200000000001"/>
  </r>
  <r>
    <s v="O00116"/>
    <s v="HDPBHS"/>
    <n v="1"/>
    <n v="256.91000000000003"/>
    <s v="Hot Meal"/>
    <n v="121.24"/>
    <d v="2025-07-22T00:00:00"/>
    <s v="Plant 2 Canteen"/>
    <n v="0.08"/>
    <n v="236.35720000000003"/>
  </r>
  <r>
    <s v="O00116"/>
    <s v="BOC6UZ"/>
    <n v="1"/>
    <n v="32.979999999999997"/>
    <s v="Beverage"/>
    <n v="11.84"/>
    <d v="2025-07-22T00:00:00"/>
    <s v="Plant 2 Canteen"/>
    <n v="0.08"/>
    <n v="30.3416"/>
  </r>
  <r>
    <s v="O00117"/>
    <s v="D9T84A"/>
    <n v="2"/>
    <n v="116.8"/>
    <s v="Dessert"/>
    <n v="48.97"/>
    <d v="2025-08-26T00:00:00"/>
    <s v="Plant 2 Canteen"/>
    <n v="0.01"/>
    <n v="231.26399999999998"/>
  </r>
  <r>
    <s v="O00117"/>
    <s v="S5NQ4F"/>
    <n v="3"/>
    <n v="50.19"/>
    <s v="Snack"/>
    <n v="22.61"/>
    <d v="2025-08-26T00:00:00"/>
    <s v="Plant 2 Canteen"/>
    <n v="0.01"/>
    <n v="149.0643"/>
  </r>
  <r>
    <s v="O00117"/>
    <s v="BXO6QJ"/>
    <n v="3"/>
    <n v="20.11"/>
    <s v="Beverage"/>
    <n v="8"/>
    <d v="2025-08-26T00:00:00"/>
    <s v="Plant 2 Canteen"/>
    <n v="0.01"/>
    <n v="59.726700000000001"/>
  </r>
  <r>
    <s v="O00117"/>
    <s v="DH9SDB"/>
    <n v="3"/>
    <n v="76.55"/>
    <s v="Dessert"/>
    <n v="38.229999999999997"/>
    <d v="2025-08-26T00:00:00"/>
    <s v="Plant 2 Canteen"/>
    <n v="0.01"/>
    <n v="227.35349999999997"/>
  </r>
  <r>
    <s v="O00118"/>
    <s v="SHJ7XV"/>
    <n v="1"/>
    <n v="52.45"/>
    <s v="Snack"/>
    <n v="25.8"/>
    <d v="2025-08-03T00:00:00"/>
    <s v="Plant 2 Canteen"/>
    <n v="0.09"/>
    <n v="47.729500000000002"/>
  </r>
  <r>
    <s v="O00119"/>
    <s v="SCKW5N"/>
    <n v="1"/>
    <n v="70.540000000000006"/>
    <s v="Snack"/>
    <n v="35.81"/>
    <d v="2025-08-04T00:00:00"/>
    <s v="Head Office Café"/>
    <n v="0.02"/>
    <n v="69.129200000000012"/>
  </r>
  <r>
    <s v="O00120"/>
    <s v="BXO6QJ"/>
    <n v="1"/>
    <n v="20.11"/>
    <s v="Beverage"/>
    <n v="8"/>
    <d v="2025-07-25T00:00:00"/>
    <s v="Plant 1 Canteen"/>
    <n v="0.09"/>
    <n v="18.3001"/>
  </r>
  <r>
    <s v="O00120"/>
    <s v="SCKW5N"/>
    <n v="1"/>
    <n v="70.540000000000006"/>
    <s v="Snack"/>
    <n v="35.81"/>
    <d v="2025-07-25T00:00:00"/>
    <s v="Plant 1 Canteen"/>
    <n v="0.09"/>
    <n v="64.191400000000002"/>
  </r>
  <r>
    <s v="O00121"/>
    <s v="D9T84A"/>
    <n v="3"/>
    <n v="116.8"/>
    <s v="Dessert"/>
    <n v="48.97"/>
    <d v="2025-07-31T00:00:00"/>
    <s v="Plant 1 Canteen"/>
    <n v="0.11"/>
    <n v="311.85599999999999"/>
  </r>
  <r>
    <s v="O00121"/>
    <s v="DH9SDB"/>
    <n v="1"/>
    <n v="76.55"/>
    <s v="Dessert"/>
    <n v="38.229999999999997"/>
    <d v="2025-07-31T00:00:00"/>
    <s v="Plant 1 Canteen"/>
    <n v="0.11"/>
    <n v="68.129499999999993"/>
  </r>
  <r>
    <s v="O00121"/>
    <s v="SZBIKC"/>
    <n v="2"/>
    <n v="38.06"/>
    <s v="Snack"/>
    <n v="19.55"/>
    <d v="2025-07-31T00:00:00"/>
    <s v="Plant 1 Canteen"/>
    <n v="0.11"/>
    <n v="67.746800000000007"/>
  </r>
  <r>
    <s v="O00121"/>
    <s v="SHJ7XV"/>
    <n v="2"/>
    <n v="52.45"/>
    <s v="Snack"/>
    <n v="25.8"/>
    <d v="2025-07-31T00:00:00"/>
    <s v="Plant 1 Canteen"/>
    <n v="0.11"/>
    <n v="93.361000000000004"/>
  </r>
  <r>
    <s v="O00122"/>
    <s v="HDPBHS"/>
    <n v="1"/>
    <n v="256.91000000000003"/>
    <s v="Hot Meal"/>
    <n v="121.24"/>
    <d v="2025-07-19T00:00:00"/>
    <s v="Plant 1 Canteen"/>
    <n v="0.03"/>
    <n v="249.20270000000002"/>
  </r>
  <r>
    <s v="O00122"/>
    <s v="BTIQJ7"/>
    <n v="1"/>
    <n v="30.34"/>
    <s v="Beverage"/>
    <n v="14.18"/>
    <d v="2025-07-19T00:00:00"/>
    <s v="Plant 1 Canteen"/>
    <n v="0.03"/>
    <n v="29.4298"/>
  </r>
  <r>
    <s v="O00122"/>
    <s v="DYTJXE"/>
    <n v="2"/>
    <n v="57.07"/>
    <s v="Dessert"/>
    <n v="29.14"/>
    <d v="2025-07-19T00:00:00"/>
    <s v="Plant 1 Canteen"/>
    <n v="0.03"/>
    <n v="110.7158"/>
  </r>
  <r>
    <s v="O00122"/>
    <s v="D9T84A"/>
    <n v="2"/>
    <n v="116.8"/>
    <s v="Dessert"/>
    <n v="48.97"/>
    <d v="2025-07-19T00:00:00"/>
    <s v="Plant 1 Canteen"/>
    <n v="0.03"/>
    <n v="226.59199999999998"/>
  </r>
  <r>
    <s v="O00123"/>
    <s v="HUZZPQ"/>
    <n v="1"/>
    <n v="146.4"/>
    <s v="Hot Meal"/>
    <n v="80.92"/>
    <d v="2025-08-27T00:00:00"/>
    <s v="Head Office Café"/>
    <n v="0.1"/>
    <n v="131.76000000000002"/>
  </r>
  <r>
    <s v="O00123"/>
    <s v="HH1DNM"/>
    <n v="3"/>
    <n v="246.09"/>
    <s v="Hot Meal"/>
    <n v="112.08"/>
    <d v="2025-08-27T00:00:00"/>
    <s v="Head Office Café"/>
    <n v="0.1"/>
    <n v="664.44299999999998"/>
  </r>
  <r>
    <s v="O00123"/>
    <s v="SHJ7XV"/>
    <n v="3"/>
    <n v="52.45"/>
    <s v="Snack"/>
    <n v="25.8"/>
    <d v="2025-08-27T00:00:00"/>
    <s v="Head Office Café"/>
    <n v="0.1"/>
    <n v="141.61500000000004"/>
  </r>
  <r>
    <s v="O00123"/>
    <s v="DFFYVN"/>
    <n v="1"/>
    <n v="54.2"/>
    <s v="Dessert"/>
    <n v="21.95"/>
    <d v="2025-08-27T00:00:00"/>
    <s v="Head Office Café"/>
    <n v="0.1"/>
    <n v="48.78"/>
  </r>
  <r>
    <s v="O00124"/>
    <s v="D9T84A"/>
    <n v="3"/>
    <n v="116.8"/>
    <s v="Dessert"/>
    <n v="48.97"/>
    <d v="2025-07-20T00:00:00"/>
    <s v="Plant 2 Canteen"/>
    <n v="0.08"/>
    <n v="322.36799999999999"/>
  </r>
  <r>
    <s v="O00124"/>
    <s v="DYTJXE"/>
    <n v="1"/>
    <n v="57.07"/>
    <s v="Dessert"/>
    <n v="29.14"/>
    <d v="2025-07-20T00:00:00"/>
    <s v="Plant 2 Canteen"/>
    <n v="0.08"/>
    <n v="52.504400000000004"/>
  </r>
  <r>
    <s v="O00124"/>
    <s v="BOC6UZ"/>
    <n v="1"/>
    <n v="32.979999999999997"/>
    <s v="Beverage"/>
    <n v="11.84"/>
    <d v="2025-07-20T00:00:00"/>
    <s v="Plant 2 Canteen"/>
    <n v="0.08"/>
    <n v="30.3416"/>
  </r>
  <r>
    <s v="O00124"/>
    <s v="HH1DNM"/>
    <n v="2"/>
    <n v="246.09"/>
    <s v="Hot Meal"/>
    <n v="112.08"/>
    <d v="2025-07-20T00:00:00"/>
    <s v="Plant 2 Canteen"/>
    <n v="0.08"/>
    <n v="452.80560000000003"/>
  </r>
  <r>
    <s v="O00125"/>
    <s v="D9T84A"/>
    <n v="1"/>
    <n v="116.8"/>
    <s v="Dessert"/>
    <n v="48.97"/>
    <d v="2025-07-30T00:00:00"/>
    <s v="Plant 1 Canteen"/>
    <n v="0.09"/>
    <n v="106.288"/>
  </r>
  <r>
    <s v="O00125"/>
    <s v="DFFYVN"/>
    <n v="1"/>
    <n v="54.2"/>
    <s v="Dessert"/>
    <n v="21.95"/>
    <d v="2025-07-30T00:00:00"/>
    <s v="Plant 1 Canteen"/>
    <n v="0.09"/>
    <n v="49.322000000000003"/>
  </r>
  <r>
    <s v="O00126"/>
    <s v="SHJ7XV"/>
    <n v="1"/>
    <n v="52.45"/>
    <s v="Snack"/>
    <n v="25.8"/>
    <d v="2025-07-27T00:00:00"/>
    <s v="Plant 1 Canteen"/>
    <n v="0.14000000000000001"/>
    <n v="45.106999999999999"/>
  </r>
  <r>
    <s v="O00126"/>
    <s v="HUZZPQ"/>
    <n v="1"/>
    <n v="146.4"/>
    <s v="Hot Meal"/>
    <n v="80.92"/>
    <d v="2025-07-27T00:00:00"/>
    <s v="Plant 1 Canteen"/>
    <n v="0.14000000000000001"/>
    <n v="125.904"/>
  </r>
  <r>
    <s v="O00126"/>
    <s v="DYTJXE"/>
    <n v="3"/>
    <n v="57.07"/>
    <s v="Dessert"/>
    <n v="29.14"/>
    <d v="2025-07-27T00:00:00"/>
    <s v="Plant 1 Canteen"/>
    <n v="0.14000000000000001"/>
    <n v="147.2406"/>
  </r>
  <r>
    <s v="O00127"/>
    <s v="SCKW5N"/>
    <n v="2"/>
    <n v="70.540000000000006"/>
    <s v="Snack"/>
    <n v="35.81"/>
    <d v="2025-07-13T00:00:00"/>
    <s v="Head Office Café"/>
    <n v="0.05"/>
    <n v="134.02600000000001"/>
  </r>
  <r>
    <s v="O00127"/>
    <s v="BTIQJ7"/>
    <n v="2"/>
    <n v="30.34"/>
    <s v="Beverage"/>
    <n v="14.18"/>
    <d v="2025-07-13T00:00:00"/>
    <s v="Head Office Café"/>
    <n v="0.05"/>
    <n v="57.645999999999994"/>
  </r>
  <r>
    <s v="O00128"/>
    <s v="SCKW5N"/>
    <n v="2"/>
    <n v="70.540000000000006"/>
    <s v="Snack"/>
    <n v="35.81"/>
    <d v="2025-08-25T00:00:00"/>
    <s v="Plant 2 Canteen"/>
    <n v="0.03"/>
    <n v="136.8476"/>
  </r>
  <r>
    <s v="O00128"/>
    <s v="HDPBHS"/>
    <n v="2"/>
    <n v="256.91000000000003"/>
    <s v="Hot Meal"/>
    <n v="121.24"/>
    <d v="2025-08-25T00:00:00"/>
    <s v="Plant 2 Canteen"/>
    <n v="0.03"/>
    <n v="498.40540000000004"/>
  </r>
  <r>
    <s v="O00128"/>
    <s v="BOC6UZ"/>
    <n v="2"/>
    <n v="32.979999999999997"/>
    <s v="Beverage"/>
    <n v="11.84"/>
    <d v="2025-08-25T00:00:00"/>
    <s v="Plant 2 Canteen"/>
    <n v="0.03"/>
    <n v="63.981199999999994"/>
  </r>
  <r>
    <s v="O00129"/>
    <s v="H3A3ZM"/>
    <n v="2"/>
    <n v="170.83"/>
    <s v="Hot Meal"/>
    <n v="74.069999999999993"/>
    <d v="2025-08-03T00:00:00"/>
    <s v="Plant 1 Canteen"/>
    <n v="0.02"/>
    <n v="334.82679999999999"/>
  </r>
  <r>
    <s v="O00129"/>
    <s v="DFFYVN"/>
    <n v="3"/>
    <n v="54.2"/>
    <s v="Dessert"/>
    <n v="21.95"/>
    <d v="2025-08-03T00:00:00"/>
    <s v="Plant 1 Canteen"/>
    <n v="0.02"/>
    <n v="159.34800000000001"/>
  </r>
  <r>
    <s v="O00129"/>
    <s v="HH1DNM"/>
    <n v="1"/>
    <n v="246.09"/>
    <s v="Hot Meal"/>
    <n v="112.08"/>
    <d v="2025-08-03T00:00:00"/>
    <s v="Plant 1 Canteen"/>
    <n v="0.02"/>
    <n v="241.16820000000001"/>
  </r>
  <r>
    <s v="O00130"/>
    <s v="D9T84A"/>
    <n v="1"/>
    <n v="116.8"/>
    <s v="Dessert"/>
    <n v="48.97"/>
    <d v="2025-07-12T00:00:00"/>
    <s v="Plant 1 Canteen"/>
    <n v="0.03"/>
    <n v="113.29599999999999"/>
  </r>
  <r>
    <s v="O00130"/>
    <s v="DH9SDB"/>
    <n v="3"/>
    <n v="76.55"/>
    <s v="Dessert"/>
    <n v="38.229999999999997"/>
    <d v="2025-07-12T00:00:00"/>
    <s v="Plant 1 Canteen"/>
    <n v="0.03"/>
    <n v="222.76049999999998"/>
  </r>
  <r>
    <s v="O00130"/>
    <s v="SCKW5N"/>
    <n v="1"/>
    <n v="70.540000000000006"/>
    <s v="Snack"/>
    <n v="35.81"/>
    <d v="2025-07-12T00:00:00"/>
    <s v="Plant 1 Canteen"/>
    <n v="0.03"/>
    <n v="68.4238"/>
  </r>
  <r>
    <s v="O00131"/>
    <s v="HDPBHS"/>
    <n v="1"/>
    <n v="256.91000000000003"/>
    <s v="Hot Meal"/>
    <n v="121.24"/>
    <d v="2025-08-26T00:00:00"/>
    <s v="Head Office Café"/>
    <n v="0.06"/>
    <n v="241.49540000000002"/>
  </r>
  <r>
    <s v="O00131"/>
    <s v="HUZZPQ"/>
    <n v="1"/>
    <n v="146.4"/>
    <s v="Hot Meal"/>
    <n v="80.92"/>
    <d v="2025-08-26T00:00:00"/>
    <s v="Head Office Café"/>
    <n v="0.06"/>
    <n v="137.61599999999999"/>
  </r>
  <r>
    <s v="O00131"/>
    <s v="B0T0PV"/>
    <n v="2"/>
    <n v="28.43"/>
    <s v="Beverage"/>
    <n v="13.89"/>
    <d v="2025-08-26T00:00:00"/>
    <s v="Head Office Café"/>
    <n v="0.06"/>
    <n v="53.448399999999999"/>
  </r>
  <r>
    <s v="O00131"/>
    <s v="H3A3ZM"/>
    <n v="1"/>
    <n v="170.83"/>
    <s v="Hot Meal"/>
    <n v="74.069999999999993"/>
    <d v="2025-08-26T00:00:00"/>
    <s v="Head Office Café"/>
    <n v="0.06"/>
    <n v="160.58019999999999"/>
  </r>
  <r>
    <s v="O00132"/>
    <s v="HDPBHS"/>
    <n v="1"/>
    <n v="256.91000000000003"/>
    <s v="Hot Meal"/>
    <n v="121.24"/>
    <d v="2025-07-15T00:00:00"/>
    <s v="Head Office Café"/>
    <n v="7.0000000000000007E-2"/>
    <n v="238.9263"/>
  </r>
  <r>
    <s v="O00132"/>
    <s v="D9T84A"/>
    <n v="2"/>
    <n v="116.8"/>
    <s v="Dessert"/>
    <n v="48.97"/>
    <d v="2025-07-15T00:00:00"/>
    <s v="Head Office Café"/>
    <n v="7.0000000000000007E-2"/>
    <n v="217.24799999999999"/>
  </r>
  <r>
    <s v="O00133"/>
    <s v="B0T0PV"/>
    <n v="1"/>
    <n v="28.43"/>
    <s v="Beverage"/>
    <n v="13.89"/>
    <d v="2025-07-12T00:00:00"/>
    <s v="Head Office Café"/>
    <n v="7.0000000000000007E-2"/>
    <n v="26.439899999999998"/>
  </r>
  <r>
    <s v="O00133"/>
    <s v="DYTJXE"/>
    <n v="2"/>
    <n v="57.07"/>
    <s v="Dessert"/>
    <n v="29.14"/>
    <d v="2025-07-12T00:00:00"/>
    <s v="Head Office Café"/>
    <n v="7.0000000000000007E-2"/>
    <n v="106.1502"/>
  </r>
  <r>
    <s v="O00133"/>
    <s v="D9T84A"/>
    <n v="2"/>
    <n v="116.8"/>
    <s v="Dessert"/>
    <n v="48.97"/>
    <d v="2025-07-12T00:00:00"/>
    <s v="Head Office Café"/>
    <n v="7.0000000000000007E-2"/>
    <n v="217.24799999999999"/>
  </r>
  <r>
    <s v="O00134"/>
    <s v="BOC6UZ"/>
    <n v="3"/>
    <n v="32.979999999999997"/>
    <s v="Beverage"/>
    <n v="11.84"/>
    <d v="2025-08-20T00:00:00"/>
    <s v="Plant 2 Canteen"/>
    <n v="0.09"/>
    <n v="90.035399999999996"/>
  </r>
  <r>
    <s v="O00135"/>
    <s v="DYTJXE"/>
    <n v="2"/>
    <n v="57.07"/>
    <s v="Dessert"/>
    <n v="29.14"/>
    <d v="2025-08-27T00:00:00"/>
    <s v="Plant 2 Canteen"/>
    <n v="0.06"/>
    <n v="107.29159999999999"/>
  </r>
  <r>
    <s v="O00135"/>
    <s v="BXO6QJ"/>
    <n v="1"/>
    <n v="20.11"/>
    <s v="Beverage"/>
    <n v="8"/>
    <d v="2025-08-27T00:00:00"/>
    <s v="Plant 2 Canteen"/>
    <n v="0.06"/>
    <n v="18.903399999999998"/>
  </r>
  <r>
    <s v="O00135"/>
    <s v="BOC6UZ"/>
    <n v="2"/>
    <n v="32.979999999999997"/>
    <s v="Beverage"/>
    <n v="11.84"/>
    <d v="2025-08-27T00:00:00"/>
    <s v="Plant 2 Canteen"/>
    <n v="0.06"/>
    <n v="62.002399999999987"/>
  </r>
  <r>
    <s v="O00136"/>
    <s v="SHJ7XV"/>
    <n v="2"/>
    <n v="52.45"/>
    <s v="Snack"/>
    <n v="25.8"/>
    <d v="2025-08-29T00:00:00"/>
    <s v="Head Office Café"/>
    <n v="0.12"/>
    <n v="92.312000000000012"/>
  </r>
  <r>
    <s v="O00136"/>
    <s v="HXAJI0"/>
    <n v="2"/>
    <n v="227.61"/>
    <s v="Hot Meal"/>
    <n v="96.22"/>
    <d v="2025-08-29T00:00:00"/>
    <s v="Head Office Café"/>
    <n v="0.12"/>
    <n v="400.59360000000004"/>
  </r>
  <r>
    <s v="O00137"/>
    <s v="BHL1C3"/>
    <n v="1"/>
    <n v="22.2"/>
    <s v="Beverage"/>
    <n v="9.3800000000000008"/>
    <d v="2025-07-26T00:00:00"/>
    <s v="Head Office Café"/>
    <n v="0.05"/>
    <n v="21.09"/>
  </r>
  <r>
    <s v="O00137"/>
    <s v="BOC6UZ"/>
    <n v="1"/>
    <n v="32.979999999999997"/>
    <s v="Beverage"/>
    <n v="11.84"/>
    <d v="2025-07-26T00:00:00"/>
    <s v="Head Office Café"/>
    <n v="0.05"/>
    <n v="31.330999999999996"/>
  </r>
  <r>
    <s v="O00137"/>
    <s v="DYTJXE"/>
    <n v="2"/>
    <n v="57.07"/>
    <s v="Dessert"/>
    <n v="29.14"/>
    <d v="2025-07-26T00:00:00"/>
    <s v="Head Office Café"/>
    <n v="0.05"/>
    <n v="108.43299999999999"/>
  </r>
  <r>
    <s v="O00137"/>
    <s v="HUZZPQ"/>
    <n v="1"/>
    <n v="146.4"/>
    <s v="Hot Meal"/>
    <n v="80.92"/>
    <d v="2025-07-26T00:00:00"/>
    <s v="Head Office Café"/>
    <n v="0.05"/>
    <n v="139.08000000000001"/>
  </r>
  <r>
    <s v="O00138"/>
    <s v="S5NQ4F"/>
    <n v="2"/>
    <n v="50.19"/>
    <s v="Snack"/>
    <n v="22.61"/>
    <d v="2025-07-18T00:00:00"/>
    <s v="Head Office Café"/>
    <n v="0.17"/>
    <n v="83.315399999999997"/>
  </r>
  <r>
    <s v="O00139"/>
    <s v="DYTJXE"/>
    <n v="2"/>
    <n v="57.07"/>
    <s v="Dessert"/>
    <n v="29.14"/>
    <d v="2025-08-09T00:00:00"/>
    <s v="Plant 2 Canteen"/>
    <n v="0.09"/>
    <n v="103.8674"/>
  </r>
  <r>
    <s v="O00139"/>
    <s v="HXAJI0"/>
    <n v="2"/>
    <n v="227.61"/>
    <s v="Hot Meal"/>
    <n v="96.22"/>
    <d v="2025-08-09T00:00:00"/>
    <s v="Plant 2 Canteen"/>
    <n v="0.09"/>
    <n v="414.25020000000006"/>
  </r>
  <r>
    <s v="O00139"/>
    <s v="SHJ7XV"/>
    <n v="3"/>
    <n v="52.45"/>
    <s v="Snack"/>
    <n v="25.8"/>
    <d v="2025-08-09T00:00:00"/>
    <s v="Plant 2 Canteen"/>
    <n v="0.09"/>
    <n v="143.18850000000003"/>
  </r>
  <r>
    <s v="O00140"/>
    <s v="S5NQ4F"/>
    <n v="3"/>
    <n v="50.19"/>
    <s v="Snack"/>
    <n v="22.61"/>
    <d v="2025-07-29T00:00:00"/>
    <s v="Plant 1 Canteen"/>
    <n v="0.03"/>
    <n v="146.05289999999999"/>
  </r>
  <r>
    <s v="O00140"/>
    <s v="SZBIKC"/>
    <n v="2"/>
    <n v="38.06"/>
    <s v="Snack"/>
    <n v="19.55"/>
    <d v="2025-07-29T00:00:00"/>
    <s v="Plant 1 Canteen"/>
    <n v="0.03"/>
    <n v="73.836399999999998"/>
  </r>
  <r>
    <s v="O00140"/>
    <s v="BOC6UZ"/>
    <n v="1"/>
    <n v="32.979999999999997"/>
    <s v="Beverage"/>
    <n v="11.84"/>
    <d v="2025-07-29T00:00:00"/>
    <s v="Plant 1 Canteen"/>
    <n v="0.03"/>
    <n v="31.990599999999997"/>
  </r>
  <r>
    <s v="O00140"/>
    <s v="BTIQJ7"/>
    <n v="2"/>
    <n v="30.34"/>
    <s v="Beverage"/>
    <n v="14.18"/>
    <d v="2025-07-29T00:00:00"/>
    <s v="Plant 1 Canteen"/>
    <n v="0.03"/>
    <n v="58.8596"/>
  </r>
  <r>
    <s v="O00141"/>
    <s v="SHJ7XV"/>
    <n v="1"/>
    <n v="52.45"/>
    <s v="Snack"/>
    <n v="25.8"/>
    <d v="2025-08-14T00:00:00"/>
    <s v="Plant 1 Canteen"/>
    <n v="0.02"/>
    <n v="51.401000000000003"/>
  </r>
  <r>
    <s v="O00141"/>
    <s v="B0T0PV"/>
    <n v="1"/>
    <n v="28.43"/>
    <s v="Beverage"/>
    <n v="13.89"/>
    <d v="2025-08-14T00:00:00"/>
    <s v="Plant 1 Canteen"/>
    <n v="0.02"/>
    <n v="27.8614"/>
  </r>
  <r>
    <s v="O00142"/>
    <s v="B0T0PV"/>
    <n v="1"/>
    <n v="28.43"/>
    <s v="Beverage"/>
    <n v="13.89"/>
    <d v="2025-08-27T00:00:00"/>
    <s v="Head Office Café"/>
    <n v="0.08"/>
    <n v="26.1556"/>
  </r>
  <r>
    <s v="O00142"/>
    <s v="S5NQ4F"/>
    <n v="3"/>
    <n v="50.19"/>
    <s v="Snack"/>
    <n v="22.61"/>
    <d v="2025-08-27T00:00:00"/>
    <s v="Head Office Café"/>
    <n v="0.08"/>
    <n v="138.52439999999999"/>
  </r>
  <r>
    <s v="O00143"/>
    <s v="BXO6QJ"/>
    <n v="2"/>
    <n v="20.11"/>
    <s v="Beverage"/>
    <n v="8"/>
    <d v="2025-08-23T00:00:00"/>
    <s v="Plant 1 Canteen"/>
    <n v="0.05"/>
    <n v="38.208999999999996"/>
  </r>
  <r>
    <s v="O00144"/>
    <s v="SHJ7XV"/>
    <n v="1"/>
    <n v="52.45"/>
    <s v="Snack"/>
    <n v="25.8"/>
    <d v="2025-07-15T00:00:00"/>
    <s v="Plant 1 Canteen"/>
    <n v="0.09"/>
    <n v="47.729500000000002"/>
  </r>
  <r>
    <s v="O00145"/>
    <s v="BOC6UZ"/>
    <n v="2"/>
    <n v="32.979999999999997"/>
    <s v="Beverage"/>
    <n v="11.84"/>
    <d v="2025-08-28T00:00:00"/>
    <s v="Head Office Café"/>
    <n v="0.08"/>
    <n v="60.683199999999999"/>
  </r>
  <r>
    <s v="O00145"/>
    <s v="DYTJXE"/>
    <n v="1"/>
    <n v="57.07"/>
    <s v="Dessert"/>
    <n v="29.14"/>
    <d v="2025-08-28T00:00:00"/>
    <s v="Head Office Café"/>
    <n v="0.08"/>
    <n v="52.504400000000004"/>
  </r>
  <r>
    <s v="O00145"/>
    <s v="D9T84A"/>
    <n v="2"/>
    <n v="116.8"/>
    <s v="Dessert"/>
    <n v="48.97"/>
    <d v="2025-08-28T00:00:00"/>
    <s v="Head Office Café"/>
    <n v="0.08"/>
    <n v="214.91200000000001"/>
  </r>
  <r>
    <s v="O00146"/>
    <s v="HDPBHS"/>
    <n v="3"/>
    <n v="256.91000000000003"/>
    <s v="Hot Meal"/>
    <n v="121.24"/>
    <d v="2025-07-13T00:00:00"/>
    <s v="Plant 2 Canteen"/>
    <n v="0.06"/>
    <n v="724.48619999999994"/>
  </r>
  <r>
    <s v="O00146"/>
    <s v="BHL1C3"/>
    <n v="2"/>
    <n v="22.2"/>
    <s v="Beverage"/>
    <n v="9.3800000000000008"/>
    <d v="2025-07-13T00:00:00"/>
    <s v="Plant 2 Canteen"/>
    <n v="0.06"/>
    <n v="41.735999999999997"/>
  </r>
  <r>
    <s v="O00146"/>
    <s v="D9T84A"/>
    <n v="1"/>
    <n v="116.8"/>
    <s v="Dessert"/>
    <n v="48.97"/>
    <d v="2025-07-13T00:00:00"/>
    <s v="Plant 2 Canteen"/>
    <n v="0.06"/>
    <n v="109.79199999999999"/>
  </r>
  <r>
    <s v="O00146"/>
    <s v="HH1DNM"/>
    <n v="3"/>
    <n v="246.09"/>
    <s v="Hot Meal"/>
    <n v="112.08"/>
    <d v="2025-07-13T00:00:00"/>
    <s v="Plant 2 Canteen"/>
    <n v="0.06"/>
    <n v="693.97379999999998"/>
  </r>
  <r>
    <s v="O00147"/>
    <s v="SCKW5N"/>
    <n v="1"/>
    <n v="70.540000000000006"/>
    <s v="Snack"/>
    <n v="35.81"/>
    <d v="2025-07-27T00:00:00"/>
    <s v="Head Office Café"/>
    <n v="0.03"/>
    <n v="68.4238"/>
  </r>
  <r>
    <s v="O00147"/>
    <s v="H3A3ZM"/>
    <n v="1"/>
    <n v="170.83"/>
    <s v="Hot Meal"/>
    <n v="74.069999999999993"/>
    <d v="2025-07-27T00:00:00"/>
    <s v="Head Office Café"/>
    <n v="0.03"/>
    <n v="165.70510000000002"/>
  </r>
  <r>
    <s v="O00147"/>
    <s v="BOC6UZ"/>
    <n v="3"/>
    <n v="32.979999999999997"/>
    <s v="Beverage"/>
    <n v="11.84"/>
    <d v="2025-07-27T00:00:00"/>
    <s v="Head Office Café"/>
    <n v="0.03"/>
    <n v="95.971800000000002"/>
  </r>
  <r>
    <s v="O00147"/>
    <s v="B0T0PV"/>
    <n v="1"/>
    <n v="28.43"/>
    <s v="Beverage"/>
    <n v="13.89"/>
    <d v="2025-07-27T00:00:00"/>
    <s v="Head Office Café"/>
    <n v="0.03"/>
    <n v="27.577099999999998"/>
  </r>
  <r>
    <s v="O00148"/>
    <s v="BTIQJ7"/>
    <n v="1"/>
    <n v="30.34"/>
    <s v="Beverage"/>
    <n v="14.18"/>
    <d v="2025-07-09T00:00:00"/>
    <s v="Head Office Café"/>
    <n v="0"/>
    <n v="30.34"/>
  </r>
  <r>
    <s v="O00148"/>
    <s v="SV30T9"/>
    <n v="1"/>
    <n v="39.950000000000003"/>
    <s v="Snack"/>
    <n v="15.51"/>
    <d v="2025-07-09T00:00:00"/>
    <s v="Head Office Café"/>
    <n v="0"/>
    <n v="39.950000000000003"/>
  </r>
  <r>
    <s v="O00149"/>
    <s v="HXAJI0"/>
    <n v="1"/>
    <n v="227.61"/>
    <s v="Hot Meal"/>
    <n v="96.22"/>
    <d v="2025-08-28T00:00:00"/>
    <s v="Plant 2 Canteen"/>
    <n v="0.04"/>
    <n v="218.50560000000002"/>
  </r>
  <r>
    <s v="O00149"/>
    <s v="SCKW5N"/>
    <n v="1"/>
    <n v="70.540000000000006"/>
    <s v="Snack"/>
    <n v="35.81"/>
    <d v="2025-08-28T00:00:00"/>
    <s v="Plant 2 Canteen"/>
    <n v="0.04"/>
    <n v="67.718400000000003"/>
  </r>
  <r>
    <s v="O00150"/>
    <s v="H3A3ZM"/>
    <n v="2"/>
    <n v="170.83"/>
    <s v="Hot Meal"/>
    <n v="74.069999999999993"/>
    <d v="2025-08-26T00:00:00"/>
    <s v="Head Office Café"/>
    <n v="0.09"/>
    <n v="310.91060000000004"/>
  </r>
  <r>
    <s v="O00150"/>
    <s v="HH1DNM"/>
    <n v="1"/>
    <n v="246.09"/>
    <s v="Hot Meal"/>
    <n v="112.08"/>
    <d v="2025-08-26T00:00:00"/>
    <s v="Head Office Café"/>
    <n v="0.09"/>
    <n v="223.9419"/>
  </r>
  <r>
    <s v="O00150"/>
    <s v="HXAJI0"/>
    <n v="1"/>
    <n v="227.61"/>
    <s v="Hot Meal"/>
    <n v="96.22"/>
    <d v="2025-08-26T00:00:00"/>
    <s v="Head Office Café"/>
    <n v="0.09"/>
    <n v="207.12510000000003"/>
  </r>
  <r>
    <s v="O00151"/>
    <s v="HXAJI0"/>
    <n v="2"/>
    <n v="227.61"/>
    <s v="Hot Meal"/>
    <n v="96.22"/>
    <d v="2025-08-26T00:00:00"/>
    <s v="Plant 1 Canteen"/>
    <n v="7.0000000000000007E-2"/>
    <n v="423.3546"/>
  </r>
  <r>
    <s v="O00151"/>
    <s v="HUZZPQ"/>
    <n v="3"/>
    <n v="146.4"/>
    <s v="Hot Meal"/>
    <n v="80.92"/>
    <d v="2025-08-26T00:00:00"/>
    <s v="Plant 1 Canteen"/>
    <n v="7.0000000000000007E-2"/>
    <n v="408.45600000000002"/>
  </r>
  <r>
    <s v="O00151"/>
    <s v="HH1DNM"/>
    <n v="3"/>
    <n v="246.09"/>
    <s v="Hot Meal"/>
    <n v="112.08"/>
    <d v="2025-08-26T00:00:00"/>
    <s v="Plant 1 Canteen"/>
    <n v="7.0000000000000007E-2"/>
    <n v="686.59109999999998"/>
  </r>
  <r>
    <s v="O00152"/>
    <s v="HUZZPQ"/>
    <n v="1"/>
    <n v="146.4"/>
    <s v="Hot Meal"/>
    <n v="80.92"/>
    <d v="2025-08-13T00:00:00"/>
    <s v="Plant 2 Canteen"/>
    <n v="0.01"/>
    <n v="144.93600000000001"/>
  </r>
  <r>
    <s v="O00152"/>
    <s v="BTIQJ7"/>
    <n v="3"/>
    <n v="30.34"/>
    <s v="Beverage"/>
    <n v="14.18"/>
    <d v="2025-08-13T00:00:00"/>
    <s v="Plant 2 Canteen"/>
    <n v="0.01"/>
    <n v="90.109799999999993"/>
  </r>
  <r>
    <s v="O00153"/>
    <s v="BXO6QJ"/>
    <n v="1"/>
    <n v="20.11"/>
    <s v="Beverage"/>
    <n v="8"/>
    <d v="2025-08-17T00:00:00"/>
    <s v="Plant 1 Canteen"/>
    <n v="7.0000000000000007E-2"/>
    <n v="18.702299999999997"/>
  </r>
  <r>
    <s v="O00153"/>
    <s v="B0T0PV"/>
    <n v="2"/>
    <n v="28.43"/>
    <s v="Beverage"/>
    <n v="13.89"/>
    <d v="2025-08-17T00:00:00"/>
    <s v="Plant 1 Canteen"/>
    <n v="7.0000000000000007E-2"/>
    <n v="52.879799999999996"/>
  </r>
  <r>
    <s v="O00154"/>
    <s v="S5NQ4F"/>
    <n v="1"/>
    <n v="50.19"/>
    <s v="Snack"/>
    <n v="22.61"/>
    <d v="2025-08-02T00:00:00"/>
    <s v="Plant 2 Canteen"/>
    <n v="0.08"/>
    <n v="46.174799999999998"/>
  </r>
  <r>
    <s v="O00154"/>
    <s v="B0T0PV"/>
    <n v="2"/>
    <n v="28.43"/>
    <s v="Beverage"/>
    <n v="13.89"/>
    <d v="2025-08-02T00:00:00"/>
    <s v="Plant 2 Canteen"/>
    <n v="0.08"/>
    <n v="52.311199999999999"/>
  </r>
  <r>
    <s v="O00154"/>
    <s v="D9T84A"/>
    <n v="2"/>
    <n v="116.8"/>
    <s v="Dessert"/>
    <n v="48.97"/>
    <d v="2025-08-02T00:00:00"/>
    <s v="Plant 2 Canteen"/>
    <n v="0.08"/>
    <n v="214.91200000000001"/>
  </r>
  <r>
    <s v="O00154"/>
    <s v="BOC6UZ"/>
    <n v="1"/>
    <n v="32.979999999999997"/>
    <s v="Beverage"/>
    <n v="11.84"/>
    <d v="2025-08-02T00:00:00"/>
    <s v="Plant 2 Canteen"/>
    <n v="0.08"/>
    <n v="30.3416"/>
  </r>
  <r>
    <s v="O00155"/>
    <s v="SV30T9"/>
    <n v="2"/>
    <n v="39.950000000000003"/>
    <s v="Snack"/>
    <n v="15.51"/>
    <d v="2025-08-02T00:00:00"/>
    <s v="Plant 2 Canteen"/>
    <n v="0.02"/>
    <n v="78.302000000000007"/>
  </r>
  <r>
    <s v="O00155"/>
    <s v="SHJ7XV"/>
    <n v="3"/>
    <n v="52.45"/>
    <s v="Snack"/>
    <n v="25.8"/>
    <d v="2025-08-02T00:00:00"/>
    <s v="Plant 2 Canteen"/>
    <n v="0.02"/>
    <n v="154.20300000000003"/>
  </r>
  <r>
    <s v="O00155"/>
    <s v="HDPBHS"/>
    <n v="2"/>
    <n v="256.91000000000003"/>
    <s v="Hot Meal"/>
    <n v="121.24"/>
    <d v="2025-08-02T00:00:00"/>
    <s v="Plant 2 Canteen"/>
    <n v="0.02"/>
    <n v="503.54360000000003"/>
  </r>
  <r>
    <s v="O00155"/>
    <s v="DYTJXE"/>
    <n v="1"/>
    <n v="57.07"/>
    <s v="Dessert"/>
    <n v="29.14"/>
    <d v="2025-08-02T00:00:00"/>
    <s v="Plant 2 Canteen"/>
    <n v="0.02"/>
    <n v="55.928599999999996"/>
  </r>
  <r>
    <s v="O00156"/>
    <s v="BTIQJ7"/>
    <n v="3"/>
    <n v="30.34"/>
    <s v="Beverage"/>
    <n v="14.18"/>
    <d v="2025-08-09T00:00:00"/>
    <s v="Head Office Café"/>
    <n v="7.0000000000000007E-2"/>
    <n v="84.648599999999988"/>
  </r>
  <r>
    <s v="O00156"/>
    <s v="D9T84A"/>
    <n v="1"/>
    <n v="116.8"/>
    <s v="Dessert"/>
    <n v="48.97"/>
    <d v="2025-08-09T00:00:00"/>
    <s v="Head Office Café"/>
    <n v="7.0000000000000007E-2"/>
    <n v="108.624"/>
  </r>
  <r>
    <s v="O00156"/>
    <s v="HXAJI0"/>
    <n v="3"/>
    <n v="227.61"/>
    <s v="Hot Meal"/>
    <n v="96.22"/>
    <d v="2025-08-09T00:00:00"/>
    <s v="Head Office Café"/>
    <n v="7.0000000000000007E-2"/>
    <n v="635.03189999999995"/>
  </r>
  <r>
    <s v="O00156"/>
    <s v="SV30T9"/>
    <n v="3"/>
    <n v="39.950000000000003"/>
    <s v="Snack"/>
    <n v="15.51"/>
    <d v="2025-08-09T00:00:00"/>
    <s v="Head Office Café"/>
    <n v="7.0000000000000007E-2"/>
    <n v="111.4605"/>
  </r>
  <r>
    <s v="O00157"/>
    <s v="SV30T9"/>
    <n v="3"/>
    <n v="39.950000000000003"/>
    <s v="Snack"/>
    <n v="15.51"/>
    <d v="2025-07-31T00:00:00"/>
    <s v="Plant 2 Canteen"/>
    <n v="0.06"/>
    <n v="112.65900000000001"/>
  </r>
  <r>
    <s v="O00157"/>
    <s v="HH1DNM"/>
    <n v="3"/>
    <n v="246.09"/>
    <s v="Hot Meal"/>
    <n v="112.08"/>
    <d v="2025-07-31T00:00:00"/>
    <s v="Plant 2 Canteen"/>
    <n v="0.06"/>
    <n v="693.97379999999998"/>
  </r>
  <r>
    <s v="O00157"/>
    <s v="DYTJXE"/>
    <n v="1"/>
    <n v="57.07"/>
    <s v="Dessert"/>
    <n v="29.14"/>
    <d v="2025-07-31T00:00:00"/>
    <s v="Plant 2 Canteen"/>
    <n v="0.06"/>
    <n v="53.645799999999994"/>
  </r>
  <r>
    <s v="O00158"/>
    <s v="BXO6QJ"/>
    <n v="1"/>
    <n v="20.11"/>
    <s v="Beverage"/>
    <n v="8"/>
    <d v="2025-08-20T00:00:00"/>
    <s v="Plant 1 Canteen"/>
    <n v="0.01"/>
    <n v="19.908899999999999"/>
  </r>
  <r>
    <s v="O00158"/>
    <s v="DFFYVN"/>
    <n v="2"/>
    <n v="54.2"/>
    <s v="Dessert"/>
    <n v="21.95"/>
    <d v="2025-08-20T00:00:00"/>
    <s v="Plant 1 Canteen"/>
    <n v="0.01"/>
    <n v="107.316"/>
  </r>
  <r>
    <s v="O00158"/>
    <s v="DYTJXE"/>
    <n v="3"/>
    <n v="57.07"/>
    <s v="Dessert"/>
    <n v="29.14"/>
    <d v="2025-08-20T00:00:00"/>
    <s v="Plant 1 Canteen"/>
    <n v="0.01"/>
    <n v="169.49790000000002"/>
  </r>
  <r>
    <s v="O00158"/>
    <s v="SZBIKC"/>
    <n v="1"/>
    <n v="38.06"/>
    <s v="Snack"/>
    <n v="19.55"/>
    <d v="2025-08-20T00:00:00"/>
    <s v="Plant 1 Canteen"/>
    <n v="0.01"/>
    <n v="37.679400000000001"/>
  </r>
  <r>
    <s v="O00159"/>
    <s v="HH1DNM"/>
    <n v="1"/>
    <n v="246.09"/>
    <s v="Hot Meal"/>
    <n v="112.08"/>
    <d v="2025-08-10T00:00:00"/>
    <s v="Plant 1 Canteen"/>
    <n v="7.0000000000000007E-2"/>
    <n v="228.86369999999999"/>
  </r>
  <r>
    <s v="O00160"/>
    <s v="H3A3ZM"/>
    <n v="2"/>
    <n v="170.83"/>
    <s v="Hot Meal"/>
    <n v="74.069999999999993"/>
    <d v="2025-08-18T00:00:00"/>
    <s v="Head Office Café"/>
    <n v="0.08"/>
    <n v="314.32720000000006"/>
  </r>
  <r>
    <s v="O00161"/>
    <s v="DYTJXE"/>
    <n v="1"/>
    <n v="57.07"/>
    <s v="Dessert"/>
    <n v="29.14"/>
    <d v="2025-07-27T00:00:00"/>
    <s v="Head Office Café"/>
    <n v="0.1"/>
    <n v="51.363"/>
  </r>
  <r>
    <s v="O00161"/>
    <s v="HDPBHS"/>
    <n v="2"/>
    <n v="256.91000000000003"/>
    <s v="Hot Meal"/>
    <n v="121.24"/>
    <d v="2025-07-27T00:00:00"/>
    <s v="Head Office Café"/>
    <n v="0.1"/>
    <n v="462.43800000000005"/>
  </r>
  <r>
    <s v="O00161"/>
    <s v="B0T0PV"/>
    <n v="1"/>
    <n v="28.43"/>
    <s v="Beverage"/>
    <n v="13.89"/>
    <d v="2025-07-27T00:00:00"/>
    <s v="Head Office Café"/>
    <n v="0.1"/>
    <n v="25.587"/>
  </r>
  <r>
    <s v="O00161"/>
    <s v="DFFYVN"/>
    <n v="2"/>
    <n v="54.2"/>
    <s v="Dessert"/>
    <n v="21.95"/>
    <d v="2025-07-27T00:00:00"/>
    <s v="Head Office Café"/>
    <n v="0.1"/>
    <n v="97.56"/>
  </r>
  <r>
    <s v="O00162"/>
    <s v="SV30T9"/>
    <n v="2"/>
    <n v="39.950000000000003"/>
    <s v="Snack"/>
    <n v="15.51"/>
    <d v="2025-08-17T00:00:00"/>
    <s v="Plant 1 Canteen"/>
    <n v="0.1"/>
    <n v="71.910000000000011"/>
  </r>
  <r>
    <s v="O00162"/>
    <s v="DYTJXE"/>
    <n v="3"/>
    <n v="57.07"/>
    <s v="Dessert"/>
    <n v="29.14"/>
    <d v="2025-08-17T00:00:00"/>
    <s v="Plant 1 Canteen"/>
    <n v="0.1"/>
    <n v="154.089"/>
  </r>
  <r>
    <s v="O00162"/>
    <s v="HUZZPQ"/>
    <n v="1"/>
    <n v="146.4"/>
    <s v="Hot Meal"/>
    <n v="80.92"/>
    <d v="2025-08-17T00:00:00"/>
    <s v="Plant 1 Canteen"/>
    <n v="0.1"/>
    <n v="131.76000000000002"/>
  </r>
  <r>
    <s v="O00162"/>
    <s v="DFFYVN"/>
    <n v="1"/>
    <n v="54.2"/>
    <s v="Dessert"/>
    <n v="21.95"/>
    <d v="2025-08-17T00:00:00"/>
    <s v="Plant 1 Canteen"/>
    <n v="0.1"/>
    <n v="48.78"/>
  </r>
  <r>
    <s v="O00163"/>
    <s v="HDPBHS"/>
    <n v="2"/>
    <n v="256.91000000000003"/>
    <s v="Hot Meal"/>
    <n v="121.24"/>
    <d v="2025-07-16T00:00:00"/>
    <s v="Plant 2 Canteen"/>
    <n v="0"/>
    <n v="513.82000000000005"/>
  </r>
  <r>
    <s v="O00163"/>
    <s v="SV30T9"/>
    <n v="3"/>
    <n v="39.950000000000003"/>
    <s v="Snack"/>
    <n v="15.51"/>
    <d v="2025-07-16T00:00:00"/>
    <s v="Plant 2 Canteen"/>
    <n v="0"/>
    <n v="119.85000000000001"/>
  </r>
  <r>
    <s v="O00164"/>
    <s v="SCKW5N"/>
    <n v="2"/>
    <n v="70.540000000000006"/>
    <s v="Snack"/>
    <n v="35.81"/>
    <d v="2025-08-09T00:00:00"/>
    <s v="Plant 1 Canteen"/>
    <n v="0.02"/>
    <n v="138.25840000000002"/>
  </r>
  <r>
    <s v="O00164"/>
    <s v="DYTJXE"/>
    <n v="1"/>
    <n v="57.07"/>
    <s v="Dessert"/>
    <n v="29.14"/>
    <d v="2025-08-09T00:00:00"/>
    <s v="Plant 1 Canteen"/>
    <n v="0.02"/>
    <n v="55.928599999999996"/>
  </r>
  <r>
    <s v="O00165"/>
    <s v="BHL1C3"/>
    <n v="1"/>
    <n v="22.2"/>
    <s v="Beverage"/>
    <n v="9.3800000000000008"/>
    <d v="2025-07-12T00:00:00"/>
    <s v="Head Office Café"/>
    <n v="0.08"/>
    <n v="20.423999999999999"/>
  </r>
  <r>
    <s v="O00165"/>
    <s v="BOC6UZ"/>
    <n v="2"/>
    <n v="32.979999999999997"/>
    <s v="Beverage"/>
    <n v="11.84"/>
    <d v="2025-07-12T00:00:00"/>
    <s v="Head Office Café"/>
    <n v="0.08"/>
    <n v="60.683199999999999"/>
  </r>
  <r>
    <s v="O00165"/>
    <s v="SCKW5N"/>
    <n v="1"/>
    <n v="70.540000000000006"/>
    <s v="Snack"/>
    <n v="35.81"/>
    <d v="2025-07-12T00:00:00"/>
    <s v="Head Office Café"/>
    <n v="0.08"/>
    <n v="64.896800000000013"/>
  </r>
  <r>
    <s v="O00166"/>
    <s v="BOC6UZ"/>
    <n v="3"/>
    <n v="32.979999999999997"/>
    <s v="Beverage"/>
    <n v="11.84"/>
    <d v="2025-08-19T00:00:00"/>
    <s v="Head Office Café"/>
    <n v="0.08"/>
    <n v="91.024799999999999"/>
  </r>
  <r>
    <s v="O00167"/>
    <s v="BXO6QJ"/>
    <n v="2"/>
    <n v="20.11"/>
    <s v="Beverage"/>
    <n v="8"/>
    <d v="2025-08-16T00:00:00"/>
    <s v="Plant 1 Canteen"/>
    <n v="0.08"/>
    <n v="37.002400000000002"/>
  </r>
  <r>
    <s v="O00168"/>
    <s v="HUZZPQ"/>
    <n v="2"/>
    <n v="146.4"/>
    <s v="Hot Meal"/>
    <n v="80.92"/>
    <d v="2025-08-07T00:00:00"/>
    <s v="Plant 1 Canteen"/>
    <n v="0.21"/>
    <n v="231.31200000000001"/>
  </r>
  <r>
    <s v="O00168"/>
    <s v="S5NQ4F"/>
    <n v="1"/>
    <n v="50.19"/>
    <s v="Snack"/>
    <n v="22.61"/>
    <d v="2025-08-07T00:00:00"/>
    <s v="Plant 1 Canteen"/>
    <n v="0.21"/>
    <n v="39.650100000000002"/>
  </r>
  <r>
    <s v="O00168"/>
    <s v="DH9SDB"/>
    <n v="1"/>
    <n v="76.55"/>
    <s v="Dessert"/>
    <n v="38.229999999999997"/>
    <d v="2025-08-07T00:00:00"/>
    <s v="Plant 1 Canteen"/>
    <n v="0.21"/>
    <n v="60.474499999999999"/>
  </r>
  <r>
    <s v="O00169"/>
    <s v="DYTJXE"/>
    <n v="1"/>
    <n v="57.07"/>
    <s v="Dessert"/>
    <n v="29.14"/>
    <d v="2025-07-08T00:00:00"/>
    <s v="Plant 2 Canteen"/>
    <n v="0.08"/>
    <n v="52.504400000000004"/>
  </r>
  <r>
    <s v="O00169"/>
    <s v="BOC6UZ"/>
    <n v="1"/>
    <n v="32.979999999999997"/>
    <s v="Beverage"/>
    <n v="11.84"/>
    <d v="2025-07-08T00:00:00"/>
    <s v="Plant 2 Canteen"/>
    <n v="0.08"/>
    <n v="30.3416"/>
  </r>
  <r>
    <s v="O00169"/>
    <s v="HXAJI0"/>
    <n v="1"/>
    <n v="227.61"/>
    <s v="Hot Meal"/>
    <n v="96.22"/>
    <d v="2025-07-08T00:00:00"/>
    <s v="Plant 2 Canteen"/>
    <n v="0.08"/>
    <n v="209.40120000000002"/>
  </r>
  <r>
    <s v="O00169"/>
    <s v="B0T0PV"/>
    <n v="1"/>
    <n v="28.43"/>
    <s v="Beverage"/>
    <n v="13.89"/>
    <d v="2025-07-08T00:00:00"/>
    <s v="Plant 2 Canteen"/>
    <n v="0.08"/>
    <n v="26.1556"/>
  </r>
  <r>
    <s v="O00170"/>
    <s v="SZBIKC"/>
    <n v="1"/>
    <n v="38.06"/>
    <s v="Snack"/>
    <n v="19.55"/>
    <d v="2025-07-27T00:00:00"/>
    <s v="Plant 1 Canteen"/>
    <n v="0.11"/>
    <n v="33.873400000000004"/>
  </r>
  <r>
    <s v="O00170"/>
    <s v="BHL1C3"/>
    <n v="2"/>
    <n v="22.2"/>
    <s v="Beverage"/>
    <n v="9.3800000000000008"/>
    <d v="2025-07-27T00:00:00"/>
    <s v="Plant 1 Canteen"/>
    <n v="0.11"/>
    <n v="39.515999999999998"/>
  </r>
  <r>
    <s v="O00170"/>
    <s v="S5NQ4F"/>
    <n v="1"/>
    <n v="50.19"/>
    <s v="Snack"/>
    <n v="22.61"/>
    <d v="2025-07-27T00:00:00"/>
    <s v="Plant 1 Canteen"/>
    <n v="0.11"/>
    <n v="44.6691"/>
  </r>
  <r>
    <s v="O00170"/>
    <s v="SV30T9"/>
    <n v="1"/>
    <n v="39.950000000000003"/>
    <s v="Snack"/>
    <n v="15.51"/>
    <d v="2025-07-27T00:00:00"/>
    <s v="Plant 1 Canteen"/>
    <n v="0.11"/>
    <n v="35.555500000000002"/>
  </r>
  <r>
    <s v="O00171"/>
    <s v="HUZZPQ"/>
    <n v="1"/>
    <n v="146.4"/>
    <s v="Hot Meal"/>
    <n v="80.92"/>
    <d v="2025-08-27T00:00:00"/>
    <s v="Head Office Café"/>
    <n v="0.1"/>
    <n v="131.76000000000002"/>
  </r>
  <r>
    <s v="O00171"/>
    <s v="SCKW5N"/>
    <n v="1"/>
    <n v="70.540000000000006"/>
    <s v="Snack"/>
    <n v="35.81"/>
    <d v="2025-08-27T00:00:00"/>
    <s v="Head Office Café"/>
    <n v="0.1"/>
    <n v="63.486000000000004"/>
  </r>
  <r>
    <s v="O00171"/>
    <s v="H3A3ZM"/>
    <n v="2"/>
    <n v="170.83"/>
    <s v="Hot Meal"/>
    <n v="74.069999999999993"/>
    <d v="2025-08-27T00:00:00"/>
    <s v="Head Office Café"/>
    <n v="0.1"/>
    <n v="307.49400000000003"/>
  </r>
  <r>
    <s v="O00172"/>
    <s v="HXAJI0"/>
    <n v="2"/>
    <n v="227.61"/>
    <s v="Hot Meal"/>
    <n v="96.22"/>
    <d v="2025-08-13T00:00:00"/>
    <s v="Head Office Café"/>
    <n v="0.09"/>
    <n v="414.25020000000006"/>
  </r>
  <r>
    <s v="O00173"/>
    <s v="HDPBHS"/>
    <n v="2"/>
    <n v="256.91000000000003"/>
    <s v="Hot Meal"/>
    <n v="121.24"/>
    <d v="2025-08-23T00:00:00"/>
    <s v="Head Office Café"/>
    <n v="0.05"/>
    <n v="488.12900000000002"/>
  </r>
  <r>
    <s v="O00174"/>
    <s v="BXO6QJ"/>
    <n v="2"/>
    <n v="20.11"/>
    <s v="Beverage"/>
    <n v="8"/>
    <d v="2025-07-19T00:00:00"/>
    <s v="Head Office Café"/>
    <n v="0.09"/>
    <n v="36.600200000000001"/>
  </r>
  <r>
    <s v="O00174"/>
    <s v="DH9SDB"/>
    <n v="1"/>
    <n v="76.55"/>
    <s v="Dessert"/>
    <n v="38.229999999999997"/>
    <d v="2025-07-19T00:00:00"/>
    <s v="Head Office Café"/>
    <n v="0.09"/>
    <n v="69.660499999999999"/>
  </r>
  <r>
    <s v="O00174"/>
    <s v="BOC6UZ"/>
    <n v="2"/>
    <n v="32.979999999999997"/>
    <s v="Beverage"/>
    <n v="11.84"/>
    <d v="2025-07-19T00:00:00"/>
    <s v="Head Office Café"/>
    <n v="0.09"/>
    <n v="60.023599999999995"/>
  </r>
  <r>
    <s v="O00174"/>
    <s v="B0T0PV"/>
    <n v="3"/>
    <n v="28.43"/>
    <s v="Beverage"/>
    <n v="13.89"/>
    <d v="2025-07-19T00:00:00"/>
    <s v="Head Office Café"/>
    <n v="0.09"/>
    <n v="77.613900000000001"/>
  </r>
  <r>
    <s v="O00175"/>
    <s v="S5NQ4F"/>
    <n v="2"/>
    <n v="50.19"/>
    <s v="Snack"/>
    <n v="22.61"/>
    <d v="2025-07-23T00:00:00"/>
    <s v="Plant 2 Canteen"/>
    <n v="0.03"/>
    <n v="97.368599999999986"/>
  </r>
  <r>
    <s v="O00175"/>
    <s v="HXAJI0"/>
    <n v="1"/>
    <n v="227.61"/>
    <s v="Hot Meal"/>
    <n v="96.22"/>
    <d v="2025-07-23T00:00:00"/>
    <s v="Plant 2 Canteen"/>
    <n v="0.03"/>
    <n v="220.7817"/>
  </r>
  <r>
    <s v="O00176"/>
    <s v="BXO6QJ"/>
    <n v="1"/>
    <n v="20.11"/>
    <s v="Beverage"/>
    <n v="8"/>
    <d v="2025-08-07T00:00:00"/>
    <s v="Plant 2 Canteen"/>
    <n v="0.05"/>
    <n v="19.104499999999998"/>
  </r>
  <r>
    <s v="O00176"/>
    <s v="HDPBHS"/>
    <n v="1"/>
    <n v="256.91000000000003"/>
    <s v="Hot Meal"/>
    <n v="121.24"/>
    <d v="2025-08-07T00:00:00"/>
    <s v="Plant 2 Canteen"/>
    <n v="0.05"/>
    <n v="244.06450000000001"/>
  </r>
  <r>
    <s v="O00176"/>
    <s v="HXAJI0"/>
    <n v="1"/>
    <n v="227.61"/>
    <s v="Hot Meal"/>
    <n v="96.22"/>
    <d v="2025-08-07T00:00:00"/>
    <s v="Plant 2 Canteen"/>
    <n v="0.05"/>
    <n v="216.2295"/>
  </r>
  <r>
    <s v="O00177"/>
    <s v="DYTJXE"/>
    <n v="1"/>
    <n v="57.07"/>
    <s v="Dessert"/>
    <n v="29.14"/>
    <d v="2025-08-18T00:00:00"/>
    <s v="Plant 1 Canteen"/>
    <n v="0.04"/>
    <n v="54.787199999999999"/>
  </r>
  <r>
    <s v="O00177"/>
    <s v="B0T0PV"/>
    <n v="2"/>
    <n v="28.43"/>
    <s v="Beverage"/>
    <n v="13.89"/>
    <d v="2025-08-18T00:00:00"/>
    <s v="Plant 1 Canteen"/>
    <n v="0.04"/>
    <n v="54.585599999999999"/>
  </r>
  <r>
    <s v="O00177"/>
    <s v="SZBIKC"/>
    <n v="1"/>
    <n v="38.06"/>
    <s v="Snack"/>
    <n v="19.55"/>
    <d v="2025-08-18T00:00:00"/>
    <s v="Plant 1 Canteen"/>
    <n v="0.04"/>
    <n v="36.537599999999998"/>
  </r>
  <r>
    <s v="O00178"/>
    <s v="H3A3ZM"/>
    <n v="2"/>
    <n v="170.83"/>
    <s v="Hot Meal"/>
    <n v="74.069999999999993"/>
    <d v="2025-07-10T00:00:00"/>
    <s v="Plant 2 Canteen"/>
    <n v="0.06"/>
    <n v="321.16039999999998"/>
  </r>
  <r>
    <s v="O00178"/>
    <s v="DFFYVN"/>
    <n v="1"/>
    <n v="54.2"/>
    <s v="Dessert"/>
    <n v="21.95"/>
    <d v="2025-07-10T00:00:00"/>
    <s v="Plant 2 Canteen"/>
    <n v="0.06"/>
    <n v="50.948"/>
  </r>
  <r>
    <s v="O00178"/>
    <s v="HUZZPQ"/>
    <n v="2"/>
    <n v="146.4"/>
    <s v="Hot Meal"/>
    <n v="80.92"/>
    <d v="2025-07-10T00:00:00"/>
    <s v="Plant 2 Canteen"/>
    <n v="0.06"/>
    <n v="275.23199999999997"/>
  </r>
  <r>
    <s v="O00178"/>
    <s v="D9T84A"/>
    <n v="3"/>
    <n v="116.8"/>
    <s v="Dessert"/>
    <n v="48.97"/>
    <d v="2025-07-10T00:00:00"/>
    <s v="Plant 2 Canteen"/>
    <n v="0.06"/>
    <n v="329.37599999999998"/>
  </r>
  <r>
    <s v="O00179"/>
    <s v="HH1DNM"/>
    <n v="1"/>
    <n v="246.09"/>
    <s v="Hot Meal"/>
    <n v="112.08"/>
    <d v="2025-07-02T00:00:00"/>
    <s v="Head Office Café"/>
    <n v="0.15"/>
    <n v="209.1765"/>
  </r>
  <r>
    <s v="O00179"/>
    <s v="S5NQ4F"/>
    <n v="2"/>
    <n v="50.19"/>
    <s v="Snack"/>
    <n v="22.61"/>
    <d v="2025-07-02T00:00:00"/>
    <s v="Head Office Café"/>
    <n v="0.15"/>
    <n v="85.322999999999993"/>
  </r>
  <r>
    <s v="O00179"/>
    <s v="SHJ7XV"/>
    <n v="1"/>
    <n v="52.45"/>
    <s v="Snack"/>
    <n v="25.8"/>
    <d v="2025-07-02T00:00:00"/>
    <s v="Head Office Café"/>
    <n v="0.15"/>
    <n v="44.582500000000003"/>
  </r>
  <r>
    <s v="O00180"/>
    <s v="B0T0PV"/>
    <n v="1"/>
    <n v="28.43"/>
    <s v="Beverage"/>
    <n v="13.89"/>
    <d v="2025-07-08T00:00:00"/>
    <s v="Plant 2 Canteen"/>
    <n v="0"/>
    <n v="28.43"/>
  </r>
  <r>
    <s v="O00181"/>
    <s v="HXAJI0"/>
    <n v="3"/>
    <n v="227.61"/>
    <s v="Hot Meal"/>
    <n v="96.22"/>
    <d v="2025-07-09T00:00:00"/>
    <s v="Plant 2 Canteen"/>
    <n v="0.09"/>
    <n v="621.37530000000004"/>
  </r>
  <r>
    <s v="O00181"/>
    <s v="HH1DNM"/>
    <n v="1"/>
    <n v="246.09"/>
    <s v="Hot Meal"/>
    <n v="112.08"/>
    <d v="2025-07-09T00:00:00"/>
    <s v="Plant 2 Canteen"/>
    <n v="0.09"/>
    <n v="223.9419"/>
  </r>
  <r>
    <s v="O00181"/>
    <s v="HDPBHS"/>
    <n v="1"/>
    <n v="256.91000000000003"/>
    <s v="Hot Meal"/>
    <n v="121.24"/>
    <d v="2025-07-09T00:00:00"/>
    <s v="Plant 2 Canteen"/>
    <n v="0.09"/>
    <n v="233.78810000000004"/>
  </r>
  <r>
    <s v="O00181"/>
    <s v="DYTJXE"/>
    <n v="2"/>
    <n v="57.07"/>
    <s v="Dessert"/>
    <n v="29.14"/>
    <d v="2025-07-09T00:00:00"/>
    <s v="Plant 2 Canteen"/>
    <n v="0.09"/>
    <n v="103.8674"/>
  </r>
  <r>
    <s v="O00182"/>
    <s v="SHJ7XV"/>
    <n v="1"/>
    <n v="52.45"/>
    <s v="Snack"/>
    <n v="25.8"/>
    <d v="2025-07-31T00:00:00"/>
    <s v="Head Office Café"/>
    <n v="0"/>
    <n v="52.45"/>
  </r>
  <r>
    <s v="O00183"/>
    <s v="BTIQJ7"/>
    <n v="3"/>
    <n v="30.34"/>
    <s v="Beverage"/>
    <n v="14.18"/>
    <d v="2025-07-04T00:00:00"/>
    <s v="Head Office Café"/>
    <n v="0.04"/>
    <n v="87.379199999999997"/>
  </r>
  <r>
    <s v="O00183"/>
    <s v="BOC6UZ"/>
    <n v="2"/>
    <n v="32.979999999999997"/>
    <s v="Beverage"/>
    <n v="11.84"/>
    <d v="2025-07-04T00:00:00"/>
    <s v="Head Office Café"/>
    <n v="0.04"/>
    <n v="63.321599999999989"/>
  </r>
  <r>
    <s v="O00184"/>
    <s v="SZBIKC"/>
    <n v="1"/>
    <n v="38.06"/>
    <s v="Snack"/>
    <n v="19.55"/>
    <d v="2025-07-23T00:00:00"/>
    <s v="Head Office Café"/>
    <n v="0.1"/>
    <n v="34.254000000000005"/>
  </r>
  <r>
    <s v="O00184"/>
    <s v="S5NQ4F"/>
    <n v="1"/>
    <n v="50.19"/>
    <s v="Snack"/>
    <n v="22.61"/>
    <d v="2025-07-23T00:00:00"/>
    <s v="Head Office Café"/>
    <n v="0.1"/>
    <n v="45.170999999999999"/>
  </r>
  <r>
    <s v="O00184"/>
    <s v="DYTJXE"/>
    <n v="1"/>
    <n v="57.07"/>
    <s v="Dessert"/>
    <n v="29.14"/>
    <d v="2025-07-23T00:00:00"/>
    <s v="Head Office Café"/>
    <n v="0.1"/>
    <n v="51.363"/>
  </r>
  <r>
    <s v="O00185"/>
    <s v="SCKW5N"/>
    <n v="1"/>
    <n v="70.540000000000006"/>
    <s v="Snack"/>
    <n v="35.81"/>
    <d v="2025-07-11T00:00:00"/>
    <s v="Plant 2 Canteen"/>
    <n v="0.06"/>
    <n v="66.307600000000008"/>
  </r>
  <r>
    <s v="O00185"/>
    <s v="DYTJXE"/>
    <n v="1"/>
    <n v="57.07"/>
    <s v="Dessert"/>
    <n v="29.14"/>
    <d v="2025-07-11T00:00:00"/>
    <s v="Plant 2 Canteen"/>
    <n v="0.06"/>
    <n v="53.645799999999994"/>
  </r>
  <r>
    <s v="O00185"/>
    <s v="BXO6QJ"/>
    <n v="1"/>
    <n v="20.11"/>
    <s v="Beverage"/>
    <n v="8"/>
    <d v="2025-07-11T00:00:00"/>
    <s v="Plant 2 Canteen"/>
    <n v="0.06"/>
    <n v="18.903399999999998"/>
  </r>
  <r>
    <s v="O00186"/>
    <s v="BTIQJ7"/>
    <n v="2"/>
    <n v="30.34"/>
    <s v="Beverage"/>
    <n v="14.18"/>
    <d v="2025-07-04T00:00:00"/>
    <s v="Plant 1 Canteen"/>
    <n v="0.02"/>
    <n v="59.4664"/>
  </r>
  <r>
    <s v="O00187"/>
    <s v="SCKW5N"/>
    <n v="1"/>
    <n v="70.540000000000006"/>
    <s v="Snack"/>
    <n v="35.81"/>
    <d v="2025-08-05T00:00:00"/>
    <s v="Plant 2 Canteen"/>
    <n v="0.03"/>
    <n v="68.4238"/>
  </r>
  <r>
    <s v="O00187"/>
    <s v="BOC6UZ"/>
    <n v="2"/>
    <n v="32.979999999999997"/>
    <s v="Beverage"/>
    <n v="11.84"/>
    <d v="2025-08-05T00:00:00"/>
    <s v="Plant 2 Canteen"/>
    <n v="0.03"/>
    <n v="63.981199999999994"/>
  </r>
  <r>
    <s v="O00187"/>
    <s v="DFFYVN"/>
    <n v="2"/>
    <n v="54.2"/>
    <s v="Dessert"/>
    <n v="21.95"/>
    <d v="2025-08-05T00:00:00"/>
    <s v="Plant 2 Canteen"/>
    <n v="0.03"/>
    <n v="105.148"/>
  </r>
  <r>
    <s v="O00187"/>
    <s v="H3A3ZM"/>
    <n v="1"/>
    <n v="170.83"/>
    <s v="Hot Meal"/>
    <n v="74.069999999999993"/>
    <d v="2025-08-05T00:00:00"/>
    <s v="Plant 2 Canteen"/>
    <n v="0.03"/>
    <n v="165.70510000000002"/>
  </r>
  <r>
    <s v="O00188"/>
    <s v="BHL1C3"/>
    <n v="2"/>
    <n v="22.2"/>
    <s v="Beverage"/>
    <n v="9.3800000000000008"/>
    <d v="2025-08-21T00:00:00"/>
    <s v="Plant 2 Canteen"/>
    <n v="0.09"/>
    <n v="40.404000000000003"/>
  </r>
  <r>
    <s v="O00188"/>
    <s v="BXO6QJ"/>
    <n v="2"/>
    <n v="20.11"/>
    <s v="Beverage"/>
    <n v="8"/>
    <d v="2025-08-21T00:00:00"/>
    <s v="Plant 2 Canteen"/>
    <n v="0.09"/>
    <n v="36.600200000000001"/>
  </r>
  <r>
    <s v="O00188"/>
    <s v="SCKW5N"/>
    <n v="1"/>
    <n v="70.540000000000006"/>
    <s v="Snack"/>
    <n v="35.81"/>
    <d v="2025-08-21T00:00:00"/>
    <s v="Plant 2 Canteen"/>
    <n v="0.09"/>
    <n v="64.191400000000002"/>
  </r>
  <r>
    <s v="O00188"/>
    <s v="S5NQ4F"/>
    <n v="1"/>
    <n v="50.19"/>
    <s v="Snack"/>
    <n v="22.61"/>
    <d v="2025-08-21T00:00:00"/>
    <s v="Plant 2 Canteen"/>
    <n v="0.09"/>
    <n v="45.672899999999998"/>
  </r>
  <r>
    <s v="O00189"/>
    <s v="SCKW5N"/>
    <n v="1"/>
    <n v="70.540000000000006"/>
    <s v="Snack"/>
    <n v="35.81"/>
    <d v="2025-07-17T00:00:00"/>
    <s v="Plant 1 Canteen"/>
    <n v="0.03"/>
    <n v="68.4238"/>
  </r>
  <r>
    <s v="O00189"/>
    <s v="BXO6QJ"/>
    <n v="2"/>
    <n v="20.11"/>
    <s v="Beverage"/>
    <n v="8"/>
    <d v="2025-07-17T00:00:00"/>
    <s v="Plant 1 Canteen"/>
    <n v="0.03"/>
    <n v="39.013399999999997"/>
  </r>
  <r>
    <s v="O00189"/>
    <s v="HH1DNM"/>
    <n v="2"/>
    <n v="246.09"/>
    <s v="Hot Meal"/>
    <n v="112.08"/>
    <d v="2025-07-17T00:00:00"/>
    <s v="Plant 1 Canteen"/>
    <n v="0.03"/>
    <n v="477.41460000000001"/>
  </r>
  <r>
    <s v="O00190"/>
    <s v="HUZZPQ"/>
    <n v="1"/>
    <n v="146.4"/>
    <s v="Hot Meal"/>
    <n v="80.92"/>
    <d v="2025-07-24T00:00:00"/>
    <s v="Plant 2 Canteen"/>
    <n v="7.0000000000000007E-2"/>
    <n v="136.15199999999999"/>
  </r>
  <r>
    <s v="O00191"/>
    <s v="S5NQ4F"/>
    <n v="2"/>
    <n v="50.19"/>
    <s v="Snack"/>
    <n v="22.61"/>
    <d v="2025-08-15T00:00:00"/>
    <s v="Head Office Café"/>
    <n v="0.06"/>
    <n v="94.357199999999992"/>
  </r>
  <r>
    <s v="O00191"/>
    <s v="DYTJXE"/>
    <n v="3"/>
    <n v="57.07"/>
    <s v="Dessert"/>
    <n v="29.14"/>
    <d v="2025-08-15T00:00:00"/>
    <s v="Head Office Café"/>
    <n v="0.06"/>
    <n v="160.9374"/>
  </r>
  <r>
    <s v="O00192"/>
    <s v="HDPBHS"/>
    <n v="2"/>
    <n v="256.91000000000003"/>
    <s v="Hot Meal"/>
    <n v="121.24"/>
    <d v="2025-07-02T00:00:00"/>
    <s v="Plant 2 Canteen"/>
    <n v="0.03"/>
    <n v="498.40540000000004"/>
  </r>
  <r>
    <s v="O00193"/>
    <s v="BXO6QJ"/>
    <n v="1"/>
    <n v="20.11"/>
    <s v="Beverage"/>
    <n v="8"/>
    <d v="2025-07-16T00:00:00"/>
    <s v="Plant 1 Canteen"/>
    <n v="0.15"/>
    <n v="17.093499999999999"/>
  </r>
  <r>
    <s v="O00193"/>
    <s v="SCKW5N"/>
    <n v="1"/>
    <n v="70.540000000000006"/>
    <s v="Snack"/>
    <n v="35.81"/>
    <d v="2025-07-16T00:00:00"/>
    <s v="Plant 1 Canteen"/>
    <n v="0.15"/>
    <n v="59.959000000000003"/>
  </r>
  <r>
    <s v="O00193"/>
    <s v="BOC6UZ"/>
    <n v="3"/>
    <n v="32.979999999999997"/>
    <s v="Beverage"/>
    <n v="11.84"/>
    <d v="2025-07-16T00:00:00"/>
    <s v="Plant 1 Canteen"/>
    <n v="0.15"/>
    <n v="84.09899999999999"/>
  </r>
  <r>
    <s v="O00193"/>
    <s v="DYTJXE"/>
    <n v="1"/>
    <n v="57.07"/>
    <s v="Dessert"/>
    <n v="29.14"/>
    <d v="2025-07-16T00:00:00"/>
    <s v="Plant 1 Canteen"/>
    <n v="0.15"/>
    <n v="48.509499999999996"/>
  </r>
  <r>
    <s v="O00194"/>
    <s v="BHL1C3"/>
    <n v="2"/>
    <n v="22.2"/>
    <s v="Beverage"/>
    <n v="9.3800000000000008"/>
    <d v="2025-08-11T00:00:00"/>
    <s v="Head Office Café"/>
    <n v="0.09"/>
    <n v="40.404000000000003"/>
  </r>
  <r>
    <s v="O00194"/>
    <s v="S5NQ4F"/>
    <n v="2"/>
    <n v="50.19"/>
    <s v="Snack"/>
    <n v="22.61"/>
    <d v="2025-08-11T00:00:00"/>
    <s v="Head Office Café"/>
    <n v="0.09"/>
    <n v="91.345799999999997"/>
  </r>
  <r>
    <s v="O00194"/>
    <s v="SHJ7XV"/>
    <n v="2"/>
    <n v="52.45"/>
    <s v="Snack"/>
    <n v="25.8"/>
    <d v="2025-08-11T00:00:00"/>
    <s v="Head Office Café"/>
    <n v="0.09"/>
    <n v="95.459000000000003"/>
  </r>
  <r>
    <s v="O00195"/>
    <s v="D9T84A"/>
    <n v="1"/>
    <n v="116.8"/>
    <s v="Dessert"/>
    <n v="48.97"/>
    <d v="2025-07-20T00:00:00"/>
    <s v="Plant 2 Canteen"/>
    <n v="0"/>
    <n v="116.8"/>
  </r>
  <r>
    <s v="O00195"/>
    <s v="S5NQ4F"/>
    <n v="2"/>
    <n v="50.19"/>
    <s v="Snack"/>
    <n v="22.61"/>
    <d v="2025-07-20T00:00:00"/>
    <s v="Plant 2 Canteen"/>
    <n v="0"/>
    <n v="100.38"/>
  </r>
  <r>
    <s v="O00195"/>
    <s v="HDPBHS"/>
    <n v="2"/>
    <n v="256.91000000000003"/>
    <s v="Hot Meal"/>
    <n v="121.24"/>
    <d v="2025-07-20T00:00:00"/>
    <s v="Plant 2 Canteen"/>
    <n v="0"/>
    <n v="513.82000000000005"/>
  </r>
  <r>
    <s v="O00196"/>
    <s v="DH9SDB"/>
    <n v="1"/>
    <n v="76.55"/>
    <s v="Dessert"/>
    <n v="38.229999999999997"/>
    <d v="2025-08-07T00:00:00"/>
    <s v="Head Office Café"/>
    <n v="7.0000000000000007E-2"/>
    <n v="71.191499999999991"/>
  </r>
  <r>
    <s v="O00196"/>
    <s v="SV30T9"/>
    <n v="3"/>
    <n v="39.950000000000003"/>
    <s v="Snack"/>
    <n v="15.51"/>
    <d v="2025-08-07T00:00:00"/>
    <s v="Head Office Café"/>
    <n v="7.0000000000000007E-2"/>
    <n v="111.4605"/>
  </r>
  <r>
    <s v="O00196"/>
    <s v="HUZZPQ"/>
    <n v="1"/>
    <n v="146.4"/>
    <s v="Hot Meal"/>
    <n v="80.92"/>
    <d v="2025-08-07T00:00:00"/>
    <s v="Head Office Café"/>
    <n v="7.0000000000000007E-2"/>
    <n v="136.15199999999999"/>
  </r>
  <r>
    <s v="O00197"/>
    <s v="BTIQJ7"/>
    <n v="2"/>
    <n v="30.34"/>
    <s v="Beverage"/>
    <n v="14.18"/>
    <d v="2025-07-29T00:00:00"/>
    <s v="Plant 1 Canteen"/>
    <n v="0.03"/>
    <n v="58.8596"/>
  </r>
  <r>
    <s v="O00197"/>
    <s v="HDPBHS"/>
    <n v="1"/>
    <n v="256.91000000000003"/>
    <s v="Hot Meal"/>
    <n v="121.24"/>
    <d v="2025-07-29T00:00:00"/>
    <s v="Plant 1 Canteen"/>
    <n v="0.03"/>
    <n v="249.20270000000002"/>
  </r>
  <r>
    <s v="O00198"/>
    <s v="DYTJXE"/>
    <n v="1"/>
    <n v="57.07"/>
    <s v="Dessert"/>
    <n v="29.14"/>
    <d v="2025-07-02T00:00:00"/>
    <s v="Head Office Café"/>
    <n v="0.09"/>
    <n v="51.933700000000002"/>
  </r>
  <r>
    <s v="O00198"/>
    <s v="BTIQJ7"/>
    <n v="2"/>
    <n v="30.34"/>
    <s v="Beverage"/>
    <n v="14.18"/>
    <d v="2025-07-02T00:00:00"/>
    <s v="Head Office Café"/>
    <n v="0.09"/>
    <n v="55.218800000000002"/>
  </r>
  <r>
    <s v="O00199"/>
    <s v="HH1DNM"/>
    <n v="1"/>
    <n v="246.09"/>
    <s v="Hot Meal"/>
    <n v="112.08"/>
    <d v="2025-08-29T00:00:00"/>
    <s v="Head Office Café"/>
    <n v="0.03"/>
    <n v="238.7073"/>
  </r>
  <r>
    <s v="O00199"/>
    <s v="HDPBHS"/>
    <n v="1"/>
    <n v="256.91000000000003"/>
    <s v="Hot Meal"/>
    <n v="121.24"/>
    <d v="2025-08-29T00:00:00"/>
    <s v="Head Office Café"/>
    <n v="0.03"/>
    <n v="249.20270000000002"/>
  </r>
  <r>
    <s v="O00199"/>
    <s v="H3A3ZM"/>
    <n v="2"/>
    <n v="170.83"/>
    <s v="Hot Meal"/>
    <n v="74.069999999999993"/>
    <d v="2025-08-29T00:00:00"/>
    <s v="Head Office Café"/>
    <n v="0.03"/>
    <n v="331.41020000000003"/>
  </r>
  <r>
    <s v="O00199"/>
    <s v="BOC6UZ"/>
    <n v="1"/>
    <n v="32.979999999999997"/>
    <s v="Beverage"/>
    <n v="11.84"/>
    <d v="2025-08-29T00:00:00"/>
    <s v="Head Office Café"/>
    <n v="0.03"/>
    <n v="31.990599999999997"/>
  </r>
  <r>
    <s v="O00200"/>
    <s v="SV30T9"/>
    <n v="1"/>
    <n v="39.950000000000003"/>
    <s v="Snack"/>
    <n v="15.51"/>
    <d v="2025-08-29T00:00:00"/>
    <s v="Plant 2 Canteen"/>
    <n v="0.06"/>
    <n v="37.552999999999997"/>
  </r>
  <r>
    <s v="O00201"/>
    <s v="SZBIKC"/>
    <n v="1"/>
    <n v="38.06"/>
    <s v="Snack"/>
    <n v="19.55"/>
    <d v="2025-07-25T00:00:00"/>
    <s v="Head Office Café"/>
    <n v="0.08"/>
    <n v="35.0152"/>
  </r>
  <r>
    <s v="O00202"/>
    <s v="H3A3ZM"/>
    <n v="1"/>
    <n v="170.83"/>
    <s v="Hot Meal"/>
    <n v="74.069999999999993"/>
    <d v="2025-07-10T00:00:00"/>
    <s v="Head Office Café"/>
    <n v="0.09"/>
    <n v="155.45530000000002"/>
  </r>
  <r>
    <s v="O00203"/>
    <s v="HUZZPQ"/>
    <n v="1"/>
    <n v="146.4"/>
    <s v="Hot Meal"/>
    <n v="80.92"/>
    <d v="2025-08-13T00:00:00"/>
    <s v="Plant 1 Canteen"/>
    <n v="0.01"/>
    <n v="144.93600000000001"/>
  </r>
  <r>
    <s v="O00203"/>
    <s v="DFFYVN"/>
    <n v="2"/>
    <n v="54.2"/>
    <s v="Dessert"/>
    <n v="21.95"/>
    <d v="2025-08-13T00:00:00"/>
    <s v="Plant 1 Canteen"/>
    <n v="0.01"/>
    <n v="107.316"/>
  </r>
  <r>
    <s v="O00204"/>
    <s v="BHL1C3"/>
    <n v="1"/>
    <n v="22.2"/>
    <s v="Beverage"/>
    <n v="9.3800000000000008"/>
    <d v="2025-07-10T00:00:00"/>
    <s v="Plant 2 Canteen"/>
    <n v="0.05"/>
    <n v="21.09"/>
  </r>
  <r>
    <s v="O00204"/>
    <s v="HXAJI0"/>
    <n v="3"/>
    <n v="227.61"/>
    <s v="Hot Meal"/>
    <n v="96.22"/>
    <d v="2025-07-10T00:00:00"/>
    <s v="Plant 2 Canteen"/>
    <n v="0.05"/>
    <n v="648.68849999999998"/>
  </r>
  <r>
    <s v="O00204"/>
    <s v="HH1DNM"/>
    <n v="1"/>
    <n v="246.09"/>
    <s v="Hot Meal"/>
    <n v="112.08"/>
    <d v="2025-07-10T00:00:00"/>
    <s v="Plant 2 Canteen"/>
    <n v="0.05"/>
    <n v="233.78549999999998"/>
  </r>
  <r>
    <s v="O00205"/>
    <s v="HUZZPQ"/>
    <n v="1"/>
    <n v="146.4"/>
    <s v="Hot Meal"/>
    <n v="80.92"/>
    <d v="2025-07-18T00:00:00"/>
    <s v="Plant 1 Canteen"/>
    <n v="0.04"/>
    <n v="140.54400000000001"/>
  </r>
  <r>
    <s v="O00205"/>
    <s v="SV30T9"/>
    <n v="2"/>
    <n v="39.950000000000003"/>
    <s v="Snack"/>
    <n v="15.51"/>
    <d v="2025-07-18T00:00:00"/>
    <s v="Plant 1 Canteen"/>
    <n v="0.04"/>
    <n v="76.704000000000008"/>
  </r>
  <r>
    <s v="O00205"/>
    <s v="BTIQJ7"/>
    <n v="1"/>
    <n v="30.34"/>
    <s v="Beverage"/>
    <n v="14.18"/>
    <d v="2025-07-18T00:00:00"/>
    <s v="Plant 1 Canteen"/>
    <n v="0.04"/>
    <n v="29.1264"/>
  </r>
  <r>
    <s v="O00205"/>
    <s v="SHJ7XV"/>
    <n v="1"/>
    <n v="52.45"/>
    <s v="Snack"/>
    <n v="25.8"/>
    <d v="2025-07-18T00:00:00"/>
    <s v="Plant 1 Canteen"/>
    <n v="0.04"/>
    <n v="50.352000000000004"/>
  </r>
  <r>
    <s v="O00206"/>
    <s v="B0T0PV"/>
    <n v="3"/>
    <n v="28.43"/>
    <s v="Beverage"/>
    <n v="13.89"/>
    <d v="2025-08-21T00:00:00"/>
    <s v="Head Office Café"/>
    <n v="0.03"/>
    <n v="82.73129999999999"/>
  </r>
  <r>
    <s v="O00206"/>
    <s v="SZBIKC"/>
    <n v="1"/>
    <n v="38.06"/>
    <s v="Snack"/>
    <n v="19.55"/>
    <d v="2025-08-21T00:00:00"/>
    <s v="Head Office Café"/>
    <n v="0.03"/>
    <n v="36.918199999999999"/>
  </r>
  <r>
    <s v="O00206"/>
    <s v="BOC6UZ"/>
    <n v="2"/>
    <n v="32.979999999999997"/>
    <s v="Beverage"/>
    <n v="11.84"/>
    <d v="2025-08-21T00:00:00"/>
    <s v="Head Office Café"/>
    <n v="0.03"/>
    <n v="63.981199999999994"/>
  </r>
  <r>
    <s v="O00206"/>
    <s v="BTIQJ7"/>
    <n v="1"/>
    <n v="30.34"/>
    <s v="Beverage"/>
    <n v="14.18"/>
    <d v="2025-08-21T00:00:00"/>
    <s v="Head Office Café"/>
    <n v="0.03"/>
    <n v="29.4298"/>
  </r>
  <r>
    <s v="O00207"/>
    <s v="HH1DNM"/>
    <n v="1"/>
    <n v="246.09"/>
    <s v="Hot Meal"/>
    <n v="112.08"/>
    <d v="2025-08-17T00:00:00"/>
    <s v="Plant 2 Canteen"/>
    <n v="0.13"/>
    <n v="214.09829999999999"/>
  </r>
  <r>
    <s v="O00207"/>
    <s v="DYTJXE"/>
    <n v="3"/>
    <n v="57.07"/>
    <s v="Dessert"/>
    <n v="29.14"/>
    <d v="2025-08-17T00:00:00"/>
    <s v="Plant 2 Canteen"/>
    <n v="0.13"/>
    <n v="148.95269999999999"/>
  </r>
  <r>
    <s v="O00208"/>
    <s v="BHL1C3"/>
    <n v="3"/>
    <n v="22.2"/>
    <s v="Beverage"/>
    <n v="9.3800000000000008"/>
    <d v="2025-08-15T00:00:00"/>
    <s v="Plant 1 Canteen"/>
    <n v="0.08"/>
    <n v="61.271999999999998"/>
  </r>
  <r>
    <s v="O00208"/>
    <s v="SZBIKC"/>
    <n v="2"/>
    <n v="38.06"/>
    <s v="Snack"/>
    <n v="19.55"/>
    <d v="2025-08-15T00:00:00"/>
    <s v="Plant 1 Canteen"/>
    <n v="0.08"/>
    <n v="70.0304"/>
  </r>
  <r>
    <s v="O00209"/>
    <s v="S5NQ4F"/>
    <n v="3"/>
    <n v="50.19"/>
    <s v="Snack"/>
    <n v="22.61"/>
    <d v="2025-08-24T00:00:00"/>
    <s v="Plant 2 Canteen"/>
    <n v="0.01"/>
    <n v="149.0643"/>
  </r>
  <r>
    <s v="O00209"/>
    <s v="BXO6QJ"/>
    <n v="1"/>
    <n v="20.11"/>
    <s v="Beverage"/>
    <n v="8"/>
    <d v="2025-08-24T00:00:00"/>
    <s v="Plant 2 Canteen"/>
    <n v="0.01"/>
    <n v="19.908899999999999"/>
  </r>
  <r>
    <s v="O00209"/>
    <s v="B0T0PV"/>
    <n v="2"/>
    <n v="28.43"/>
    <s v="Beverage"/>
    <n v="13.89"/>
    <d v="2025-08-24T00:00:00"/>
    <s v="Plant 2 Canteen"/>
    <n v="0.01"/>
    <n v="56.291399999999996"/>
  </r>
  <r>
    <s v="O00210"/>
    <s v="BXO6QJ"/>
    <n v="1"/>
    <n v="20.11"/>
    <s v="Beverage"/>
    <n v="8"/>
    <d v="2025-07-26T00:00:00"/>
    <s v="Head Office Café"/>
    <n v="0.1"/>
    <n v="18.099"/>
  </r>
  <r>
    <s v="O00210"/>
    <s v="HH1DNM"/>
    <n v="2"/>
    <n v="246.09"/>
    <s v="Hot Meal"/>
    <n v="112.08"/>
    <d v="2025-07-26T00:00:00"/>
    <s v="Head Office Café"/>
    <n v="0.1"/>
    <n v="442.96199999999999"/>
  </r>
  <r>
    <s v="O00210"/>
    <s v="BHL1C3"/>
    <n v="1"/>
    <n v="22.2"/>
    <s v="Beverage"/>
    <n v="9.3800000000000008"/>
    <d v="2025-07-26T00:00:00"/>
    <s v="Head Office Café"/>
    <n v="0.1"/>
    <n v="19.98"/>
  </r>
  <r>
    <s v="O00211"/>
    <s v="HDPBHS"/>
    <n v="3"/>
    <n v="256.91000000000003"/>
    <s v="Hot Meal"/>
    <n v="121.24"/>
    <d v="2025-07-26T00:00:00"/>
    <s v="Head Office Café"/>
    <n v="0.14000000000000001"/>
    <n v="662.82780000000002"/>
  </r>
  <r>
    <s v="O00211"/>
    <s v="SCKW5N"/>
    <n v="3"/>
    <n v="70.540000000000006"/>
    <s v="Snack"/>
    <n v="35.81"/>
    <d v="2025-07-26T00:00:00"/>
    <s v="Head Office Café"/>
    <n v="0.14000000000000001"/>
    <n v="181.9932"/>
  </r>
  <r>
    <s v="O00212"/>
    <s v="SV30T9"/>
    <n v="1"/>
    <n v="39.950000000000003"/>
    <s v="Snack"/>
    <n v="15.51"/>
    <d v="2025-07-11T00:00:00"/>
    <s v="Head Office Café"/>
    <n v="0.1"/>
    <n v="35.955000000000005"/>
  </r>
  <r>
    <s v="O00212"/>
    <s v="DYTJXE"/>
    <n v="1"/>
    <n v="57.07"/>
    <s v="Dessert"/>
    <n v="29.14"/>
    <d v="2025-07-11T00:00:00"/>
    <s v="Head Office Café"/>
    <n v="0.1"/>
    <n v="51.363"/>
  </r>
  <r>
    <s v="O00212"/>
    <s v="B0T0PV"/>
    <n v="1"/>
    <n v="28.43"/>
    <s v="Beverage"/>
    <n v="13.89"/>
    <d v="2025-07-11T00:00:00"/>
    <s v="Head Office Café"/>
    <n v="0.1"/>
    <n v="25.587"/>
  </r>
  <r>
    <s v="O00212"/>
    <s v="HXAJI0"/>
    <n v="1"/>
    <n v="227.61"/>
    <s v="Hot Meal"/>
    <n v="96.22"/>
    <d v="2025-07-11T00:00:00"/>
    <s v="Head Office Café"/>
    <n v="0.1"/>
    <n v="204.84900000000002"/>
  </r>
  <r>
    <s v="O00213"/>
    <s v="S5NQ4F"/>
    <n v="2"/>
    <n v="50.19"/>
    <s v="Snack"/>
    <n v="22.61"/>
    <d v="2025-08-24T00:00:00"/>
    <s v="Plant 2 Canteen"/>
    <n v="0"/>
    <n v="100.38"/>
  </r>
  <r>
    <s v="O00213"/>
    <s v="SZBIKC"/>
    <n v="3"/>
    <n v="38.06"/>
    <s v="Snack"/>
    <n v="19.55"/>
    <d v="2025-08-24T00:00:00"/>
    <s v="Plant 2 Canteen"/>
    <n v="0"/>
    <n v="114.18"/>
  </r>
  <r>
    <s v="O00213"/>
    <s v="HXAJI0"/>
    <n v="1"/>
    <n v="227.61"/>
    <s v="Hot Meal"/>
    <n v="96.22"/>
    <d v="2025-08-24T00:00:00"/>
    <s v="Plant 2 Canteen"/>
    <n v="0"/>
    <n v="227.61"/>
  </r>
  <r>
    <s v="O00214"/>
    <s v="DYTJXE"/>
    <n v="1"/>
    <n v="57.07"/>
    <s v="Dessert"/>
    <n v="29.14"/>
    <d v="2025-08-15T00:00:00"/>
    <s v="Head Office Café"/>
    <n v="0.04"/>
    <n v="54.787199999999999"/>
  </r>
  <r>
    <s v="O00214"/>
    <s v="BHL1C3"/>
    <n v="1"/>
    <n v="22.2"/>
    <s v="Beverage"/>
    <n v="9.3800000000000008"/>
    <d v="2025-08-15T00:00:00"/>
    <s v="Head Office Café"/>
    <n v="0.04"/>
    <n v="21.311999999999998"/>
  </r>
  <r>
    <s v="O00214"/>
    <s v="HXAJI0"/>
    <n v="3"/>
    <n v="227.61"/>
    <s v="Hot Meal"/>
    <n v="96.22"/>
    <d v="2025-08-15T00:00:00"/>
    <s v="Head Office Café"/>
    <n v="0.04"/>
    <n v="655.51679999999999"/>
  </r>
  <r>
    <s v="O00215"/>
    <s v="S5NQ4F"/>
    <n v="1"/>
    <n v="50.19"/>
    <s v="Snack"/>
    <n v="22.61"/>
    <d v="2025-07-12T00:00:00"/>
    <s v="Plant 1 Canteen"/>
    <n v="0.11"/>
    <n v="44.6691"/>
  </r>
  <r>
    <s v="O00215"/>
    <s v="HUZZPQ"/>
    <n v="1"/>
    <n v="146.4"/>
    <s v="Hot Meal"/>
    <n v="80.92"/>
    <d v="2025-07-12T00:00:00"/>
    <s v="Plant 1 Canteen"/>
    <n v="0.11"/>
    <n v="130.29600000000002"/>
  </r>
  <r>
    <s v="O00215"/>
    <s v="BXO6QJ"/>
    <n v="1"/>
    <n v="20.11"/>
    <s v="Beverage"/>
    <n v="8"/>
    <d v="2025-07-12T00:00:00"/>
    <s v="Plant 1 Canteen"/>
    <n v="0.11"/>
    <n v="17.8979"/>
  </r>
  <r>
    <s v="O00215"/>
    <s v="DH9SDB"/>
    <n v="2"/>
    <n v="76.55"/>
    <s v="Dessert"/>
    <n v="38.229999999999997"/>
    <d v="2025-07-12T00:00:00"/>
    <s v="Plant 1 Canteen"/>
    <n v="0.11"/>
    <n v="136.25899999999999"/>
  </r>
  <r>
    <s v="O00216"/>
    <s v="BXO6QJ"/>
    <n v="2"/>
    <n v="20.11"/>
    <s v="Beverage"/>
    <n v="8"/>
    <d v="2025-08-18T00:00:00"/>
    <s v="Plant 1 Canteen"/>
    <n v="0.03"/>
    <n v="39.013399999999997"/>
  </r>
  <r>
    <s v="O00216"/>
    <s v="BTIQJ7"/>
    <n v="2"/>
    <n v="30.34"/>
    <s v="Beverage"/>
    <n v="14.18"/>
    <d v="2025-08-18T00:00:00"/>
    <s v="Plant 1 Canteen"/>
    <n v="0.03"/>
    <n v="58.8596"/>
  </r>
  <r>
    <s v="O00216"/>
    <s v="SCKW5N"/>
    <n v="1"/>
    <n v="70.540000000000006"/>
    <s v="Snack"/>
    <n v="35.81"/>
    <d v="2025-08-18T00:00:00"/>
    <s v="Plant 1 Canteen"/>
    <n v="0.03"/>
    <n v="68.4238"/>
  </r>
  <r>
    <s v="O00217"/>
    <s v="H3A3ZM"/>
    <n v="1"/>
    <n v="170.83"/>
    <s v="Hot Meal"/>
    <n v="74.069999999999993"/>
    <d v="2025-07-14T00:00:00"/>
    <s v="Plant 2 Canteen"/>
    <n v="0.08"/>
    <n v="157.16360000000003"/>
  </r>
  <r>
    <s v="O00217"/>
    <s v="HDPBHS"/>
    <n v="1"/>
    <n v="256.91000000000003"/>
    <s v="Hot Meal"/>
    <n v="121.24"/>
    <d v="2025-07-14T00:00:00"/>
    <s v="Plant 2 Canteen"/>
    <n v="0.08"/>
    <n v="236.35720000000003"/>
  </r>
  <r>
    <s v="O00217"/>
    <s v="SV30T9"/>
    <n v="2"/>
    <n v="39.950000000000003"/>
    <s v="Snack"/>
    <n v="15.51"/>
    <d v="2025-07-14T00:00:00"/>
    <s v="Plant 2 Canteen"/>
    <n v="0.08"/>
    <n v="73.50800000000001"/>
  </r>
  <r>
    <s v="O00217"/>
    <s v="SHJ7XV"/>
    <n v="3"/>
    <n v="52.45"/>
    <s v="Snack"/>
    <n v="25.8"/>
    <d v="2025-07-14T00:00:00"/>
    <s v="Plant 2 Canteen"/>
    <n v="0.08"/>
    <n v="144.76200000000003"/>
  </r>
  <r>
    <s v="O00218"/>
    <s v="B0T0PV"/>
    <n v="1"/>
    <n v="28.43"/>
    <s v="Beverage"/>
    <n v="13.89"/>
    <d v="2025-08-10T00:00:00"/>
    <s v="Head Office Café"/>
    <n v="0.09"/>
    <n v="25.871300000000002"/>
  </r>
  <r>
    <s v="O00219"/>
    <s v="DYTJXE"/>
    <n v="2"/>
    <n v="57.07"/>
    <s v="Dessert"/>
    <n v="29.14"/>
    <d v="2025-08-10T00:00:00"/>
    <s v="Head Office Café"/>
    <n v="0.02"/>
    <n v="111.85719999999999"/>
  </r>
  <r>
    <s v="O00219"/>
    <s v="HXAJI0"/>
    <n v="1"/>
    <n v="227.61"/>
    <s v="Hot Meal"/>
    <n v="96.22"/>
    <d v="2025-08-10T00:00:00"/>
    <s v="Head Office Café"/>
    <n v="0.02"/>
    <n v="223.05780000000001"/>
  </r>
  <r>
    <s v="O00219"/>
    <s v="H3A3ZM"/>
    <n v="2"/>
    <n v="170.83"/>
    <s v="Hot Meal"/>
    <n v="74.069999999999993"/>
    <d v="2025-08-10T00:00:00"/>
    <s v="Head Office Café"/>
    <n v="0.02"/>
    <n v="334.82679999999999"/>
  </r>
  <r>
    <s v="O00220"/>
    <s v="DH9SDB"/>
    <n v="3"/>
    <n v="76.55"/>
    <s v="Dessert"/>
    <n v="38.229999999999997"/>
    <d v="2025-07-28T00:00:00"/>
    <s v="Plant 1 Canteen"/>
    <n v="0.06"/>
    <n v="215.87099999999995"/>
  </r>
  <r>
    <s v="O00220"/>
    <s v="HXAJI0"/>
    <n v="1"/>
    <n v="227.61"/>
    <s v="Hot Meal"/>
    <n v="96.22"/>
    <d v="2025-07-28T00:00:00"/>
    <s v="Plant 1 Canteen"/>
    <n v="0.06"/>
    <n v="213.95339999999999"/>
  </r>
  <r>
    <s v="O00220"/>
    <s v="DFFYVN"/>
    <n v="3"/>
    <n v="54.2"/>
    <s v="Dessert"/>
    <n v="21.95"/>
    <d v="2025-07-28T00:00:00"/>
    <s v="Plant 1 Canteen"/>
    <n v="0.06"/>
    <n v="152.84400000000002"/>
  </r>
  <r>
    <s v="O00221"/>
    <s v="DYTJXE"/>
    <n v="1"/>
    <n v="57.07"/>
    <s v="Dessert"/>
    <n v="29.14"/>
    <d v="2025-08-13T00:00:00"/>
    <s v="Plant 2 Canteen"/>
    <n v="0"/>
    <n v="57.07"/>
  </r>
  <r>
    <s v="O00222"/>
    <s v="SV30T9"/>
    <n v="1"/>
    <n v="39.950000000000003"/>
    <s v="Snack"/>
    <n v="15.51"/>
    <d v="2025-08-05T00:00:00"/>
    <s v="Head Office Café"/>
    <n v="0.02"/>
    <n v="39.151000000000003"/>
  </r>
  <r>
    <s v="O00222"/>
    <s v="BXO6QJ"/>
    <n v="2"/>
    <n v="20.11"/>
    <s v="Beverage"/>
    <n v="8"/>
    <d v="2025-08-05T00:00:00"/>
    <s v="Head Office Café"/>
    <n v="0.02"/>
    <n v="39.415599999999998"/>
  </r>
  <r>
    <s v="O00222"/>
    <s v="BTIQJ7"/>
    <n v="2"/>
    <n v="30.34"/>
    <s v="Beverage"/>
    <n v="14.18"/>
    <d v="2025-08-05T00:00:00"/>
    <s v="Head Office Café"/>
    <n v="0.02"/>
    <n v="59.4664"/>
  </r>
  <r>
    <s v="O00222"/>
    <s v="DFFYVN"/>
    <n v="3"/>
    <n v="54.2"/>
    <s v="Dessert"/>
    <n v="21.95"/>
    <d v="2025-08-05T00:00:00"/>
    <s v="Head Office Café"/>
    <n v="0.02"/>
    <n v="159.34800000000001"/>
  </r>
  <r>
    <s v="O00223"/>
    <s v="DFFYVN"/>
    <n v="2"/>
    <n v="54.2"/>
    <s v="Dessert"/>
    <n v="21.95"/>
    <d v="2025-08-08T00:00:00"/>
    <s v="Plant 2 Canteen"/>
    <n v="0.05"/>
    <n v="102.98"/>
  </r>
  <r>
    <s v="O00223"/>
    <s v="BHL1C3"/>
    <n v="1"/>
    <n v="22.2"/>
    <s v="Beverage"/>
    <n v="9.3800000000000008"/>
    <d v="2025-08-08T00:00:00"/>
    <s v="Plant 2 Canteen"/>
    <n v="0.05"/>
    <n v="21.09"/>
  </r>
  <r>
    <s v="O00223"/>
    <s v="B0T0PV"/>
    <n v="2"/>
    <n v="28.43"/>
    <s v="Beverage"/>
    <n v="13.89"/>
    <d v="2025-08-08T00:00:00"/>
    <s v="Plant 2 Canteen"/>
    <n v="0.05"/>
    <n v="54.016999999999996"/>
  </r>
  <r>
    <s v="O00224"/>
    <s v="SHJ7XV"/>
    <n v="3"/>
    <n v="52.45"/>
    <s v="Snack"/>
    <n v="25.8"/>
    <d v="2025-07-10T00:00:00"/>
    <s v="Head Office Café"/>
    <n v="0.01"/>
    <n v="155.77650000000003"/>
  </r>
  <r>
    <s v="O00225"/>
    <s v="SCKW5N"/>
    <n v="1"/>
    <n v="70.540000000000006"/>
    <s v="Snack"/>
    <n v="35.81"/>
    <d v="2025-07-06T00:00:00"/>
    <s v="Plant 2 Canteen"/>
    <n v="0.13"/>
    <n v="61.369800000000005"/>
  </r>
  <r>
    <s v="O00225"/>
    <s v="B0T0PV"/>
    <n v="2"/>
    <n v="28.43"/>
    <s v="Beverage"/>
    <n v="13.89"/>
    <d v="2025-07-06T00:00:00"/>
    <s v="Plant 2 Canteen"/>
    <n v="0.13"/>
    <n v="49.468199999999996"/>
  </r>
  <r>
    <s v="O00225"/>
    <s v="HDPBHS"/>
    <n v="3"/>
    <n v="256.91000000000003"/>
    <s v="Hot Meal"/>
    <n v="121.24"/>
    <d v="2025-07-06T00:00:00"/>
    <s v="Plant 2 Canteen"/>
    <n v="0.13"/>
    <n v="670.53510000000006"/>
  </r>
  <r>
    <s v="O00225"/>
    <s v="BTIQJ7"/>
    <n v="2"/>
    <n v="30.34"/>
    <s v="Beverage"/>
    <n v="14.18"/>
    <d v="2025-07-06T00:00:00"/>
    <s v="Plant 2 Canteen"/>
    <n v="0.13"/>
    <n v="52.791600000000003"/>
  </r>
  <r>
    <s v="O00226"/>
    <s v="BTIQJ7"/>
    <n v="1"/>
    <n v="30.34"/>
    <s v="Beverage"/>
    <n v="14.18"/>
    <d v="2025-07-07T00:00:00"/>
    <s v="Head Office Café"/>
    <n v="0"/>
    <n v="30.34"/>
  </r>
  <r>
    <s v="O00226"/>
    <s v="HUZZPQ"/>
    <n v="1"/>
    <n v="146.4"/>
    <s v="Hot Meal"/>
    <n v="80.92"/>
    <d v="2025-07-07T00:00:00"/>
    <s v="Head Office Café"/>
    <n v="0"/>
    <n v="146.4"/>
  </r>
  <r>
    <s v="O00226"/>
    <s v="DH9SDB"/>
    <n v="2"/>
    <n v="76.55"/>
    <s v="Dessert"/>
    <n v="38.229999999999997"/>
    <d v="2025-07-07T00:00:00"/>
    <s v="Head Office Café"/>
    <n v="0"/>
    <n v="153.1"/>
  </r>
  <r>
    <s v="O00227"/>
    <s v="H3A3ZM"/>
    <n v="2"/>
    <n v="170.83"/>
    <s v="Hot Meal"/>
    <n v="74.069999999999993"/>
    <d v="2025-07-23T00:00:00"/>
    <s v="Plant 2 Canteen"/>
    <n v="0.04"/>
    <n v="327.99360000000001"/>
  </r>
  <r>
    <s v="O00227"/>
    <s v="DFFYVN"/>
    <n v="1"/>
    <n v="54.2"/>
    <s v="Dessert"/>
    <n v="21.95"/>
    <d v="2025-07-23T00:00:00"/>
    <s v="Plant 2 Canteen"/>
    <n v="0.04"/>
    <n v="52.032000000000004"/>
  </r>
  <r>
    <s v="O00228"/>
    <s v="DFFYVN"/>
    <n v="2"/>
    <n v="54.2"/>
    <s v="Dessert"/>
    <n v="21.95"/>
    <d v="2025-07-28T00:00:00"/>
    <s v="Plant 1 Canteen"/>
    <n v="7.0000000000000007E-2"/>
    <n v="100.812"/>
  </r>
  <r>
    <s v="O00229"/>
    <s v="HH1DNM"/>
    <n v="1"/>
    <n v="246.09"/>
    <s v="Hot Meal"/>
    <n v="112.08"/>
    <d v="2025-07-18T00:00:00"/>
    <s v="Plant 1 Canteen"/>
    <n v="0.12"/>
    <n v="216.5592"/>
  </r>
  <r>
    <s v="O00229"/>
    <s v="DFFYVN"/>
    <n v="3"/>
    <n v="54.2"/>
    <s v="Dessert"/>
    <n v="21.95"/>
    <d v="2025-07-18T00:00:00"/>
    <s v="Plant 1 Canteen"/>
    <n v="0.12"/>
    <n v="143.08800000000002"/>
  </r>
  <r>
    <s v="O00229"/>
    <s v="SCKW5N"/>
    <n v="1"/>
    <n v="70.540000000000006"/>
    <s v="Snack"/>
    <n v="35.81"/>
    <d v="2025-07-18T00:00:00"/>
    <s v="Plant 1 Canteen"/>
    <n v="0.12"/>
    <n v="62.075200000000002"/>
  </r>
  <r>
    <s v="O00229"/>
    <s v="SZBIKC"/>
    <n v="1"/>
    <n v="38.06"/>
    <s v="Snack"/>
    <n v="19.55"/>
    <d v="2025-07-18T00:00:00"/>
    <s v="Plant 1 Canteen"/>
    <n v="0.12"/>
    <n v="33.492800000000003"/>
  </r>
  <r>
    <s v="O00230"/>
    <s v="H3A3ZM"/>
    <n v="1"/>
    <n v="170.83"/>
    <s v="Hot Meal"/>
    <n v="74.069999999999993"/>
    <d v="2025-07-02T00:00:00"/>
    <s v="Plant 2 Canteen"/>
    <n v="0"/>
    <n v="170.83"/>
  </r>
  <r>
    <s v="O00230"/>
    <s v="B0T0PV"/>
    <n v="1"/>
    <n v="28.43"/>
    <s v="Beverage"/>
    <n v="13.89"/>
    <d v="2025-07-02T00:00:00"/>
    <s v="Plant 2 Canteen"/>
    <n v="0"/>
    <n v="28.43"/>
  </r>
  <r>
    <s v="O00231"/>
    <s v="D9T84A"/>
    <n v="1"/>
    <n v="116.8"/>
    <s v="Dessert"/>
    <n v="48.97"/>
    <d v="2025-07-02T00:00:00"/>
    <s v="Plant 1 Canteen"/>
    <n v="0.11"/>
    <n v="103.952"/>
  </r>
  <r>
    <s v="O00231"/>
    <s v="SHJ7XV"/>
    <n v="2"/>
    <n v="52.45"/>
    <s v="Snack"/>
    <n v="25.8"/>
    <d v="2025-07-02T00:00:00"/>
    <s v="Plant 1 Canteen"/>
    <n v="0.11"/>
    <n v="93.361000000000004"/>
  </r>
  <r>
    <s v="O00231"/>
    <s v="BOC6UZ"/>
    <n v="2"/>
    <n v="32.979999999999997"/>
    <s v="Beverage"/>
    <n v="11.84"/>
    <d v="2025-07-02T00:00:00"/>
    <s v="Plant 1 Canteen"/>
    <n v="0.11"/>
    <n v="58.704399999999993"/>
  </r>
  <r>
    <s v="O00231"/>
    <s v="DH9SDB"/>
    <n v="3"/>
    <n v="76.55"/>
    <s v="Dessert"/>
    <n v="38.229999999999997"/>
    <d v="2025-07-02T00:00:00"/>
    <s v="Plant 1 Canteen"/>
    <n v="0.11"/>
    <n v="204.38849999999999"/>
  </r>
  <r>
    <s v="O00232"/>
    <s v="BHL1C3"/>
    <n v="1"/>
    <n v="22.2"/>
    <s v="Beverage"/>
    <n v="9.3800000000000008"/>
    <d v="2025-08-11T00:00:00"/>
    <s v="Head Office Café"/>
    <n v="0.06"/>
    <n v="20.867999999999999"/>
  </r>
  <r>
    <s v="O00232"/>
    <s v="HH1DNM"/>
    <n v="2"/>
    <n v="246.09"/>
    <s v="Hot Meal"/>
    <n v="112.08"/>
    <d v="2025-08-11T00:00:00"/>
    <s v="Head Office Café"/>
    <n v="0.06"/>
    <n v="462.64920000000001"/>
  </r>
  <r>
    <s v="O00233"/>
    <s v="S5NQ4F"/>
    <n v="2"/>
    <n v="50.19"/>
    <s v="Snack"/>
    <n v="22.61"/>
    <d v="2025-08-16T00:00:00"/>
    <s v="Plant 2 Canteen"/>
    <n v="0.02"/>
    <n v="98.372399999999999"/>
  </r>
  <r>
    <s v="O00233"/>
    <s v="BTIQJ7"/>
    <n v="1"/>
    <n v="30.34"/>
    <s v="Beverage"/>
    <n v="14.18"/>
    <d v="2025-08-16T00:00:00"/>
    <s v="Plant 2 Canteen"/>
    <n v="0.02"/>
    <n v="29.7332"/>
  </r>
  <r>
    <s v="O00234"/>
    <s v="SV30T9"/>
    <n v="1"/>
    <n v="39.950000000000003"/>
    <s v="Snack"/>
    <n v="15.51"/>
    <d v="2025-08-14T00:00:00"/>
    <s v="Head Office Café"/>
    <n v="0.08"/>
    <n v="36.754000000000005"/>
  </r>
  <r>
    <s v="O00235"/>
    <s v="HUZZPQ"/>
    <n v="1"/>
    <n v="146.4"/>
    <s v="Hot Meal"/>
    <n v="80.92"/>
    <d v="2025-08-20T00:00:00"/>
    <s v="Plant 2 Canteen"/>
    <n v="7.0000000000000007E-2"/>
    <n v="136.15199999999999"/>
  </r>
  <r>
    <s v="O00236"/>
    <s v="SCKW5N"/>
    <n v="2"/>
    <n v="70.540000000000006"/>
    <s v="Snack"/>
    <n v="35.81"/>
    <d v="2025-07-07T00:00:00"/>
    <s v="Plant 2 Canteen"/>
    <n v="0.04"/>
    <n v="135.43680000000001"/>
  </r>
  <r>
    <s v="O00236"/>
    <s v="DYTJXE"/>
    <n v="1"/>
    <n v="57.07"/>
    <s v="Dessert"/>
    <n v="29.14"/>
    <d v="2025-07-07T00:00:00"/>
    <s v="Plant 2 Canteen"/>
    <n v="0.04"/>
    <n v="54.787199999999999"/>
  </r>
  <r>
    <s v="O00237"/>
    <s v="SV30T9"/>
    <n v="2"/>
    <n v="39.950000000000003"/>
    <s v="Snack"/>
    <n v="15.51"/>
    <d v="2025-08-17T00:00:00"/>
    <s v="Head Office Café"/>
    <n v="0.06"/>
    <n v="75.105999999999995"/>
  </r>
  <r>
    <s v="O00238"/>
    <s v="DH9SDB"/>
    <n v="2"/>
    <n v="76.55"/>
    <s v="Dessert"/>
    <n v="38.229999999999997"/>
    <d v="2025-08-01T00:00:00"/>
    <s v="Head Office Café"/>
    <n v="0.04"/>
    <n v="146.976"/>
  </r>
  <r>
    <s v="O00238"/>
    <s v="BHL1C3"/>
    <n v="1"/>
    <n v="22.2"/>
    <s v="Beverage"/>
    <n v="9.3800000000000008"/>
    <d v="2025-08-01T00:00:00"/>
    <s v="Head Office Café"/>
    <n v="0.04"/>
    <n v="21.311999999999998"/>
  </r>
  <r>
    <s v="O00238"/>
    <s v="SCKW5N"/>
    <n v="2"/>
    <n v="70.540000000000006"/>
    <s v="Snack"/>
    <n v="35.81"/>
    <d v="2025-08-01T00:00:00"/>
    <s v="Head Office Café"/>
    <n v="0.04"/>
    <n v="135.43680000000001"/>
  </r>
  <r>
    <s v="O00238"/>
    <s v="B0T0PV"/>
    <n v="2"/>
    <n v="28.43"/>
    <s v="Beverage"/>
    <n v="13.89"/>
    <d v="2025-08-01T00:00:00"/>
    <s v="Head Office Café"/>
    <n v="0.04"/>
    <n v="54.585599999999999"/>
  </r>
  <r>
    <s v="O00239"/>
    <s v="BXO6QJ"/>
    <n v="3"/>
    <n v="20.11"/>
    <s v="Beverage"/>
    <n v="8"/>
    <d v="2025-07-27T00:00:00"/>
    <s v="Head Office Café"/>
    <n v="0.06"/>
    <n v="56.710199999999993"/>
  </r>
  <r>
    <s v="O00239"/>
    <s v="DH9SDB"/>
    <n v="1"/>
    <n v="76.55"/>
    <s v="Dessert"/>
    <n v="38.229999999999997"/>
    <d v="2025-07-27T00:00:00"/>
    <s v="Head Office Café"/>
    <n v="0.06"/>
    <n v="71.956999999999994"/>
  </r>
  <r>
    <s v="O00239"/>
    <s v="HUZZPQ"/>
    <n v="2"/>
    <n v="146.4"/>
    <s v="Hot Meal"/>
    <n v="80.92"/>
    <d v="2025-07-27T00:00:00"/>
    <s v="Head Office Café"/>
    <n v="0.06"/>
    <n v="275.23199999999997"/>
  </r>
  <r>
    <s v="O00240"/>
    <s v="SCKW5N"/>
    <n v="3"/>
    <n v="70.540000000000006"/>
    <s v="Snack"/>
    <n v="35.81"/>
    <d v="2025-08-01T00:00:00"/>
    <s v="Plant 2 Canteen"/>
    <n v="0.09"/>
    <n v="192.57420000000002"/>
  </r>
  <r>
    <s v="O00240"/>
    <s v="H3A3ZM"/>
    <n v="2"/>
    <n v="170.83"/>
    <s v="Hot Meal"/>
    <n v="74.069999999999993"/>
    <d v="2025-08-01T00:00:00"/>
    <s v="Plant 2 Canteen"/>
    <n v="0.09"/>
    <n v="310.91060000000004"/>
  </r>
  <r>
    <s v="O00240"/>
    <s v="DH9SDB"/>
    <n v="3"/>
    <n v="76.55"/>
    <s v="Dessert"/>
    <n v="38.229999999999997"/>
    <d v="2025-08-01T00:00:00"/>
    <s v="Plant 2 Canteen"/>
    <n v="0.09"/>
    <n v="208.98149999999998"/>
  </r>
  <r>
    <s v="O00240"/>
    <s v="HDPBHS"/>
    <n v="2"/>
    <n v="256.91000000000003"/>
    <s v="Hot Meal"/>
    <n v="121.24"/>
    <d v="2025-08-01T00:00:00"/>
    <s v="Plant 2 Canteen"/>
    <n v="0.09"/>
    <n v="467.57620000000009"/>
  </r>
  <r>
    <s v="O00241"/>
    <s v="BTIQJ7"/>
    <n v="1"/>
    <n v="30.34"/>
    <s v="Beverage"/>
    <n v="14.18"/>
    <d v="2025-08-14T00:00:00"/>
    <s v="Head Office Café"/>
    <n v="0.12"/>
    <n v="26.699200000000001"/>
  </r>
  <r>
    <s v="O00241"/>
    <s v="D9T84A"/>
    <n v="1"/>
    <n v="116.8"/>
    <s v="Dessert"/>
    <n v="48.97"/>
    <d v="2025-08-14T00:00:00"/>
    <s v="Head Office Café"/>
    <n v="0.12"/>
    <n v="102.78399999999999"/>
  </r>
  <r>
    <s v="O00242"/>
    <s v="SZBIKC"/>
    <n v="1"/>
    <n v="38.06"/>
    <s v="Snack"/>
    <n v="19.55"/>
    <d v="2025-07-12T00:00:00"/>
    <s v="Head Office Café"/>
    <n v="0.01"/>
    <n v="37.679400000000001"/>
  </r>
  <r>
    <s v="O00242"/>
    <s v="HDPBHS"/>
    <n v="2"/>
    <n v="256.91000000000003"/>
    <s v="Hot Meal"/>
    <n v="121.24"/>
    <d v="2025-07-12T00:00:00"/>
    <s v="Head Office Café"/>
    <n v="0.01"/>
    <n v="508.68180000000007"/>
  </r>
  <r>
    <s v="O00242"/>
    <s v="SV30T9"/>
    <n v="2"/>
    <n v="39.950000000000003"/>
    <s v="Snack"/>
    <n v="15.51"/>
    <d v="2025-07-12T00:00:00"/>
    <s v="Head Office Café"/>
    <n v="0.01"/>
    <n v="79.100999999999999"/>
  </r>
  <r>
    <s v="O00242"/>
    <s v="HH1DNM"/>
    <n v="2"/>
    <n v="246.09"/>
    <s v="Hot Meal"/>
    <n v="112.08"/>
    <d v="2025-07-12T00:00:00"/>
    <s v="Head Office Café"/>
    <n v="0.01"/>
    <n v="487.25819999999999"/>
  </r>
  <r>
    <s v="O00243"/>
    <s v="DYTJXE"/>
    <n v="2"/>
    <n v="57.07"/>
    <s v="Dessert"/>
    <n v="29.14"/>
    <d v="2025-08-12T00:00:00"/>
    <s v="Plant 2 Canteen"/>
    <n v="0.15"/>
    <n v="97.018999999999991"/>
  </r>
  <r>
    <s v="O00243"/>
    <s v="D9T84A"/>
    <n v="1"/>
    <n v="116.8"/>
    <s v="Dessert"/>
    <n v="48.97"/>
    <d v="2025-08-12T00:00:00"/>
    <s v="Plant 2 Canteen"/>
    <n v="0.15"/>
    <n v="99.28"/>
  </r>
  <r>
    <s v="O00244"/>
    <s v="BXO6QJ"/>
    <n v="1"/>
    <n v="20.11"/>
    <s v="Beverage"/>
    <n v="8"/>
    <d v="2025-08-14T00:00:00"/>
    <s v="Plant 2 Canteen"/>
    <n v="0"/>
    <n v="20.11"/>
  </r>
  <r>
    <s v="O00244"/>
    <s v="SV30T9"/>
    <n v="3"/>
    <n v="39.950000000000003"/>
    <s v="Snack"/>
    <n v="15.51"/>
    <d v="2025-08-14T00:00:00"/>
    <s v="Plant 2 Canteen"/>
    <n v="0"/>
    <n v="119.85000000000001"/>
  </r>
  <r>
    <s v="O00244"/>
    <s v="SHJ7XV"/>
    <n v="1"/>
    <n v="52.45"/>
    <s v="Snack"/>
    <n v="25.8"/>
    <d v="2025-08-14T00:00:00"/>
    <s v="Plant 2 Canteen"/>
    <n v="0"/>
    <n v="52.45"/>
  </r>
  <r>
    <s v="O00244"/>
    <s v="HXAJI0"/>
    <n v="1"/>
    <n v="227.61"/>
    <s v="Hot Meal"/>
    <n v="96.22"/>
    <d v="2025-08-14T00:00:00"/>
    <s v="Plant 2 Canteen"/>
    <n v="0"/>
    <n v="227.61"/>
  </r>
  <r>
    <s v="O00245"/>
    <s v="HXAJI0"/>
    <n v="1"/>
    <n v="227.61"/>
    <s v="Hot Meal"/>
    <n v="96.22"/>
    <d v="2025-07-31T00:00:00"/>
    <s v="Plant 2 Canteen"/>
    <n v="0.05"/>
    <n v="216.2295"/>
  </r>
  <r>
    <s v="O00245"/>
    <s v="S5NQ4F"/>
    <n v="1"/>
    <n v="50.19"/>
    <s v="Snack"/>
    <n v="22.61"/>
    <d v="2025-07-31T00:00:00"/>
    <s v="Plant 2 Canteen"/>
    <n v="0.05"/>
    <n v="47.680499999999995"/>
  </r>
  <r>
    <s v="O00245"/>
    <s v="HUZZPQ"/>
    <n v="2"/>
    <n v="146.4"/>
    <s v="Hot Meal"/>
    <n v="80.92"/>
    <d v="2025-07-31T00:00:00"/>
    <s v="Plant 2 Canteen"/>
    <n v="0.05"/>
    <n v="278.16000000000003"/>
  </r>
  <r>
    <s v="O00245"/>
    <s v="SHJ7XV"/>
    <n v="1"/>
    <n v="52.45"/>
    <s v="Snack"/>
    <n v="25.8"/>
    <d v="2025-07-31T00:00:00"/>
    <s v="Plant 2 Canteen"/>
    <n v="0.05"/>
    <n v="49.827500000000001"/>
  </r>
  <r>
    <s v="O00246"/>
    <s v="SCKW5N"/>
    <n v="3"/>
    <n v="70.540000000000006"/>
    <s v="Snack"/>
    <n v="35.81"/>
    <d v="2025-08-06T00:00:00"/>
    <s v="Plant 1 Canteen"/>
    <n v="0.08"/>
    <n v="194.69040000000001"/>
  </r>
  <r>
    <s v="O00247"/>
    <s v="H3A3ZM"/>
    <n v="2"/>
    <n v="170.83"/>
    <s v="Hot Meal"/>
    <n v="74.069999999999993"/>
    <d v="2025-07-10T00:00:00"/>
    <s v="Plant 1 Canteen"/>
    <n v="7.0000000000000007E-2"/>
    <n v="317.74380000000002"/>
  </r>
  <r>
    <s v="O00247"/>
    <s v="HH1DNM"/>
    <n v="2"/>
    <n v="246.09"/>
    <s v="Hot Meal"/>
    <n v="112.08"/>
    <d v="2025-07-10T00:00:00"/>
    <s v="Plant 1 Canteen"/>
    <n v="7.0000000000000007E-2"/>
    <n v="457.72739999999999"/>
  </r>
  <r>
    <s v="O00248"/>
    <s v="SV30T9"/>
    <n v="1"/>
    <n v="39.950000000000003"/>
    <s v="Snack"/>
    <n v="15.51"/>
    <d v="2025-08-06T00:00:00"/>
    <s v="Plant 1 Canteen"/>
    <n v="0.04"/>
    <n v="38.352000000000004"/>
  </r>
  <r>
    <s v="O00248"/>
    <s v="HH1DNM"/>
    <n v="1"/>
    <n v="246.09"/>
    <s v="Hot Meal"/>
    <n v="112.08"/>
    <d v="2025-08-06T00:00:00"/>
    <s v="Plant 1 Canteen"/>
    <n v="0.04"/>
    <n v="236.24639999999999"/>
  </r>
  <r>
    <s v="O00249"/>
    <s v="H3A3ZM"/>
    <n v="2"/>
    <n v="170.83"/>
    <s v="Hot Meal"/>
    <n v="74.069999999999993"/>
    <d v="2025-08-24T00:00:00"/>
    <s v="Plant 2 Canteen"/>
    <n v="0.05"/>
    <n v="324.577"/>
  </r>
  <r>
    <s v="O00249"/>
    <s v="HH1DNM"/>
    <n v="1"/>
    <n v="246.09"/>
    <s v="Hot Meal"/>
    <n v="112.08"/>
    <d v="2025-08-24T00:00:00"/>
    <s v="Plant 2 Canteen"/>
    <n v="0.05"/>
    <n v="233.78549999999998"/>
  </r>
  <r>
    <s v="O00249"/>
    <s v="DYTJXE"/>
    <n v="1"/>
    <n v="57.07"/>
    <s v="Dessert"/>
    <n v="29.14"/>
    <d v="2025-08-24T00:00:00"/>
    <s v="Plant 2 Canteen"/>
    <n v="0.05"/>
    <n v="54.216499999999996"/>
  </r>
  <r>
    <s v="O00250"/>
    <s v="BXO6QJ"/>
    <n v="3"/>
    <n v="20.11"/>
    <s v="Beverage"/>
    <n v="8"/>
    <d v="2025-08-04T00:00:00"/>
    <s v="Head Office Café"/>
    <n v="0.04"/>
    <n v="57.916799999999995"/>
  </r>
  <r>
    <s v="O00250"/>
    <s v="HXAJI0"/>
    <n v="2"/>
    <n v="227.61"/>
    <s v="Hot Meal"/>
    <n v="96.22"/>
    <d v="2025-08-04T00:00:00"/>
    <s v="Head Office Café"/>
    <n v="0.04"/>
    <n v="437.01120000000003"/>
  </r>
  <r>
    <s v="O00250"/>
    <s v="DYTJXE"/>
    <n v="2"/>
    <n v="57.07"/>
    <s v="Dessert"/>
    <n v="29.14"/>
    <d v="2025-08-04T00:00:00"/>
    <s v="Head Office Café"/>
    <n v="0.04"/>
    <n v="109.5744"/>
  </r>
  <r>
    <s v="O00250"/>
    <s v="HH1DNM"/>
    <n v="2"/>
    <n v="246.09"/>
    <s v="Hot Meal"/>
    <n v="112.08"/>
    <d v="2025-08-04T00:00:00"/>
    <s v="Head Office Café"/>
    <n v="0.04"/>
    <n v="472.49279999999999"/>
  </r>
  <r>
    <s v="O00251"/>
    <s v="HXAJI0"/>
    <n v="3"/>
    <n v="227.61"/>
    <s v="Hot Meal"/>
    <n v="96.22"/>
    <d v="2025-07-29T00:00:00"/>
    <s v="Head Office Café"/>
    <n v="0.04"/>
    <n v="655.51679999999999"/>
  </r>
  <r>
    <s v="O00251"/>
    <s v="S5NQ4F"/>
    <n v="1"/>
    <n v="50.19"/>
    <s v="Snack"/>
    <n v="22.61"/>
    <d v="2025-07-29T00:00:00"/>
    <s v="Head Office Café"/>
    <n v="0.04"/>
    <n v="48.182399999999994"/>
  </r>
  <r>
    <s v="O00251"/>
    <s v="HUZZPQ"/>
    <n v="2"/>
    <n v="146.4"/>
    <s v="Hot Meal"/>
    <n v="80.92"/>
    <d v="2025-07-29T00:00:00"/>
    <s v="Head Office Café"/>
    <n v="0.04"/>
    <n v="281.08800000000002"/>
  </r>
  <r>
    <s v="O00251"/>
    <s v="HDPBHS"/>
    <n v="2"/>
    <n v="256.91000000000003"/>
    <s v="Hot Meal"/>
    <n v="121.24"/>
    <d v="2025-07-29T00:00:00"/>
    <s v="Head Office Café"/>
    <n v="0.04"/>
    <n v="493.2672"/>
  </r>
  <r>
    <s v="O00252"/>
    <s v="SZBIKC"/>
    <n v="2"/>
    <n v="38.06"/>
    <s v="Snack"/>
    <n v="19.55"/>
    <d v="2025-08-26T00:00:00"/>
    <s v="Head Office Café"/>
    <n v="0.09"/>
    <n v="69.269200000000012"/>
  </r>
  <r>
    <s v="O00252"/>
    <s v="HDPBHS"/>
    <n v="1"/>
    <n v="256.91000000000003"/>
    <s v="Hot Meal"/>
    <n v="121.24"/>
    <d v="2025-08-26T00:00:00"/>
    <s v="Head Office Café"/>
    <n v="0.09"/>
    <n v="233.78810000000004"/>
  </r>
  <r>
    <s v="O00252"/>
    <s v="HXAJI0"/>
    <n v="3"/>
    <n v="227.61"/>
    <s v="Hot Meal"/>
    <n v="96.22"/>
    <d v="2025-08-26T00:00:00"/>
    <s v="Head Office Café"/>
    <n v="0.09"/>
    <n v="621.37530000000004"/>
  </r>
  <r>
    <s v="O00253"/>
    <s v="HXAJI0"/>
    <n v="1"/>
    <n v="227.61"/>
    <s v="Hot Meal"/>
    <n v="96.22"/>
    <d v="2025-07-23T00:00:00"/>
    <s v="Plant 1 Canteen"/>
    <n v="7.0000000000000007E-2"/>
    <n v="211.6773"/>
  </r>
  <r>
    <s v="O00253"/>
    <s v="SHJ7XV"/>
    <n v="1"/>
    <n v="52.45"/>
    <s v="Snack"/>
    <n v="25.8"/>
    <d v="2025-07-23T00:00:00"/>
    <s v="Plant 1 Canteen"/>
    <n v="7.0000000000000007E-2"/>
    <n v="48.778500000000001"/>
  </r>
  <r>
    <s v="O00254"/>
    <s v="SCKW5N"/>
    <n v="2"/>
    <n v="70.540000000000006"/>
    <s v="Snack"/>
    <n v="35.81"/>
    <d v="2025-07-12T00:00:00"/>
    <s v="Plant 2 Canteen"/>
    <n v="0.03"/>
    <n v="136.8476"/>
  </r>
  <r>
    <s v="O00254"/>
    <s v="SZBIKC"/>
    <n v="2"/>
    <n v="38.06"/>
    <s v="Snack"/>
    <n v="19.55"/>
    <d v="2025-07-12T00:00:00"/>
    <s v="Plant 2 Canteen"/>
    <n v="0.03"/>
    <n v="73.836399999999998"/>
  </r>
  <r>
    <s v="O00254"/>
    <s v="BHL1C3"/>
    <n v="2"/>
    <n v="22.2"/>
    <s v="Beverage"/>
    <n v="9.3800000000000008"/>
    <d v="2025-07-12T00:00:00"/>
    <s v="Plant 2 Canteen"/>
    <n v="0.03"/>
    <n v="43.067999999999998"/>
  </r>
  <r>
    <s v="O00254"/>
    <s v="HXAJI0"/>
    <n v="1"/>
    <n v="227.61"/>
    <s v="Hot Meal"/>
    <n v="96.22"/>
    <d v="2025-07-12T00:00:00"/>
    <s v="Plant 2 Canteen"/>
    <n v="0.03"/>
    <n v="220.7817"/>
  </r>
  <r>
    <s v="O00255"/>
    <s v="SV30T9"/>
    <n v="2"/>
    <n v="39.950000000000003"/>
    <s v="Snack"/>
    <n v="15.51"/>
    <d v="2025-08-24T00:00:00"/>
    <s v="Head Office Café"/>
    <n v="0.1"/>
    <n v="71.910000000000011"/>
  </r>
  <r>
    <s v="O00255"/>
    <s v="HXAJI0"/>
    <n v="1"/>
    <n v="227.61"/>
    <s v="Hot Meal"/>
    <n v="96.22"/>
    <d v="2025-08-24T00:00:00"/>
    <s v="Head Office Café"/>
    <n v="0.1"/>
    <n v="204.84900000000002"/>
  </r>
  <r>
    <s v="O00255"/>
    <s v="HDPBHS"/>
    <n v="1"/>
    <n v="256.91000000000003"/>
    <s v="Hot Meal"/>
    <n v="121.24"/>
    <d v="2025-08-24T00:00:00"/>
    <s v="Head Office Café"/>
    <n v="0.1"/>
    <n v="231.21900000000002"/>
  </r>
  <r>
    <s v="O00256"/>
    <s v="BHL1C3"/>
    <n v="1"/>
    <n v="22.2"/>
    <s v="Beverage"/>
    <n v="9.3800000000000008"/>
    <d v="2025-07-03T00:00:00"/>
    <s v="Head Office Café"/>
    <n v="7.0000000000000007E-2"/>
    <n v="20.645999999999997"/>
  </r>
  <r>
    <s v="O00256"/>
    <s v="SHJ7XV"/>
    <n v="1"/>
    <n v="52.45"/>
    <s v="Snack"/>
    <n v="25.8"/>
    <d v="2025-07-03T00:00:00"/>
    <s v="Head Office Café"/>
    <n v="7.0000000000000007E-2"/>
    <n v="48.778500000000001"/>
  </r>
  <r>
    <s v="O00256"/>
    <s v="HUZZPQ"/>
    <n v="2"/>
    <n v="146.4"/>
    <s v="Hot Meal"/>
    <n v="80.92"/>
    <d v="2025-07-03T00:00:00"/>
    <s v="Head Office Café"/>
    <n v="7.0000000000000007E-2"/>
    <n v="272.30399999999997"/>
  </r>
  <r>
    <s v="O00257"/>
    <s v="DYTJXE"/>
    <n v="1"/>
    <n v="57.07"/>
    <s v="Dessert"/>
    <n v="29.14"/>
    <d v="2025-07-04T00:00:00"/>
    <s v="Plant 1 Canteen"/>
    <n v="0.09"/>
    <n v="51.933700000000002"/>
  </r>
  <r>
    <s v="O00257"/>
    <s v="S5NQ4F"/>
    <n v="1"/>
    <n v="50.19"/>
    <s v="Snack"/>
    <n v="22.61"/>
    <d v="2025-07-04T00:00:00"/>
    <s v="Plant 1 Canteen"/>
    <n v="0.09"/>
    <n v="45.672899999999998"/>
  </r>
  <r>
    <s v="O00257"/>
    <s v="BHL1C3"/>
    <n v="3"/>
    <n v="22.2"/>
    <s v="Beverage"/>
    <n v="9.3800000000000008"/>
    <d v="2025-07-04T00:00:00"/>
    <s v="Plant 1 Canteen"/>
    <n v="0.09"/>
    <n v="60.605999999999995"/>
  </r>
  <r>
    <s v="O00258"/>
    <s v="BOC6UZ"/>
    <n v="2"/>
    <n v="32.979999999999997"/>
    <s v="Beverage"/>
    <n v="11.84"/>
    <d v="2025-08-03T00:00:00"/>
    <s v="Plant 2 Canteen"/>
    <n v="0.09"/>
    <n v="60.023599999999995"/>
  </r>
  <r>
    <s v="O00258"/>
    <s v="SCKW5N"/>
    <n v="3"/>
    <n v="70.540000000000006"/>
    <s v="Snack"/>
    <n v="35.81"/>
    <d v="2025-08-03T00:00:00"/>
    <s v="Plant 2 Canteen"/>
    <n v="0.09"/>
    <n v="192.57420000000002"/>
  </r>
  <r>
    <s v="O00258"/>
    <s v="B0T0PV"/>
    <n v="1"/>
    <n v="28.43"/>
    <s v="Beverage"/>
    <n v="13.89"/>
    <d v="2025-08-03T00:00:00"/>
    <s v="Plant 2 Canteen"/>
    <n v="0.09"/>
    <n v="25.871300000000002"/>
  </r>
  <r>
    <s v="O00258"/>
    <s v="HUZZPQ"/>
    <n v="2"/>
    <n v="146.4"/>
    <s v="Hot Meal"/>
    <n v="80.92"/>
    <d v="2025-08-03T00:00:00"/>
    <s v="Plant 2 Canteen"/>
    <n v="0.09"/>
    <n v="266.44800000000004"/>
  </r>
  <r>
    <s v="O00259"/>
    <s v="HH1DNM"/>
    <n v="1"/>
    <n v="246.09"/>
    <s v="Hot Meal"/>
    <n v="112.08"/>
    <d v="2025-08-25T00:00:00"/>
    <s v="Head Office Café"/>
    <n v="0.03"/>
    <n v="238.7073"/>
  </r>
  <r>
    <s v="O00259"/>
    <s v="SCKW5N"/>
    <n v="2"/>
    <n v="70.540000000000006"/>
    <s v="Snack"/>
    <n v="35.81"/>
    <d v="2025-08-25T00:00:00"/>
    <s v="Head Office Café"/>
    <n v="0.03"/>
    <n v="136.8476"/>
  </r>
  <r>
    <s v="O00260"/>
    <s v="HXAJI0"/>
    <n v="1"/>
    <n v="227.61"/>
    <s v="Hot Meal"/>
    <n v="96.22"/>
    <d v="2025-07-04T00:00:00"/>
    <s v="Plant 1 Canteen"/>
    <n v="0.04"/>
    <n v="218.50560000000002"/>
  </r>
  <r>
    <s v="O00260"/>
    <s v="HUZZPQ"/>
    <n v="2"/>
    <n v="146.4"/>
    <s v="Hot Meal"/>
    <n v="80.92"/>
    <d v="2025-07-04T00:00:00"/>
    <s v="Plant 1 Canteen"/>
    <n v="0.04"/>
    <n v="281.08800000000002"/>
  </r>
  <r>
    <s v="O00261"/>
    <s v="B0T0PV"/>
    <n v="2"/>
    <n v="28.43"/>
    <s v="Beverage"/>
    <n v="13.89"/>
    <d v="2025-08-06T00:00:00"/>
    <s v="Plant 2 Canteen"/>
    <n v="0.09"/>
    <n v="51.742600000000003"/>
  </r>
  <r>
    <s v="O00261"/>
    <s v="SHJ7XV"/>
    <n v="1"/>
    <n v="52.45"/>
    <s v="Snack"/>
    <n v="25.8"/>
    <d v="2025-08-06T00:00:00"/>
    <s v="Plant 2 Canteen"/>
    <n v="0.09"/>
    <n v="47.729500000000002"/>
  </r>
  <r>
    <s v="O00261"/>
    <s v="HUZZPQ"/>
    <n v="1"/>
    <n v="146.4"/>
    <s v="Hot Meal"/>
    <n v="80.92"/>
    <d v="2025-08-06T00:00:00"/>
    <s v="Plant 2 Canteen"/>
    <n v="0.09"/>
    <n v="133.22400000000002"/>
  </r>
  <r>
    <s v="O00262"/>
    <s v="DH9SDB"/>
    <n v="2"/>
    <n v="76.55"/>
    <s v="Dessert"/>
    <n v="38.229999999999997"/>
    <d v="2025-08-06T00:00:00"/>
    <s v="Plant 2 Canteen"/>
    <n v="0.08"/>
    <n v="140.852"/>
  </r>
  <r>
    <s v="O00262"/>
    <s v="DFFYVN"/>
    <n v="1"/>
    <n v="54.2"/>
    <s v="Dessert"/>
    <n v="21.95"/>
    <d v="2025-08-06T00:00:00"/>
    <s v="Plant 2 Canteen"/>
    <n v="0.08"/>
    <n v="49.864000000000004"/>
  </r>
  <r>
    <s v="O00262"/>
    <s v="HDPBHS"/>
    <n v="2"/>
    <n v="256.91000000000003"/>
    <s v="Hot Meal"/>
    <n v="121.24"/>
    <d v="2025-08-06T00:00:00"/>
    <s v="Plant 2 Canteen"/>
    <n v="0.08"/>
    <n v="472.71440000000007"/>
  </r>
  <r>
    <s v="O00263"/>
    <s v="HDPBHS"/>
    <n v="1"/>
    <n v="256.91000000000003"/>
    <s v="Hot Meal"/>
    <n v="121.24"/>
    <d v="2025-07-06T00:00:00"/>
    <s v="Plant 1 Canteen"/>
    <n v="0.06"/>
    <n v="241.49540000000002"/>
  </r>
  <r>
    <s v="O00263"/>
    <s v="DH9SDB"/>
    <n v="2"/>
    <n v="76.55"/>
    <s v="Dessert"/>
    <n v="38.229999999999997"/>
    <d v="2025-07-06T00:00:00"/>
    <s v="Plant 1 Canteen"/>
    <n v="0.06"/>
    <n v="143.91399999999999"/>
  </r>
  <r>
    <s v="O00264"/>
    <s v="B0T0PV"/>
    <n v="1"/>
    <n v="28.43"/>
    <s v="Beverage"/>
    <n v="13.89"/>
    <d v="2025-07-09T00:00:00"/>
    <s v="Plant 2 Canteen"/>
    <n v="0.06"/>
    <n v="26.7242"/>
  </r>
  <r>
    <s v="O00264"/>
    <s v="DH9SDB"/>
    <n v="2"/>
    <n v="76.55"/>
    <s v="Dessert"/>
    <n v="38.229999999999997"/>
    <d v="2025-07-09T00:00:00"/>
    <s v="Plant 2 Canteen"/>
    <n v="0.06"/>
    <n v="143.91399999999999"/>
  </r>
  <r>
    <s v="O00264"/>
    <s v="D9T84A"/>
    <n v="3"/>
    <n v="116.8"/>
    <s v="Dessert"/>
    <n v="48.97"/>
    <d v="2025-07-09T00:00:00"/>
    <s v="Plant 2 Canteen"/>
    <n v="0.06"/>
    <n v="329.37599999999998"/>
  </r>
  <r>
    <s v="O00265"/>
    <s v="BTIQJ7"/>
    <n v="2"/>
    <n v="30.34"/>
    <s v="Beverage"/>
    <n v="14.18"/>
    <d v="2025-08-17T00:00:00"/>
    <s v="Head Office Café"/>
    <n v="0.11"/>
    <n v="54.005200000000002"/>
  </r>
  <r>
    <s v="O00265"/>
    <s v="BXO6QJ"/>
    <n v="2"/>
    <n v="20.11"/>
    <s v="Beverage"/>
    <n v="8"/>
    <d v="2025-08-17T00:00:00"/>
    <s v="Head Office Café"/>
    <n v="0.11"/>
    <n v="35.7958"/>
  </r>
  <r>
    <s v="O00265"/>
    <s v="HH1DNM"/>
    <n v="2"/>
    <n v="246.09"/>
    <s v="Hot Meal"/>
    <n v="112.08"/>
    <d v="2025-08-17T00:00:00"/>
    <s v="Head Office Café"/>
    <n v="0.11"/>
    <n v="438.04020000000003"/>
  </r>
  <r>
    <s v="O00266"/>
    <s v="D9T84A"/>
    <n v="2"/>
    <n v="116.8"/>
    <s v="Dessert"/>
    <n v="48.97"/>
    <d v="2025-07-22T00:00:00"/>
    <s v="Head Office Café"/>
    <n v="0.04"/>
    <n v="224.256"/>
  </r>
  <r>
    <s v="O00266"/>
    <s v="HXAJI0"/>
    <n v="1"/>
    <n v="227.61"/>
    <s v="Hot Meal"/>
    <n v="96.22"/>
    <d v="2025-07-22T00:00:00"/>
    <s v="Head Office Café"/>
    <n v="0.04"/>
    <n v="218.50560000000002"/>
  </r>
  <r>
    <s v="O00267"/>
    <s v="HXAJI0"/>
    <n v="1"/>
    <n v="227.61"/>
    <s v="Hot Meal"/>
    <n v="96.22"/>
    <d v="2025-07-12T00:00:00"/>
    <s v="Plant 2 Canteen"/>
    <n v="0.08"/>
    <n v="209.40120000000002"/>
  </r>
  <r>
    <s v="O00267"/>
    <s v="HH1DNM"/>
    <n v="1"/>
    <n v="246.09"/>
    <s v="Hot Meal"/>
    <n v="112.08"/>
    <d v="2025-07-12T00:00:00"/>
    <s v="Plant 2 Canteen"/>
    <n v="0.08"/>
    <n v="226.40280000000001"/>
  </r>
  <r>
    <s v="O00267"/>
    <s v="BXO6QJ"/>
    <n v="1"/>
    <n v="20.11"/>
    <s v="Beverage"/>
    <n v="8"/>
    <d v="2025-07-12T00:00:00"/>
    <s v="Plant 2 Canteen"/>
    <n v="0.08"/>
    <n v="18.501200000000001"/>
  </r>
  <r>
    <s v="O00267"/>
    <s v="B0T0PV"/>
    <n v="3"/>
    <n v="28.43"/>
    <s v="Beverage"/>
    <n v="13.89"/>
    <d v="2025-07-12T00:00:00"/>
    <s v="Plant 2 Canteen"/>
    <n v="0.08"/>
    <n v="78.466799999999992"/>
  </r>
  <r>
    <s v="O00268"/>
    <s v="S5NQ4F"/>
    <n v="1"/>
    <n v="50.19"/>
    <s v="Snack"/>
    <n v="22.61"/>
    <d v="2025-08-21T00:00:00"/>
    <s v="Head Office Café"/>
    <n v="0.05"/>
    <n v="47.680499999999995"/>
  </r>
  <r>
    <s v="O00268"/>
    <s v="HDPBHS"/>
    <n v="3"/>
    <n v="256.91000000000003"/>
    <s v="Hot Meal"/>
    <n v="121.24"/>
    <d v="2025-08-21T00:00:00"/>
    <s v="Head Office Café"/>
    <n v="0.05"/>
    <n v="732.19349999999997"/>
  </r>
  <r>
    <s v="O00268"/>
    <s v="DYTJXE"/>
    <n v="3"/>
    <n v="57.07"/>
    <s v="Dessert"/>
    <n v="29.14"/>
    <d v="2025-08-21T00:00:00"/>
    <s v="Head Office Café"/>
    <n v="0.05"/>
    <n v="162.64949999999999"/>
  </r>
  <r>
    <s v="O00269"/>
    <s v="HDPBHS"/>
    <n v="3"/>
    <n v="256.91000000000003"/>
    <s v="Hot Meal"/>
    <n v="121.24"/>
    <d v="2025-08-08T00:00:00"/>
    <s v="Head Office Café"/>
    <n v="0.05"/>
    <n v="732.19349999999997"/>
  </r>
  <r>
    <s v="O00269"/>
    <s v="B0T0PV"/>
    <n v="1"/>
    <n v="28.43"/>
    <s v="Beverage"/>
    <n v="13.89"/>
    <d v="2025-08-08T00:00:00"/>
    <s v="Head Office Café"/>
    <n v="0.05"/>
    <n v="27.008499999999998"/>
  </r>
  <r>
    <s v="O00269"/>
    <s v="HXAJI0"/>
    <n v="1"/>
    <n v="227.61"/>
    <s v="Hot Meal"/>
    <n v="96.22"/>
    <d v="2025-08-08T00:00:00"/>
    <s v="Head Office Café"/>
    <n v="0.05"/>
    <n v="216.2295"/>
  </r>
  <r>
    <s v="O00269"/>
    <s v="SCKW5N"/>
    <n v="2"/>
    <n v="70.540000000000006"/>
    <s v="Snack"/>
    <n v="35.81"/>
    <d v="2025-08-08T00:00:00"/>
    <s v="Head Office Café"/>
    <n v="0.05"/>
    <n v="134.02600000000001"/>
  </r>
  <r>
    <s v="O00270"/>
    <s v="HH1DNM"/>
    <n v="3"/>
    <n v="246.09"/>
    <s v="Hot Meal"/>
    <n v="112.08"/>
    <d v="2025-07-30T00:00:00"/>
    <s v="Plant 1 Canteen"/>
    <n v="0.1"/>
    <n v="664.44299999999998"/>
  </r>
  <r>
    <s v="O00270"/>
    <s v="HDPBHS"/>
    <n v="3"/>
    <n v="256.91000000000003"/>
    <s v="Hot Meal"/>
    <n v="121.24"/>
    <d v="2025-07-30T00:00:00"/>
    <s v="Plant 1 Canteen"/>
    <n v="0.1"/>
    <n v="693.65700000000004"/>
  </r>
  <r>
    <s v="O00270"/>
    <s v="SCKW5N"/>
    <n v="2"/>
    <n v="70.540000000000006"/>
    <s v="Snack"/>
    <n v="35.81"/>
    <d v="2025-07-30T00:00:00"/>
    <s v="Plant 1 Canteen"/>
    <n v="0.1"/>
    <n v="126.97200000000001"/>
  </r>
  <r>
    <s v="O00271"/>
    <s v="BHL1C3"/>
    <n v="1"/>
    <n v="22.2"/>
    <s v="Beverage"/>
    <n v="9.3800000000000008"/>
    <d v="2025-08-02T00:00:00"/>
    <s v="Plant 1 Canteen"/>
    <n v="0.09"/>
    <n v="20.202000000000002"/>
  </r>
  <r>
    <s v="O00271"/>
    <s v="DH9SDB"/>
    <n v="1"/>
    <n v="76.55"/>
    <s v="Dessert"/>
    <n v="38.229999999999997"/>
    <d v="2025-08-02T00:00:00"/>
    <s v="Plant 1 Canteen"/>
    <n v="0.09"/>
    <n v="69.660499999999999"/>
  </r>
  <r>
    <s v="O00271"/>
    <s v="DFFYVN"/>
    <n v="1"/>
    <n v="54.2"/>
    <s v="Dessert"/>
    <n v="21.95"/>
    <d v="2025-08-02T00:00:00"/>
    <s v="Plant 1 Canteen"/>
    <n v="0.09"/>
    <n v="49.322000000000003"/>
  </r>
  <r>
    <s v="O00272"/>
    <s v="HUZZPQ"/>
    <n v="1"/>
    <n v="146.4"/>
    <s v="Hot Meal"/>
    <n v="80.92"/>
    <d v="2025-07-18T00:00:00"/>
    <s v="Plant 1 Canteen"/>
    <n v="0.09"/>
    <n v="133.22400000000002"/>
  </r>
  <r>
    <s v="O00272"/>
    <s v="BHL1C3"/>
    <n v="3"/>
    <n v="22.2"/>
    <s v="Beverage"/>
    <n v="9.3800000000000008"/>
    <d v="2025-07-18T00:00:00"/>
    <s v="Plant 1 Canteen"/>
    <n v="0.09"/>
    <n v="60.605999999999995"/>
  </r>
  <r>
    <s v="O00272"/>
    <s v="SZBIKC"/>
    <n v="1"/>
    <n v="38.06"/>
    <s v="Snack"/>
    <n v="19.55"/>
    <d v="2025-07-18T00:00:00"/>
    <s v="Plant 1 Canteen"/>
    <n v="0.09"/>
    <n v="34.634600000000006"/>
  </r>
  <r>
    <s v="O00273"/>
    <s v="D9T84A"/>
    <n v="3"/>
    <n v="116.8"/>
    <s v="Dessert"/>
    <n v="48.97"/>
    <d v="2025-08-18T00:00:00"/>
    <s v="Head Office Café"/>
    <n v="0.11"/>
    <n v="311.85599999999999"/>
  </r>
  <r>
    <s v="O00274"/>
    <s v="SZBIKC"/>
    <n v="1"/>
    <n v="38.06"/>
    <s v="Snack"/>
    <n v="19.55"/>
    <d v="2025-08-08T00:00:00"/>
    <s v="Head Office Café"/>
    <n v="0.06"/>
    <n v="35.776400000000002"/>
  </r>
  <r>
    <s v="O00274"/>
    <s v="BHL1C3"/>
    <n v="1"/>
    <n v="22.2"/>
    <s v="Beverage"/>
    <n v="9.3800000000000008"/>
    <d v="2025-08-08T00:00:00"/>
    <s v="Head Office Café"/>
    <n v="0.06"/>
    <n v="20.867999999999999"/>
  </r>
  <r>
    <s v="O00274"/>
    <s v="S5NQ4F"/>
    <n v="2"/>
    <n v="50.19"/>
    <s v="Snack"/>
    <n v="22.61"/>
    <d v="2025-08-08T00:00:00"/>
    <s v="Head Office Café"/>
    <n v="0.06"/>
    <n v="94.357199999999992"/>
  </r>
  <r>
    <s v="O00274"/>
    <s v="HDPBHS"/>
    <n v="2"/>
    <n v="256.91000000000003"/>
    <s v="Hot Meal"/>
    <n v="121.24"/>
    <d v="2025-08-08T00:00:00"/>
    <s v="Head Office Café"/>
    <n v="0.06"/>
    <n v="482.99080000000004"/>
  </r>
  <r>
    <s v="O00275"/>
    <s v="BTIQJ7"/>
    <n v="2"/>
    <n v="30.34"/>
    <s v="Beverage"/>
    <n v="14.18"/>
    <d v="2025-08-14T00:00:00"/>
    <s v="Plant 1 Canteen"/>
    <n v="0.09"/>
    <n v="55.218800000000002"/>
  </r>
  <r>
    <s v="O00275"/>
    <s v="H3A3ZM"/>
    <n v="2"/>
    <n v="170.83"/>
    <s v="Hot Meal"/>
    <n v="74.069999999999993"/>
    <d v="2025-08-14T00:00:00"/>
    <s v="Plant 1 Canteen"/>
    <n v="0.09"/>
    <n v="310.91060000000004"/>
  </r>
  <r>
    <s v="O00275"/>
    <s v="D9T84A"/>
    <n v="3"/>
    <n v="116.8"/>
    <s v="Dessert"/>
    <n v="48.97"/>
    <d v="2025-08-14T00:00:00"/>
    <s v="Plant 1 Canteen"/>
    <n v="0.09"/>
    <n v="318.86399999999998"/>
  </r>
  <r>
    <s v="O00275"/>
    <s v="S5NQ4F"/>
    <n v="3"/>
    <n v="50.19"/>
    <s v="Snack"/>
    <n v="22.61"/>
    <d v="2025-08-14T00:00:00"/>
    <s v="Plant 1 Canteen"/>
    <n v="0.09"/>
    <n v="137.0187"/>
  </r>
  <r>
    <s v="O00276"/>
    <s v="SZBIKC"/>
    <n v="1"/>
    <n v="38.06"/>
    <s v="Snack"/>
    <n v="19.55"/>
    <d v="2025-08-25T00:00:00"/>
    <s v="Plant 2 Canteen"/>
    <n v="0.05"/>
    <n v="36.157000000000004"/>
  </r>
  <r>
    <s v="O00276"/>
    <s v="BXO6QJ"/>
    <n v="2"/>
    <n v="20.11"/>
    <s v="Beverage"/>
    <n v="8"/>
    <d v="2025-08-25T00:00:00"/>
    <s v="Plant 2 Canteen"/>
    <n v="0.05"/>
    <n v="38.208999999999996"/>
  </r>
  <r>
    <s v="O00276"/>
    <s v="D9T84A"/>
    <n v="3"/>
    <n v="116.8"/>
    <s v="Dessert"/>
    <n v="48.97"/>
    <d v="2025-08-25T00:00:00"/>
    <s v="Plant 2 Canteen"/>
    <n v="0.05"/>
    <n v="332.87999999999994"/>
  </r>
  <r>
    <s v="O00277"/>
    <s v="SZBIKC"/>
    <n v="1"/>
    <n v="38.06"/>
    <s v="Snack"/>
    <n v="19.55"/>
    <d v="2025-07-29T00:00:00"/>
    <s v="Plant 1 Canteen"/>
    <n v="7.0000000000000007E-2"/>
    <n v="35.395800000000001"/>
  </r>
  <r>
    <s v="O00277"/>
    <s v="SV30T9"/>
    <n v="1"/>
    <n v="39.950000000000003"/>
    <s v="Snack"/>
    <n v="15.51"/>
    <d v="2025-07-29T00:00:00"/>
    <s v="Plant 1 Canteen"/>
    <n v="7.0000000000000007E-2"/>
    <n v="37.153500000000001"/>
  </r>
  <r>
    <s v="O00278"/>
    <s v="H3A3ZM"/>
    <n v="1"/>
    <n v="170.83"/>
    <s v="Hot Meal"/>
    <n v="74.069999999999993"/>
    <d v="2025-07-17T00:00:00"/>
    <s v="Head Office Café"/>
    <n v="0.05"/>
    <n v="162.2885"/>
  </r>
  <r>
    <s v="O00278"/>
    <s v="BTIQJ7"/>
    <n v="1"/>
    <n v="30.34"/>
    <s v="Beverage"/>
    <n v="14.18"/>
    <d v="2025-07-17T00:00:00"/>
    <s v="Head Office Café"/>
    <n v="0.05"/>
    <n v="28.822999999999997"/>
  </r>
  <r>
    <s v="O00278"/>
    <s v="D9T84A"/>
    <n v="2"/>
    <n v="116.8"/>
    <s v="Dessert"/>
    <n v="48.97"/>
    <d v="2025-07-17T00:00:00"/>
    <s v="Head Office Café"/>
    <n v="0.05"/>
    <n v="221.92"/>
  </r>
  <r>
    <s v="O00279"/>
    <s v="BTIQJ7"/>
    <n v="1"/>
    <n v="30.34"/>
    <s v="Beverage"/>
    <n v="14.18"/>
    <d v="2025-07-09T00:00:00"/>
    <s v="Plant 2 Canteen"/>
    <n v="0.06"/>
    <n v="28.519599999999997"/>
  </r>
  <r>
    <s v="O00280"/>
    <s v="B0T0PV"/>
    <n v="1"/>
    <n v="28.43"/>
    <s v="Beverage"/>
    <n v="13.89"/>
    <d v="2025-08-27T00:00:00"/>
    <s v="Plant 2 Canteen"/>
    <n v="0.08"/>
    <n v="26.1556"/>
  </r>
  <r>
    <s v="O00280"/>
    <s v="BTIQJ7"/>
    <n v="3"/>
    <n v="30.34"/>
    <s v="Beverage"/>
    <n v="14.18"/>
    <d v="2025-08-27T00:00:00"/>
    <s v="Plant 2 Canteen"/>
    <n v="0.08"/>
    <n v="83.738399999999999"/>
  </r>
  <r>
    <s v="O00280"/>
    <s v="H3A3ZM"/>
    <n v="1"/>
    <n v="170.83"/>
    <s v="Hot Meal"/>
    <n v="74.069999999999993"/>
    <d v="2025-08-27T00:00:00"/>
    <s v="Plant 2 Canteen"/>
    <n v="0.08"/>
    <n v="157.16360000000003"/>
  </r>
  <r>
    <s v="O00281"/>
    <s v="BTIQJ7"/>
    <n v="1"/>
    <n v="30.34"/>
    <s v="Beverage"/>
    <n v="14.18"/>
    <d v="2025-07-31T00:00:00"/>
    <s v="Head Office Café"/>
    <n v="0.03"/>
    <n v="29.4298"/>
  </r>
  <r>
    <s v="O00282"/>
    <s v="SV30T9"/>
    <n v="2"/>
    <n v="39.950000000000003"/>
    <s v="Snack"/>
    <n v="15.51"/>
    <d v="2025-07-17T00:00:00"/>
    <s v="Plant 1 Canteen"/>
    <n v="0.14000000000000001"/>
    <n v="68.713999999999999"/>
  </r>
  <r>
    <s v="O00282"/>
    <s v="SCKW5N"/>
    <n v="3"/>
    <n v="70.540000000000006"/>
    <s v="Snack"/>
    <n v="35.81"/>
    <d v="2025-07-17T00:00:00"/>
    <s v="Plant 1 Canteen"/>
    <n v="0.14000000000000001"/>
    <n v="181.9932"/>
  </r>
  <r>
    <s v="O00282"/>
    <s v="BTIQJ7"/>
    <n v="1"/>
    <n v="30.34"/>
    <s v="Beverage"/>
    <n v="14.18"/>
    <d v="2025-07-17T00:00:00"/>
    <s v="Plant 1 Canteen"/>
    <n v="0.14000000000000001"/>
    <n v="26.092399999999998"/>
  </r>
  <r>
    <s v="O00283"/>
    <s v="HXAJI0"/>
    <n v="3"/>
    <n v="227.61"/>
    <s v="Hot Meal"/>
    <n v="96.22"/>
    <d v="2025-08-21T00:00:00"/>
    <s v="Head Office Café"/>
    <n v="0.02"/>
    <n v="669.17340000000002"/>
  </r>
  <r>
    <s v="O00283"/>
    <s v="SV30T9"/>
    <n v="2"/>
    <n v="39.950000000000003"/>
    <s v="Snack"/>
    <n v="15.51"/>
    <d v="2025-08-21T00:00:00"/>
    <s v="Head Office Café"/>
    <n v="0.02"/>
    <n v="78.302000000000007"/>
  </r>
  <r>
    <s v="O00283"/>
    <s v="H3A3ZM"/>
    <n v="2"/>
    <n v="170.83"/>
    <s v="Hot Meal"/>
    <n v="74.069999999999993"/>
    <d v="2025-08-21T00:00:00"/>
    <s v="Head Office Café"/>
    <n v="0.02"/>
    <n v="334.82679999999999"/>
  </r>
  <r>
    <s v="O00283"/>
    <s v="BTIQJ7"/>
    <n v="1"/>
    <n v="30.34"/>
    <s v="Beverage"/>
    <n v="14.18"/>
    <d v="2025-08-21T00:00:00"/>
    <s v="Head Office Café"/>
    <n v="0.02"/>
    <n v="29.7332"/>
  </r>
  <r>
    <s v="O00284"/>
    <s v="DH9SDB"/>
    <n v="1"/>
    <n v="76.55"/>
    <s v="Dessert"/>
    <n v="38.229999999999997"/>
    <d v="2025-07-15T00:00:00"/>
    <s v="Plant 1 Canteen"/>
    <n v="0.01"/>
    <n v="75.784499999999994"/>
  </r>
  <r>
    <s v="O00284"/>
    <s v="S5NQ4F"/>
    <n v="3"/>
    <n v="50.19"/>
    <s v="Snack"/>
    <n v="22.61"/>
    <d v="2025-07-15T00:00:00"/>
    <s v="Plant 1 Canteen"/>
    <n v="0.01"/>
    <n v="149.0643"/>
  </r>
  <r>
    <s v="O00284"/>
    <s v="SHJ7XV"/>
    <n v="2"/>
    <n v="52.45"/>
    <s v="Snack"/>
    <n v="25.8"/>
    <d v="2025-07-15T00:00:00"/>
    <s v="Plant 1 Canteen"/>
    <n v="0.01"/>
    <n v="103.851"/>
  </r>
  <r>
    <s v="O00285"/>
    <s v="DFFYVN"/>
    <n v="1"/>
    <n v="54.2"/>
    <s v="Dessert"/>
    <n v="21.95"/>
    <d v="2025-07-20T00:00:00"/>
    <s v="Plant 1 Canteen"/>
    <n v="0.11"/>
    <n v="48.238000000000007"/>
  </r>
  <r>
    <s v="O00285"/>
    <s v="SHJ7XV"/>
    <n v="1"/>
    <n v="52.45"/>
    <s v="Snack"/>
    <n v="25.8"/>
    <d v="2025-07-20T00:00:00"/>
    <s v="Plant 1 Canteen"/>
    <n v="0.11"/>
    <n v="46.680500000000002"/>
  </r>
  <r>
    <s v="O00285"/>
    <s v="H3A3ZM"/>
    <n v="1"/>
    <n v="170.83"/>
    <s v="Hot Meal"/>
    <n v="74.069999999999993"/>
    <d v="2025-07-20T00:00:00"/>
    <s v="Plant 1 Canteen"/>
    <n v="0.11"/>
    <n v="152.03870000000001"/>
  </r>
  <r>
    <s v="O00285"/>
    <s v="S5NQ4F"/>
    <n v="3"/>
    <n v="50.19"/>
    <s v="Snack"/>
    <n v="22.61"/>
    <d v="2025-07-20T00:00:00"/>
    <s v="Plant 1 Canteen"/>
    <n v="0.11"/>
    <n v="134.00729999999999"/>
  </r>
  <r>
    <s v="O00286"/>
    <s v="DH9SDB"/>
    <n v="2"/>
    <n v="76.55"/>
    <s v="Dessert"/>
    <n v="38.229999999999997"/>
    <d v="2025-07-18T00:00:00"/>
    <s v="Head Office Café"/>
    <n v="0.09"/>
    <n v="139.321"/>
  </r>
  <r>
    <s v="O00286"/>
    <s v="H3A3ZM"/>
    <n v="1"/>
    <n v="170.83"/>
    <s v="Hot Meal"/>
    <n v="74.069999999999993"/>
    <d v="2025-07-18T00:00:00"/>
    <s v="Head Office Café"/>
    <n v="0.09"/>
    <n v="155.45530000000002"/>
  </r>
  <r>
    <s v="O00287"/>
    <s v="HUZZPQ"/>
    <n v="1"/>
    <n v="146.4"/>
    <s v="Hot Meal"/>
    <n v="80.92"/>
    <d v="2025-08-25T00:00:00"/>
    <s v="Head Office Café"/>
    <n v="0.08"/>
    <n v="134.68800000000002"/>
  </r>
  <r>
    <s v="O00287"/>
    <s v="HDPBHS"/>
    <n v="1"/>
    <n v="256.91000000000003"/>
    <s v="Hot Meal"/>
    <n v="121.24"/>
    <d v="2025-08-25T00:00:00"/>
    <s v="Head Office Café"/>
    <n v="0.08"/>
    <n v="236.35720000000003"/>
  </r>
  <r>
    <s v="O00288"/>
    <s v="H3A3ZM"/>
    <n v="1"/>
    <n v="170.83"/>
    <s v="Hot Meal"/>
    <n v="74.069999999999993"/>
    <d v="2025-07-31T00:00:00"/>
    <s v="Plant 1 Canteen"/>
    <n v="0.09"/>
    <n v="155.45530000000002"/>
  </r>
  <r>
    <s v="O00288"/>
    <s v="SHJ7XV"/>
    <n v="2"/>
    <n v="52.45"/>
    <s v="Snack"/>
    <n v="25.8"/>
    <d v="2025-07-31T00:00:00"/>
    <s v="Plant 1 Canteen"/>
    <n v="0.09"/>
    <n v="95.459000000000003"/>
  </r>
  <r>
    <s v="O00288"/>
    <s v="BHL1C3"/>
    <n v="2"/>
    <n v="22.2"/>
    <s v="Beverage"/>
    <n v="9.3800000000000008"/>
    <d v="2025-07-31T00:00:00"/>
    <s v="Plant 1 Canteen"/>
    <n v="0.09"/>
    <n v="40.404000000000003"/>
  </r>
  <r>
    <s v="O00289"/>
    <s v="SCKW5N"/>
    <n v="3"/>
    <n v="70.540000000000006"/>
    <s v="Snack"/>
    <n v="35.81"/>
    <d v="2025-08-13T00:00:00"/>
    <s v="Head Office Café"/>
    <n v="0.06"/>
    <n v="198.9228"/>
  </r>
  <r>
    <s v="O00289"/>
    <s v="BXO6QJ"/>
    <n v="1"/>
    <n v="20.11"/>
    <s v="Beverage"/>
    <n v="8"/>
    <d v="2025-08-13T00:00:00"/>
    <s v="Head Office Café"/>
    <n v="0.06"/>
    <n v="18.903399999999998"/>
  </r>
  <r>
    <s v="O00289"/>
    <s v="DH9SDB"/>
    <n v="1"/>
    <n v="76.55"/>
    <s v="Dessert"/>
    <n v="38.229999999999997"/>
    <d v="2025-08-13T00:00:00"/>
    <s v="Head Office Café"/>
    <n v="0.06"/>
    <n v="71.956999999999994"/>
  </r>
  <r>
    <s v="O00290"/>
    <s v="BOC6UZ"/>
    <n v="1"/>
    <n v="32.979999999999997"/>
    <s v="Beverage"/>
    <n v="11.84"/>
    <d v="2025-08-04T00:00:00"/>
    <s v="Head Office Café"/>
    <n v="0.02"/>
    <n v="32.320399999999999"/>
  </r>
  <r>
    <s v="O00290"/>
    <s v="BXO6QJ"/>
    <n v="1"/>
    <n v="20.11"/>
    <s v="Beverage"/>
    <n v="8"/>
    <d v="2025-08-04T00:00:00"/>
    <s v="Head Office Café"/>
    <n v="0.02"/>
    <n v="19.707799999999999"/>
  </r>
  <r>
    <s v="O00291"/>
    <s v="HDPBHS"/>
    <n v="2"/>
    <n v="256.91000000000003"/>
    <s v="Hot Meal"/>
    <n v="121.24"/>
    <d v="2025-08-14T00:00:00"/>
    <s v="Plant 1 Canteen"/>
    <n v="0.06"/>
    <n v="482.99080000000004"/>
  </r>
  <r>
    <s v="O00292"/>
    <s v="BXO6QJ"/>
    <n v="1"/>
    <n v="20.11"/>
    <s v="Beverage"/>
    <n v="8"/>
    <d v="2025-07-08T00:00:00"/>
    <s v="Head Office Café"/>
    <n v="0.03"/>
    <n v="19.506699999999999"/>
  </r>
  <r>
    <s v="O00292"/>
    <s v="BTIQJ7"/>
    <n v="2"/>
    <n v="30.34"/>
    <s v="Beverage"/>
    <n v="14.18"/>
    <d v="2025-07-08T00:00:00"/>
    <s v="Head Office Café"/>
    <n v="0.03"/>
    <n v="58.8596"/>
  </r>
  <r>
    <s v="O00293"/>
    <s v="HXAJI0"/>
    <n v="2"/>
    <n v="227.61"/>
    <s v="Hot Meal"/>
    <n v="96.22"/>
    <d v="2025-08-07T00:00:00"/>
    <s v="Plant 2 Canteen"/>
    <n v="0.1"/>
    <n v="409.69800000000004"/>
  </r>
  <r>
    <s v="O00293"/>
    <s v="BTIQJ7"/>
    <n v="2"/>
    <n v="30.34"/>
    <s v="Beverage"/>
    <n v="14.18"/>
    <d v="2025-08-07T00:00:00"/>
    <s v="Plant 2 Canteen"/>
    <n v="0.1"/>
    <n v="54.612000000000002"/>
  </r>
  <r>
    <s v="O00294"/>
    <s v="B0T0PV"/>
    <n v="2"/>
    <n v="28.43"/>
    <s v="Beverage"/>
    <n v="13.89"/>
    <d v="2025-08-13T00:00:00"/>
    <s v="Head Office Café"/>
    <n v="0.05"/>
    <n v="54.016999999999996"/>
  </r>
  <r>
    <s v="O00295"/>
    <s v="DYTJXE"/>
    <n v="1"/>
    <n v="57.07"/>
    <s v="Dessert"/>
    <n v="29.14"/>
    <d v="2025-08-28T00:00:00"/>
    <s v="Plant 2 Canteen"/>
    <n v="0.03"/>
    <n v="55.357900000000001"/>
  </r>
  <r>
    <s v="O00295"/>
    <s v="BHL1C3"/>
    <n v="1"/>
    <n v="22.2"/>
    <s v="Beverage"/>
    <n v="9.3800000000000008"/>
    <d v="2025-08-28T00:00:00"/>
    <s v="Plant 2 Canteen"/>
    <n v="0.03"/>
    <n v="21.533999999999999"/>
  </r>
  <r>
    <s v="O00296"/>
    <s v="S5NQ4F"/>
    <n v="1"/>
    <n v="50.19"/>
    <s v="Snack"/>
    <n v="22.61"/>
    <d v="2025-08-13T00:00:00"/>
    <s v="Plant 1 Canteen"/>
    <n v="0.05"/>
    <n v="47.680499999999995"/>
  </r>
  <r>
    <s v="O00296"/>
    <s v="SV30T9"/>
    <n v="3"/>
    <n v="39.950000000000003"/>
    <s v="Snack"/>
    <n v="15.51"/>
    <d v="2025-08-13T00:00:00"/>
    <s v="Plant 1 Canteen"/>
    <n v="0.05"/>
    <n v="113.8575"/>
  </r>
  <r>
    <s v="O00297"/>
    <s v="SCKW5N"/>
    <n v="3"/>
    <n v="70.540000000000006"/>
    <s v="Snack"/>
    <n v="35.81"/>
    <d v="2025-08-19T00:00:00"/>
    <s v="Head Office Café"/>
    <n v="0.08"/>
    <n v="194.69040000000001"/>
  </r>
  <r>
    <s v="O00298"/>
    <s v="HDPBHS"/>
    <n v="1"/>
    <n v="256.91000000000003"/>
    <s v="Hot Meal"/>
    <n v="121.24"/>
    <d v="2025-08-12T00:00:00"/>
    <s v="Plant 2 Canteen"/>
    <n v="0.04"/>
    <n v="246.6336"/>
  </r>
  <r>
    <s v="O00299"/>
    <s v="SZBIKC"/>
    <n v="1"/>
    <n v="38.06"/>
    <s v="Snack"/>
    <n v="19.55"/>
    <d v="2025-08-05T00:00:00"/>
    <s v="Plant 2 Canteen"/>
    <n v="0.03"/>
    <n v="36.918199999999999"/>
  </r>
  <r>
    <s v="O00299"/>
    <s v="D9T84A"/>
    <n v="1"/>
    <n v="116.8"/>
    <s v="Dessert"/>
    <n v="48.97"/>
    <d v="2025-08-05T00:00:00"/>
    <s v="Plant 2 Canteen"/>
    <n v="0.03"/>
    <n v="113.29599999999999"/>
  </r>
  <r>
    <s v="O00299"/>
    <s v="HUZZPQ"/>
    <n v="2"/>
    <n v="146.4"/>
    <s v="Hot Meal"/>
    <n v="80.92"/>
    <d v="2025-08-05T00:00:00"/>
    <s v="Plant 2 Canteen"/>
    <n v="0.03"/>
    <n v="284.01600000000002"/>
  </r>
  <r>
    <s v="O00299"/>
    <s v="BXO6QJ"/>
    <n v="1"/>
    <n v="20.11"/>
    <s v="Beverage"/>
    <n v="8"/>
    <d v="2025-08-05T00:00:00"/>
    <s v="Plant 2 Canteen"/>
    <n v="0.03"/>
    <n v="19.506699999999999"/>
  </r>
  <r>
    <s v="O00300"/>
    <s v="DFFYVN"/>
    <n v="1"/>
    <n v="54.2"/>
    <s v="Dessert"/>
    <n v="21.95"/>
    <d v="2025-08-03T00:00:00"/>
    <s v="Head Office Café"/>
    <n v="7.0000000000000007E-2"/>
    <n v="50.405999999999999"/>
  </r>
  <r>
    <s v="O00300"/>
    <s v="HH1DNM"/>
    <n v="1"/>
    <n v="246.09"/>
    <s v="Hot Meal"/>
    <n v="112.08"/>
    <d v="2025-08-03T00:00:00"/>
    <s v="Head Office Café"/>
    <n v="7.0000000000000007E-2"/>
    <n v="228.86369999999999"/>
  </r>
  <r>
    <s v="O00300"/>
    <s v="SHJ7XV"/>
    <n v="2"/>
    <n v="52.45"/>
    <s v="Snack"/>
    <n v="25.8"/>
    <d v="2025-08-03T00:00:00"/>
    <s v="Head Office Café"/>
    <n v="7.0000000000000007E-2"/>
    <n v="97.557000000000002"/>
  </r>
  <r>
    <s v="O00301"/>
    <s v="SV30T9"/>
    <n v="3"/>
    <n v="39.950000000000003"/>
    <s v="Snack"/>
    <n v="15.51"/>
    <d v="2025-07-07T00:00:00"/>
    <s v="Plant 2 Canteen"/>
    <n v="7.0000000000000007E-2"/>
    <n v="111.4605"/>
  </r>
  <r>
    <s v="O00301"/>
    <s v="DH9SDB"/>
    <n v="1"/>
    <n v="76.55"/>
    <s v="Dessert"/>
    <n v="38.229999999999997"/>
    <d v="2025-07-07T00:00:00"/>
    <s v="Plant 2 Canteen"/>
    <n v="7.0000000000000007E-2"/>
    <n v="71.191499999999991"/>
  </r>
  <r>
    <s v="O00301"/>
    <s v="DFFYVN"/>
    <n v="2"/>
    <n v="54.2"/>
    <s v="Dessert"/>
    <n v="21.95"/>
    <d v="2025-07-07T00:00:00"/>
    <s v="Plant 2 Canteen"/>
    <n v="7.0000000000000007E-2"/>
    <n v="100.812"/>
  </r>
  <r>
    <s v="O00301"/>
    <s v="SCKW5N"/>
    <n v="1"/>
    <n v="70.540000000000006"/>
    <s v="Snack"/>
    <n v="35.81"/>
    <d v="2025-07-07T00:00:00"/>
    <s v="Plant 2 Canteen"/>
    <n v="7.0000000000000007E-2"/>
    <n v="65.602199999999996"/>
  </r>
  <r>
    <s v="O00302"/>
    <s v="BHL1C3"/>
    <n v="3"/>
    <n v="22.2"/>
    <s v="Beverage"/>
    <n v="9.3800000000000008"/>
    <d v="2025-07-28T00:00:00"/>
    <s v="Plant 2 Canteen"/>
    <n v="0.04"/>
    <n v="63.935999999999993"/>
  </r>
  <r>
    <s v="O00303"/>
    <s v="SV30T9"/>
    <n v="2"/>
    <n v="39.950000000000003"/>
    <s v="Snack"/>
    <n v="15.51"/>
    <d v="2025-08-02T00:00:00"/>
    <s v="Plant 1 Canteen"/>
    <n v="0.04"/>
    <n v="76.704000000000008"/>
  </r>
  <r>
    <s v="O00303"/>
    <s v="SZBIKC"/>
    <n v="2"/>
    <n v="38.06"/>
    <s v="Snack"/>
    <n v="19.55"/>
    <d v="2025-08-02T00:00:00"/>
    <s v="Plant 1 Canteen"/>
    <n v="0.04"/>
    <n v="73.075199999999995"/>
  </r>
  <r>
    <s v="O00304"/>
    <s v="BOC6UZ"/>
    <n v="1"/>
    <n v="32.979999999999997"/>
    <s v="Beverage"/>
    <n v="11.84"/>
    <d v="2025-08-04T00:00:00"/>
    <s v="Plant 2 Canteen"/>
    <n v="7.0000000000000007E-2"/>
    <n v="30.671399999999995"/>
  </r>
  <r>
    <s v="O00305"/>
    <s v="SV30T9"/>
    <n v="2"/>
    <n v="39.950000000000003"/>
    <s v="Snack"/>
    <n v="15.51"/>
    <d v="2025-07-13T00:00:00"/>
    <s v="Head Office Café"/>
    <n v="0"/>
    <n v="79.900000000000006"/>
  </r>
  <r>
    <s v="O00305"/>
    <s v="HH1DNM"/>
    <n v="2"/>
    <n v="246.09"/>
    <s v="Hot Meal"/>
    <n v="112.08"/>
    <d v="2025-07-13T00:00:00"/>
    <s v="Head Office Café"/>
    <n v="0"/>
    <n v="492.18"/>
  </r>
  <r>
    <s v="O00306"/>
    <s v="S5NQ4F"/>
    <n v="1"/>
    <n v="50.19"/>
    <s v="Snack"/>
    <n v="22.61"/>
    <d v="2025-08-24T00:00:00"/>
    <s v="Plant 2 Canteen"/>
    <n v="0"/>
    <n v="50.19"/>
  </r>
  <r>
    <s v="O00306"/>
    <s v="BXO6QJ"/>
    <n v="1"/>
    <n v="20.11"/>
    <s v="Beverage"/>
    <n v="8"/>
    <d v="2025-08-24T00:00:00"/>
    <s v="Plant 2 Canteen"/>
    <n v="0"/>
    <n v="20.11"/>
  </r>
  <r>
    <s v="O00306"/>
    <s v="H3A3ZM"/>
    <n v="1"/>
    <n v="170.83"/>
    <s v="Hot Meal"/>
    <n v="74.069999999999993"/>
    <d v="2025-08-24T00:00:00"/>
    <s v="Plant 2 Canteen"/>
    <n v="0"/>
    <n v="170.83"/>
  </r>
  <r>
    <s v="O00306"/>
    <s v="HUZZPQ"/>
    <n v="3"/>
    <n v="146.4"/>
    <s v="Hot Meal"/>
    <n v="80.92"/>
    <d v="2025-08-24T00:00:00"/>
    <s v="Plant 2 Canteen"/>
    <n v="0"/>
    <n v="439.20000000000005"/>
  </r>
  <r>
    <s v="O00307"/>
    <s v="DH9SDB"/>
    <n v="1"/>
    <n v="76.55"/>
    <s v="Dessert"/>
    <n v="38.229999999999997"/>
    <d v="2025-08-21T00:00:00"/>
    <s v="Plant 1 Canteen"/>
    <n v="0.03"/>
    <n v="74.253499999999988"/>
  </r>
  <r>
    <s v="O00307"/>
    <s v="HH1DNM"/>
    <n v="1"/>
    <n v="246.09"/>
    <s v="Hot Meal"/>
    <n v="112.08"/>
    <d v="2025-08-21T00:00:00"/>
    <s v="Plant 1 Canteen"/>
    <n v="0.03"/>
    <n v="238.7073"/>
  </r>
  <r>
    <s v="O00307"/>
    <s v="BHL1C3"/>
    <n v="2"/>
    <n v="22.2"/>
    <s v="Beverage"/>
    <n v="9.3800000000000008"/>
    <d v="2025-08-21T00:00:00"/>
    <s v="Plant 1 Canteen"/>
    <n v="0.03"/>
    <n v="43.067999999999998"/>
  </r>
  <r>
    <s v="O00307"/>
    <s v="BTIQJ7"/>
    <n v="2"/>
    <n v="30.34"/>
    <s v="Beverage"/>
    <n v="14.18"/>
    <d v="2025-08-21T00:00:00"/>
    <s v="Plant 1 Canteen"/>
    <n v="0.03"/>
    <n v="58.8596"/>
  </r>
  <r>
    <s v="O00308"/>
    <s v="HDPBHS"/>
    <n v="1"/>
    <n v="256.91000000000003"/>
    <s v="Hot Meal"/>
    <n v="121.24"/>
    <d v="2025-08-19T00:00:00"/>
    <s v="Plant 2 Canteen"/>
    <n v="0.05"/>
    <n v="244.06450000000001"/>
  </r>
  <r>
    <s v="O00308"/>
    <s v="DFFYVN"/>
    <n v="3"/>
    <n v="54.2"/>
    <s v="Dessert"/>
    <n v="21.95"/>
    <d v="2025-08-19T00:00:00"/>
    <s v="Plant 2 Canteen"/>
    <n v="0.05"/>
    <n v="154.47000000000003"/>
  </r>
  <r>
    <s v="O00308"/>
    <s v="D9T84A"/>
    <n v="1"/>
    <n v="116.8"/>
    <s v="Dessert"/>
    <n v="48.97"/>
    <d v="2025-08-19T00:00:00"/>
    <s v="Plant 2 Canteen"/>
    <n v="0.05"/>
    <n v="110.96"/>
  </r>
  <r>
    <s v="O00308"/>
    <s v="HH1DNM"/>
    <n v="2"/>
    <n v="246.09"/>
    <s v="Hot Meal"/>
    <n v="112.08"/>
    <d v="2025-08-19T00:00:00"/>
    <s v="Plant 2 Canteen"/>
    <n v="0.05"/>
    <n v="467.57099999999997"/>
  </r>
  <r>
    <s v="O00309"/>
    <s v="BOC6UZ"/>
    <n v="1"/>
    <n v="32.979999999999997"/>
    <s v="Beverage"/>
    <n v="11.84"/>
    <d v="2025-07-18T00:00:00"/>
    <s v="Plant 1 Canteen"/>
    <n v="7.0000000000000007E-2"/>
    <n v="30.671399999999995"/>
  </r>
  <r>
    <s v="O00309"/>
    <s v="SZBIKC"/>
    <n v="2"/>
    <n v="38.06"/>
    <s v="Snack"/>
    <n v="19.55"/>
    <d v="2025-07-18T00:00:00"/>
    <s v="Plant 1 Canteen"/>
    <n v="7.0000000000000007E-2"/>
    <n v="70.791600000000003"/>
  </r>
  <r>
    <s v="O00310"/>
    <s v="BXO6QJ"/>
    <n v="1"/>
    <n v="20.11"/>
    <s v="Beverage"/>
    <n v="8"/>
    <d v="2025-07-23T00:00:00"/>
    <s v="Plant 1 Canteen"/>
    <n v="0.12"/>
    <n v="17.6968"/>
  </r>
  <r>
    <s v="O00310"/>
    <s v="DYTJXE"/>
    <n v="2"/>
    <n v="57.07"/>
    <s v="Dessert"/>
    <n v="29.14"/>
    <d v="2025-07-23T00:00:00"/>
    <s v="Plant 1 Canteen"/>
    <n v="0.12"/>
    <n v="100.4432"/>
  </r>
  <r>
    <s v="O00310"/>
    <s v="S5NQ4F"/>
    <n v="1"/>
    <n v="50.19"/>
    <s v="Snack"/>
    <n v="22.61"/>
    <d v="2025-07-23T00:00:00"/>
    <s v="Plant 1 Canteen"/>
    <n v="0.12"/>
    <n v="44.167200000000001"/>
  </r>
  <r>
    <s v="O00311"/>
    <s v="DH9SDB"/>
    <n v="2"/>
    <n v="76.55"/>
    <s v="Dessert"/>
    <n v="38.229999999999997"/>
    <d v="2025-07-11T00:00:00"/>
    <s v="Head Office Café"/>
    <n v="0.09"/>
    <n v="139.321"/>
  </r>
  <r>
    <s v="O00311"/>
    <s v="D9T84A"/>
    <n v="1"/>
    <n v="116.8"/>
    <s v="Dessert"/>
    <n v="48.97"/>
    <d v="2025-07-11T00:00:00"/>
    <s v="Head Office Café"/>
    <n v="0.09"/>
    <n v="106.288"/>
  </r>
  <r>
    <s v="O00311"/>
    <s v="SZBIKC"/>
    <n v="2"/>
    <n v="38.06"/>
    <s v="Snack"/>
    <n v="19.55"/>
    <d v="2025-07-11T00:00:00"/>
    <s v="Head Office Café"/>
    <n v="0.09"/>
    <n v="69.269200000000012"/>
  </r>
  <r>
    <s v="O00312"/>
    <s v="SCKW5N"/>
    <n v="2"/>
    <n v="70.540000000000006"/>
    <s v="Snack"/>
    <n v="35.81"/>
    <d v="2025-07-04T00:00:00"/>
    <s v="Head Office Café"/>
    <n v="0.05"/>
    <n v="134.02600000000001"/>
  </r>
  <r>
    <s v="O00312"/>
    <s v="DH9SDB"/>
    <n v="1"/>
    <n v="76.55"/>
    <s v="Dessert"/>
    <n v="38.229999999999997"/>
    <d v="2025-07-04T00:00:00"/>
    <s v="Head Office Café"/>
    <n v="0.05"/>
    <n v="72.722499999999997"/>
  </r>
  <r>
    <s v="O00312"/>
    <s v="DYTJXE"/>
    <n v="1"/>
    <n v="57.07"/>
    <s v="Dessert"/>
    <n v="29.14"/>
    <d v="2025-07-04T00:00:00"/>
    <s v="Head Office Café"/>
    <n v="0.05"/>
    <n v="54.216499999999996"/>
  </r>
  <r>
    <s v="O00313"/>
    <s v="DFFYVN"/>
    <n v="1"/>
    <n v="54.2"/>
    <s v="Dessert"/>
    <n v="21.95"/>
    <d v="2025-08-28T00:00:00"/>
    <s v="Plant 2 Canteen"/>
    <n v="0.06"/>
    <n v="50.948"/>
  </r>
  <r>
    <s v="O00314"/>
    <s v="BOC6UZ"/>
    <n v="1"/>
    <n v="32.979999999999997"/>
    <s v="Beverage"/>
    <n v="11.84"/>
    <d v="2025-07-17T00:00:00"/>
    <s v="Head Office Café"/>
    <n v="0.02"/>
    <n v="32.320399999999999"/>
  </r>
  <r>
    <s v="O00315"/>
    <s v="DH9SDB"/>
    <n v="3"/>
    <n v="76.55"/>
    <s v="Dessert"/>
    <n v="38.229999999999997"/>
    <d v="2025-08-05T00:00:00"/>
    <s v="Head Office Café"/>
    <n v="0.06"/>
    <n v="215.87099999999995"/>
  </r>
  <r>
    <s v="O00315"/>
    <s v="D9T84A"/>
    <n v="1"/>
    <n v="116.8"/>
    <s v="Dessert"/>
    <n v="48.97"/>
    <d v="2025-08-05T00:00:00"/>
    <s v="Head Office Café"/>
    <n v="0.06"/>
    <n v="109.79199999999999"/>
  </r>
  <r>
    <s v="O00316"/>
    <s v="BHL1C3"/>
    <n v="3"/>
    <n v="22.2"/>
    <s v="Beverage"/>
    <n v="9.3800000000000008"/>
    <d v="2025-08-29T00:00:00"/>
    <s v="Plant 2 Canteen"/>
    <n v="0.05"/>
    <n v="63.269999999999989"/>
  </r>
  <r>
    <s v="O00317"/>
    <s v="SHJ7XV"/>
    <n v="2"/>
    <n v="52.45"/>
    <s v="Snack"/>
    <n v="25.8"/>
    <d v="2025-08-22T00:00:00"/>
    <s v="Plant 1 Canteen"/>
    <n v="7.0000000000000007E-2"/>
    <n v="97.557000000000002"/>
  </r>
  <r>
    <s v="O00317"/>
    <s v="HUZZPQ"/>
    <n v="1"/>
    <n v="146.4"/>
    <s v="Hot Meal"/>
    <n v="80.92"/>
    <d v="2025-08-22T00:00:00"/>
    <s v="Plant 1 Canteen"/>
    <n v="7.0000000000000007E-2"/>
    <n v="136.15199999999999"/>
  </r>
  <r>
    <s v="O00318"/>
    <s v="BOC6UZ"/>
    <n v="3"/>
    <n v="32.979999999999997"/>
    <s v="Beverage"/>
    <n v="11.84"/>
    <d v="2025-08-05T00:00:00"/>
    <s v="Head Office Café"/>
    <n v="0.03"/>
    <n v="95.971800000000002"/>
  </r>
  <r>
    <s v="O00318"/>
    <s v="HUZZPQ"/>
    <n v="1"/>
    <n v="146.4"/>
    <s v="Hot Meal"/>
    <n v="80.92"/>
    <d v="2025-08-05T00:00:00"/>
    <s v="Head Office Café"/>
    <n v="0.03"/>
    <n v="142.00800000000001"/>
  </r>
  <r>
    <s v="O00318"/>
    <s v="DFFYVN"/>
    <n v="2"/>
    <n v="54.2"/>
    <s v="Dessert"/>
    <n v="21.95"/>
    <d v="2025-08-05T00:00:00"/>
    <s v="Head Office Café"/>
    <n v="0.03"/>
    <n v="105.148"/>
  </r>
  <r>
    <s v="O00318"/>
    <s v="BHL1C3"/>
    <n v="2"/>
    <n v="22.2"/>
    <s v="Beverage"/>
    <n v="9.3800000000000008"/>
    <d v="2025-08-05T00:00:00"/>
    <s v="Head Office Café"/>
    <n v="0.03"/>
    <n v="43.067999999999998"/>
  </r>
  <r>
    <s v="O00319"/>
    <s v="BXO6QJ"/>
    <n v="2"/>
    <n v="20.11"/>
    <s v="Beverage"/>
    <n v="8"/>
    <d v="2025-07-28T00:00:00"/>
    <s v="Plant 2 Canteen"/>
    <n v="0.08"/>
    <n v="37.002400000000002"/>
  </r>
  <r>
    <s v="O00319"/>
    <s v="DYTJXE"/>
    <n v="1"/>
    <n v="57.07"/>
    <s v="Dessert"/>
    <n v="29.14"/>
    <d v="2025-07-28T00:00:00"/>
    <s v="Plant 2 Canteen"/>
    <n v="0.08"/>
    <n v="52.504400000000004"/>
  </r>
  <r>
    <s v="O00320"/>
    <s v="H3A3ZM"/>
    <n v="2"/>
    <n v="170.83"/>
    <s v="Hot Meal"/>
    <n v="74.069999999999993"/>
    <d v="2025-07-16T00:00:00"/>
    <s v="Plant 1 Canteen"/>
    <n v="0.12"/>
    <n v="300.66080000000005"/>
  </r>
  <r>
    <s v="O00321"/>
    <s v="SHJ7XV"/>
    <n v="2"/>
    <n v="52.45"/>
    <s v="Snack"/>
    <n v="25.8"/>
    <d v="2025-07-06T00:00:00"/>
    <s v="Head Office Café"/>
    <n v="0.06"/>
    <n v="98.605999999999995"/>
  </r>
  <r>
    <s v="O00321"/>
    <s v="B0T0PV"/>
    <n v="1"/>
    <n v="28.43"/>
    <s v="Beverage"/>
    <n v="13.89"/>
    <d v="2025-07-06T00:00:00"/>
    <s v="Head Office Café"/>
    <n v="0.06"/>
    <n v="26.7242"/>
  </r>
  <r>
    <s v="O00321"/>
    <s v="D9T84A"/>
    <n v="3"/>
    <n v="116.8"/>
    <s v="Dessert"/>
    <n v="48.97"/>
    <d v="2025-07-06T00:00:00"/>
    <s v="Head Office Café"/>
    <n v="0.06"/>
    <n v="329.37599999999998"/>
  </r>
  <r>
    <s v="O00321"/>
    <s v="HUZZPQ"/>
    <n v="1"/>
    <n v="146.4"/>
    <s v="Hot Meal"/>
    <n v="80.92"/>
    <d v="2025-07-06T00:00:00"/>
    <s v="Head Office Café"/>
    <n v="0.06"/>
    <n v="137.61599999999999"/>
  </r>
  <r>
    <s v="O00322"/>
    <s v="HH1DNM"/>
    <n v="1"/>
    <n v="246.09"/>
    <s v="Hot Meal"/>
    <n v="112.08"/>
    <d v="2025-07-11T00:00:00"/>
    <s v="Head Office Café"/>
    <n v="0.08"/>
    <n v="226.40280000000001"/>
  </r>
  <r>
    <s v="O00322"/>
    <s v="BHL1C3"/>
    <n v="2"/>
    <n v="22.2"/>
    <s v="Beverage"/>
    <n v="9.3800000000000008"/>
    <d v="2025-07-11T00:00:00"/>
    <s v="Head Office Café"/>
    <n v="0.08"/>
    <n v="40.847999999999999"/>
  </r>
  <r>
    <s v="O00322"/>
    <s v="B0T0PV"/>
    <n v="3"/>
    <n v="28.43"/>
    <s v="Beverage"/>
    <n v="13.89"/>
    <d v="2025-07-11T00:00:00"/>
    <s v="Head Office Café"/>
    <n v="0.08"/>
    <n v="78.466799999999992"/>
  </r>
  <r>
    <s v="O00322"/>
    <s v="D9T84A"/>
    <n v="3"/>
    <n v="116.8"/>
    <s v="Dessert"/>
    <n v="48.97"/>
    <d v="2025-07-11T00:00:00"/>
    <s v="Head Office Café"/>
    <n v="0.08"/>
    <n v="322.36799999999999"/>
  </r>
  <r>
    <s v="O00323"/>
    <s v="D9T84A"/>
    <n v="1"/>
    <n v="116.8"/>
    <s v="Dessert"/>
    <n v="48.97"/>
    <d v="2025-07-09T00:00:00"/>
    <s v="Plant 1 Canteen"/>
    <n v="0.09"/>
    <n v="106.288"/>
  </r>
  <r>
    <s v="O00323"/>
    <s v="B0T0PV"/>
    <n v="2"/>
    <n v="28.43"/>
    <s v="Beverage"/>
    <n v="13.89"/>
    <d v="2025-07-09T00:00:00"/>
    <s v="Plant 1 Canteen"/>
    <n v="0.09"/>
    <n v="51.742600000000003"/>
  </r>
  <r>
    <s v="O00324"/>
    <s v="HXAJI0"/>
    <n v="1"/>
    <n v="227.61"/>
    <s v="Hot Meal"/>
    <n v="96.22"/>
    <d v="2025-07-15T00:00:00"/>
    <s v="Plant 2 Canteen"/>
    <n v="0.04"/>
    <n v="218.50560000000002"/>
  </r>
  <r>
    <s v="O00324"/>
    <s v="S5NQ4F"/>
    <n v="3"/>
    <n v="50.19"/>
    <s v="Snack"/>
    <n v="22.61"/>
    <d v="2025-07-15T00:00:00"/>
    <s v="Plant 2 Canteen"/>
    <n v="0.04"/>
    <n v="144.54719999999998"/>
  </r>
  <r>
    <s v="O00324"/>
    <s v="SCKW5N"/>
    <n v="2"/>
    <n v="70.540000000000006"/>
    <s v="Snack"/>
    <n v="35.81"/>
    <d v="2025-07-15T00:00:00"/>
    <s v="Plant 2 Canteen"/>
    <n v="0.04"/>
    <n v="135.43680000000001"/>
  </r>
  <r>
    <s v="O00325"/>
    <s v="S5NQ4F"/>
    <n v="1"/>
    <n v="50.19"/>
    <s v="Snack"/>
    <n v="22.61"/>
    <d v="2025-08-04T00:00:00"/>
    <s v="Plant 1 Canteen"/>
    <n v="7.0000000000000007E-2"/>
    <n v="46.676699999999997"/>
  </r>
  <r>
    <s v="O00326"/>
    <s v="BXO6QJ"/>
    <n v="1"/>
    <n v="20.11"/>
    <s v="Beverage"/>
    <n v="8"/>
    <d v="2025-08-18T00:00:00"/>
    <s v="Plant 2 Canteen"/>
    <n v="0.06"/>
    <n v="18.903399999999998"/>
  </r>
  <r>
    <s v="O00327"/>
    <s v="SZBIKC"/>
    <n v="1"/>
    <n v="38.06"/>
    <s v="Snack"/>
    <n v="19.55"/>
    <d v="2025-08-06T00:00:00"/>
    <s v="Plant 1 Canteen"/>
    <n v="0.06"/>
    <n v="35.776400000000002"/>
  </r>
  <r>
    <s v="O00327"/>
    <s v="B0T0PV"/>
    <n v="1"/>
    <n v="28.43"/>
    <s v="Beverage"/>
    <n v="13.89"/>
    <d v="2025-08-06T00:00:00"/>
    <s v="Plant 1 Canteen"/>
    <n v="0.06"/>
    <n v="26.7242"/>
  </r>
  <r>
    <s v="O00327"/>
    <s v="S5NQ4F"/>
    <n v="1"/>
    <n v="50.19"/>
    <s v="Snack"/>
    <n v="22.61"/>
    <d v="2025-08-06T00:00:00"/>
    <s v="Plant 1 Canteen"/>
    <n v="0.06"/>
    <n v="47.178599999999996"/>
  </r>
  <r>
    <s v="O00328"/>
    <s v="HUZZPQ"/>
    <n v="2"/>
    <n v="146.4"/>
    <s v="Hot Meal"/>
    <n v="80.92"/>
    <d v="2025-08-02T00:00:00"/>
    <s v="Plant 1 Canteen"/>
    <n v="0.03"/>
    <n v="284.01600000000002"/>
  </r>
  <r>
    <s v="O00329"/>
    <s v="DFFYVN"/>
    <n v="1"/>
    <n v="54.2"/>
    <s v="Dessert"/>
    <n v="21.95"/>
    <d v="2025-08-16T00:00:00"/>
    <s v="Head Office Café"/>
    <n v="0.06"/>
    <n v="50.948"/>
  </r>
  <r>
    <s v="O00329"/>
    <s v="HUZZPQ"/>
    <n v="3"/>
    <n v="146.4"/>
    <s v="Hot Meal"/>
    <n v="80.92"/>
    <d v="2025-08-16T00:00:00"/>
    <s v="Head Office Café"/>
    <n v="0.06"/>
    <n v="412.84800000000001"/>
  </r>
  <r>
    <s v="O00329"/>
    <s v="SHJ7XV"/>
    <n v="1"/>
    <n v="52.45"/>
    <s v="Snack"/>
    <n v="25.8"/>
    <d v="2025-08-16T00:00:00"/>
    <s v="Head Office Café"/>
    <n v="0.06"/>
    <n v="49.302999999999997"/>
  </r>
  <r>
    <s v="O00330"/>
    <s v="BXO6QJ"/>
    <n v="2"/>
    <n v="20.11"/>
    <s v="Beverage"/>
    <n v="8"/>
    <d v="2025-08-13T00:00:00"/>
    <s v="Head Office Café"/>
    <n v="0.08"/>
    <n v="37.002400000000002"/>
  </r>
  <r>
    <s v="O00330"/>
    <s v="H3A3ZM"/>
    <n v="1"/>
    <n v="170.83"/>
    <s v="Hot Meal"/>
    <n v="74.069999999999993"/>
    <d v="2025-08-13T00:00:00"/>
    <s v="Head Office Café"/>
    <n v="0.08"/>
    <n v="157.16360000000003"/>
  </r>
  <r>
    <s v="O00330"/>
    <s v="HDPBHS"/>
    <n v="2"/>
    <n v="256.91000000000003"/>
    <s v="Hot Meal"/>
    <n v="121.24"/>
    <d v="2025-08-13T00:00:00"/>
    <s v="Head Office Café"/>
    <n v="0.08"/>
    <n v="472.71440000000007"/>
  </r>
  <r>
    <s v="O00331"/>
    <s v="SZBIKC"/>
    <n v="2"/>
    <n v="38.06"/>
    <s v="Snack"/>
    <n v="19.55"/>
    <d v="2025-07-26T00:00:00"/>
    <s v="Plant 1 Canteen"/>
    <n v="0.12"/>
    <n v="66.985600000000005"/>
  </r>
  <r>
    <s v="O00331"/>
    <s v="HH1DNM"/>
    <n v="1"/>
    <n v="246.09"/>
    <s v="Hot Meal"/>
    <n v="112.08"/>
    <d v="2025-07-26T00:00:00"/>
    <s v="Plant 1 Canteen"/>
    <n v="0.12"/>
    <n v="216.5592"/>
  </r>
  <r>
    <s v="O00331"/>
    <s v="SV30T9"/>
    <n v="2"/>
    <n v="39.950000000000003"/>
    <s v="Snack"/>
    <n v="15.51"/>
    <d v="2025-07-26T00:00:00"/>
    <s v="Plant 1 Canteen"/>
    <n v="0.12"/>
    <n v="70.312000000000012"/>
  </r>
  <r>
    <s v="O00331"/>
    <s v="DYTJXE"/>
    <n v="1"/>
    <n v="57.07"/>
    <s v="Dessert"/>
    <n v="29.14"/>
    <d v="2025-07-26T00:00:00"/>
    <s v="Plant 1 Canteen"/>
    <n v="0.12"/>
    <n v="50.221600000000002"/>
  </r>
  <r>
    <s v="O00332"/>
    <s v="BHL1C3"/>
    <n v="2"/>
    <n v="22.2"/>
    <s v="Beverage"/>
    <n v="9.3800000000000008"/>
    <d v="2025-08-11T00:00:00"/>
    <s v="Plant 1 Canteen"/>
    <n v="0.1"/>
    <n v="39.96"/>
  </r>
  <r>
    <s v="O00332"/>
    <s v="SCKW5N"/>
    <n v="1"/>
    <n v="70.540000000000006"/>
    <s v="Snack"/>
    <n v="35.81"/>
    <d v="2025-08-11T00:00:00"/>
    <s v="Plant 1 Canteen"/>
    <n v="0.1"/>
    <n v="63.486000000000004"/>
  </r>
  <r>
    <s v="O00332"/>
    <s v="S5NQ4F"/>
    <n v="1"/>
    <n v="50.19"/>
    <s v="Snack"/>
    <n v="22.61"/>
    <d v="2025-08-11T00:00:00"/>
    <s v="Plant 1 Canteen"/>
    <n v="0.1"/>
    <n v="45.170999999999999"/>
  </r>
  <r>
    <s v="O00332"/>
    <s v="DFFYVN"/>
    <n v="1"/>
    <n v="54.2"/>
    <s v="Dessert"/>
    <n v="21.95"/>
    <d v="2025-08-11T00:00:00"/>
    <s v="Plant 1 Canteen"/>
    <n v="0.1"/>
    <n v="48.78"/>
  </r>
  <r>
    <s v="O00333"/>
    <s v="BXO6QJ"/>
    <n v="1"/>
    <n v="20.11"/>
    <s v="Beverage"/>
    <n v="8"/>
    <d v="2025-07-13T00:00:00"/>
    <s v="Plant 1 Canteen"/>
    <n v="0.15"/>
    <n v="17.093499999999999"/>
  </r>
  <r>
    <s v="O00333"/>
    <s v="DH9SDB"/>
    <n v="2"/>
    <n v="76.55"/>
    <s v="Dessert"/>
    <n v="38.229999999999997"/>
    <d v="2025-07-13T00:00:00"/>
    <s v="Plant 1 Canteen"/>
    <n v="0.15"/>
    <n v="130.13499999999999"/>
  </r>
  <r>
    <s v="O00334"/>
    <s v="HXAJI0"/>
    <n v="2"/>
    <n v="227.61"/>
    <s v="Hot Meal"/>
    <n v="96.22"/>
    <d v="2025-07-07T00:00:00"/>
    <s v="Plant 1 Canteen"/>
    <n v="0.03"/>
    <n v="441.5634"/>
  </r>
  <r>
    <s v="O00334"/>
    <s v="DFFYVN"/>
    <n v="1"/>
    <n v="54.2"/>
    <s v="Dessert"/>
    <n v="21.95"/>
    <d v="2025-07-07T00:00:00"/>
    <s v="Plant 1 Canteen"/>
    <n v="0.03"/>
    <n v="52.573999999999998"/>
  </r>
  <r>
    <s v="O00334"/>
    <s v="S5NQ4F"/>
    <n v="2"/>
    <n v="50.19"/>
    <s v="Snack"/>
    <n v="22.61"/>
    <d v="2025-07-07T00:00:00"/>
    <s v="Plant 1 Canteen"/>
    <n v="0.03"/>
    <n v="97.368599999999986"/>
  </r>
  <r>
    <s v="O00334"/>
    <s v="BOC6UZ"/>
    <n v="2"/>
    <n v="32.979999999999997"/>
    <s v="Beverage"/>
    <n v="11.84"/>
    <d v="2025-07-07T00:00:00"/>
    <s v="Plant 1 Canteen"/>
    <n v="0.03"/>
    <n v="63.981199999999994"/>
  </r>
  <r>
    <s v="O00335"/>
    <s v="H3A3ZM"/>
    <n v="2"/>
    <n v="170.83"/>
    <s v="Hot Meal"/>
    <n v="74.069999999999993"/>
    <d v="2025-07-02T00:00:00"/>
    <s v="Head Office Café"/>
    <n v="0.09"/>
    <n v="310.91060000000004"/>
  </r>
  <r>
    <s v="O00335"/>
    <s v="D9T84A"/>
    <n v="2"/>
    <n v="116.8"/>
    <s v="Dessert"/>
    <n v="48.97"/>
    <d v="2025-07-02T00:00:00"/>
    <s v="Head Office Café"/>
    <n v="0.09"/>
    <n v="212.57599999999999"/>
  </r>
  <r>
    <s v="O00335"/>
    <s v="HUZZPQ"/>
    <n v="1"/>
    <n v="146.4"/>
    <s v="Hot Meal"/>
    <n v="80.92"/>
    <d v="2025-07-02T00:00:00"/>
    <s v="Head Office Café"/>
    <n v="0.09"/>
    <n v="133.22400000000002"/>
  </r>
  <r>
    <s v="O00336"/>
    <s v="S5NQ4F"/>
    <n v="2"/>
    <n v="50.19"/>
    <s v="Snack"/>
    <n v="22.61"/>
    <d v="2025-07-15T00:00:00"/>
    <s v="Plant 2 Canteen"/>
    <n v="7.0000000000000007E-2"/>
    <n v="93.353399999999993"/>
  </r>
  <r>
    <s v="O00336"/>
    <s v="DYTJXE"/>
    <n v="2"/>
    <n v="57.07"/>
    <s v="Dessert"/>
    <n v="29.14"/>
    <d v="2025-07-15T00:00:00"/>
    <s v="Plant 2 Canteen"/>
    <n v="7.0000000000000007E-2"/>
    <n v="106.1502"/>
  </r>
  <r>
    <s v="O00337"/>
    <s v="HUZZPQ"/>
    <n v="1"/>
    <n v="146.4"/>
    <s v="Hot Meal"/>
    <n v="80.92"/>
    <d v="2025-07-24T00:00:00"/>
    <s v="Head Office Café"/>
    <n v="0.15"/>
    <n v="124.44"/>
  </r>
  <r>
    <s v="O00338"/>
    <s v="B0T0PV"/>
    <n v="1"/>
    <n v="28.43"/>
    <s v="Beverage"/>
    <n v="13.89"/>
    <d v="2025-08-21T00:00:00"/>
    <s v="Plant 2 Canteen"/>
    <n v="0.03"/>
    <n v="27.577099999999998"/>
  </r>
  <r>
    <s v="O00338"/>
    <s v="BTIQJ7"/>
    <n v="1"/>
    <n v="30.34"/>
    <s v="Beverage"/>
    <n v="14.18"/>
    <d v="2025-08-21T00:00:00"/>
    <s v="Plant 2 Canteen"/>
    <n v="0.03"/>
    <n v="29.4298"/>
  </r>
  <r>
    <s v="O00338"/>
    <s v="BOC6UZ"/>
    <n v="3"/>
    <n v="32.979999999999997"/>
    <s v="Beverage"/>
    <n v="11.84"/>
    <d v="2025-08-21T00:00:00"/>
    <s v="Plant 2 Canteen"/>
    <n v="0.03"/>
    <n v="95.971800000000002"/>
  </r>
  <r>
    <s v="O00339"/>
    <s v="D9T84A"/>
    <n v="2"/>
    <n v="116.8"/>
    <s v="Dessert"/>
    <n v="48.97"/>
    <d v="2025-08-19T00:00:00"/>
    <s v="Head Office Café"/>
    <n v="0.03"/>
    <n v="226.59199999999998"/>
  </r>
  <r>
    <s v="O00339"/>
    <s v="DYTJXE"/>
    <n v="3"/>
    <n v="57.07"/>
    <s v="Dessert"/>
    <n v="29.14"/>
    <d v="2025-08-19T00:00:00"/>
    <s v="Head Office Café"/>
    <n v="0.03"/>
    <n v="166.0737"/>
  </r>
  <r>
    <s v="O00340"/>
    <s v="SHJ7XV"/>
    <n v="3"/>
    <n v="52.45"/>
    <s v="Snack"/>
    <n v="25.8"/>
    <d v="2025-08-15T00:00:00"/>
    <s v="Plant 1 Canteen"/>
    <n v="0.04"/>
    <n v="151.05600000000001"/>
  </r>
  <r>
    <s v="O00340"/>
    <s v="BOC6UZ"/>
    <n v="1"/>
    <n v="32.979999999999997"/>
    <s v="Beverage"/>
    <n v="11.84"/>
    <d v="2025-08-15T00:00:00"/>
    <s v="Plant 1 Canteen"/>
    <n v="0.04"/>
    <n v="31.660799999999995"/>
  </r>
  <r>
    <s v="O00340"/>
    <s v="DFFYVN"/>
    <n v="1"/>
    <n v="54.2"/>
    <s v="Dessert"/>
    <n v="21.95"/>
    <d v="2025-08-15T00:00:00"/>
    <s v="Plant 1 Canteen"/>
    <n v="0.04"/>
    <n v="52.032000000000004"/>
  </r>
  <r>
    <s v="O00340"/>
    <s v="BTIQJ7"/>
    <n v="1"/>
    <n v="30.34"/>
    <s v="Beverage"/>
    <n v="14.18"/>
    <d v="2025-08-15T00:00:00"/>
    <s v="Plant 1 Canteen"/>
    <n v="0.04"/>
    <n v="29.1264"/>
  </r>
  <r>
    <s v="O00341"/>
    <s v="SV30T9"/>
    <n v="1"/>
    <n v="39.950000000000003"/>
    <s v="Snack"/>
    <n v="15.51"/>
    <d v="2025-07-25T00:00:00"/>
    <s v="Head Office Café"/>
    <n v="0"/>
    <n v="39.950000000000003"/>
  </r>
  <r>
    <s v="O00341"/>
    <s v="DH9SDB"/>
    <n v="3"/>
    <n v="76.55"/>
    <s v="Dessert"/>
    <n v="38.229999999999997"/>
    <d v="2025-07-25T00:00:00"/>
    <s v="Head Office Café"/>
    <n v="0"/>
    <n v="229.64999999999998"/>
  </r>
  <r>
    <s v="O00341"/>
    <s v="HUZZPQ"/>
    <n v="1"/>
    <n v="146.4"/>
    <s v="Hot Meal"/>
    <n v="80.92"/>
    <d v="2025-07-25T00:00:00"/>
    <s v="Head Office Café"/>
    <n v="0"/>
    <n v="146.4"/>
  </r>
  <r>
    <s v="O00342"/>
    <s v="SHJ7XV"/>
    <n v="1"/>
    <n v="52.45"/>
    <s v="Snack"/>
    <n v="25.8"/>
    <d v="2025-08-03T00:00:00"/>
    <s v="Plant 1 Canteen"/>
    <n v="0.04"/>
    <n v="50.352000000000004"/>
  </r>
  <r>
    <s v="O00342"/>
    <s v="B0T0PV"/>
    <n v="2"/>
    <n v="28.43"/>
    <s v="Beverage"/>
    <n v="13.89"/>
    <d v="2025-08-03T00:00:00"/>
    <s v="Plant 1 Canteen"/>
    <n v="0.04"/>
    <n v="54.585599999999999"/>
  </r>
  <r>
    <s v="O00343"/>
    <s v="DFFYVN"/>
    <n v="2"/>
    <n v="54.2"/>
    <s v="Dessert"/>
    <n v="21.95"/>
    <d v="2025-08-26T00:00:00"/>
    <s v="Head Office Café"/>
    <n v="0.03"/>
    <n v="105.148"/>
  </r>
  <r>
    <s v="O00344"/>
    <s v="SZBIKC"/>
    <n v="2"/>
    <n v="38.06"/>
    <s v="Snack"/>
    <n v="19.55"/>
    <d v="2025-08-04T00:00:00"/>
    <s v="Head Office Café"/>
    <n v="7.0000000000000007E-2"/>
    <n v="70.791600000000003"/>
  </r>
  <r>
    <s v="O00344"/>
    <s v="DFFYVN"/>
    <n v="1"/>
    <n v="54.2"/>
    <s v="Dessert"/>
    <n v="21.95"/>
    <d v="2025-08-04T00:00:00"/>
    <s v="Head Office Café"/>
    <n v="7.0000000000000007E-2"/>
    <n v="50.405999999999999"/>
  </r>
  <r>
    <s v="O00344"/>
    <s v="S5NQ4F"/>
    <n v="2"/>
    <n v="50.19"/>
    <s v="Snack"/>
    <n v="22.61"/>
    <d v="2025-08-04T00:00:00"/>
    <s v="Head Office Café"/>
    <n v="7.0000000000000007E-2"/>
    <n v="93.353399999999993"/>
  </r>
  <r>
    <s v="O00345"/>
    <s v="BHL1C3"/>
    <n v="1"/>
    <n v="22.2"/>
    <s v="Beverage"/>
    <n v="9.3800000000000008"/>
    <d v="2025-08-15T00:00:00"/>
    <s v="Head Office Café"/>
    <n v="7.0000000000000007E-2"/>
    <n v="20.645999999999997"/>
  </r>
  <r>
    <s v="O00345"/>
    <s v="DFFYVN"/>
    <n v="3"/>
    <n v="54.2"/>
    <s v="Dessert"/>
    <n v="21.95"/>
    <d v="2025-08-15T00:00:00"/>
    <s v="Head Office Café"/>
    <n v="7.0000000000000007E-2"/>
    <n v="151.21800000000002"/>
  </r>
  <r>
    <s v="O00345"/>
    <s v="HXAJI0"/>
    <n v="2"/>
    <n v="227.61"/>
    <s v="Hot Meal"/>
    <n v="96.22"/>
    <d v="2025-08-15T00:00:00"/>
    <s v="Head Office Café"/>
    <n v="7.0000000000000007E-2"/>
    <n v="423.3546"/>
  </r>
  <r>
    <s v="O00346"/>
    <s v="BXO6QJ"/>
    <n v="1"/>
    <n v="20.11"/>
    <s v="Beverage"/>
    <n v="8"/>
    <d v="2025-07-14T00:00:00"/>
    <s v="Plant 1 Canteen"/>
    <n v="0.14000000000000001"/>
    <n v="17.294599999999999"/>
  </r>
  <r>
    <s v="O00346"/>
    <s v="B0T0PV"/>
    <n v="2"/>
    <n v="28.43"/>
    <s v="Beverage"/>
    <n v="13.89"/>
    <d v="2025-07-14T00:00:00"/>
    <s v="Plant 1 Canteen"/>
    <n v="0.14000000000000001"/>
    <n v="48.8996"/>
  </r>
  <r>
    <s v="O00347"/>
    <s v="HUZZPQ"/>
    <n v="2"/>
    <n v="146.4"/>
    <s v="Hot Meal"/>
    <n v="80.92"/>
    <d v="2025-07-29T00:00:00"/>
    <s v="Plant 1 Canteen"/>
    <n v="0.1"/>
    <n v="263.52000000000004"/>
  </r>
  <r>
    <s v="O00347"/>
    <s v="HDPBHS"/>
    <n v="1"/>
    <n v="256.91000000000003"/>
    <s v="Hot Meal"/>
    <n v="121.24"/>
    <d v="2025-07-29T00:00:00"/>
    <s v="Plant 1 Canteen"/>
    <n v="0.1"/>
    <n v="231.21900000000002"/>
  </r>
  <r>
    <s v="O00348"/>
    <s v="H3A3ZM"/>
    <n v="2"/>
    <n v="170.83"/>
    <s v="Hot Meal"/>
    <n v="74.069999999999993"/>
    <d v="2025-07-31T00:00:00"/>
    <s v="Plant 2 Canteen"/>
    <n v="0.04"/>
    <n v="327.99360000000001"/>
  </r>
  <r>
    <s v="O00348"/>
    <s v="HDPBHS"/>
    <n v="3"/>
    <n v="256.91000000000003"/>
    <s v="Hot Meal"/>
    <n v="121.24"/>
    <d v="2025-07-31T00:00:00"/>
    <s v="Plant 2 Canteen"/>
    <n v="0.04"/>
    <n v="739.9008"/>
  </r>
  <r>
    <s v="O00348"/>
    <s v="SCKW5N"/>
    <n v="1"/>
    <n v="70.540000000000006"/>
    <s v="Snack"/>
    <n v="35.81"/>
    <d v="2025-07-31T00:00:00"/>
    <s v="Plant 2 Canteen"/>
    <n v="0.04"/>
    <n v="67.718400000000003"/>
  </r>
  <r>
    <s v="O00348"/>
    <s v="DYTJXE"/>
    <n v="2"/>
    <n v="57.07"/>
    <s v="Dessert"/>
    <n v="29.14"/>
    <d v="2025-07-31T00:00:00"/>
    <s v="Plant 2 Canteen"/>
    <n v="0.04"/>
    <n v="109.5744"/>
  </r>
  <r>
    <s v="O00349"/>
    <s v="D9T84A"/>
    <n v="1"/>
    <n v="116.8"/>
    <s v="Dessert"/>
    <n v="48.97"/>
    <d v="2025-08-16T00:00:00"/>
    <s v="Plant 2 Canteen"/>
    <n v="0.02"/>
    <n v="114.464"/>
  </r>
  <r>
    <s v="O00349"/>
    <s v="HH1DNM"/>
    <n v="1"/>
    <n v="246.09"/>
    <s v="Hot Meal"/>
    <n v="112.08"/>
    <d v="2025-08-16T00:00:00"/>
    <s v="Plant 2 Canteen"/>
    <n v="0.02"/>
    <n v="241.16820000000001"/>
  </r>
  <r>
    <s v="O00349"/>
    <s v="DH9SDB"/>
    <n v="3"/>
    <n v="76.55"/>
    <s v="Dessert"/>
    <n v="38.229999999999997"/>
    <d v="2025-08-16T00:00:00"/>
    <s v="Plant 2 Canteen"/>
    <n v="0.02"/>
    <n v="225.05699999999996"/>
  </r>
  <r>
    <s v="O00349"/>
    <s v="H3A3ZM"/>
    <n v="2"/>
    <n v="170.83"/>
    <s v="Hot Meal"/>
    <n v="74.069999999999993"/>
    <d v="2025-08-16T00:00:00"/>
    <s v="Plant 2 Canteen"/>
    <n v="0.02"/>
    <n v="334.82679999999999"/>
  </r>
  <r>
    <s v="O00350"/>
    <s v="BOC6UZ"/>
    <n v="2"/>
    <n v="32.979999999999997"/>
    <s v="Beverage"/>
    <n v="11.84"/>
    <d v="2025-07-29T00:00:00"/>
    <s v="Plant 2 Canteen"/>
    <n v="0.08"/>
    <n v="60.683199999999999"/>
  </r>
  <r>
    <s v="O00350"/>
    <s v="HUZZPQ"/>
    <n v="2"/>
    <n v="146.4"/>
    <s v="Hot Meal"/>
    <n v="80.92"/>
    <d v="2025-07-29T00:00:00"/>
    <s v="Plant 2 Canteen"/>
    <n v="0.08"/>
    <n v="269.37600000000003"/>
  </r>
  <r>
    <s v="O00350"/>
    <s v="B0T0PV"/>
    <n v="1"/>
    <n v="28.43"/>
    <s v="Beverage"/>
    <n v="13.89"/>
    <d v="2025-07-29T00:00:00"/>
    <s v="Plant 2 Canteen"/>
    <n v="0.08"/>
    <n v="26.1556"/>
  </r>
  <r>
    <s v="O00351"/>
    <s v="BTIQJ7"/>
    <n v="2"/>
    <n v="30.34"/>
    <s v="Beverage"/>
    <n v="14.18"/>
    <d v="2025-07-27T00:00:00"/>
    <s v="Plant 1 Canteen"/>
    <n v="0.01"/>
    <n v="60.0732"/>
  </r>
  <r>
    <s v="O00352"/>
    <s v="BXO6QJ"/>
    <n v="1"/>
    <n v="20.11"/>
    <s v="Beverage"/>
    <n v="8"/>
    <d v="2025-08-12T00:00:00"/>
    <s v="Plant 2 Canteen"/>
    <n v="0.13"/>
    <n v="17.495699999999999"/>
  </r>
  <r>
    <s v="O00352"/>
    <s v="DFFYVN"/>
    <n v="2"/>
    <n v="54.2"/>
    <s v="Dessert"/>
    <n v="21.95"/>
    <d v="2025-08-12T00:00:00"/>
    <s v="Plant 2 Canteen"/>
    <n v="0.13"/>
    <n v="94.308000000000007"/>
  </r>
  <r>
    <s v="O00352"/>
    <s v="BTIQJ7"/>
    <n v="1"/>
    <n v="30.34"/>
    <s v="Beverage"/>
    <n v="14.18"/>
    <d v="2025-08-12T00:00:00"/>
    <s v="Plant 2 Canteen"/>
    <n v="0.13"/>
    <n v="26.395800000000001"/>
  </r>
  <r>
    <s v="O00352"/>
    <s v="SZBIKC"/>
    <n v="2"/>
    <n v="38.06"/>
    <s v="Snack"/>
    <n v="19.55"/>
    <d v="2025-08-12T00:00:00"/>
    <s v="Plant 2 Canteen"/>
    <n v="0.13"/>
    <n v="66.224400000000003"/>
  </r>
  <r>
    <s v="O00353"/>
    <s v="DH9SDB"/>
    <n v="3"/>
    <n v="76.55"/>
    <s v="Dessert"/>
    <n v="38.229999999999997"/>
    <d v="2025-08-18T00:00:00"/>
    <s v="Plant 2 Canteen"/>
    <n v="0.11"/>
    <n v="204.38849999999999"/>
  </r>
  <r>
    <s v="O00354"/>
    <s v="DH9SDB"/>
    <n v="2"/>
    <n v="76.55"/>
    <s v="Dessert"/>
    <n v="38.229999999999997"/>
    <d v="2025-08-11T00:00:00"/>
    <s v="Plant 1 Canteen"/>
    <n v="0.04"/>
    <n v="146.976"/>
  </r>
  <r>
    <s v="O00354"/>
    <s v="SZBIKC"/>
    <n v="1"/>
    <n v="38.06"/>
    <s v="Snack"/>
    <n v="19.55"/>
    <d v="2025-08-11T00:00:00"/>
    <s v="Plant 1 Canteen"/>
    <n v="0.04"/>
    <n v="36.537599999999998"/>
  </r>
  <r>
    <s v="O00355"/>
    <s v="DYTJXE"/>
    <n v="1"/>
    <n v="57.07"/>
    <s v="Dessert"/>
    <n v="29.14"/>
    <d v="2025-08-23T00:00:00"/>
    <s v="Plant 2 Canteen"/>
    <n v="0"/>
    <n v="57.07"/>
  </r>
  <r>
    <s v="O00355"/>
    <s v="BTIQJ7"/>
    <n v="1"/>
    <n v="30.34"/>
    <s v="Beverage"/>
    <n v="14.18"/>
    <d v="2025-08-23T00:00:00"/>
    <s v="Plant 2 Canteen"/>
    <n v="0"/>
    <n v="30.34"/>
  </r>
  <r>
    <s v="O00356"/>
    <s v="S5NQ4F"/>
    <n v="2"/>
    <n v="50.19"/>
    <s v="Snack"/>
    <n v="22.61"/>
    <d v="2025-08-02T00:00:00"/>
    <s v="Head Office Café"/>
    <n v="0.11"/>
    <n v="89.338200000000001"/>
  </r>
  <r>
    <s v="O00356"/>
    <s v="HXAJI0"/>
    <n v="2"/>
    <n v="227.61"/>
    <s v="Hot Meal"/>
    <n v="96.22"/>
    <d v="2025-08-02T00:00:00"/>
    <s v="Head Office Café"/>
    <n v="0.11"/>
    <n v="405.14580000000001"/>
  </r>
  <r>
    <s v="O00356"/>
    <s v="H3A3ZM"/>
    <n v="1"/>
    <n v="170.83"/>
    <s v="Hot Meal"/>
    <n v="74.069999999999993"/>
    <d v="2025-08-02T00:00:00"/>
    <s v="Head Office Café"/>
    <n v="0.11"/>
    <n v="152.03870000000001"/>
  </r>
  <r>
    <s v="O00356"/>
    <s v="BTIQJ7"/>
    <n v="2"/>
    <n v="30.34"/>
    <s v="Beverage"/>
    <n v="14.18"/>
    <d v="2025-08-02T00:00:00"/>
    <s v="Head Office Café"/>
    <n v="0.11"/>
    <n v="54.005200000000002"/>
  </r>
  <r>
    <s v="O00357"/>
    <s v="BXO6QJ"/>
    <n v="1"/>
    <n v="20.11"/>
    <s v="Beverage"/>
    <n v="8"/>
    <d v="2025-08-28T00:00:00"/>
    <s v="Head Office Café"/>
    <n v="0.06"/>
    <n v="18.903399999999998"/>
  </r>
  <r>
    <s v="O00357"/>
    <s v="BHL1C3"/>
    <n v="1"/>
    <n v="22.2"/>
    <s v="Beverage"/>
    <n v="9.3800000000000008"/>
    <d v="2025-08-28T00:00:00"/>
    <s v="Head Office Café"/>
    <n v="0.06"/>
    <n v="20.867999999999999"/>
  </r>
  <r>
    <s v="O00357"/>
    <s v="DYTJXE"/>
    <n v="1"/>
    <n v="57.07"/>
    <s v="Dessert"/>
    <n v="29.14"/>
    <d v="2025-08-28T00:00:00"/>
    <s v="Head Office Café"/>
    <n v="0.06"/>
    <n v="53.645799999999994"/>
  </r>
  <r>
    <s v="O00358"/>
    <s v="SCKW5N"/>
    <n v="1"/>
    <n v="70.540000000000006"/>
    <s v="Snack"/>
    <n v="35.81"/>
    <d v="2025-08-04T00:00:00"/>
    <s v="Plant 2 Canteen"/>
    <n v="0.11"/>
    <n v="62.780600000000007"/>
  </r>
  <r>
    <s v="O00358"/>
    <s v="BTIQJ7"/>
    <n v="1"/>
    <n v="30.34"/>
    <s v="Beverage"/>
    <n v="14.18"/>
    <d v="2025-08-04T00:00:00"/>
    <s v="Plant 2 Canteen"/>
    <n v="0.11"/>
    <n v="27.002600000000001"/>
  </r>
  <r>
    <s v="O00359"/>
    <s v="HXAJI0"/>
    <n v="2"/>
    <n v="227.61"/>
    <s v="Hot Meal"/>
    <n v="96.22"/>
    <d v="2025-08-12T00:00:00"/>
    <s v="Plant 2 Canteen"/>
    <n v="0"/>
    <n v="455.22"/>
  </r>
  <r>
    <s v="O00360"/>
    <s v="H3A3ZM"/>
    <n v="1"/>
    <n v="170.83"/>
    <s v="Hot Meal"/>
    <n v="74.069999999999993"/>
    <d v="2025-08-09T00:00:00"/>
    <s v="Plant 2 Canteen"/>
    <n v="0.04"/>
    <n v="163.99680000000001"/>
  </r>
  <r>
    <s v="O00360"/>
    <s v="HDPBHS"/>
    <n v="3"/>
    <n v="256.91000000000003"/>
    <s v="Hot Meal"/>
    <n v="121.24"/>
    <d v="2025-08-09T00:00:00"/>
    <s v="Plant 2 Canteen"/>
    <n v="0.04"/>
    <n v="739.9008"/>
  </r>
  <r>
    <s v="O00360"/>
    <s v="BTIQJ7"/>
    <n v="2"/>
    <n v="30.34"/>
    <s v="Beverage"/>
    <n v="14.18"/>
    <d v="2025-08-09T00:00:00"/>
    <s v="Plant 2 Canteen"/>
    <n v="0.04"/>
    <n v="58.2528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4">
  <r>
    <s v="O00001"/>
    <s v="SHJ7XV"/>
    <n v="3"/>
    <n v="52.45"/>
    <s v="Snack"/>
    <n v="25.8"/>
    <d v="2025-07-14T00:00:00"/>
    <s v="Head Office Café"/>
    <n v="0.06"/>
    <x v="0"/>
    <x v="0"/>
  </r>
  <r>
    <s v="O00002"/>
    <s v="BTIQJ7"/>
    <n v="1"/>
    <n v="30.34"/>
    <s v="Beverage"/>
    <n v="14.18"/>
    <d v="2025-07-24T00:00:00"/>
    <s v="Plant 2 Canteen"/>
    <n v="0.05"/>
    <x v="1"/>
    <x v="0"/>
  </r>
  <r>
    <s v="O00002"/>
    <s v="DH9SDB"/>
    <n v="1"/>
    <n v="76.55"/>
    <s v="Dessert"/>
    <n v="38.229999999999997"/>
    <d v="2025-07-24T00:00:00"/>
    <s v="Plant 2 Canteen"/>
    <n v="0.05"/>
    <x v="2"/>
    <x v="0"/>
  </r>
  <r>
    <s v="O00003"/>
    <s v="BOC6UZ"/>
    <n v="2"/>
    <n v="32.979999999999997"/>
    <s v="Beverage"/>
    <n v="11.84"/>
    <d v="2025-07-10T00:00:00"/>
    <s v="Head Office Café"/>
    <n v="0"/>
    <x v="3"/>
    <x v="0"/>
  </r>
  <r>
    <s v="O00003"/>
    <s v="SHJ7XV"/>
    <n v="1"/>
    <n v="52.45"/>
    <s v="Snack"/>
    <n v="25.8"/>
    <d v="2025-07-10T00:00:00"/>
    <s v="Head Office Café"/>
    <n v="0"/>
    <x v="4"/>
    <x v="0"/>
  </r>
  <r>
    <s v="O00003"/>
    <s v="H3A3ZM"/>
    <n v="3"/>
    <n v="170.83"/>
    <s v="Hot Meal"/>
    <n v="74.069999999999993"/>
    <d v="2025-07-10T00:00:00"/>
    <s v="Head Office Café"/>
    <n v="0"/>
    <x v="5"/>
    <x v="0"/>
  </r>
  <r>
    <s v="O00003"/>
    <s v="SZBIKC"/>
    <n v="1"/>
    <n v="38.06"/>
    <s v="Snack"/>
    <n v="19.55"/>
    <d v="2025-07-10T00:00:00"/>
    <s v="Head Office Café"/>
    <n v="0"/>
    <x v="6"/>
    <x v="0"/>
  </r>
  <r>
    <s v="O00004"/>
    <s v="HH1DNM"/>
    <n v="2"/>
    <n v="246.09"/>
    <s v="Hot Meal"/>
    <n v="112.08"/>
    <d v="2025-08-10T00:00:00"/>
    <s v="Plant 2 Canteen"/>
    <n v="0.03"/>
    <x v="7"/>
    <x v="1"/>
  </r>
  <r>
    <s v="O00005"/>
    <s v="SCKW5N"/>
    <n v="1"/>
    <n v="70.540000000000006"/>
    <s v="Snack"/>
    <n v="35.81"/>
    <d v="2025-07-07T00:00:00"/>
    <s v="Plant 2 Canteen"/>
    <n v="0.04"/>
    <x v="8"/>
    <x v="0"/>
  </r>
  <r>
    <s v="O00005"/>
    <s v="B0T0PV"/>
    <n v="1"/>
    <n v="28.43"/>
    <s v="Beverage"/>
    <n v="13.89"/>
    <d v="2025-07-07T00:00:00"/>
    <s v="Plant 2 Canteen"/>
    <n v="0.04"/>
    <x v="9"/>
    <x v="0"/>
  </r>
  <r>
    <s v="O00006"/>
    <s v="BXO6QJ"/>
    <n v="3"/>
    <n v="20.11"/>
    <s v="Beverage"/>
    <n v="8"/>
    <d v="2025-07-25T00:00:00"/>
    <s v="Plant 1 Canteen"/>
    <n v="0.1"/>
    <x v="10"/>
    <x v="0"/>
  </r>
  <r>
    <s v="O00007"/>
    <s v="BOC6UZ"/>
    <n v="1"/>
    <n v="32.979999999999997"/>
    <s v="Beverage"/>
    <n v="11.84"/>
    <d v="2025-07-14T00:00:00"/>
    <s v="Plant 2 Canteen"/>
    <n v="7.0000000000000007E-2"/>
    <x v="11"/>
    <x v="0"/>
  </r>
  <r>
    <s v="O00007"/>
    <s v="H3A3ZM"/>
    <n v="2"/>
    <n v="170.83"/>
    <s v="Hot Meal"/>
    <n v="74.069999999999993"/>
    <d v="2025-07-14T00:00:00"/>
    <s v="Plant 2 Canteen"/>
    <n v="7.0000000000000007E-2"/>
    <x v="12"/>
    <x v="0"/>
  </r>
  <r>
    <s v="O00008"/>
    <s v="BHL1C3"/>
    <n v="1"/>
    <n v="22.2"/>
    <s v="Beverage"/>
    <n v="9.3800000000000008"/>
    <d v="2025-07-25T00:00:00"/>
    <s v="Plant 1 Canteen"/>
    <n v="0"/>
    <x v="13"/>
    <x v="0"/>
  </r>
  <r>
    <s v="O00008"/>
    <s v="DYTJXE"/>
    <n v="3"/>
    <n v="57.07"/>
    <s v="Dessert"/>
    <n v="29.14"/>
    <d v="2025-07-25T00:00:00"/>
    <s v="Plant 1 Canteen"/>
    <n v="0"/>
    <x v="14"/>
    <x v="0"/>
  </r>
  <r>
    <s v="O00008"/>
    <s v="BTIQJ7"/>
    <n v="1"/>
    <n v="30.34"/>
    <s v="Beverage"/>
    <n v="14.18"/>
    <d v="2025-07-25T00:00:00"/>
    <s v="Plant 1 Canteen"/>
    <n v="0"/>
    <x v="15"/>
    <x v="0"/>
  </r>
  <r>
    <s v="O00009"/>
    <s v="H3A3ZM"/>
    <n v="2"/>
    <n v="170.83"/>
    <s v="Hot Meal"/>
    <n v="74.069999999999993"/>
    <d v="2025-07-06T00:00:00"/>
    <s v="Head Office Café"/>
    <n v="7.0000000000000007E-2"/>
    <x v="12"/>
    <x v="0"/>
  </r>
  <r>
    <s v="O00009"/>
    <s v="DYTJXE"/>
    <n v="2"/>
    <n v="57.07"/>
    <s v="Dessert"/>
    <n v="29.14"/>
    <d v="2025-07-06T00:00:00"/>
    <s v="Head Office Café"/>
    <n v="7.0000000000000007E-2"/>
    <x v="16"/>
    <x v="0"/>
  </r>
  <r>
    <s v="O00009"/>
    <s v="SZBIKC"/>
    <n v="1"/>
    <n v="38.06"/>
    <s v="Snack"/>
    <n v="19.55"/>
    <d v="2025-07-06T00:00:00"/>
    <s v="Head Office Café"/>
    <n v="7.0000000000000007E-2"/>
    <x v="17"/>
    <x v="0"/>
  </r>
  <r>
    <s v="O00010"/>
    <s v="BHL1C3"/>
    <n v="2"/>
    <n v="22.2"/>
    <s v="Beverage"/>
    <n v="9.3800000000000008"/>
    <d v="2025-07-24T00:00:00"/>
    <s v="Plant 1 Canteen"/>
    <n v="0.04"/>
    <x v="18"/>
    <x v="0"/>
  </r>
  <r>
    <s v="O00010"/>
    <s v="HH1DNM"/>
    <n v="1"/>
    <n v="246.09"/>
    <s v="Hot Meal"/>
    <n v="112.08"/>
    <d v="2025-07-24T00:00:00"/>
    <s v="Plant 1 Canteen"/>
    <n v="0.04"/>
    <x v="19"/>
    <x v="0"/>
  </r>
  <r>
    <s v="O00010"/>
    <s v="SCKW5N"/>
    <n v="1"/>
    <n v="70.540000000000006"/>
    <s v="Snack"/>
    <n v="35.81"/>
    <d v="2025-07-24T00:00:00"/>
    <s v="Plant 1 Canteen"/>
    <n v="0.04"/>
    <x v="8"/>
    <x v="0"/>
  </r>
  <r>
    <s v="O00010"/>
    <s v="DH9SDB"/>
    <n v="1"/>
    <n v="76.55"/>
    <s v="Dessert"/>
    <n v="38.229999999999997"/>
    <d v="2025-07-24T00:00:00"/>
    <s v="Plant 1 Canteen"/>
    <n v="0.04"/>
    <x v="20"/>
    <x v="0"/>
  </r>
  <r>
    <s v="O00011"/>
    <s v="B0T0PV"/>
    <n v="1"/>
    <n v="28.43"/>
    <s v="Beverage"/>
    <n v="13.89"/>
    <d v="2025-07-22T00:00:00"/>
    <s v="Plant 2 Canteen"/>
    <n v="0.03"/>
    <x v="21"/>
    <x v="0"/>
  </r>
  <r>
    <s v="O00012"/>
    <s v="DFFYVN"/>
    <n v="1"/>
    <n v="54.2"/>
    <s v="Dessert"/>
    <n v="21.95"/>
    <d v="2025-07-01T00:00:00"/>
    <s v="Plant 2 Canteen"/>
    <n v="0.08"/>
    <x v="22"/>
    <x v="0"/>
  </r>
  <r>
    <s v="O00012"/>
    <s v="SHJ7XV"/>
    <n v="1"/>
    <n v="52.45"/>
    <s v="Snack"/>
    <n v="25.8"/>
    <d v="2025-07-01T00:00:00"/>
    <s v="Plant 2 Canteen"/>
    <n v="0.08"/>
    <x v="23"/>
    <x v="0"/>
  </r>
  <r>
    <s v="O00013"/>
    <s v="DH9SDB"/>
    <n v="3"/>
    <n v="76.55"/>
    <s v="Dessert"/>
    <n v="38.229999999999997"/>
    <d v="2025-08-11T00:00:00"/>
    <s v="Head Office Café"/>
    <n v="0.1"/>
    <x v="24"/>
    <x v="1"/>
  </r>
  <r>
    <s v="O00013"/>
    <s v="BTIQJ7"/>
    <n v="2"/>
    <n v="30.34"/>
    <s v="Beverage"/>
    <n v="14.18"/>
    <d v="2025-08-11T00:00:00"/>
    <s v="Head Office Café"/>
    <n v="0.1"/>
    <x v="25"/>
    <x v="1"/>
  </r>
  <r>
    <s v="O00013"/>
    <s v="D9T84A"/>
    <n v="3"/>
    <n v="116.8"/>
    <s v="Dessert"/>
    <n v="48.97"/>
    <d v="2025-08-11T00:00:00"/>
    <s v="Head Office Café"/>
    <n v="0.1"/>
    <x v="26"/>
    <x v="1"/>
  </r>
  <r>
    <s v="O00013"/>
    <s v="HDPBHS"/>
    <n v="1"/>
    <n v="256.91000000000003"/>
    <s v="Hot Meal"/>
    <n v="121.24"/>
    <d v="2025-08-11T00:00:00"/>
    <s v="Head Office Café"/>
    <n v="0.1"/>
    <x v="27"/>
    <x v="1"/>
  </r>
  <r>
    <s v="O00014"/>
    <s v="B0T0PV"/>
    <n v="1"/>
    <n v="28.43"/>
    <s v="Beverage"/>
    <n v="13.89"/>
    <d v="2025-07-16T00:00:00"/>
    <s v="Plant 1 Canteen"/>
    <n v="0.1"/>
    <x v="28"/>
    <x v="0"/>
  </r>
  <r>
    <s v="O00014"/>
    <s v="DH9SDB"/>
    <n v="2"/>
    <n v="76.55"/>
    <s v="Dessert"/>
    <n v="38.229999999999997"/>
    <d v="2025-07-16T00:00:00"/>
    <s v="Plant 1 Canteen"/>
    <n v="0.1"/>
    <x v="29"/>
    <x v="0"/>
  </r>
  <r>
    <s v="O00014"/>
    <s v="BXO6QJ"/>
    <n v="1"/>
    <n v="20.11"/>
    <s v="Beverage"/>
    <n v="8"/>
    <d v="2025-07-16T00:00:00"/>
    <s v="Plant 1 Canteen"/>
    <n v="0.1"/>
    <x v="30"/>
    <x v="0"/>
  </r>
  <r>
    <s v="O00015"/>
    <s v="H3A3ZM"/>
    <n v="1"/>
    <n v="170.83"/>
    <s v="Hot Meal"/>
    <n v="74.069999999999993"/>
    <d v="2025-08-26T00:00:00"/>
    <s v="Head Office Café"/>
    <n v="0.03"/>
    <x v="31"/>
    <x v="1"/>
  </r>
  <r>
    <s v="O00015"/>
    <s v="BOC6UZ"/>
    <n v="3"/>
    <n v="32.979999999999997"/>
    <s v="Beverage"/>
    <n v="11.84"/>
    <d v="2025-08-26T00:00:00"/>
    <s v="Head Office Café"/>
    <n v="0.03"/>
    <x v="32"/>
    <x v="1"/>
  </r>
  <r>
    <s v="O00015"/>
    <s v="DH9SDB"/>
    <n v="2"/>
    <n v="76.55"/>
    <s v="Dessert"/>
    <n v="38.229999999999997"/>
    <d v="2025-08-26T00:00:00"/>
    <s v="Head Office Café"/>
    <n v="0.03"/>
    <x v="33"/>
    <x v="1"/>
  </r>
  <r>
    <s v="O00016"/>
    <s v="DYTJXE"/>
    <n v="1"/>
    <n v="57.07"/>
    <s v="Dessert"/>
    <n v="29.14"/>
    <d v="2025-07-06T00:00:00"/>
    <s v="Plant 1 Canteen"/>
    <n v="0.05"/>
    <x v="34"/>
    <x v="0"/>
  </r>
  <r>
    <s v="O00016"/>
    <s v="SCKW5N"/>
    <n v="1"/>
    <n v="70.540000000000006"/>
    <s v="Snack"/>
    <n v="35.81"/>
    <d v="2025-07-06T00:00:00"/>
    <s v="Plant 1 Canteen"/>
    <n v="0.05"/>
    <x v="35"/>
    <x v="0"/>
  </r>
  <r>
    <s v="O00016"/>
    <s v="SHJ7XV"/>
    <n v="3"/>
    <n v="52.45"/>
    <s v="Snack"/>
    <n v="25.8"/>
    <d v="2025-07-06T00:00:00"/>
    <s v="Plant 1 Canteen"/>
    <n v="0.05"/>
    <x v="36"/>
    <x v="0"/>
  </r>
  <r>
    <s v="O00016"/>
    <s v="HXAJI0"/>
    <n v="1"/>
    <n v="227.61"/>
    <s v="Hot Meal"/>
    <n v="96.22"/>
    <d v="2025-07-06T00:00:00"/>
    <s v="Plant 1 Canteen"/>
    <n v="0.05"/>
    <x v="37"/>
    <x v="0"/>
  </r>
  <r>
    <s v="O00017"/>
    <s v="BOC6UZ"/>
    <n v="1"/>
    <n v="32.979999999999997"/>
    <s v="Beverage"/>
    <n v="11.84"/>
    <d v="2025-08-21T00:00:00"/>
    <s v="Plant 1 Canteen"/>
    <n v="7.0000000000000007E-2"/>
    <x v="11"/>
    <x v="1"/>
  </r>
  <r>
    <s v="O00018"/>
    <s v="D9T84A"/>
    <n v="1"/>
    <n v="116.8"/>
    <s v="Dessert"/>
    <n v="48.97"/>
    <d v="2025-07-19T00:00:00"/>
    <s v="Plant 1 Canteen"/>
    <n v="0.1"/>
    <x v="38"/>
    <x v="0"/>
  </r>
  <r>
    <s v="O00018"/>
    <s v="BOC6UZ"/>
    <n v="2"/>
    <n v="32.979999999999997"/>
    <s v="Beverage"/>
    <n v="11.84"/>
    <d v="2025-07-19T00:00:00"/>
    <s v="Plant 1 Canteen"/>
    <n v="0.1"/>
    <x v="39"/>
    <x v="0"/>
  </r>
  <r>
    <s v="O00019"/>
    <s v="HUZZPQ"/>
    <n v="1"/>
    <n v="146.4"/>
    <s v="Hot Meal"/>
    <n v="80.92"/>
    <d v="2025-08-09T00:00:00"/>
    <s v="Plant 1 Canteen"/>
    <n v="0.04"/>
    <x v="40"/>
    <x v="1"/>
  </r>
  <r>
    <s v="O00019"/>
    <s v="SCKW5N"/>
    <n v="1"/>
    <n v="70.540000000000006"/>
    <s v="Snack"/>
    <n v="35.81"/>
    <d v="2025-08-09T00:00:00"/>
    <s v="Plant 1 Canteen"/>
    <n v="0.04"/>
    <x v="8"/>
    <x v="1"/>
  </r>
  <r>
    <s v="O00019"/>
    <s v="HDPBHS"/>
    <n v="2"/>
    <n v="256.91000000000003"/>
    <s v="Hot Meal"/>
    <n v="121.24"/>
    <d v="2025-08-09T00:00:00"/>
    <s v="Plant 1 Canteen"/>
    <n v="0.04"/>
    <x v="41"/>
    <x v="1"/>
  </r>
  <r>
    <s v="O00020"/>
    <s v="DFFYVN"/>
    <n v="3"/>
    <n v="54.2"/>
    <s v="Dessert"/>
    <n v="21.95"/>
    <d v="2025-07-09T00:00:00"/>
    <s v="Plant 2 Canteen"/>
    <n v="0.05"/>
    <x v="42"/>
    <x v="0"/>
  </r>
  <r>
    <s v="O00020"/>
    <s v="HXAJI0"/>
    <n v="1"/>
    <n v="227.61"/>
    <s v="Hot Meal"/>
    <n v="96.22"/>
    <d v="2025-07-09T00:00:00"/>
    <s v="Plant 2 Canteen"/>
    <n v="0.05"/>
    <x v="37"/>
    <x v="0"/>
  </r>
  <r>
    <s v="O00020"/>
    <s v="BOC6UZ"/>
    <n v="1"/>
    <n v="32.979999999999997"/>
    <s v="Beverage"/>
    <n v="11.84"/>
    <d v="2025-07-09T00:00:00"/>
    <s v="Plant 2 Canteen"/>
    <n v="0.05"/>
    <x v="43"/>
    <x v="0"/>
  </r>
  <r>
    <s v="O00020"/>
    <s v="DH9SDB"/>
    <n v="1"/>
    <n v="76.55"/>
    <s v="Dessert"/>
    <n v="38.229999999999997"/>
    <d v="2025-07-09T00:00:00"/>
    <s v="Plant 2 Canteen"/>
    <n v="0.05"/>
    <x v="2"/>
    <x v="0"/>
  </r>
  <r>
    <s v="O00021"/>
    <s v="SHJ7XV"/>
    <n v="3"/>
    <n v="52.45"/>
    <s v="Snack"/>
    <n v="25.8"/>
    <d v="2025-07-31T00:00:00"/>
    <s v="Plant 2 Canteen"/>
    <n v="0.02"/>
    <x v="44"/>
    <x v="0"/>
  </r>
  <r>
    <s v="O00021"/>
    <s v="SV30T9"/>
    <n v="1"/>
    <n v="39.950000000000003"/>
    <s v="Snack"/>
    <n v="15.51"/>
    <d v="2025-07-31T00:00:00"/>
    <s v="Plant 2 Canteen"/>
    <n v="0.02"/>
    <x v="45"/>
    <x v="0"/>
  </r>
  <r>
    <s v="O00021"/>
    <s v="S5NQ4F"/>
    <n v="2"/>
    <n v="50.19"/>
    <s v="Snack"/>
    <n v="22.61"/>
    <d v="2025-07-31T00:00:00"/>
    <s v="Plant 2 Canteen"/>
    <n v="0.02"/>
    <x v="46"/>
    <x v="0"/>
  </r>
  <r>
    <s v="O00022"/>
    <s v="DFFYVN"/>
    <n v="1"/>
    <n v="54.2"/>
    <s v="Dessert"/>
    <n v="21.95"/>
    <d v="2025-07-24T00:00:00"/>
    <s v="Plant 2 Canteen"/>
    <n v="0.01"/>
    <x v="47"/>
    <x v="0"/>
  </r>
  <r>
    <s v="O00022"/>
    <s v="B0T0PV"/>
    <n v="2"/>
    <n v="28.43"/>
    <s v="Beverage"/>
    <n v="13.89"/>
    <d v="2025-07-24T00:00:00"/>
    <s v="Plant 2 Canteen"/>
    <n v="0.01"/>
    <x v="48"/>
    <x v="0"/>
  </r>
  <r>
    <s v="O00022"/>
    <s v="HDPBHS"/>
    <n v="1"/>
    <n v="256.91000000000003"/>
    <s v="Hot Meal"/>
    <n v="121.24"/>
    <d v="2025-07-24T00:00:00"/>
    <s v="Plant 2 Canteen"/>
    <n v="0.01"/>
    <x v="49"/>
    <x v="0"/>
  </r>
  <r>
    <s v="O00023"/>
    <s v="BXO6QJ"/>
    <n v="1"/>
    <n v="20.11"/>
    <s v="Beverage"/>
    <n v="8"/>
    <d v="2025-08-14T00:00:00"/>
    <s v="Plant 2 Canteen"/>
    <n v="0.09"/>
    <x v="50"/>
    <x v="1"/>
  </r>
  <r>
    <s v="O00023"/>
    <s v="HH1DNM"/>
    <n v="1"/>
    <n v="246.09"/>
    <s v="Hot Meal"/>
    <n v="112.08"/>
    <d v="2025-08-14T00:00:00"/>
    <s v="Plant 2 Canteen"/>
    <n v="0.09"/>
    <x v="51"/>
    <x v="1"/>
  </r>
  <r>
    <s v="O00024"/>
    <s v="HUZZPQ"/>
    <n v="3"/>
    <n v="146.4"/>
    <s v="Hot Meal"/>
    <n v="80.92"/>
    <d v="2025-08-24T00:00:00"/>
    <s v="Plant 1 Canteen"/>
    <n v="0.11"/>
    <x v="52"/>
    <x v="1"/>
  </r>
  <r>
    <s v="O00025"/>
    <s v="S5NQ4F"/>
    <n v="1"/>
    <n v="50.19"/>
    <s v="Snack"/>
    <n v="22.61"/>
    <d v="2025-08-19T00:00:00"/>
    <s v="Plant 2 Canteen"/>
    <n v="0.06"/>
    <x v="53"/>
    <x v="1"/>
  </r>
  <r>
    <s v="O00026"/>
    <s v="SHJ7XV"/>
    <n v="1"/>
    <n v="52.45"/>
    <s v="Snack"/>
    <n v="25.8"/>
    <d v="2025-07-24T00:00:00"/>
    <s v="Plant 2 Canteen"/>
    <n v="0.1"/>
    <x v="54"/>
    <x v="0"/>
  </r>
  <r>
    <s v="O00026"/>
    <s v="SZBIKC"/>
    <n v="1"/>
    <n v="38.06"/>
    <s v="Snack"/>
    <n v="19.55"/>
    <d v="2025-07-24T00:00:00"/>
    <s v="Plant 2 Canteen"/>
    <n v="0.1"/>
    <x v="55"/>
    <x v="0"/>
  </r>
  <r>
    <s v="O00027"/>
    <s v="H3A3ZM"/>
    <n v="3"/>
    <n v="170.83"/>
    <s v="Hot Meal"/>
    <n v="74.069999999999993"/>
    <d v="2025-08-22T00:00:00"/>
    <s v="Head Office Café"/>
    <n v="7.0000000000000007E-2"/>
    <x v="56"/>
    <x v="1"/>
  </r>
  <r>
    <s v="O00027"/>
    <s v="BTIQJ7"/>
    <n v="1"/>
    <n v="30.34"/>
    <s v="Beverage"/>
    <n v="14.18"/>
    <d v="2025-08-22T00:00:00"/>
    <s v="Head Office Café"/>
    <n v="7.0000000000000007E-2"/>
    <x v="57"/>
    <x v="1"/>
  </r>
  <r>
    <s v="O00027"/>
    <s v="DYTJXE"/>
    <n v="2"/>
    <n v="57.07"/>
    <s v="Dessert"/>
    <n v="29.14"/>
    <d v="2025-08-22T00:00:00"/>
    <s v="Head Office Café"/>
    <n v="7.0000000000000007E-2"/>
    <x v="16"/>
    <x v="1"/>
  </r>
  <r>
    <s v="O00027"/>
    <s v="HH1DNM"/>
    <n v="1"/>
    <n v="246.09"/>
    <s v="Hot Meal"/>
    <n v="112.08"/>
    <d v="2025-08-22T00:00:00"/>
    <s v="Head Office Café"/>
    <n v="7.0000000000000007E-2"/>
    <x v="58"/>
    <x v="1"/>
  </r>
  <r>
    <s v="O00028"/>
    <s v="S5NQ4F"/>
    <n v="1"/>
    <n v="50.19"/>
    <s v="Snack"/>
    <n v="22.61"/>
    <d v="2025-07-02T00:00:00"/>
    <s v="Head Office Café"/>
    <n v="0.03"/>
    <x v="59"/>
    <x v="0"/>
  </r>
  <r>
    <s v="O00028"/>
    <s v="D9T84A"/>
    <n v="2"/>
    <n v="116.8"/>
    <s v="Dessert"/>
    <n v="48.97"/>
    <d v="2025-07-02T00:00:00"/>
    <s v="Head Office Café"/>
    <n v="0.03"/>
    <x v="60"/>
    <x v="0"/>
  </r>
  <r>
    <s v="O00028"/>
    <s v="SCKW5N"/>
    <n v="1"/>
    <n v="70.540000000000006"/>
    <s v="Snack"/>
    <n v="35.81"/>
    <d v="2025-07-02T00:00:00"/>
    <s v="Head Office Café"/>
    <n v="0.03"/>
    <x v="61"/>
    <x v="0"/>
  </r>
  <r>
    <s v="O00028"/>
    <s v="BXO6QJ"/>
    <n v="2"/>
    <n v="20.11"/>
    <s v="Beverage"/>
    <n v="8"/>
    <d v="2025-07-02T00:00:00"/>
    <s v="Head Office Café"/>
    <n v="0.03"/>
    <x v="62"/>
    <x v="0"/>
  </r>
  <r>
    <s v="O00029"/>
    <s v="S5NQ4F"/>
    <n v="3"/>
    <n v="50.19"/>
    <s v="Snack"/>
    <n v="22.61"/>
    <d v="2025-07-14T00:00:00"/>
    <s v="Plant 2 Canteen"/>
    <n v="7.0000000000000007E-2"/>
    <x v="63"/>
    <x v="0"/>
  </r>
  <r>
    <s v="O00030"/>
    <s v="B0T0PV"/>
    <n v="1"/>
    <n v="28.43"/>
    <s v="Beverage"/>
    <n v="13.89"/>
    <d v="2025-07-16T00:00:00"/>
    <s v="Plant 2 Canteen"/>
    <n v="0.12"/>
    <x v="64"/>
    <x v="0"/>
  </r>
  <r>
    <s v="O00030"/>
    <s v="HH1DNM"/>
    <n v="1"/>
    <n v="246.09"/>
    <s v="Hot Meal"/>
    <n v="112.08"/>
    <d v="2025-07-16T00:00:00"/>
    <s v="Plant 2 Canteen"/>
    <n v="0.12"/>
    <x v="65"/>
    <x v="0"/>
  </r>
  <r>
    <s v="O00030"/>
    <s v="SCKW5N"/>
    <n v="2"/>
    <n v="70.540000000000006"/>
    <s v="Snack"/>
    <n v="35.81"/>
    <d v="2025-07-16T00:00:00"/>
    <s v="Plant 2 Canteen"/>
    <n v="0.12"/>
    <x v="66"/>
    <x v="0"/>
  </r>
  <r>
    <s v="O00031"/>
    <s v="DFFYVN"/>
    <n v="1"/>
    <n v="54.2"/>
    <s v="Dessert"/>
    <n v="21.95"/>
    <d v="2025-08-03T00:00:00"/>
    <s v="Plant 1 Canteen"/>
    <n v="0.06"/>
    <x v="67"/>
    <x v="1"/>
  </r>
  <r>
    <s v="O00031"/>
    <s v="HUZZPQ"/>
    <n v="2"/>
    <n v="146.4"/>
    <s v="Hot Meal"/>
    <n v="80.92"/>
    <d v="2025-08-03T00:00:00"/>
    <s v="Plant 1 Canteen"/>
    <n v="0.06"/>
    <x v="68"/>
    <x v="1"/>
  </r>
  <r>
    <s v="O00031"/>
    <s v="D9T84A"/>
    <n v="1"/>
    <n v="116.8"/>
    <s v="Dessert"/>
    <n v="48.97"/>
    <d v="2025-08-03T00:00:00"/>
    <s v="Plant 1 Canteen"/>
    <n v="0.06"/>
    <x v="69"/>
    <x v="1"/>
  </r>
  <r>
    <s v="O00032"/>
    <s v="DFFYVN"/>
    <n v="1"/>
    <n v="54.2"/>
    <s v="Dessert"/>
    <n v="21.95"/>
    <d v="2025-08-19T00:00:00"/>
    <s v="Plant 2 Canteen"/>
    <n v="0.12"/>
    <x v="70"/>
    <x v="1"/>
  </r>
  <r>
    <s v="O00032"/>
    <s v="D9T84A"/>
    <n v="1"/>
    <n v="116.8"/>
    <s v="Dessert"/>
    <n v="48.97"/>
    <d v="2025-08-19T00:00:00"/>
    <s v="Plant 2 Canteen"/>
    <n v="0.12"/>
    <x v="71"/>
    <x v="1"/>
  </r>
  <r>
    <s v="O00032"/>
    <s v="BOC6UZ"/>
    <n v="2"/>
    <n v="32.979999999999997"/>
    <s v="Beverage"/>
    <n v="11.84"/>
    <d v="2025-08-19T00:00:00"/>
    <s v="Plant 2 Canteen"/>
    <n v="0.12"/>
    <x v="72"/>
    <x v="1"/>
  </r>
  <r>
    <s v="O00032"/>
    <s v="HUZZPQ"/>
    <n v="2"/>
    <n v="146.4"/>
    <s v="Hot Meal"/>
    <n v="80.92"/>
    <d v="2025-08-19T00:00:00"/>
    <s v="Plant 2 Canteen"/>
    <n v="0.12"/>
    <x v="73"/>
    <x v="1"/>
  </r>
  <r>
    <s v="O00033"/>
    <s v="SV30T9"/>
    <n v="1"/>
    <n v="39.950000000000003"/>
    <s v="Snack"/>
    <n v="15.51"/>
    <d v="2025-08-11T00:00:00"/>
    <s v="Plant 2 Canteen"/>
    <n v="0"/>
    <x v="74"/>
    <x v="1"/>
  </r>
  <r>
    <s v="O00033"/>
    <s v="D9T84A"/>
    <n v="3"/>
    <n v="116.8"/>
    <s v="Dessert"/>
    <n v="48.97"/>
    <d v="2025-08-11T00:00:00"/>
    <s v="Plant 2 Canteen"/>
    <n v="0"/>
    <x v="75"/>
    <x v="1"/>
  </r>
  <r>
    <s v="O00034"/>
    <s v="BOC6UZ"/>
    <n v="1"/>
    <n v="32.979999999999997"/>
    <s v="Beverage"/>
    <n v="11.84"/>
    <d v="2025-07-13T00:00:00"/>
    <s v="Head Office Café"/>
    <n v="0.09"/>
    <x v="76"/>
    <x v="0"/>
  </r>
  <r>
    <s v="O00034"/>
    <s v="SV30T9"/>
    <n v="1"/>
    <n v="39.950000000000003"/>
    <s v="Snack"/>
    <n v="15.51"/>
    <d v="2025-07-13T00:00:00"/>
    <s v="Head Office Café"/>
    <n v="0.09"/>
    <x v="77"/>
    <x v="0"/>
  </r>
  <r>
    <s v="O00034"/>
    <s v="BHL1C3"/>
    <n v="1"/>
    <n v="22.2"/>
    <s v="Beverage"/>
    <n v="9.3800000000000008"/>
    <d v="2025-07-13T00:00:00"/>
    <s v="Head Office Café"/>
    <n v="0.09"/>
    <x v="78"/>
    <x v="0"/>
  </r>
  <r>
    <s v="O00035"/>
    <s v="D9T84A"/>
    <n v="1"/>
    <n v="116.8"/>
    <s v="Dessert"/>
    <n v="48.97"/>
    <d v="2025-08-23T00:00:00"/>
    <s v="Head Office Café"/>
    <n v="0.06"/>
    <x v="69"/>
    <x v="1"/>
  </r>
  <r>
    <s v="O00035"/>
    <s v="HXAJI0"/>
    <n v="2"/>
    <n v="227.61"/>
    <s v="Hot Meal"/>
    <n v="96.22"/>
    <d v="2025-08-23T00:00:00"/>
    <s v="Head Office Café"/>
    <n v="0.06"/>
    <x v="79"/>
    <x v="1"/>
  </r>
  <r>
    <s v="O00035"/>
    <s v="DH9SDB"/>
    <n v="1"/>
    <n v="76.55"/>
    <s v="Dessert"/>
    <n v="38.229999999999997"/>
    <d v="2025-08-23T00:00:00"/>
    <s v="Head Office Café"/>
    <n v="0.06"/>
    <x v="80"/>
    <x v="1"/>
  </r>
  <r>
    <s v="O00035"/>
    <s v="B0T0PV"/>
    <n v="1"/>
    <n v="28.43"/>
    <s v="Beverage"/>
    <n v="13.89"/>
    <d v="2025-08-23T00:00:00"/>
    <s v="Head Office Café"/>
    <n v="0.06"/>
    <x v="81"/>
    <x v="1"/>
  </r>
  <r>
    <s v="O00036"/>
    <s v="S5NQ4F"/>
    <n v="1"/>
    <n v="50.19"/>
    <s v="Snack"/>
    <n v="22.61"/>
    <d v="2025-07-12T00:00:00"/>
    <s v="Plant 1 Canteen"/>
    <n v="0.05"/>
    <x v="82"/>
    <x v="0"/>
  </r>
  <r>
    <s v="O00036"/>
    <s v="H3A3ZM"/>
    <n v="1"/>
    <n v="170.83"/>
    <s v="Hot Meal"/>
    <n v="74.069999999999993"/>
    <d v="2025-07-12T00:00:00"/>
    <s v="Plant 1 Canteen"/>
    <n v="0.05"/>
    <x v="83"/>
    <x v="0"/>
  </r>
  <r>
    <s v="O00037"/>
    <s v="H3A3ZM"/>
    <n v="2"/>
    <n v="170.83"/>
    <s v="Hot Meal"/>
    <n v="74.069999999999993"/>
    <d v="2025-07-04T00:00:00"/>
    <s v="Plant 2 Canteen"/>
    <n v="0.06"/>
    <x v="84"/>
    <x v="0"/>
  </r>
  <r>
    <s v="O00038"/>
    <s v="BHL1C3"/>
    <n v="1"/>
    <n v="22.2"/>
    <s v="Beverage"/>
    <n v="9.3800000000000008"/>
    <d v="2025-08-11T00:00:00"/>
    <s v="Plant 1 Canteen"/>
    <n v="0"/>
    <x v="13"/>
    <x v="1"/>
  </r>
  <r>
    <s v="O00038"/>
    <s v="BOC6UZ"/>
    <n v="2"/>
    <n v="32.979999999999997"/>
    <s v="Beverage"/>
    <n v="11.84"/>
    <d v="2025-08-11T00:00:00"/>
    <s v="Plant 1 Canteen"/>
    <n v="0"/>
    <x v="3"/>
    <x v="1"/>
  </r>
  <r>
    <s v="O00039"/>
    <s v="H3A3ZM"/>
    <n v="3"/>
    <n v="170.83"/>
    <s v="Hot Meal"/>
    <n v="74.069999999999993"/>
    <d v="2025-07-05T00:00:00"/>
    <s v="Plant 2 Canteen"/>
    <n v="0.05"/>
    <x v="85"/>
    <x v="0"/>
  </r>
  <r>
    <s v="O00040"/>
    <s v="BOC6UZ"/>
    <n v="3"/>
    <n v="32.979999999999997"/>
    <s v="Beverage"/>
    <n v="11.84"/>
    <d v="2025-07-11T00:00:00"/>
    <s v="Plant 2 Canteen"/>
    <n v="7.0000000000000007E-2"/>
    <x v="86"/>
    <x v="0"/>
  </r>
  <r>
    <s v="O00040"/>
    <s v="B0T0PV"/>
    <n v="1"/>
    <n v="28.43"/>
    <s v="Beverage"/>
    <n v="13.89"/>
    <d v="2025-07-11T00:00:00"/>
    <s v="Plant 2 Canteen"/>
    <n v="7.0000000000000007E-2"/>
    <x v="87"/>
    <x v="0"/>
  </r>
  <r>
    <s v="O00040"/>
    <s v="HDPBHS"/>
    <n v="2"/>
    <n v="256.91000000000003"/>
    <s v="Hot Meal"/>
    <n v="121.24"/>
    <d v="2025-07-11T00:00:00"/>
    <s v="Plant 2 Canteen"/>
    <n v="7.0000000000000007E-2"/>
    <x v="88"/>
    <x v="0"/>
  </r>
  <r>
    <s v="O00040"/>
    <s v="BTIQJ7"/>
    <n v="1"/>
    <n v="30.34"/>
    <s v="Beverage"/>
    <n v="14.18"/>
    <d v="2025-07-11T00:00:00"/>
    <s v="Plant 2 Canteen"/>
    <n v="7.0000000000000007E-2"/>
    <x v="57"/>
    <x v="0"/>
  </r>
  <r>
    <s v="O00041"/>
    <s v="BOC6UZ"/>
    <n v="3"/>
    <n v="32.979999999999997"/>
    <s v="Beverage"/>
    <n v="11.84"/>
    <d v="2025-07-24T00:00:00"/>
    <s v="Plant 1 Canteen"/>
    <n v="0.12"/>
    <x v="89"/>
    <x v="0"/>
  </r>
  <r>
    <s v="O00041"/>
    <s v="SCKW5N"/>
    <n v="1"/>
    <n v="70.540000000000006"/>
    <s v="Snack"/>
    <n v="35.81"/>
    <d v="2025-07-24T00:00:00"/>
    <s v="Plant 1 Canteen"/>
    <n v="0.12"/>
    <x v="90"/>
    <x v="0"/>
  </r>
  <r>
    <s v="O00042"/>
    <s v="DYTJXE"/>
    <n v="1"/>
    <n v="57.07"/>
    <s v="Dessert"/>
    <n v="29.14"/>
    <d v="2025-07-18T00:00:00"/>
    <s v="Head Office Café"/>
    <n v="0.04"/>
    <x v="91"/>
    <x v="0"/>
  </r>
  <r>
    <s v="O00042"/>
    <s v="BHL1C3"/>
    <n v="1"/>
    <n v="22.2"/>
    <s v="Beverage"/>
    <n v="9.3800000000000008"/>
    <d v="2025-07-18T00:00:00"/>
    <s v="Head Office Café"/>
    <n v="0.04"/>
    <x v="92"/>
    <x v="0"/>
  </r>
  <r>
    <s v="O00042"/>
    <s v="HXAJI0"/>
    <n v="1"/>
    <n v="227.61"/>
    <s v="Hot Meal"/>
    <n v="96.22"/>
    <d v="2025-07-18T00:00:00"/>
    <s v="Head Office Café"/>
    <n v="0.04"/>
    <x v="93"/>
    <x v="0"/>
  </r>
  <r>
    <s v="O00042"/>
    <s v="DFFYVN"/>
    <n v="1"/>
    <n v="54.2"/>
    <s v="Dessert"/>
    <n v="21.95"/>
    <d v="2025-07-18T00:00:00"/>
    <s v="Head Office Café"/>
    <n v="0.04"/>
    <x v="94"/>
    <x v="0"/>
  </r>
  <r>
    <s v="O00043"/>
    <s v="BHL1C3"/>
    <n v="1"/>
    <n v="22.2"/>
    <s v="Beverage"/>
    <n v="9.3800000000000008"/>
    <d v="2025-07-27T00:00:00"/>
    <s v="Plant 1 Canteen"/>
    <n v="0.03"/>
    <x v="95"/>
    <x v="0"/>
  </r>
  <r>
    <s v="O00044"/>
    <s v="BHL1C3"/>
    <n v="1"/>
    <n v="22.2"/>
    <s v="Beverage"/>
    <n v="9.3800000000000008"/>
    <d v="2025-07-05T00:00:00"/>
    <s v="Plant 2 Canteen"/>
    <n v="0.04"/>
    <x v="92"/>
    <x v="0"/>
  </r>
  <r>
    <s v="O00044"/>
    <s v="SHJ7XV"/>
    <n v="1"/>
    <n v="52.45"/>
    <s v="Snack"/>
    <n v="25.8"/>
    <d v="2025-07-05T00:00:00"/>
    <s v="Plant 2 Canteen"/>
    <n v="0.04"/>
    <x v="96"/>
    <x v="0"/>
  </r>
  <r>
    <s v="O00044"/>
    <s v="SCKW5N"/>
    <n v="1"/>
    <n v="70.540000000000006"/>
    <s v="Snack"/>
    <n v="35.81"/>
    <d v="2025-07-05T00:00:00"/>
    <s v="Plant 2 Canteen"/>
    <n v="0.04"/>
    <x v="8"/>
    <x v="0"/>
  </r>
  <r>
    <s v="O00045"/>
    <s v="BXO6QJ"/>
    <n v="3"/>
    <n v="20.11"/>
    <s v="Beverage"/>
    <n v="8"/>
    <d v="2025-08-04T00:00:00"/>
    <s v="Plant 2 Canteen"/>
    <n v="0.1"/>
    <x v="10"/>
    <x v="1"/>
  </r>
  <r>
    <s v="O00045"/>
    <s v="BOC6UZ"/>
    <n v="2"/>
    <n v="32.979999999999997"/>
    <s v="Beverage"/>
    <n v="11.84"/>
    <d v="2025-08-04T00:00:00"/>
    <s v="Plant 2 Canteen"/>
    <n v="0.1"/>
    <x v="39"/>
    <x v="1"/>
  </r>
  <r>
    <s v="O00045"/>
    <s v="D9T84A"/>
    <n v="2"/>
    <n v="116.8"/>
    <s v="Dessert"/>
    <n v="48.97"/>
    <d v="2025-08-04T00:00:00"/>
    <s v="Plant 2 Canteen"/>
    <n v="0.1"/>
    <x v="97"/>
    <x v="1"/>
  </r>
  <r>
    <s v="O00046"/>
    <s v="SV30T9"/>
    <n v="1"/>
    <n v="39.950000000000003"/>
    <s v="Snack"/>
    <n v="15.51"/>
    <d v="2025-07-20T00:00:00"/>
    <s v="Plant 2 Canteen"/>
    <n v="7.0000000000000007E-2"/>
    <x v="98"/>
    <x v="0"/>
  </r>
  <r>
    <s v="O00047"/>
    <s v="HDPBHS"/>
    <n v="2"/>
    <n v="256.91000000000003"/>
    <s v="Hot Meal"/>
    <n v="121.24"/>
    <d v="2025-07-28T00:00:00"/>
    <s v="Plant 2 Canteen"/>
    <n v="0.04"/>
    <x v="41"/>
    <x v="0"/>
  </r>
  <r>
    <s v="O00047"/>
    <s v="SHJ7XV"/>
    <n v="1"/>
    <n v="52.45"/>
    <s v="Snack"/>
    <n v="25.8"/>
    <d v="2025-07-28T00:00:00"/>
    <s v="Plant 2 Canteen"/>
    <n v="0.04"/>
    <x v="96"/>
    <x v="0"/>
  </r>
  <r>
    <s v="O00047"/>
    <s v="DFFYVN"/>
    <n v="1"/>
    <n v="54.2"/>
    <s v="Dessert"/>
    <n v="21.95"/>
    <d v="2025-07-28T00:00:00"/>
    <s v="Plant 2 Canteen"/>
    <n v="0.04"/>
    <x v="94"/>
    <x v="0"/>
  </r>
  <r>
    <s v="O00048"/>
    <s v="SZBIKC"/>
    <n v="1"/>
    <n v="38.06"/>
    <s v="Snack"/>
    <n v="19.55"/>
    <d v="2025-08-22T00:00:00"/>
    <s v="Plant 2 Canteen"/>
    <n v="0.08"/>
    <x v="99"/>
    <x v="1"/>
  </r>
  <r>
    <s v="O00048"/>
    <s v="S5NQ4F"/>
    <n v="2"/>
    <n v="50.19"/>
    <s v="Snack"/>
    <n v="22.61"/>
    <d v="2025-08-22T00:00:00"/>
    <s v="Plant 2 Canteen"/>
    <n v="0.08"/>
    <x v="100"/>
    <x v="1"/>
  </r>
  <r>
    <s v="O00048"/>
    <s v="B0T0PV"/>
    <n v="2"/>
    <n v="28.43"/>
    <s v="Beverage"/>
    <n v="13.89"/>
    <d v="2025-08-22T00:00:00"/>
    <s v="Plant 2 Canteen"/>
    <n v="0.08"/>
    <x v="101"/>
    <x v="1"/>
  </r>
  <r>
    <s v="O00049"/>
    <s v="HXAJI0"/>
    <n v="1"/>
    <n v="227.61"/>
    <s v="Hot Meal"/>
    <n v="96.22"/>
    <d v="2025-07-18T00:00:00"/>
    <s v="Head Office Café"/>
    <n v="0.06"/>
    <x v="102"/>
    <x v="0"/>
  </r>
  <r>
    <s v="O00049"/>
    <s v="BOC6UZ"/>
    <n v="2"/>
    <n v="32.979999999999997"/>
    <s v="Beverage"/>
    <n v="11.84"/>
    <d v="2025-07-18T00:00:00"/>
    <s v="Head Office Café"/>
    <n v="0.06"/>
    <x v="103"/>
    <x v="0"/>
  </r>
  <r>
    <s v="O00050"/>
    <s v="DH9SDB"/>
    <n v="1"/>
    <n v="76.55"/>
    <s v="Dessert"/>
    <n v="38.229999999999997"/>
    <d v="2025-08-28T00:00:00"/>
    <s v="Plant 2 Canteen"/>
    <n v="0.1"/>
    <x v="104"/>
    <x v="1"/>
  </r>
  <r>
    <s v="O00050"/>
    <s v="BOC6UZ"/>
    <n v="1"/>
    <n v="32.979999999999997"/>
    <s v="Beverage"/>
    <n v="11.84"/>
    <d v="2025-08-28T00:00:00"/>
    <s v="Plant 2 Canteen"/>
    <n v="0.1"/>
    <x v="105"/>
    <x v="1"/>
  </r>
  <r>
    <s v="O00051"/>
    <s v="HH1DNM"/>
    <n v="1"/>
    <n v="246.09"/>
    <s v="Hot Meal"/>
    <n v="112.08"/>
    <d v="2025-08-12T00:00:00"/>
    <s v="Head Office Café"/>
    <n v="0.03"/>
    <x v="106"/>
    <x v="1"/>
  </r>
  <r>
    <s v="O00051"/>
    <s v="D9T84A"/>
    <n v="1"/>
    <n v="116.8"/>
    <s v="Dessert"/>
    <n v="48.97"/>
    <d v="2025-08-12T00:00:00"/>
    <s v="Head Office Café"/>
    <n v="0.03"/>
    <x v="107"/>
    <x v="1"/>
  </r>
  <r>
    <s v="O00051"/>
    <s v="DH9SDB"/>
    <n v="3"/>
    <n v="76.55"/>
    <s v="Dessert"/>
    <n v="38.229999999999997"/>
    <d v="2025-08-12T00:00:00"/>
    <s v="Head Office Café"/>
    <n v="0.03"/>
    <x v="108"/>
    <x v="1"/>
  </r>
  <r>
    <s v="O00052"/>
    <s v="SCKW5N"/>
    <n v="2"/>
    <n v="70.540000000000006"/>
    <s v="Snack"/>
    <n v="35.81"/>
    <d v="2025-08-26T00:00:00"/>
    <s v="Plant 1 Canteen"/>
    <n v="0.05"/>
    <x v="109"/>
    <x v="1"/>
  </r>
  <r>
    <s v="O00052"/>
    <s v="SHJ7XV"/>
    <n v="1"/>
    <n v="52.45"/>
    <s v="Snack"/>
    <n v="25.8"/>
    <d v="2025-08-26T00:00:00"/>
    <s v="Plant 1 Canteen"/>
    <n v="0.05"/>
    <x v="110"/>
    <x v="1"/>
  </r>
  <r>
    <s v="O00053"/>
    <s v="SHJ7XV"/>
    <n v="2"/>
    <n v="52.45"/>
    <s v="Snack"/>
    <n v="25.8"/>
    <d v="2025-07-01T00:00:00"/>
    <s v="Head Office Café"/>
    <n v="0.04"/>
    <x v="111"/>
    <x v="0"/>
  </r>
  <r>
    <s v="O00054"/>
    <s v="SZBIKC"/>
    <n v="1"/>
    <n v="38.06"/>
    <s v="Snack"/>
    <n v="19.55"/>
    <d v="2025-08-05T00:00:00"/>
    <s v="Plant 2 Canteen"/>
    <n v="0"/>
    <x v="6"/>
    <x v="1"/>
  </r>
  <r>
    <s v="O00054"/>
    <s v="D9T84A"/>
    <n v="2"/>
    <n v="116.8"/>
    <s v="Dessert"/>
    <n v="48.97"/>
    <d v="2025-08-05T00:00:00"/>
    <s v="Plant 2 Canteen"/>
    <n v="0"/>
    <x v="112"/>
    <x v="1"/>
  </r>
  <r>
    <s v="O00055"/>
    <s v="HDPBHS"/>
    <n v="2"/>
    <n v="256.91000000000003"/>
    <s v="Hot Meal"/>
    <n v="121.24"/>
    <d v="2025-07-31T00:00:00"/>
    <s v="Head Office Café"/>
    <n v="7.0000000000000007E-2"/>
    <x v="88"/>
    <x v="0"/>
  </r>
  <r>
    <s v="O00055"/>
    <s v="HH1DNM"/>
    <n v="1"/>
    <n v="246.09"/>
    <s v="Hot Meal"/>
    <n v="112.08"/>
    <d v="2025-07-31T00:00:00"/>
    <s v="Head Office Café"/>
    <n v="7.0000000000000007E-2"/>
    <x v="58"/>
    <x v="0"/>
  </r>
  <r>
    <s v="O00056"/>
    <s v="D9T84A"/>
    <n v="3"/>
    <n v="116.8"/>
    <s v="Dessert"/>
    <n v="48.97"/>
    <d v="2025-08-19T00:00:00"/>
    <s v="Plant 2 Canteen"/>
    <n v="7.0000000000000007E-2"/>
    <x v="113"/>
    <x v="1"/>
  </r>
  <r>
    <s v="O00056"/>
    <s v="HUZZPQ"/>
    <n v="1"/>
    <n v="146.4"/>
    <s v="Hot Meal"/>
    <n v="80.92"/>
    <d v="2025-08-19T00:00:00"/>
    <s v="Plant 2 Canteen"/>
    <n v="7.0000000000000007E-2"/>
    <x v="114"/>
    <x v="1"/>
  </r>
  <r>
    <s v="O00057"/>
    <s v="S5NQ4F"/>
    <n v="1"/>
    <n v="50.19"/>
    <s v="Snack"/>
    <n v="22.61"/>
    <d v="2025-08-09T00:00:00"/>
    <s v="Head Office Café"/>
    <n v="0.06"/>
    <x v="53"/>
    <x v="1"/>
  </r>
  <r>
    <s v="O00057"/>
    <s v="BTIQJ7"/>
    <n v="3"/>
    <n v="30.34"/>
    <s v="Beverage"/>
    <n v="14.18"/>
    <d v="2025-08-09T00:00:00"/>
    <s v="Head Office Café"/>
    <n v="0.06"/>
    <x v="115"/>
    <x v="1"/>
  </r>
  <r>
    <s v="O00057"/>
    <s v="SZBIKC"/>
    <n v="1"/>
    <n v="38.06"/>
    <s v="Snack"/>
    <n v="19.55"/>
    <d v="2025-08-09T00:00:00"/>
    <s v="Head Office Café"/>
    <n v="0.06"/>
    <x v="116"/>
    <x v="1"/>
  </r>
  <r>
    <s v="O00057"/>
    <s v="DH9SDB"/>
    <n v="1"/>
    <n v="76.55"/>
    <s v="Dessert"/>
    <n v="38.229999999999997"/>
    <d v="2025-08-09T00:00:00"/>
    <s v="Head Office Café"/>
    <n v="0.06"/>
    <x v="80"/>
    <x v="1"/>
  </r>
  <r>
    <s v="O00058"/>
    <s v="HH1DNM"/>
    <n v="1"/>
    <n v="246.09"/>
    <s v="Hot Meal"/>
    <n v="112.08"/>
    <d v="2025-07-19T00:00:00"/>
    <s v="Plant 2 Canteen"/>
    <n v="0.05"/>
    <x v="117"/>
    <x v="0"/>
  </r>
  <r>
    <s v="O00059"/>
    <s v="DH9SDB"/>
    <n v="2"/>
    <n v="76.55"/>
    <s v="Dessert"/>
    <n v="38.229999999999997"/>
    <d v="2025-08-25T00:00:00"/>
    <s v="Plant 2 Canteen"/>
    <n v="0"/>
    <x v="118"/>
    <x v="1"/>
  </r>
  <r>
    <s v="O00059"/>
    <s v="DFFYVN"/>
    <n v="1"/>
    <n v="54.2"/>
    <s v="Dessert"/>
    <n v="21.95"/>
    <d v="2025-08-25T00:00:00"/>
    <s v="Plant 2 Canteen"/>
    <n v="0"/>
    <x v="119"/>
    <x v="1"/>
  </r>
  <r>
    <s v="O00059"/>
    <s v="HXAJI0"/>
    <n v="2"/>
    <n v="227.61"/>
    <s v="Hot Meal"/>
    <n v="96.22"/>
    <d v="2025-08-25T00:00:00"/>
    <s v="Plant 2 Canteen"/>
    <n v="0"/>
    <x v="120"/>
    <x v="1"/>
  </r>
  <r>
    <s v="O00060"/>
    <s v="H3A3ZM"/>
    <n v="2"/>
    <n v="170.83"/>
    <s v="Hot Meal"/>
    <n v="74.069999999999993"/>
    <d v="2025-07-30T00:00:00"/>
    <s v="Plant 2 Canteen"/>
    <n v="0.04"/>
    <x v="121"/>
    <x v="0"/>
  </r>
  <r>
    <s v="O00060"/>
    <s v="HDPBHS"/>
    <n v="1"/>
    <n v="256.91000000000003"/>
    <s v="Hot Meal"/>
    <n v="121.24"/>
    <d v="2025-07-30T00:00:00"/>
    <s v="Plant 2 Canteen"/>
    <n v="0.04"/>
    <x v="122"/>
    <x v="0"/>
  </r>
  <r>
    <s v="O00060"/>
    <s v="SCKW5N"/>
    <n v="2"/>
    <n v="70.540000000000006"/>
    <s v="Snack"/>
    <n v="35.81"/>
    <d v="2025-07-30T00:00:00"/>
    <s v="Plant 2 Canteen"/>
    <n v="0.04"/>
    <x v="123"/>
    <x v="0"/>
  </r>
  <r>
    <s v="O00061"/>
    <s v="SHJ7XV"/>
    <n v="1"/>
    <n v="52.45"/>
    <s v="Snack"/>
    <n v="25.8"/>
    <d v="2025-08-15T00:00:00"/>
    <s v="Plant 2 Canteen"/>
    <n v="0.05"/>
    <x v="110"/>
    <x v="1"/>
  </r>
  <r>
    <s v="O00061"/>
    <s v="BTIQJ7"/>
    <n v="2"/>
    <n v="30.34"/>
    <s v="Beverage"/>
    <n v="14.18"/>
    <d v="2025-08-15T00:00:00"/>
    <s v="Plant 2 Canteen"/>
    <n v="0.05"/>
    <x v="124"/>
    <x v="1"/>
  </r>
  <r>
    <s v="O00061"/>
    <s v="SV30T9"/>
    <n v="3"/>
    <n v="39.950000000000003"/>
    <s v="Snack"/>
    <n v="15.51"/>
    <d v="2025-08-15T00:00:00"/>
    <s v="Plant 2 Canteen"/>
    <n v="0.05"/>
    <x v="125"/>
    <x v="1"/>
  </r>
  <r>
    <s v="O00061"/>
    <s v="BOC6UZ"/>
    <n v="1"/>
    <n v="32.979999999999997"/>
    <s v="Beverage"/>
    <n v="11.84"/>
    <d v="2025-08-15T00:00:00"/>
    <s v="Plant 2 Canteen"/>
    <n v="0.05"/>
    <x v="43"/>
    <x v="1"/>
  </r>
  <r>
    <s v="O00062"/>
    <s v="D9T84A"/>
    <n v="2"/>
    <n v="116.8"/>
    <s v="Dessert"/>
    <n v="48.97"/>
    <d v="2025-08-19T00:00:00"/>
    <s v="Plant 2 Canteen"/>
    <n v="0.03"/>
    <x v="60"/>
    <x v="1"/>
  </r>
  <r>
    <s v="O00062"/>
    <s v="BTIQJ7"/>
    <n v="2"/>
    <n v="30.34"/>
    <s v="Beverage"/>
    <n v="14.18"/>
    <d v="2025-08-19T00:00:00"/>
    <s v="Plant 2 Canteen"/>
    <n v="0.03"/>
    <x v="126"/>
    <x v="1"/>
  </r>
  <r>
    <s v="O00063"/>
    <s v="DH9SDB"/>
    <n v="2"/>
    <n v="76.55"/>
    <s v="Dessert"/>
    <n v="38.229999999999997"/>
    <d v="2025-07-28T00:00:00"/>
    <s v="Head Office Café"/>
    <n v="0.05"/>
    <x v="127"/>
    <x v="0"/>
  </r>
  <r>
    <s v="O00064"/>
    <s v="BXO6QJ"/>
    <n v="1"/>
    <n v="20.11"/>
    <s v="Beverage"/>
    <n v="8"/>
    <d v="2025-07-10T00:00:00"/>
    <s v="Plant 1 Canteen"/>
    <n v="0.08"/>
    <x v="128"/>
    <x v="0"/>
  </r>
  <r>
    <s v="O00065"/>
    <s v="HDPBHS"/>
    <n v="2"/>
    <n v="256.91000000000003"/>
    <s v="Hot Meal"/>
    <n v="121.24"/>
    <d v="2025-07-20T00:00:00"/>
    <s v="Plant 1 Canteen"/>
    <n v="0.14000000000000001"/>
    <x v="129"/>
    <x v="0"/>
  </r>
  <r>
    <s v="O00065"/>
    <s v="SCKW5N"/>
    <n v="2"/>
    <n v="70.540000000000006"/>
    <s v="Snack"/>
    <n v="35.81"/>
    <d v="2025-07-20T00:00:00"/>
    <s v="Plant 1 Canteen"/>
    <n v="0.14000000000000001"/>
    <x v="130"/>
    <x v="0"/>
  </r>
  <r>
    <s v="O00065"/>
    <s v="B0T0PV"/>
    <n v="1"/>
    <n v="28.43"/>
    <s v="Beverage"/>
    <n v="13.89"/>
    <d v="2025-07-20T00:00:00"/>
    <s v="Plant 1 Canteen"/>
    <n v="0.14000000000000001"/>
    <x v="131"/>
    <x v="0"/>
  </r>
  <r>
    <s v="O00066"/>
    <s v="SZBIKC"/>
    <n v="1"/>
    <n v="38.06"/>
    <s v="Snack"/>
    <n v="19.55"/>
    <d v="2025-08-16T00:00:00"/>
    <s v="Head Office Café"/>
    <n v="7.0000000000000007E-2"/>
    <x v="17"/>
    <x v="1"/>
  </r>
  <r>
    <s v="O00066"/>
    <s v="HUZZPQ"/>
    <n v="3"/>
    <n v="146.4"/>
    <s v="Hot Meal"/>
    <n v="80.92"/>
    <d v="2025-08-16T00:00:00"/>
    <s v="Head Office Café"/>
    <n v="7.0000000000000007E-2"/>
    <x v="132"/>
    <x v="1"/>
  </r>
  <r>
    <s v="O00066"/>
    <s v="DH9SDB"/>
    <n v="2"/>
    <n v="76.55"/>
    <s v="Dessert"/>
    <n v="38.229999999999997"/>
    <d v="2025-08-16T00:00:00"/>
    <s v="Head Office Café"/>
    <n v="7.0000000000000007E-2"/>
    <x v="133"/>
    <x v="1"/>
  </r>
  <r>
    <s v="O00066"/>
    <s v="HXAJI0"/>
    <n v="2"/>
    <n v="227.61"/>
    <s v="Hot Meal"/>
    <n v="96.22"/>
    <d v="2025-08-16T00:00:00"/>
    <s v="Head Office Café"/>
    <n v="7.0000000000000007E-2"/>
    <x v="134"/>
    <x v="1"/>
  </r>
  <r>
    <s v="O00067"/>
    <s v="SCKW5N"/>
    <n v="1"/>
    <n v="70.540000000000006"/>
    <s v="Snack"/>
    <n v="35.81"/>
    <d v="2025-08-26T00:00:00"/>
    <s v="Plant 1 Canteen"/>
    <n v="7.0000000000000007E-2"/>
    <x v="135"/>
    <x v="1"/>
  </r>
  <r>
    <s v="O00067"/>
    <s v="B0T0PV"/>
    <n v="1"/>
    <n v="28.43"/>
    <s v="Beverage"/>
    <n v="13.89"/>
    <d v="2025-08-26T00:00:00"/>
    <s v="Plant 1 Canteen"/>
    <n v="7.0000000000000007E-2"/>
    <x v="87"/>
    <x v="1"/>
  </r>
  <r>
    <s v="O00067"/>
    <s v="BTIQJ7"/>
    <n v="1"/>
    <n v="30.34"/>
    <s v="Beverage"/>
    <n v="14.18"/>
    <d v="2025-08-26T00:00:00"/>
    <s v="Plant 1 Canteen"/>
    <n v="7.0000000000000007E-2"/>
    <x v="57"/>
    <x v="1"/>
  </r>
  <r>
    <s v="O00067"/>
    <s v="D9T84A"/>
    <n v="2"/>
    <n v="116.8"/>
    <s v="Dessert"/>
    <n v="48.97"/>
    <d v="2025-08-26T00:00:00"/>
    <s v="Plant 1 Canteen"/>
    <n v="7.0000000000000007E-2"/>
    <x v="136"/>
    <x v="1"/>
  </r>
  <r>
    <s v="O00068"/>
    <s v="H3A3ZM"/>
    <n v="1"/>
    <n v="170.83"/>
    <s v="Hot Meal"/>
    <n v="74.069999999999993"/>
    <d v="2025-08-18T00:00:00"/>
    <s v="Plant 2 Canteen"/>
    <n v="0.06"/>
    <x v="137"/>
    <x v="1"/>
  </r>
  <r>
    <s v="O00068"/>
    <s v="S5NQ4F"/>
    <n v="1"/>
    <n v="50.19"/>
    <s v="Snack"/>
    <n v="22.61"/>
    <d v="2025-08-18T00:00:00"/>
    <s v="Plant 2 Canteen"/>
    <n v="0.06"/>
    <x v="53"/>
    <x v="1"/>
  </r>
  <r>
    <s v="O00068"/>
    <s v="BTIQJ7"/>
    <n v="1"/>
    <n v="30.34"/>
    <s v="Beverage"/>
    <n v="14.18"/>
    <d v="2025-08-18T00:00:00"/>
    <s v="Plant 2 Canteen"/>
    <n v="0.06"/>
    <x v="138"/>
    <x v="1"/>
  </r>
  <r>
    <s v="O00068"/>
    <s v="HUZZPQ"/>
    <n v="1"/>
    <n v="146.4"/>
    <s v="Hot Meal"/>
    <n v="80.92"/>
    <d v="2025-08-18T00:00:00"/>
    <s v="Plant 2 Canteen"/>
    <n v="0.06"/>
    <x v="139"/>
    <x v="1"/>
  </r>
  <r>
    <s v="O00069"/>
    <s v="HH1DNM"/>
    <n v="3"/>
    <n v="246.09"/>
    <s v="Hot Meal"/>
    <n v="112.08"/>
    <d v="2025-07-11T00:00:00"/>
    <s v="Plant 2 Canteen"/>
    <n v="0"/>
    <x v="140"/>
    <x v="0"/>
  </r>
  <r>
    <s v="O00069"/>
    <s v="HDPBHS"/>
    <n v="2"/>
    <n v="256.91000000000003"/>
    <s v="Hot Meal"/>
    <n v="121.24"/>
    <d v="2025-07-11T00:00:00"/>
    <s v="Plant 2 Canteen"/>
    <n v="0"/>
    <x v="141"/>
    <x v="0"/>
  </r>
  <r>
    <s v="O00069"/>
    <s v="SCKW5N"/>
    <n v="2"/>
    <n v="70.540000000000006"/>
    <s v="Snack"/>
    <n v="35.81"/>
    <d v="2025-07-11T00:00:00"/>
    <s v="Plant 2 Canteen"/>
    <n v="0"/>
    <x v="142"/>
    <x v="0"/>
  </r>
  <r>
    <s v="O00069"/>
    <s v="HUZZPQ"/>
    <n v="1"/>
    <n v="146.4"/>
    <s v="Hot Meal"/>
    <n v="80.92"/>
    <d v="2025-07-11T00:00:00"/>
    <s v="Plant 2 Canteen"/>
    <n v="0"/>
    <x v="143"/>
    <x v="0"/>
  </r>
  <r>
    <s v="O00070"/>
    <s v="BXO6QJ"/>
    <n v="3"/>
    <n v="20.11"/>
    <s v="Beverage"/>
    <n v="8"/>
    <d v="2025-08-15T00:00:00"/>
    <s v="Plant 1 Canteen"/>
    <n v="0.06"/>
    <x v="144"/>
    <x v="1"/>
  </r>
  <r>
    <s v="O00071"/>
    <s v="H3A3ZM"/>
    <n v="1"/>
    <n v="170.83"/>
    <s v="Hot Meal"/>
    <n v="74.069999999999993"/>
    <d v="2025-08-14T00:00:00"/>
    <s v="Plant 1 Canteen"/>
    <n v="0.06"/>
    <x v="137"/>
    <x v="1"/>
  </r>
  <r>
    <s v="O00071"/>
    <s v="DH9SDB"/>
    <n v="2"/>
    <n v="76.55"/>
    <s v="Dessert"/>
    <n v="38.229999999999997"/>
    <d v="2025-08-14T00:00:00"/>
    <s v="Plant 1 Canteen"/>
    <n v="0.06"/>
    <x v="145"/>
    <x v="1"/>
  </r>
  <r>
    <s v="O00072"/>
    <s v="H3A3ZM"/>
    <n v="2"/>
    <n v="170.83"/>
    <s v="Hot Meal"/>
    <n v="74.069999999999993"/>
    <d v="2025-08-24T00:00:00"/>
    <s v="Head Office Café"/>
    <n v="0.16"/>
    <x v="146"/>
    <x v="1"/>
  </r>
  <r>
    <s v="O00072"/>
    <s v="BTIQJ7"/>
    <n v="1"/>
    <n v="30.34"/>
    <s v="Beverage"/>
    <n v="14.18"/>
    <d v="2025-08-24T00:00:00"/>
    <s v="Head Office Café"/>
    <n v="0.16"/>
    <x v="147"/>
    <x v="1"/>
  </r>
  <r>
    <s v="O00072"/>
    <s v="B0T0PV"/>
    <n v="1"/>
    <n v="28.43"/>
    <s v="Beverage"/>
    <n v="13.89"/>
    <d v="2025-08-24T00:00:00"/>
    <s v="Head Office Café"/>
    <n v="0.16"/>
    <x v="148"/>
    <x v="1"/>
  </r>
  <r>
    <s v="O00073"/>
    <s v="S5NQ4F"/>
    <n v="2"/>
    <n v="50.19"/>
    <s v="Snack"/>
    <n v="22.61"/>
    <d v="2025-08-11T00:00:00"/>
    <s v="Head Office Café"/>
    <n v="0.05"/>
    <x v="149"/>
    <x v="1"/>
  </r>
  <r>
    <s v="O00074"/>
    <s v="BHL1C3"/>
    <n v="1"/>
    <n v="22.2"/>
    <s v="Beverage"/>
    <n v="9.3800000000000008"/>
    <d v="2025-08-13T00:00:00"/>
    <s v="Plant 2 Canteen"/>
    <n v="7.0000000000000007E-2"/>
    <x v="150"/>
    <x v="1"/>
  </r>
  <r>
    <s v="O00074"/>
    <s v="SHJ7XV"/>
    <n v="1"/>
    <n v="52.45"/>
    <s v="Snack"/>
    <n v="25.8"/>
    <d v="2025-08-13T00:00:00"/>
    <s v="Plant 2 Canteen"/>
    <n v="7.0000000000000007E-2"/>
    <x v="151"/>
    <x v="1"/>
  </r>
  <r>
    <s v="O00074"/>
    <s v="SCKW5N"/>
    <n v="2"/>
    <n v="70.540000000000006"/>
    <s v="Snack"/>
    <n v="35.81"/>
    <d v="2025-08-13T00:00:00"/>
    <s v="Plant 2 Canteen"/>
    <n v="7.0000000000000007E-2"/>
    <x v="152"/>
    <x v="1"/>
  </r>
  <r>
    <s v="O00074"/>
    <s v="HXAJI0"/>
    <n v="3"/>
    <n v="227.61"/>
    <s v="Hot Meal"/>
    <n v="96.22"/>
    <d v="2025-08-13T00:00:00"/>
    <s v="Plant 2 Canteen"/>
    <n v="7.0000000000000007E-2"/>
    <x v="153"/>
    <x v="1"/>
  </r>
  <r>
    <s v="O00075"/>
    <s v="B0T0PV"/>
    <n v="2"/>
    <n v="28.43"/>
    <s v="Beverage"/>
    <n v="13.89"/>
    <d v="2025-08-20T00:00:00"/>
    <s v="Plant 2 Canteen"/>
    <n v="0.06"/>
    <x v="154"/>
    <x v="1"/>
  </r>
  <r>
    <s v="O00075"/>
    <s v="HUZZPQ"/>
    <n v="2"/>
    <n v="146.4"/>
    <s v="Hot Meal"/>
    <n v="80.92"/>
    <d v="2025-08-20T00:00:00"/>
    <s v="Plant 2 Canteen"/>
    <n v="0.06"/>
    <x v="68"/>
    <x v="1"/>
  </r>
  <r>
    <s v="O00075"/>
    <s v="SZBIKC"/>
    <n v="2"/>
    <n v="38.06"/>
    <s v="Snack"/>
    <n v="19.55"/>
    <d v="2025-08-20T00:00:00"/>
    <s v="Plant 2 Canteen"/>
    <n v="0.06"/>
    <x v="155"/>
    <x v="1"/>
  </r>
  <r>
    <s v="O00075"/>
    <s v="SV30T9"/>
    <n v="3"/>
    <n v="39.950000000000003"/>
    <s v="Snack"/>
    <n v="15.51"/>
    <d v="2025-08-20T00:00:00"/>
    <s v="Plant 2 Canteen"/>
    <n v="0.06"/>
    <x v="156"/>
    <x v="1"/>
  </r>
  <r>
    <s v="O00076"/>
    <s v="DFFYVN"/>
    <n v="1"/>
    <n v="54.2"/>
    <s v="Dessert"/>
    <n v="21.95"/>
    <d v="2025-08-12T00:00:00"/>
    <s v="Plant 1 Canteen"/>
    <n v="0.01"/>
    <x v="47"/>
    <x v="1"/>
  </r>
  <r>
    <s v="O00076"/>
    <s v="S5NQ4F"/>
    <n v="1"/>
    <n v="50.19"/>
    <s v="Snack"/>
    <n v="22.61"/>
    <d v="2025-08-12T00:00:00"/>
    <s v="Plant 1 Canteen"/>
    <n v="0.01"/>
    <x v="157"/>
    <x v="1"/>
  </r>
  <r>
    <s v="O00076"/>
    <s v="HUZZPQ"/>
    <n v="2"/>
    <n v="146.4"/>
    <s v="Hot Meal"/>
    <n v="80.92"/>
    <d v="2025-08-12T00:00:00"/>
    <s v="Plant 1 Canteen"/>
    <n v="0.01"/>
    <x v="158"/>
    <x v="1"/>
  </r>
  <r>
    <s v="O00077"/>
    <s v="BOC6UZ"/>
    <n v="1"/>
    <n v="32.979999999999997"/>
    <s v="Beverage"/>
    <n v="11.84"/>
    <d v="2025-07-27T00:00:00"/>
    <s v="Plant 2 Canteen"/>
    <n v="0.11"/>
    <x v="159"/>
    <x v="0"/>
  </r>
  <r>
    <s v="O00077"/>
    <s v="SCKW5N"/>
    <n v="1"/>
    <n v="70.540000000000006"/>
    <s v="Snack"/>
    <n v="35.81"/>
    <d v="2025-07-27T00:00:00"/>
    <s v="Plant 2 Canteen"/>
    <n v="0.11"/>
    <x v="160"/>
    <x v="0"/>
  </r>
  <r>
    <s v="O00078"/>
    <s v="S5NQ4F"/>
    <n v="1"/>
    <n v="50.19"/>
    <s v="Snack"/>
    <n v="22.61"/>
    <d v="2025-07-14T00:00:00"/>
    <s v="Plant 1 Canteen"/>
    <n v="0.09"/>
    <x v="161"/>
    <x v="0"/>
  </r>
  <r>
    <s v="O00078"/>
    <s v="BOC6UZ"/>
    <n v="3"/>
    <n v="32.979999999999997"/>
    <s v="Beverage"/>
    <n v="11.84"/>
    <d v="2025-07-14T00:00:00"/>
    <s v="Plant 1 Canteen"/>
    <n v="0.09"/>
    <x v="162"/>
    <x v="0"/>
  </r>
  <r>
    <s v="O00079"/>
    <s v="SZBIKC"/>
    <n v="1"/>
    <n v="38.06"/>
    <s v="Snack"/>
    <n v="19.55"/>
    <d v="2025-07-22T00:00:00"/>
    <s v="Plant 1 Canteen"/>
    <n v="0.09"/>
    <x v="163"/>
    <x v="0"/>
  </r>
  <r>
    <s v="O00079"/>
    <s v="B0T0PV"/>
    <n v="2"/>
    <n v="28.43"/>
    <s v="Beverage"/>
    <n v="13.89"/>
    <d v="2025-07-22T00:00:00"/>
    <s v="Plant 1 Canteen"/>
    <n v="0.09"/>
    <x v="164"/>
    <x v="0"/>
  </r>
  <r>
    <s v="O00080"/>
    <s v="BHL1C3"/>
    <n v="2"/>
    <n v="22.2"/>
    <s v="Beverage"/>
    <n v="9.3800000000000008"/>
    <d v="2025-08-22T00:00:00"/>
    <s v="Plant 2 Canteen"/>
    <n v="0.02"/>
    <x v="165"/>
    <x v="1"/>
  </r>
  <r>
    <s v="O00080"/>
    <s v="BOC6UZ"/>
    <n v="2"/>
    <n v="32.979999999999997"/>
    <s v="Beverage"/>
    <n v="11.84"/>
    <d v="2025-08-22T00:00:00"/>
    <s v="Plant 2 Canteen"/>
    <n v="0.02"/>
    <x v="166"/>
    <x v="1"/>
  </r>
  <r>
    <s v="O00080"/>
    <s v="HDPBHS"/>
    <n v="1"/>
    <n v="256.91000000000003"/>
    <s v="Hot Meal"/>
    <n v="121.24"/>
    <d v="2025-08-22T00:00:00"/>
    <s v="Plant 2 Canteen"/>
    <n v="0.02"/>
    <x v="167"/>
    <x v="1"/>
  </r>
  <r>
    <s v="O00080"/>
    <s v="BTIQJ7"/>
    <n v="2"/>
    <n v="30.34"/>
    <s v="Beverage"/>
    <n v="14.18"/>
    <d v="2025-08-22T00:00:00"/>
    <s v="Plant 2 Canteen"/>
    <n v="0.02"/>
    <x v="168"/>
    <x v="1"/>
  </r>
  <r>
    <s v="O00081"/>
    <s v="S5NQ4F"/>
    <n v="1"/>
    <n v="50.19"/>
    <s v="Snack"/>
    <n v="22.61"/>
    <d v="2025-08-11T00:00:00"/>
    <s v="Plant 2 Canteen"/>
    <n v="0.12"/>
    <x v="169"/>
    <x v="1"/>
  </r>
  <r>
    <s v="O00082"/>
    <s v="SV30T9"/>
    <n v="3"/>
    <n v="39.950000000000003"/>
    <s v="Snack"/>
    <n v="15.51"/>
    <d v="2025-08-26T00:00:00"/>
    <s v="Plant 2 Canteen"/>
    <n v="0"/>
    <x v="170"/>
    <x v="1"/>
  </r>
  <r>
    <s v="O00083"/>
    <s v="BTIQJ7"/>
    <n v="1"/>
    <n v="30.34"/>
    <s v="Beverage"/>
    <n v="14.18"/>
    <d v="2025-07-30T00:00:00"/>
    <s v="Plant 2 Canteen"/>
    <n v="0.08"/>
    <x v="171"/>
    <x v="0"/>
  </r>
  <r>
    <s v="O00083"/>
    <s v="HUZZPQ"/>
    <n v="2"/>
    <n v="146.4"/>
    <s v="Hot Meal"/>
    <n v="80.92"/>
    <d v="2025-07-30T00:00:00"/>
    <s v="Plant 2 Canteen"/>
    <n v="0.08"/>
    <x v="172"/>
    <x v="0"/>
  </r>
  <r>
    <s v="O00084"/>
    <s v="BTIQJ7"/>
    <n v="1"/>
    <n v="30.34"/>
    <s v="Beverage"/>
    <n v="14.18"/>
    <d v="2025-08-28T00:00:00"/>
    <s v="Plant 1 Canteen"/>
    <n v="0.15"/>
    <x v="173"/>
    <x v="1"/>
  </r>
  <r>
    <s v="O00084"/>
    <s v="DH9SDB"/>
    <n v="2"/>
    <n v="76.55"/>
    <s v="Dessert"/>
    <n v="38.229999999999997"/>
    <d v="2025-08-28T00:00:00"/>
    <s v="Plant 1 Canteen"/>
    <n v="0.15"/>
    <x v="174"/>
    <x v="1"/>
  </r>
  <r>
    <s v="O00084"/>
    <s v="SHJ7XV"/>
    <n v="1"/>
    <n v="52.45"/>
    <s v="Snack"/>
    <n v="25.8"/>
    <d v="2025-08-28T00:00:00"/>
    <s v="Plant 1 Canteen"/>
    <n v="0.15"/>
    <x v="175"/>
    <x v="1"/>
  </r>
  <r>
    <s v="O00085"/>
    <s v="DFFYVN"/>
    <n v="1"/>
    <n v="54.2"/>
    <s v="Dessert"/>
    <n v="21.95"/>
    <d v="2025-08-12T00:00:00"/>
    <s v="Plant 2 Canteen"/>
    <n v="0.02"/>
    <x v="176"/>
    <x v="1"/>
  </r>
  <r>
    <s v="O00085"/>
    <s v="S5NQ4F"/>
    <n v="2"/>
    <n v="50.19"/>
    <s v="Snack"/>
    <n v="22.61"/>
    <d v="2025-08-12T00:00:00"/>
    <s v="Plant 2 Canteen"/>
    <n v="0.02"/>
    <x v="46"/>
    <x v="1"/>
  </r>
  <r>
    <s v="O00086"/>
    <s v="BOC6UZ"/>
    <n v="1"/>
    <n v="32.979999999999997"/>
    <s v="Beverage"/>
    <n v="11.84"/>
    <d v="2025-08-09T00:00:00"/>
    <s v="Head Office Café"/>
    <n v="0.04"/>
    <x v="177"/>
    <x v="1"/>
  </r>
  <r>
    <s v="O00086"/>
    <s v="DH9SDB"/>
    <n v="2"/>
    <n v="76.55"/>
    <s v="Dessert"/>
    <n v="38.229999999999997"/>
    <d v="2025-08-09T00:00:00"/>
    <s v="Head Office Café"/>
    <n v="0.04"/>
    <x v="178"/>
    <x v="1"/>
  </r>
  <r>
    <s v="O00087"/>
    <s v="SHJ7XV"/>
    <n v="2"/>
    <n v="52.45"/>
    <s v="Snack"/>
    <n v="25.8"/>
    <d v="2025-08-22T00:00:00"/>
    <s v="Plant 1 Canteen"/>
    <n v="0.06"/>
    <x v="179"/>
    <x v="1"/>
  </r>
  <r>
    <s v="O00087"/>
    <s v="BHL1C3"/>
    <n v="1"/>
    <n v="22.2"/>
    <s v="Beverage"/>
    <n v="9.3800000000000008"/>
    <d v="2025-08-22T00:00:00"/>
    <s v="Plant 1 Canteen"/>
    <n v="0.06"/>
    <x v="180"/>
    <x v="1"/>
  </r>
  <r>
    <s v="O00087"/>
    <s v="SCKW5N"/>
    <n v="2"/>
    <n v="70.540000000000006"/>
    <s v="Snack"/>
    <n v="35.81"/>
    <d v="2025-08-22T00:00:00"/>
    <s v="Plant 1 Canteen"/>
    <n v="0.06"/>
    <x v="181"/>
    <x v="1"/>
  </r>
  <r>
    <s v="O00088"/>
    <s v="HXAJI0"/>
    <n v="1"/>
    <n v="227.61"/>
    <s v="Hot Meal"/>
    <n v="96.22"/>
    <d v="2025-07-09T00:00:00"/>
    <s v="Head Office Café"/>
    <n v="0.04"/>
    <x v="93"/>
    <x v="0"/>
  </r>
  <r>
    <s v="O00088"/>
    <s v="DH9SDB"/>
    <n v="1"/>
    <n v="76.55"/>
    <s v="Dessert"/>
    <n v="38.229999999999997"/>
    <d v="2025-07-09T00:00:00"/>
    <s v="Head Office Café"/>
    <n v="0.04"/>
    <x v="20"/>
    <x v="0"/>
  </r>
  <r>
    <s v="O00089"/>
    <s v="SV30T9"/>
    <n v="1"/>
    <n v="39.950000000000003"/>
    <s v="Snack"/>
    <n v="15.51"/>
    <d v="2025-07-18T00:00:00"/>
    <s v="Plant 1 Canteen"/>
    <n v="0"/>
    <x v="74"/>
    <x v="0"/>
  </r>
  <r>
    <s v="O00089"/>
    <s v="HDPBHS"/>
    <n v="2"/>
    <n v="256.91000000000003"/>
    <s v="Hot Meal"/>
    <n v="121.24"/>
    <d v="2025-07-18T00:00:00"/>
    <s v="Plant 1 Canteen"/>
    <n v="0"/>
    <x v="141"/>
    <x v="0"/>
  </r>
  <r>
    <s v="O00089"/>
    <s v="SHJ7XV"/>
    <n v="2"/>
    <n v="52.45"/>
    <s v="Snack"/>
    <n v="25.8"/>
    <d v="2025-07-18T00:00:00"/>
    <s v="Plant 1 Canteen"/>
    <n v="0"/>
    <x v="182"/>
    <x v="0"/>
  </r>
  <r>
    <s v="O00090"/>
    <s v="HXAJI0"/>
    <n v="3"/>
    <n v="227.61"/>
    <s v="Hot Meal"/>
    <n v="96.22"/>
    <d v="2025-07-21T00:00:00"/>
    <s v="Plant 2 Canteen"/>
    <n v="0.06"/>
    <x v="183"/>
    <x v="0"/>
  </r>
  <r>
    <s v="O00090"/>
    <s v="BOC6UZ"/>
    <n v="1"/>
    <n v="32.979999999999997"/>
    <s v="Beverage"/>
    <n v="11.84"/>
    <d v="2025-07-21T00:00:00"/>
    <s v="Plant 2 Canteen"/>
    <n v="0.06"/>
    <x v="184"/>
    <x v="0"/>
  </r>
  <r>
    <s v="O00090"/>
    <s v="BHL1C3"/>
    <n v="2"/>
    <n v="22.2"/>
    <s v="Beverage"/>
    <n v="9.3800000000000008"/>
    <d v="2025-07-21T00:00:00"/>
    <s v="Plant 2 Canteen"/>
    <n v="0.06"/>
    <x v="185"/>
    <x v="0"/>
  </r>
  <r>
    <s v="O00091"/>
    <s v="HUZZPQ"/>
    <n v="2"/>
    <n v="146.4"/>
    <s v="Hot Meal"/>
    <n v="80.92"/>
    <d v="2025-07-28T00:00:00"/>
    <s v="Plant 2 Canteen"/>
    <n v="0.02"/>
    <x v="186"/>
    <x v="0"/>
  </r>
  <r>
    <s v="O00092"/>
    <s v="B0T0PV"/>
    <n v="2"/>
    <n v="28.43"/>
    <s v="Beverage"/>
    <n v="13.89"/>
    <d v="2025-07-03T00:00:00"/>
    <s v="Head Office Café"/>
    <n v="0.08"/>
    <x v="101"/>
    <x v="0"/>
  </r>
  <r>
    <s v="O00092"/>
    <s v="HXAJI0"/>
    <n v="2"/>
    <n v="227.61"/>
    <s v="Hot Meal"/>
    <n v="96.22"/>
    <d v="2025-07-03T00:00:00"/>
    <s v="Head Office Café"/>
    <n v="0.08"/>
    <x v="187"/>
    <x v="0"/>
  </r>
  <r>
    <s v="O00092"/>
    <s v="D9T84A"/>
    <n v="2"/>
    <n v="116.8"/>
    <s v="Dessert"/>
    <n v="48.97"/>
    <d v="2025-07-03T00:00:00"/>
    <s v="Head Office Café"/>
    <n v="0.08"/>
    <x v="188"/>
    <x v="0"/>
  </r>
  <r>
    <s v="O00093"/>
    <s v="DYTJXE"/>
    <n v="2"/>
    <n v="57.07"/>
    <s v="Dessert"/>
    <n v="29.14"/>
    <d v="2025-07-23T00:00:00"/>
    <s v="Head Office Café"/>
    <n v="0.02"/>
    <x v="189"/>
    <x v="0"/>
  </r>
  <r>
    <s v="O00093"/>
    <s v="HUZZPQ"/>
    <n v="2"/>
    <n v="146.4"/>
    <s v="Hot Meal"/>
    <n v="80.92"/>
    <d v="2025-07-23T00:00:00"/>
    <s v="Head Office Café"/>
    <n v="0.02"/>
    <x v="186"/>
    <x v="0"/>
  </r>
  <r>
    <s v="O00094"/>
    <s v="S5NQ4F"/>
    <n v="1"/>
    <n v="50.19"/>
    <s v="Snack"/>
    <n v="22.61"/>
    <d v="2025-07-04T00:00:00"/>
    <s v="Plant 1 Canteen"/>
    <n v="0.12"/>
    <x v="169"/>
    <x v="0"/>
  </r>
  <r>
    <s v="O00094"/>
    <s v="D9T84A"/>
    <n v="1"/>
    <n v="116.8"/>
    <s v="Dessert"/>
    <n v="48.97"/>
    <d v="2025-07-04T00:00:00"/>
    <s v="Plant 1 Canteen"/>
    <n v="0.12"/>
    <x v="71"/>
    <x v="0"/>
  </r>
  <r>
    <s v="O00094"/>
    <s v="B0T0PV"/>
    <n v="1"/>
    <n v="28.43"/>
    <s v="Beverage"/>
    <n v="13.89"/>
    <d v="2025-07-04T00:00:00"/>
    <s v="Plant 1 Canteen"/>
    <n v="0.12"/>
    <x v="64"/>
    <x v="0"/>
  </r>
  <r>
    <s v="O00095"/>
    <s v="SV30T9"/>
    <n v="2"/>
    <n v="39.950000000000003"/>
    <s v="Snack"/>
    <n v="15.51"/>
    <d v="2025-07-24T00:00:00"/>
    <s v="Plant 1 Canteen"/>
    <n v="0.03"/>
    <x v="190"/>
    <x v="0"/>
  </r>
  <r>
    <s v="O00095"/>
    <s v="HXAJI0"/>
    <n v="3"/>
    <n v="227.61"/>
    <s v="Hot Meal"/>
    <n v="96.22"/>
    <d v="2025-07-24T00:00:00"/>
    <s v="Plant 1 Canteen"/>
    <n v="0.03"/>
    <x v="191"/>
    <x v="0"/>
  </r>
  <r>
    <s v="O00096"/>
    <s v="HH1DNM"/>
    <n v="3"/>
    <n v="246.09"/>
    <s v="Hot Meal"/>
    <n v="112.08"/>
    <d v="2025-08-25T00:00:00"/>
    <s v="Plant 1 Canteen"/>
    <n v="0.05"/>
    <x v="192"/>
    <x v="1"/>
  </r>
  <r>
    <s v="O00096"/>
    <s v="DFFYVN"/>
    <n v="1"/>
    <n v="54.2"/>
    <s v="Dessert"/>
    <n v="21.95"/>
    <d v="2025-08-25T00:00:00"/>
    <s v="Plant 1 Canteen"/>
    <n v="0.05"/>
    <x v="193"/>
    <x v="1"/>
  </r>
  <r>
    <s v="O00096"/>
    <s v="DH9SDB"/>
    <n v="1"/>
    <n v="76.55"/>
    <s v="Dessert"/>
    <n v="38.229999999999997"/>
    <d v="2025-08-25T00:00:00"/>
    <s v="Plant 1 Canteen"/>
    <n v="0.05"/>
    <x v="2"/>
    <x v="1"/>
  </r>
  <r>
    <s v="O00097"/>
    <s v="B0T0PV"/>
    <n v="2"/>
    <n v="28.43"/>
    <s v="Beverage"/>
    <n v="13.89"/>
    <d v="2025-08-06T00:00:00"/>
    <s v="Plant 1 Canteen"/>
    <n v="0.09"/>
    <x v="164"/>
    <x v="1"/>
  </r>
  <r>
    <s v="O00098"/>
    <s v="BOC6UZ"/>
    <n v="3"/>
    <n v="32.979999999999997"/>
    <s v="Beverage"/>
    <n v="11.84"/>
    <d v="2025-07-17T00:00:00"/>
    <s v="Plant 2 Canteen"/>
    <n v="0.01"/>
    <x v="194"/>
    <x v="0"/>
  </r>
  <r>
    <s v="O00098"/>
    <s v="B0T0PV"/>
    <n v="3"/>
    <n v="28.43"/>
    <s v="Beverage"/>
    <n v="13.89"/>
    <d v="2025-07-17T00:00:00"/>
    <s v="Plant 2 Canteen"/>
    <n v="0.01"/>
    <x v="195"/>
    <x v="0"/>
  </r>
  <r>
    <s v="O00099"/>
    <s v="DYTJXE"/>
    <n v="2"/>
    <n v="57.07"/>
    <s v="Dessert"/>
    <n v="29.14"/>
    <d v="2025-07-31T00:00:00"/>
    <s v="Head Office Café"/>
    <n v="7.0000000000000007E-2"/>
    <x v="16"/>
    <x v="0"/>
  </r>
  <r>
    <s v="O00099"/>
    <s v="HUZZPQ"/>
    <n v="1"/>
    <n v="146.4"/>
    <s v="Hot Meal"/>
    <n v="80.92"/>
    <d v="2025-07-31T00:00:00"/>
    <s v="Head Office Café"/>
    <n v="7.0000000000000007E-2"/>
    <x v="114"/>
    <x v="0"/>
  </r>
  <r>
    <s v="O00100"/>
    <s v="S5NQ4F"/>
    <n v="2"/>
    <n v="50.19"/>
    <s v="Snack"/>
    <n v="22.61"/>
    <d v="2025-07-20T00:00:00"/>
    <s v="Plant 1 Canteen"/>
    <n v="0.11"/>
    <x v="196"/>
    <x v="0"/>
  </r>
  <r>
    <s v="O00100"/>
    <s v="HDPBHS"/>
    <n v="1"/>
    <n v="256.91000000000003"/>
    <s v="Hot Meal"/>
    <n v="121.24"/>
    <d v="2025-07-20T00:00:00"/>
    <s v="Plant 1 Canteen"/>
    <n v="0.11"/>
    <x v="197"/>
    <x v="0"/>
  </r>
  <r>
    <s v="O00101"/>
    <s v="BTIQJ7"/>
    <n v="1"/>
    <n v="30.34"/>
    <s v="Beverage"/>
    <n v="14.18"/>
    <d v="2025-07-11T00:00:00"/>
    <s v="Head Office Café"/>
    <n v="0"/>
    <x v="15"/>
    <x v="0"/>
  </r>
  <r>
    <s v="O00101"/>
    <s v="SCKW5N"/>
    <n v="1"/>
    <n v="70.540000000000006"/>
    <s v="Snack"/>
    <n v="35.81"/>
    <d v="2025-07-11T00:00:00"/>
    <s v="Head Office Café"/>
    <n v="0"/>
    <x v="198"/>
    <x v="0"/>
  </r>
  <r>
    <s v="O00101"/>
    <s v="SV30T9"/>
    <n v="1"/>
    <n v="39.950000000000003"/>
    <s v="Snack"/>
    <n v="15.51"/>
    <d v="2025-07-11T00:00:00"/>
    <s v="Head Office Café"/>
    <n v="0"/>
    <x v="74"/>
    <x v="0"/>
  </r>
  <r>
    <s v="O00102"/>
    <s v="SZBIKC"/>
    <n v="2"/>
    <n v="38.06"/>
    <s v="Snack"/>
    <n v="19.55"/>
    <d v="2025-08-25T00:00:00"/>
    <s v="Plant 1 Canteen"/>
    <n v="7.0000000000000007E-2"/>
    <x v="199"/>
    <x v="1"/>
  </r>
  <r>
    <s v="O00103"/>
    <s v="SCKW5N"/>
    <n v="2"/>
    <n v="70.540000000000006"/>
    <s v="Snack"/>
    <n v="35.81"/>
    <d v="2025-08-06T00:00:00"/>
    <s v="Plant 1 Canteen"/>
    <n v="7.0000000000000007E-2"/>
    <x v="152"/>
    <x v="1"/>
  </r>
  <r>
    <s v="O00104"/>
    <s v="DFFYVN"/>
    <n v="1"/>
    <n v="54.2"/>
    <s v="Dessert"/>
    <n v="21.95"/>
    <d v="2025-07-02T00:00:00"/>
    <s v="Plant 2 Canteen"/>
    <n v="0.09"/>
    <x v="200"/>
    <x v="0"/>
  </r>
  <r>
    <s v="O00105"/>
    <s v="BTIQJ7"/>
    <n v="1"/>
    <n v="30.34"/>
    <s v="Beverage"/>
    <n v="14.18"/>
    <d v="2025-08-05T00:00:00"/>
    <s v="Head Office Café"/>
    <n v="0.01"/>
    <x v="201"/>
    <x v="1"/>
  </r>
  <r>
    <s v="O00106"/>
    <s v="SZBIKC"/>
    <n v="3"/>
    <n v="38.06"/>
    <s v="Snack"/>
    <n v="19.55"/>
    <d v="2025-08-12T00:00:00"/>
    <s v="Plant 1 Canteen"/>
    <n v="0.01"/>
    <x v="202"/>
    <x v="1"/>
  </r>
  <r>
    <s v="O00106"/>
    <s v="B0T0PV"/>
    <n v="2"/>
    <n v="28.43"/>
    <s v="Beverage"/>
    <n v="13.89"/>
    <d v="2025-08-12T00:00:00"/>
    <s v="Plant 1 Canteen"/>
    <n v="0.01"/>
    <x v="48"/>
    <x v="1"/>
  </r>
  <r>
    <s v="O00106"/>
    <s v="HDPBHS"/>
    <n v="1"/>
    <n v="256.91000000000003"/>
    <s v="Hot Meal"/>
    <n v="121.24"/>
    <d v="2025-08-12T00:00:00"/>
    <s v="Plant 1 Canteen"/>
    <n v="0.01"/>
    <x v="49"/>
    <x v="1"/>
  </r>
  <r>
    <s v="O00107"/>
    <s v="BXO6QJ"/>
    <n v="2"/>
    <n v="20.11"/>
    <s v="Beverage"/>
    <n v="8"/>
    <d v="2025-08-22T00:00:00"/>
    <s v="Plant 2 Canteen"/>
    <n v="0.08"/>
    <x v="203"/>
    <x v="1"/>
  </r>
  <r>
    <s v="O00107"/>
    <s v="BHL1C3"/>
    <n v="1"/>
    <n v="22.2"/>
    <s v="Beverage"/>
    <n v="9.3800000000000008"/>
    <d v="2025-08-22T00:00:00"/>
    <s v="Plant 2 Canteen"/>
    <n v="0.08"/>
    <x v="204"/>
    <x v="1"/>
  </r>
  <r>
    <s v="O00108"/>
    <s v="DH9SDB"/>
    <n v="1"/>
    <n v="76.55"/>
    <s v="Dessert"/>
    <n v="38.229999999999997"/>
    <d v="2025-08-01T00:00:00"/>
    <s v="Plant 1 Canteen"/>
    <n v="7.0000000000000007E-2"/>
    <x v="205"/>
    <x v="1"/>
  </r>
  <r>
    <s v="O00108"/>
    <s v="B0T0PV"/>
    <n v="1"/>
    <n v="28.43"/>
    <s v="Beverage"/>
    <n v="13.89"/>
    <d v="2025-08-01T00:00:00"/>
    <s v="Plant 1 Canteen"/>
    <n v="7.0000000000000007E-2"/>
    <x v="87"/>
    <x v="1"/>
  </r>
  <r>
    <s v="O00108"/>
    <s v="SCKW5N"/>
    <n v="1"/>
    <n v="70.540000000000006"/>
    <s v="Snack"/>
    <n v="35.81"/>
    <d v="2025-08-01T00:00:00"/>
    <s v="Plant 1 Canteen"/>
    <n v="7.0000000000000007E-2"/>
    <x v="135"/>
    <x v="1"/>
  </r>
  <r>
    <s v="O00108"/>
    <s v="SV30T9"/>
    <n v="1"/>
    <n v="39.950000000000003"/>
    <s v="Snack"/>
    <n v="15.51"/>
    <d v="2025-08-01T00:00:00"/>
    <s v="Plant 1 Canteen"/>
    <n v="7.0000000000000007E-2"/>
    <x v="98"/>
    <x v="1"/>
  </r>
  <r>
    <s v="O00109"/>
    <s v="BTIQJ7"/>
    <n v="2"/>
    <n v="30.34"/>
    <s v="Beverage"/>
    <n v="14.18"/>
    <d v="2025-07-24T00:00:00"/>
    <s v="Plant 2 Canteen"/>
    <n v="7.0000000000000007E-2"/>
    <x v="206"/>
    <x v="0"/>
  </r>
  <r>
    <s v="O00110"/>
    <s v="BTIQJ7"/>
    <n v="2"/>
    <n v="30.34"/>
    <s v="Beverage"/>
    <n v="14.18"/>
    <d v="2025-08-02T00:00:00"/>
    <s v="Plant 1 Canteen"/>
    <n v="7.0000000000000007E-2"/>
    <x v="206"/>
    <x v="1"/>
  </r>
  <r>
    <s v="O00110"/>
    <s v="HXAJI0"/>
    <n v="2"/>
    <n v="227.61"/>
    <s v="Hot Meal"/>
    <n v="96.22"/>
    <d v="2025-08-02T00:00:00"/>
    <s v="Plant 1 Canteen"/>
    <n v="7.0000000000000007E-2"/>
    <x v="134"/>
    <x v="1"/>
  </r>
  <r>
    <s v="O00110"/>
    <s v="DYTJXE"/>
    <n v="1"/>
    <n v="57.07"/>
    <s v="Dessert"/>
    <n v="29.14"/>
    <d v="2025-08-02T00:00:00"/>
    <s v="Plant 1 Canteen"/>
    <n v="7.0000000000000007E-2"/>
    <x v="207"/>
    <x v="1"/>
  </r>
  <r>
    <s v="O00110"/>
    <s v="HH1DNM"/>
    <n v="1"/>
    <n v="246.09"/>
    <s v="Hot Meal"/>
    <n v="112.08"/>
    <d v="2025-08-02T00:00:00"/>
    <s v="Plant 1 Canteen"/>
    <n v="7.0000000000000007E-2"/>
    <x v="58"/>
    <x v="1"/>
  </r>
  <r>
    <s v="O00111"/>
    <s v="HUZZPQ"/>
    <n v="2"/>
    <n v="146.4"/>
    <s v="Hot Meal"/>
    <n v="80.92"/>
    <d v="2025-08-17T00:00:00"/>
    <s v="Plant 1 Canteen"/>
    <n v="0.03"/>
    <x v="208"/>
    <x v="1"/>
  </r>
  <r>
    <s v="O00111"/>
    <s v="BOC6UZ"/>
    <n v="1"/>
    <n v="32.979999999999997"/>
    <s v="Beverage"/>
    <n v="11.84"/>
    <d v="2025-08-17T00:00:00"/>
    <s v="Plant 1 Canteen"/>
    <n v="0.03"/>
    <x v="209"/>
    <x v="1"/>
  </r>
  <r>
    <s v="O00111"/>
    <s v="BXO6QJ"/>
    <n v="1"/>
    <n v="20.11"/>
    <s v="Beverage"/>
    <n v="8"/>
    <d v="2025-08-17T00:00:00"/>
    <s v="Plant 1 Canteen"/>
    <n v="0.03"/>
    <x v="210"/>
    <x v="1"/>
  </r>
  <r>
    <s v="O00112"/>
    <s v="D9T84A"/>
    <n v="1"/>
    <n v="116.8"/>
    <s v="Dessert"/>
    <n v="48.97"/>
    <d v="2025-07-28T00:00:00"/>
    <s v="Head Office Café"/>
    <n v="7.0000000000000007E-2"/>
    <x v="211"/>
    <x v="0"/>
  </r>
  <r>
    <s v="O00112"/>
    <s v="HUZZPQ"/>
    <n v="2"/>
    <n v="146.4"/>
    <s v="Hot Meal"/>
    <n v="80.92"/>
    <d v="2025-07-28T00:00:00"/>
    <s v="Head Office Café"/>
    <n v="7.0000000000000007E-2"/>
    <x v="212"/>
    <x v="0"/>
  </r>
  <r>
    <s v="O00112"/>
    <s v="BTIQJ7"/>
    <n v="1"/>
    <n v="30.34"/>
    <s v="Beverage"/>
    <n v="14.18"/>
    <d v="2025-07-28T00:00:00"/>
    <s v="Head Office Café"/>
    <n v="7.0000000000000007E-2"/>
    <x v="57"/>
    <x v="0"/>
  </r>
  <r>
    <s v="O00113"/>
    <s v="HUZZPQ"/>
    <n v="1"/>
    <n v="146.4"/>
    <s v="Hot Meal"/>
    <n v="80.92"/>
    <d v="2025-07-02T00:00:00"/>
    <s v="Head Office Café"/>
    <n v="7.0000000000000007E-2"/>
    <x v="114"/>
    <x v="0"/>
  </r>
  <r>
    <s v="O00113"/>
    <s v="H3A3ZM"/>
    <n v="1"/>
    <n v="170.83"/>
    <s v="Hot Meal"/>
    <n v="74.069999999999993"/>
    <d v="2025-07-02T00:00:00"/>
    <s v="Head Office Café"/>
    <n v="7.0000000000000007E-2"/>
    <x v="213"/>
    <x v="0"/>
  </r>
  <r>
    <s v="O00113"/>
    <s v="D9T84A"/>
    <n v="1"/>
    <n v="116.8"/>
    <s v="Dessert"/>
    <n v="48.97"/>
    <d v="2025-07-02T00:00:00"/>
    <s v="Head Office Café"/>
    <n v="7.0000000000000007E-2"/>
    <x v="211"/>
    <x v="0"/>
  </r>
  <r>
    <s v="O00113"/>
    <s v="DYTJXE"/>
    <n v="2"/>
    <n v="57.07"/>
    <s v="Dessert"/>
    <n v="29.14"/>
    <d v="2025-07-02T00:00:00"/>
    <s v="Head Office Café"/>
    <n v="7.0000000000000007E-2"/>
    <x v="16"/>
    <x v="0"/>
  </r>
  <r>
    <s v="O00114"/>
    <s v="S5NQ4F"/>
    <n v="3"/>
    <n v="50.19"/>
    <s v="Snack"/>
    <n v="22.61"/>
    <d v="2025-08-09T00:00:00"/>
    <s v="Plant 2 Canteen"/>
    <n v="0.03"/>
    <x v="214"/>
    <x v="1"/>
  </r>
  <r>
    <s v="O00114"/>
    <s v="DFFYVN"/>
    <n v="2"/>
    <n v="54.2"/>
    <s v="Dessert"/>
    <n v="21.95"/>
    <d v="2025-08-09T00:00:00"/>
    <s v="Plant 2 Canteen"/>
    <n v="0.03"/>
    <x v="215"/>
    <x v="1"/>
  </r>
  <r>
    <s v="O00115"/>
    <s v="HH1DNM"/>
    <n v="2"/>
    <n v="246.09"/>
    <s v="Hot Meal"/>
    <n v="112.08"/>
    <d v="2025-08-17T00:00:00"/>
    <s v="Plant 2 Canteen"/>
    <n v="0.13"/>
    <x v="216"/>
    <x v="1"/>
  </r>
  <r>
    <s v="O00115"/>
    <s v="BOC6UZ"/>
    <n v="1"/>
    <n v="32.979999999999997"/>
    <s v="Beverage"/>
    <n v="11.84"/>
    <d v="2025-08-17T00:00:00"/>
    <s v="Plant 2 Canteen"/>
    <n v="0.13"/>
    <x v="217"/>
    <x v="1"/>
  </r>
  <r>
    <s v="O00115"/>
    <s v="DH9SDB"/>
    <n v="3"/>
    <n v="76.55"/>
    <s v="Dessert"/>
    <n v="38.229999999999997"/>
    <d v="2025-08-17T00:00:00"/>
    <s v="Plant 2 Canteen"/>
    <n v="0.13"/>
    <x v="218"/>
    <x v="1"/>
  </r>
  <r>
    <s v="O00115"/>
    <s v="DFFYVN"/>
    <n v="2"/>
    <n v="54.2"/>
    <s v="Dessert"/>
    <n v="21.95"/>
    <d v="2025-08-17T00:00:00"/>
    <s v="Plant 2 Canteen"/>
    <n v="0.13"/>
    <x v="219"/>
    <x v="1"/>
  </r>
  <r>
    <s v="O00116"/>
    <s v="SV30T9"/>
    <n v="3"/>
    <n v="39.950000000000003"/>
    <s v="Snack"/>
    <n v="15.51"/>
    <d v="2025-07-22T00:00:00"/>
    <s v="Plant 2 Canteen"/>
    <n v="0.08"/>
    <x v="220"/>
    <x v="0"/>
  </r>
  <r>
    <s v="O00116"/>
    <s v="HDPBHS"/>
    <n v="1"/>
    <n v="256.91000000000003"/>
    <s v="Hot Meal"/>
    <n v="121.24"/>
    <d v="2025-07-22T00:00:00"/>
    <s v="Plant 2 Canteen"/>
    <n v="0.08"/>
    <x v="221"/>
    <x v="0"/>
  </r>
  <r>
    <s v="O00116"/>
    <s v="BOC6UZ"/>
    <n v="1"/>
    <n v="32.979999999999997"/>
    <s v="Beverage"/>
    <n v="11.84"/>
    <d v="2025-07-22T00:00:00"/>
    <s v="Plant 2 Canteen"/>
    <n v="0.08"/>
    <x v="222"/>
    <x v="0"/>
  </r>
  <r>
    <s v="O00117"/>
    <s v="D9T84A"/>
    <n v="2"/>
    <n v="116.8"/>
    <s v="Dessert"/>
    <n v="48.97"/>
    <d v="2025-08-26T00:00:00"/>
    <s v="Plant 2 Canteen"/>
    <n v="0.01"/>
    <x v="223"/>
    <x v="1"/>
  </r>
  <r>
    <s v="O00117"/>
    <s v="S5NQ4F"/>
    <n v="3"/>
    <n v="50.19"/>
    <s v="Snack"/>
    <n v="22.61"/>
    <d v="2025-08-26T00:00:00"/>
    <s v="Plant 2 Canteen"/>
    <n v="0.01"/>
    <x v="224"/>
    <x v="1"/>
  </r>
  <r>
    <s v="O00117"/>
    <s v="BXO6QJ"/>
    <n v="3"/>
    <n v="20.11"/>
    <s v="Beverage"/>
    <n v="8"/>
    <d v="2025-08-26T00:00:00"/>
    <s v="Plant 2 Canteen"/>
    <n v="0.01"/>
    <x v="225"/>
    <x v="1"/>
  </r>
  <r>
    <s v="O00117"/>
    <s v="DH9SDB"/>
    <n v="3"/>
    <n v="76.55"/>
    <s v="Dessert"/>
    <n v="38.229999999999997"/>
    <d v="2025-08-26T00:00:00"/>
    <s v="Plant 2 Canteen"/>
    <n v="0.01"/>
    <x v="226"/>
    <x v="1"/>
  </r>
  <r>
    <s v="O00118"/>
    <s v="SHJ7XV"/>
    <n v="1"/>
    <n v="52.45"/>
    <s v="Snack"/>
    <n v="25.8"/>
    <d v="2025-08-03T00:00:00"/>
    <s v="Plant 2 Canteen"/>
    <n v="0.09"/>
    <x v="227"/>
    <x v="1"/>
  </r>
  <r>
    <s v="O00119"/>
    <s v="SCKW5N"/>
    <n v="1"/>
    <n v="70.540000000000006"/>
    <s v="Snack"/>
    <n v="35.81"/>
    <d v="2025-08-04T00:00:00"/>
    <s v="Head Office Café"/>
    <n v="0.02"/>
    <x v="228"/>
    <x v="1"/>
  </r>
  <r>
    <s v="O00120"/>
    <s v="BXO6QJ"/>
    <n v="1"/>
    <n v="20.11"/>
    <s v="Beverage"/>
    <n v="8"/>
    <d v="2025-07-25T00:00:00"/>
    <s v="Plant 1 Canteen"/>
    <n v="0.09"/>
    <x v="50"/>
    <x v="0"/>
  </r>
  <r>
    <s v="O00120"/>
    <s v="SCKW5N"/>
    <n v="1"/>
    <n v="70.540000000000006"/>
    <s v="Snack"/>
    <n v="35.81"/>
    <d v="2025-07-25T00:00:00"/>
    <s v="Plant 1 Canteen"/>
    <n v="0.09"/>
    <x v="229"/>
    <x v="0"/>
  </r>
  <r>
    <s v="O00121"/>
    <s v="D9T84A"/>
    <n v="3"/>
    <n v="116.8"/>
    <s v="Dessert"/>
    <n v="48.97"/>
    <d v="2025-07-31T00:00:00"/>
    <s v="Plant 1 Canteen"/>
    <n v="0.11"/>
    <x v="230"/>
    <x v="0"/>
  </r>
  <r>
    <s v="O00121"/>
    <s v="DH9SDB"/>
    <n v="1"/>
    <n v="76.55"/>
    <s v="Dessert"/>
    <n v="38.229999999999997"/>
    <d v="2025-07-31T00:00:00"/>
    <s v="Plant 1 Canteen"/>
    <n v="0.11"/>
    <x v="231"/>
    <x v="0"/>
  </r>
  <r>
    <s v="O00121"/>
    <s v="SZBIKC"/>
    <n v="2"/>
    <n v="38.06"/>
    <s v="Snack"/>
    <n v="19.55"/>
    <d v="2025-07-31T00:00:00"/>
    <s v="Plant 1 Canteen"/>
    <n v="0.11"/>
    <x v="232"/>
    <x v="0"/>
  </r>
  <r>
    <s v="O00121"/>
    <s v="SHJ7XV"/>
    <n v="2"/>
    <n v="52.45"/>
    <s v="Snack"/>
    <n v="25.8"/>
    <d v="2025-07-31T00:00:00"/>
    <s v="Plant 1 Canteen"/>
    <n v="0.11"/>
    <x v="233"/>
    <x v="0"/>
  </r>
  <r>
    <s v="O00122"/>
    <s v="HDPBHS"/>
    <n v="1"/>
    <n v="256.91000000000003"/>
    <s v="Hot Meal"/>
    <n v="121.24"/>
    <d v="2025-07-19T00:00:00"/>
    <s v="Plant 1 Canteen"/>
    <n v="0.03"/>
    <x v="234"/>
    <x v="0"/>
  </r>
  <r>
    <s v="O00122"/>
    <s v="BTIQJ7"/>
    <n v="1"/>
    <n v="30.34"/>
    <s v="Beverage"/>
    <n v="14.18"/>
    <d v="2025-07-19T00:00:00"/>
    <s v="Plant 1 Canteen"/>
    <n v="0.03"/>
    <x v="235"/>
    <x v="0"/>
  </r>
  <r>
    <s v="O00122"/>
    <s v="DYTJXE"/>
    <n v="2"/>
    <n v="57.07"/>
    <s v="Dessert"/>
    <n v="29.14"/>
    <d v="2025-07-19T00:00:00"/>
    <s v="Plant 1 Canteen"/>
    <n v="0.03"/>
    <x v="236"/>
    <x v="0"/>
  </r>
  <r>
    <s v="O00122"/>
    <s v="D9T84A"/>
    <n v="2"/>
    <n v="116.8"/>
    <s v="Dessert"/>
    <n v="48.97"/>
    <d v="2025-07-19T00:00:00"/>
    <s v="Plant 1 Canteen"/>
    <n v="0.03"/>
    <x v="60"/>
    <x v="0"/>
  </r>
  <r>
    <s v="O00123"/>
    <s v="HUZZPQ"/>
    <n v="1"/>
    <n v="146.4"/>
    <s v="Hot Meal"/>
    <n v="80.92"/>
    <d v="2025-08-27T00:00:00"/>
    <s v="Head Office Café"/>
    <n v="0.1"/>
    <x v="237"/>
    <x v="1"/>
  </r>
  <r>
    <s v="O00123"/>
    <s v="HH1DNM"/>
    <n v="3"/>
    <n v="246.09"/>
    <s v="Hot Meal"/>
    <n v="112.08"/>
    <d v="2025-08-27T00:00:00"/>
    <s v="Head Office Café"/>
    <n v="0.1"/>
    <x v="238"/>
    <x v="1"/>
  </r>
  <r>
    <s v="O00123"/>
    <s v="SHJ7XV"/>
    <n v="3"/>
    <n v="52.45"/>
    <s v="Snack"/>
    <n v="25.8"/>
    <d v="2025-08-27T00:00:00"/>
    <s v="Head Office Café"/>
    <n v="0.1"/>
    <x v="239"/>
    <x v="1"/>
  </r>
  <r>
    <s v="O00123"/>
    <s v="DFFYVN"/>
    <n v="1"/>
    <n v="54.2"/>
    <s v="Dessert"/>
    <n v="21.95"/>
    <d v="2025-08-27T00:00:00"/>
    <s v="Head Office Café"/>
    <n v="0.1"/>
    <x v="240"/>
    <x v="1"/>
  </r>
  <r>
    <s v="O00124"/>
    <s v="D9T84A"/>
    <n v="3"/>
    <n v="116.8"/>
    <s v="Dessert"/>
    <n v="48.97"/>
    <d v="2025-07-20T00:00:00"/>
    <s v="Plant 2 Canteen"/>
    <n v="0.08"/>
    <x v="241"/>
    <x v="0"/>
  </r>
  <r>
    <s v="O00124"/>
    <s v="DYTJXE"/>
    <n v="1"/>
    <n v="57.07"/>
    <s v="Dessert"/>
    <n v="29.14"/>
    <d v="2025-07-20T00:00:00"/>
    <s v="Plant 2 Canteen"/>
    <n v="0.08"/>
    <x v="242"/>
    <x v="0"/>
  </r>
  <r>
    <s v="O00124"/>
    <s v="BOC6UZ"/>
    <n v="1"/>
    <n v="32.979999999999997"/>
    <s v="Beverage"/>
    <n v="11.84"/>
    <d v="2025-07-20T00:00:00"/>
    <s v="Plant 2 Canteen"/>
    <n v="0.08"/>
    <x v="222"/>
    <x v="0"/>
  </r>
  <r>
    <s v="O00124"/>
    <s v="HH1DNM"/>
    <n v="2"/>
    <n v="246.09"/>
    <s v="Hot Meal"/>
    <n v="112.08"/>
    <d v="2025-07-20T00:00:00"/>
    <s v="Plant 2 Canteen"/>
    <n v="0.08"/>
    <x v="243"/>
    <x v="0"/>
  </r>
  <r>
    <s v="O00125"/>
    <s v="D9T84A"/>
    <n v="1"/>
    <n v="116.8"/>
    <s v="Dessert"/>
    <n v="48.97"/>
    <d v="2025-07-30T00:00:00"/>
    <s v="Plant 1 Canteen"/>
    <n v="0.09"/>
    <x v="244"/>
    <x v="0"/>
  </r>
  <r>
    <s v="O00125"/>
    <s v="DFFYVN"/>
    <n v="1"/>
    <n v="54.2"/>
    <s v="Dessert"/>
    <n v="21.95"/>
    <d v="2025-07-30T00:00:00"/>
    <s v="Plant 1 Canteen"/>
    <n v="0.09"/>
    <x v="200"/>
    <x v="0"/>
  </r>
  <r>
    <s v="O00126"/>
    <s v="SHJ7XV"/>
    <n v="1"/>
    <n v="52.45"/>
    <s v="Snack"/>
    <n v="25.8"/>
    <d v="2025-07-27T00:00:00"/>
    <s v="Plant 1 Canteen"/>
    <n v="0.14000000000000001"/>
    <x v="245"/>
    <x v="0"/>
  </r>
  <r>
    <s v="O00126"/>
    <s v="HUZZPQ"/>
    <n v="1"/>
    <n v="146.4"/>
    <s v="Hot Meal"/>
    <n v="80.92"/>
    <d v="2025-07-27T00:00:00"/>
    <s v="Plant 1 Canteen"/>
    <n v="0.14000000000000001"/>
    <x v="246"/>
    <x v="0"/>
  </r>
  <r>
    <s v="O00126"/>
    <s v="DYTJXE"/>
    <n v="3"/>
    <n v="57.07"/>
    <s v="Dessert"/>
    <n v="29.14"/>
    <d v="2025-07-27T00:00:00"/>
    <s v="Plant 1 Canteen"/>
    <n v="0.14000000000000001"/>
    <x v="247"/>
    <x v="0"/>
  </r>
  <r>
    <s v="O00127"/>
    <s v="SCKW5N"/>
    <n v="2"/>
    <n v="70.540000000000006"/>
    <s v="Snack"/>
    <n v="35.81"/>
    <d v="2025-07-13T00:00:00"/>
    <s v="Head Office Café"/>
    <n v="0.05"/>
    <x v="109"/>
    <x v="0"/>
  </r>
  <r>
    <s v="O00127"/>
    <s v="BTIQJ7"/>
    <n v="2"/>
    <n v="30.34"/>
    <s v="Beverage"/>
    <n v="14.18"/>
    <d v="2025-07-13T00:00:00"/>
    <s v="Head Office Café"/>
    <n v="0.05"/>
    <x v="124"/>
    <x v="0"/>
  </r>
  <r>
    <s v="O00128"/>
    <s v="SCKW5N"/>
    <n v="2"/>
    <n v="70.540000000000006"/>
    <s v="Snack"/>
    <n v="35.81"/>
    <d v="2025-08-25T00:00:00"/>
    <s v="Plant 2 Canteen"/>
    <n v="0.03"/>
    <x v="248"/>
    <x v="1"/>
  </r>
  <r>
    <s v="O00128"/>
    <s v="HDPBHS"/>
    <n v="2"/>
    <n v="256.91000000000003"/>
    <s v="Hot Meal"/>
    <n v="121.24"/>
    <d v="2025-08-25T00:00:00"/>
    <s v="Plant 2 Canteen"/>
    <n v="0.03"/>
    <x v="249"/>
    <x v="1"/>
  </r>
  <r>
    <s v="O00128"/>
    <s v="BOC6UZ"/>
    <n v="2"/>
    <n v="32.979999999999997"/>
    <s v="Beverage"/>
    <n v="11.84"/>
    <d v="2025-08-25T00:00:00"/>
    <s v="Plant 2 Canteen"/>
    <n v="0.03"/>
    <x v="250"/>
    <x v="1"/>
  </r>
  <r>
    <s v="O00129"/>
    <s v="H3A3ZM"/>
    <n v="2"/>
    <n v="170.83"/>
    <s v="Hot Meal"/>
    <n v="74.069999999999993"/>
    <d v="2025-08-03T00:00:00"/>
    <s v="Plant 1 Canteen"/>
    <n v="0.02"/>
    <x v="251"/>
    <x v="1"/>
  </r>
  <r>
    <s v="O00129"/>
    <s v="DFFYVN"/>
    <n v="3"/>
    <n v="54.2"/>
    <s v="Dessert"/>
    <n v="21.95"/>
    <d v="2025-08-03T00:00:00"/>
    <s v="Plant 1 Canteen"/>
    <n v="0.02"/>
    <x v="252"/>
    <x v="1"/>
  </r>
  <r>
    <s v="O00129"/>
    <s v="HH1DNM"/>
    <n v="1"/>
    <n v="246.09"/>
    <s v="Hot Meal"/>
    <n v="112.08"/>
    <d v="2025-08-03T00:00:00"/>
    <s v="Plant 1 Canteen"/>
    <n v="0.02"/>
    <x v="253"/>
    <x v="1"/>
  </r>
  <r>
    <s v="O00130"/>
    <s v="D9T84A"/>
    <n v="1"/>
    <n v="116.8"/>
    <s v="Dessert"/>
    <n v="48.97"/>
    <d v="2025-07-12T00:00:00"/>
    <s v="Plant 1 Canteen"/>
    <n v="0.03"/>
    <x v="107"/>
    <x v="0"/>
  </r>
  <r>
    <s v="O00130"/>
    <s v="DH9SDB"/>
    <n v="3"/>
    <n v="76.55"/>
    <s v="Dessert"/>
    <n v="38.229999999999997"/>
    <d v="2025-07-12T00:00:00"/>
    <s v="Plant 1 Canteen"/>
    <n v="0.03"/>
    <x v="108"/>
    <x v="0"/>
  </r>
  <r>
    <s v="O00130"/>
    <s v="SCKW5N"/>
    <n v="1"/>
    <n v="70.540000000000006"/>
    <s v="Snack"/>
    <n v="35.81"/>
    <d v="2025-07-12T00:00:00"/>
    <s v="Plant 1 Canteen"/>
    <n v="0.03"/>
    <x v="61"/>
    <x v="0"/>
  </r>
  <r>
    <s v="O00131"/>
    <s v="HDPBHS"/>
    <n v="1"/>
    <n v="256.91000000000003"/>
    <s v="Hot Meal"/>
    <n v="121.24"/>
    <d v="2025-08-26T00:00:00"/>
    <s v="Head Office Café"/>
    <n v="0.06"/>
    <x v="254"/>
    <x v="1"/>
  </r>
  <r>
    <s v="O00131"/>
    <s v="HUZZPQ"/>
    <n v="1"/>
    <n v="146.4"/>
    <s v="Hot Meal"/>
    <n v="80.92"/>
    <d v="2025-08-26T00:00:00"/>
    <s v="Head Office Café"/>
    <n v="0.06"/>
    <x v="139"/>
    <x v="1"/>
  </r>
  <r>
    <s v="O00131"/>
    <s v="B0T0PV"/>
    <n v="2"/>
    <n v="28.43"/>
    <s v="Beverage"/>
    <n v="13.89"/>
    <d v="2025-08-26T00:00:00"/>
    <s v="Head Office Café"/>
    <n v="0.06"/>
    <x v="154"/>
    <x v="1"/>
  </r>
  <r>
    <s v="O00131"/>
    <s v="H3A3ZM"/>
    <n v="1"/>
    <n v="170.83"/>
    <s v="Hot Meal"/>
    <n v="74.069999999999993"/>
    <d v="2025-08-26T00:00:00"/>
    <s v="Head Office Café"/>
    <n v="0.06"/>
    <x v="137"/>
    <x v="1"/>
  </r>
  <r>
    <s v="O00132"/>
    <s v="HDPBHS"/>
    <n v="1"/>
    <n v="256.91000000000003"/>
    <s v="Hot Meal"/>
    <n v="121.24"/>
    <d v="2025-07-15T00:00:00"/>
    <s v="Head Office Café"/>
    <n v="7.0000000000000007E-2"/>
    <x v="255"/>
    <x v="0"/>
  </r>
  <r>
    <s v="O00132"/>
    <s v="D9T84A"/>
    <n v="2"/>
    <n v="116.8"/>
    <s v="Dessert"/>
    <n v="48.97"/>
    <d v="2025-07-15T00:00:00"/>
    <s v="Head Office Café"/>
    <n v="7.0000000000000007E-2"/>
    <x v="136"/>
    <x v="0"/>
  </r>
  <r>
    <s v="O00133"/>
    <s v="B0T0PV"/>
    <n v="1"/>
    <n v="28.43"/>
    <s v="Beverage"/>
    <n v="13.89"/>
    <d v="2025-07-12T00:00:00"/>
    <s v="Head Office Café"/>
    <n v="7.0000000000000007E-2"/>
    <x v="87"/>
    <x v="0"/>
  </r>
  <r>
    <s v="O00133"/>
    <s v="DYTJXE"/>
    <n v="2"/>
    <n v="57.07"/>
    <s v="Dessert"/>
    <n v="29.14"/>
    <d v="2025-07-12T00:00:00"/>
    <s v="Head Office Café"/>
    <n v="7.0000000000000007E-2"/>
    <x v="16"/>
    <x v="0"/>
  </r>
  <r>
    <s v="O00133"/>
    <s v="D9T84A"/>
    <n v="2"/>
    <n v="116.8"/>
    <s v="Dessert"/>
    <n v="48.97"/>
    <d v="2025-07-12T00:00:00"/>
    <s v="Head Office Café"/>
    <n v="7.0000000000000007E-2"/>
    <x v="136"/>
    <x v="0"/>
  </r>
  <r>
    <s v="O00134"/>
    <s v="BOC6UZ"/>
    <n v="3"/>
    <n v="32.979999999999997"/>
    <s v="Beverage"/>
    <n v="11.84"/>
    <d v="2025-08-20T00:00:00"/>
    <s v="Plant 2 Canteen"/>
    <n v="0.09"/>
    <x v="162"/>
    <x v="1"/>
  </r>
  <r>
    <s v="O00135"/>
    <s v="DYTJXE"/>
    <n v="2"/>
    <n v="57.07"/>
    <s v="Dessert"/>
    <n v="29.14"/>
    <d v="2025-08-27T00:00:00"/>
    <s v="Plant 2 Canteen"/>
    <n v="0.06"/>
    <x v="256"/>
    <x v="1"/>
  </r>
  <r>
    <s v="O00135"/>
    <s v="BXO6QJ"/>
    <n v="1"/>
    <n v="20.11"/>
    <s v="Beverage"/>
    <n v="8"/>
    <d v="2025-08-27T00:00:00"/>
    <s v="Plant 2 Canteen"/>
    <n v="0.06"/>
    <x v="257"/>
    <x v="1"/>
  </r>
  <r>
    <s v="O00135"/>
    <s v="BOC6UZ"/>
    <n v="2"/>
    <n v="32.979999999999997"/>
    <s v="Beverage"/>
    <n v="11.84"/>
    <d v="2025-08-27T00:00:00"/>
    <s v="Plant 2 Canteen"/>
    <n v="0.06"/>
    <x v="103"/>
    <x v="1"/>
  </r>
  <r>
    <s v="O00136"/>
    <s v="SHJ7XV"/>
    <n v="2"/>
    <n v="52.45"/>
    <s v="Snack"/>
    <n v="25.8"/>
    <d v="2025-08-29T00:00:00"/>
    <s v="Head Office Café"/>
    <n v="0.12"/>
    <x v="258"/>
    <x v="1"/>
  </r>
  <r>
    <s v="O00136"/>
    <s v="HXAJI0"/>
    <n v="2"/>
    <n v="227.61"/>
    <s v="Hot Meal"/>
    <n v="96.22"/>
    <d v="2025-08-29T00:00:00"/>
    <s v="Head Office Café"/>
    <n v="0.12"/>
    <x v="259"/>
    <x v="1"/>
  </r>
  <r>
    <s v="O00137"/>
    <s v="BHL1C3"/>
    <n v="1"/>
    <n v="22.2"/>
    <s v="Beverage"/>
    <n v="9.3800000000000008"/>
    <d v="2025-07-26T00:00:00"/>
    <s v="Head Office Café"/>
    <n v="0.05"/>
    <x v="260"/>
    <x v="0"/>
  </r>
  <r>
    <s v="O00137"/>
    <s v="BOC6UZ"/>
    <n v="1"/>
    <n v="32.979999999999997"/>
    <s v="Beverage"/>
    <n v="11.84"/>
    <d v="2025-07-26T00:00:00"/>
    <s v="Head Office Café"/>
    <n v="0.05"/>
    <x v="43"/>
    <x v="0"/>
  </r>
  <r>
    <s v="O00137"/>
    <s v="DYTJXE"/>
    <n v="2"/>
    <n v="57.07"/>
    <s v="Dessert"/>
    <n v="29.14"/>
    <d v="2025-07-26T00:00:00"/>
    <s v="Head Office Café"/>
    <n v="0.05"/>
    <x v="261"/>
    <x v="0"/>
  </r>
  <r>
    <s v="O00137"/>
    <s v="HUZZPQ"/>
    <n v="1"/>
    <n v="146.4"/>
    <s v="Hot Meal"/>
    <n v="80.92"/>
    <d v="2025-07-26T00:00:00"/>
    <s v="Head Office Café"/>
    <n v="0.05"/>
    <x v="262"/>
    <x v="0"/>
  </r>
  <r>
    <s v="O00138"/>
    <s v="S5NQ4F"/>
    <n v="2"/>
    <n v="50.19"/>
    <s v="Snack"/>
    <n v="22.61"/>
    <d v="2025-07-18T00:00:00"/>
    <s v="Head Office Café"/>
    <n v="0.17"/>
    <x v="263"/>
    <x v="0"/>
  </r>
  <r>
    <s v="O00139"/>
    <s v="DYTJXE"/>
    <n v="2"/>
    <n v="57.07"/>
    <s v="Dessert"/>
    <n v="29.14"/>
    <d v="2025-08-09T00:00:00"/>
    <s v="Plant 2 Canteen"/>
    <n v="0.09"/>
    <x v="264"/>
    <x v="1"/>
  </r>
  <r>
    <s v="O00139"/>
    <s v="HXAJI0"/>
    <n v="2"/>
    <n v="227.61"/>
    <s v="Hot Meal"/>
    <n v="96.22"/>
    <d v="2025-08-09T00:00:00"/>
    <s v="Plant 2 Canteen"/>
    <n v="0.09"/>
    <x v="265"/>
    <x v="1"/>
  </r>
  <r>
    <s v="O00139"/>
    <s v="SHJ7XV"/>
    <n v="3"/>
    <n v="52.45"/>
    <s v="Snack"/>
    <n v="25.8"/>
    <d v="2025-08-09T00:00:00"/>
    <s v="Plant 2 Canteen"/>
    <n v="0.09"/>
    <x v="266"/>
    <x v="1"/>
  </r>
  <r>
    <s v="O00140"/>
    <s v="S5NQ4F"/>
    <n v="3"/>
    <n v="50.19"/>
    <s v="Snack"/>
    <n v="22.61"/>
    <d v="2025-07-29T00:00:00"/>
    <s v="Plant 1 Canteen"/>
    <n v="0.03"/>
    <x v="214"/>
    <x v="0"/>
  </r>
  <r>
    <s v="O00140"/>
    <s v="SZBIKC"/>
    <n v="2"/>
    <n v="38.06"/>
    <s v="Snack"/>
    <n v="19.55"/>
    <d v="2025-07-29T00:00:00"/>
    <s v="Plant 1 Canteen"/>
    <n v="0.03"/>
    <x v="267"/>
    <x v="0"/>
  </r>
  <r>
    <s v="O00140"/>
    <s v="BOC6UZ"/>
    <n v="1"/>
    <n v="32.979999999999997"/>
    <s v="Beverage"/>
    <n v="11.84"/>
    <d v="2025-07-29T00:00:00"/>
    <s v="Plant 1 Canteen"/>
    <n v="0.03"/>
    <x v="209"/>
    <x v="0"/>
  </r>
  <r>
    <s v="O00140"/>
    <s v="BTIQJ7"/>
    <n v="2"/>
    <n v="30.34"/>
    <s v="Beverage"/>
    <n v="14.18"/>
    <d v="2025-07-29T00:00:00"/>
    <s v="Plant 1 Canteen"/>
    <n v="0.03"/>
    <x v="126"/>
    <x v="0"/>
  </r>
  <r>
    <s v="O00141"/>
    <s v="SHJ7XV"/>
    <n v="1"/>
    <n v="52.45"/>
    <s v="Snack"/>
    <n v="25.8"/>
    <d v="2025-08-14T00:00:00"/>
    <s v="Plant 1 Canteen"/>
    <n v="0.02"/>
    <x v="268"/>
    <x v="1"/>
  </r>
  <r>
    <s v="O00141"/>
    <s v="B0T0PV"/>
    <n v="1"/>
    <n v="28.43"/>
    <s v="Beverage"/>
    <n v="13.89"/>
    <d v="2025-08-14T00:00:00"/>
    <s v="Plant 1 Canteen"/>
    <n v="0.02"/>
    <x v="269"/>
    <x v="1"/>
  </r>
  <r>
    <s v="O00142"/>
    <s v="B0T0PV"/>
    <n v="1"/>
    <n v="28.43"/>
    <s v="Beverage"/>
    <n v="13.89"/>
    <d v="2025-08-27T00:00:00"/>
    <s v="Head Office Café"/>
    <n v="0.08"/>
    <x v="270"/>
    <x v="1"/>
  </r>
  <r>
    <s v="O00142"/>
    <s v="S5NQ4F"/>
    <n v="3"/>
    <n v="50.19"/>
    <s v="Snack"/>
    <n v="22.61"/>
    <d v="2025-08-27T00:00:00"/>
    <s v="Head Office Café"/>
    <n v="0.08"/>
    <x v="271"/>
    <x v="1"/>
  </r>
  <r>
    <s v="O00143"/>
    <s v="BXO6QJ"/>
    <n v="2"/>
    <n v="20.11"/>
    <s v="Beverage"/>
    <n v="8"/>
    <d v="2025-08-23T00:00:00"/>
    <s v="Plant 1 Canteen"/>
    <n v="0.05"/>
    <x v="272"/>
    <x v="1"/>
  </r>
  <r>
    <s v="O00144"/>
    <s v="SHJ7XV"/>
    <n v="1"/>
    <n v="52.45"/>
    <s v="Snack"/>
    <n v="25.8"/>
    <d v="2025-07-15T00:00:00"/>
    <s v="Plant 1 Canteen"/>
    <n v="0.09"/>
    <x v="227"/>
    <x v="0"/>
  </r>
  <r>
    <s v="O00145"/>
    <s v="BOC6UZ"/>
    <n v="2"/>
    <n v="32.979999999999997"/>
    <s v="Beverage"/>
    <n v="11.84"/>
    <d v="2025-08-28T00:00:00"/>
    <s v="Head Office Café"/>
    <n v="0.08"/>
    <x v="273"/>
    <x v="1"/>
  </r>
  <r>
    <s v="O00145"/>
    <s v="DYTJXE"/>
    <n v="1"/>
    <n v="57.07"/>
    <s v="Dessert"/>
    <n v="29.14"/>
    <d v="2025-08-28T00:00:00"/>
    <s v="Head Office Café"/>
    <n v="0.08"/>
    <x v="242"/>
    <x v="1"/>
  </r>
  <r>
    <s v="O00145"/>
    <s v="D9T84A"/>
    <n v="2"/>
    <n v="116.8"/>
    <s v="Dessert"/>
    <n v="48.97"/>
    <d v="2025-08-28T00:00:00"/>
    <s v="Head Office Café"/>
    <n v="0.08"/>
    <x v="188"/>
    <x v="1"/>
  </r>
  <r>
    <s v="O00146"/>
    <s v="HDPBHS"/>
    <n v="3"/>
    <n v="256.91000000000003"/>
    <s v="Hot Meal"/>
    <n v="121.24"/>
    <d v="2025-07-13T00:00:00"/>
    <s v="Plant 2 Canteen"/>
    <n v="0.06"/>
    <x v="274"/>
    <x v="0"/>
  </r>
  <r>
    <s v="O00146"/>
    <s v="BHL1C3"/>
    <n v="2"/>
    <n v="22.2"/>
    <s v="Beverage"/>
    <n v="9.3800000000000008"/>
    <d v="2025-07-13T00:00:00"/>
    <s v="Plant 2 Canteen"/>
    <n v="0.06"/>
    <x v="185"/>
    <x v="0"/>
  </r>
  <r>
    <s v="O00146"/>
    <s v="D9T84A"/>
    <n v="1"/>
    <n v="116.8"/>
    <s v="Dessert"/>
    <n v="48.97"/>
    <d v="2025-07-13T00:00:00"/>
    <s v="Plant 2 Canteen"/>
    <n v="0.06"/>
    <x v="69"/>
    <x v="0"/>
  </r>
  <r>
    <s v="O00146"/>
    <s v="HH1DNM"/>
    <n v="3"/>
    <n v="246.09"/>
    <s v="Hot Meal"/>
    <n v="112.08"/>
    <d v="2025-07-13T00:00:00"/>
    <s v="Plant 2 Canteen"/>
    <n v="0.06"/>
    <x v="275"/>
    <x v="0"/>
  </r>
  <r>
    <s v="O00147"/>
    <s v="SCKW5N"/>
    <n v="1"/>
    <n v="70.540000000000006"/>
    <s v="Snack"/>
    <n v="35.81"/>
    <d v="2025-07-27T00:00:00"/>
    <s v="Head Office Café"/>
    <n v="0.03"/>
    <x v="61"/>
    <x v="0"/>
  </r>
  <r>
    <s v="O00147"/>
    <s v="H3A3ZM"/>
    <n v="1"/>
    <n v="170.83"/>
    <s v="Hot Meal"/>
    <n v="74.069999999999993"/>
    <d v="2025-07-27T00:00:00"/>
    <s v="Head Office Café"/>
    <n v="0.03"/>
    <x v="31"/>
    <x v="0"/>
  </r>
  <r>
    <s v="O00147"/>
    <s v="BOC6UZ"/>
    <n v="3"/>
    <n v="32.979999999999997"/>
    <s v="Beverage"/>
    <n v="11.84"/>
    <d v="2025-07-27T00:00:00"/>
    <s v="Head Office Café"/>
    <n v="0.03"/>
    <x v="32"/>
    <x v="0"/>
  </r>
  <r>
    <s v="O00147"/>
    <s v="B0T0PV"/>
    <n v="1"/>
    <n v="28.43"/>
    <s v="Beverage"/>
    <n v="13.89"/>
    <d v="2025-07-27T00:00:00"/>
    <s v="Head Office Café"/>
    <n v="0.03"/>
    <x v="21"/>
    <x v="0"/>
  </r>
  <r>
    <s v="O00148"/>
    <s v="BTIQJ7"/>
    <n v="1"/>
    <n v="30.34"/>
    <s v="Beverage"/>
    <n v="14.18"/>
    <d v="2025-07-09T00:00:00"/>
    <s v="Head Office Café"/>
    <n v="0"/>
    <x v="15"/>
    <x v="0"/>
  </r>
  <r>
    <s v="O00148"/>
    <s v="SV30T9"/>
    <n v="1"/>
    <n v="39.950000000000003"/>
    <s v="Snack"/>
    <n v="15.51"/>
    <d v="2025-07-09T00:00:00"/>
    <s v="Head Office Café"/>
    <n v="0"/>
    <x v="74"/>
    <x v="0"/>
  </r>
  <r>
    <s v="O00149"/>
    <s v="HXAJI0"/>
    <n v="1"/>
    <n v="227.61"/>
    <s v="Hot Meal"/>
    <n v="96.22"/>
    <d v="2025-08-28T00:00:00"/>
    <s v="Plant 2 Canteen"/>
    <n v="0.04"/>
    <x v="93"/>
    <x v="1"/>
  </r>
  <r>
    <s v="O00149"/>
    <s v="SCKW5N"/>
    <n v="1"/>
    <n v="70.540000000000006"/>
    <s v="Snack"/>
    <n v="35.81"/>
    <d v="2025-08-28T00:00:00"/>
    <s v="Plant 2 Canteen"/>
    <n v="0.04"/>
    <x v="8"/>
    <x v="1"/>
  </r>
  <r>
    <s v="O00150"/>
    <s v="H3A3ZM"/>
    <n v="2"/>
    <n v="170.83"/>
    <s v="Hot Meal"/>
    <n v="74.069999999999993"/>
    <d v="2025-08-26T00:00:00"/>
    <s v="Head Office Café"/>
    <n v="0.09"/>
    <x v="276"/>
    <x v="1"/>
  </r>
  <r>
    <s v="O00150"/>
    <s v="HH1DNM"/>
    <n v="1"/>
    <n v="246.09"/>
    <s v="Hot Meal"/>
    <n v="112.08"/>
    <d v="2025-08-26T00:00:00"/>
    <s v="Head Office Café"/>
    <n v="0.09"/>
    <x v="51"/>
    <x v="1"/>
  </r>
  <r>
    <s v="O00150"/>
    <s v="HXAJI0"/>
    <n v="1"/>
    <n v="227.61"/>
    <s v="Hot Meal"/>
    <n v="96.22"/>
    <d v="2025-08-26T00:00:00"/>
    <s v="Head Office Café"/>
    <n v="0.09"/>
    <x v="277"/>
    <x v="1"/>
  </r>
  <r>
    <s v="O00151"/>
    <s v="HXAJI0"/>
    <n v="2"/>
    <n v="227.61"/>
    <s v="Hot Meal"/>
    <n v="96.22"/>
    <d v="2025-08-26T00:00:00"/>
    <s v="Plant 1 Canteen"/>
    <n v="7.0000000000000007E-2"/>
    <x v="134"/>
    <x v="1"/>
  </r>
  <r>
    <s v="O00151"/>
    <s v="HUZZPQ"/>
    <n v="3"/>
    <n v="146.4"/>
    <s v="Hot Meal"/>
    <n v="80.92"/>
    <d v="2025-08-26T00:00:00"/>
    <s v="Plant 1 Canteen"/>
    <n v="7.0000000000000007E-2"/>
    <x v="132"/>
    <x v="1"/>
  </r>
  <r>
    <s v="O00151"/>
    <s v="HH1DNM"/>
    <n v="3"/>
    <n v="246.09"/>
    <s v="Hot Meal"/>
    <n v="112.08"/>
    <d v="2025-08-26T00:00:00"/>
    <s v="Plant 1 Canteen"/>
    <n v="7.0000000000000007E-2"/>
    <x v="278"/>
    <x v="1"/>
  </r>
  <r>
    <s v="O00152"/>
    <s v="HUZZPQ"/>
    <n v="1"/>
    <n v="146.4"/>
    <s v="Hot Meal"/>
    <n v="80.92"/>
    <d v="2025-08-13T00:00:00"/>
    <s v="Plant 2 Canteen"/>
    <n v="0.01"/>
    <x v="279"/>
    <x v="1"/>
  </r>
  <r>
    <s v="O00152"/>
    <s v="BTIQJ7"/>
    <n v="3"/>
    <n v="30.34"/>
    <s v="Beverage"/>
    <n v="14.18"/>
    <d v="2025-08-13T00:00:00"/>
    <s v="Plant 2 Canteen"/>
    <n v="0.01"/>
    <x v="280"/>
    <x v="1"/>
  </r>
  <r>
    <s v="O00153"/>
    <s v="BXO6QJ"/>
    <n v="1"/>
    <n v="20.11"/>
    <s v="Beverage"/>
    <n v="8"/>
    <d v="2025-08-17T00:00:00"/>
    <s v="Plant 1 Canteen"/>
    <n v="7.0000000000000007E-2"/>
    <x v="281"/>
    <x v="1"/>
  </r>
  <r>
    <s v="O00153"/>
    <s v="B0T0PV"/>
    <n v="2"/>
    <n v="28.43"/>
    <s v="Beverage"/>
    <n v="13.89"/>
    <d v="2025-08-17T00:00:00"/>
    <s v="Plant 1 Canteen"/>
    <n v="7.0000000000000007E-2"/>
    <x v="282"/>
    <x v="1"/>
  </r>
  <r>
    <s v="O00154"/>
    <s v="S5NQ4F"/>
    <n v="1"/>
    <n v="50.19"/>
    <s v="Snack"/>
    <n v="22.61"/>
    <d v="2025-08-02T00:00:00"/>
    <s v="Plant 2 Canteen"/>
    <n v="0.08"/>
    <x v="283"/>
    <x v="1"/>
  </r>
  <r>
    <s v="O00154"/>
    <s v="B0T0PV"/>
    <n v="2"/>
    <n v="28.43"/>
    <s v="Beverage"/>
    <n v="13.89"/>
    <d v="2025-08-02T00:00:00"/>
    <s v="Plant 2 Canteen"/>
    <n v="0.08"/>
    <x v="101"/>
    <x v="1"/>
  </r>
  <r>
    <s v="O00154"/>
    <s v="D9T84A"/>
    <n v="2"/>
    <n v="116.8"/>
    <s v="Dessert"/>
    <n v="48.97"/>
    <d v="2025-08-02T00:00:00"/>
    <s v="Plant 2 Canteen"/>
    <n v="0.08"/>
    <x v="188"/>
    <x v="1"/>
  </r>
  <r>
    <s v="O00154"/>
    <s v="BOC6UZ"/>
    <n v="1"/>
    <n v="32.979999999999997"/>
    <s v="Beverage"/>
    <n v="11.84"/>
    <d v="2025-08-02T00:00:00"/>
    <s v="Plant 2 Canteen"/>
    <n v="0.08"/>
    <x v="222"/>
    <x v="1"/>
  </r>
  <r>
    <s v="O00155"/>
    <s v="SV30T9"/>
    <n v="2"/>
    <n v="39.950000000000003"/>
    <s v="Snack"/>
    <n v="15.51"/>
    <d v="2025-08-02T00:00:00"/>
    <s v="Plant 2 Canteen"/>
    <n v="0.02"/>
    <x v="284"/>
    <x v="1"/>
  </r>
  <r>
    <s v="O00155"/>
    <s v="SHJ7XV"/>
    <n v="3"/>
    <n v="52.45"/>
    <s v="Snack"/>
    <n v="25.8"/>
    <d v="2025-08-02T00:00:00"/>
    <s v="Plant 2 Canteen"/>
    <n v="0.02"/>
    <x v="44"/>
    <x v="1"/>
  </r>
  <r>
    <s v="O00155"/>
    <s v="HDPBHS"/>
    <n v="2"/>
    <n v="256.91000000000003"/>
    <s v="Hot Meal"/>
    <n v="121.24"/>
    <d v="2025-08-02T00:00:00"/>
    <s v="Plant 2 Canteen"/>
    <n v="0.02"/>
    <x v="285"/>
    <x v="1"/>
  </r>
  <r>
    <s v="O00155"/>
    <s v="DYTJXE"/>
    <n v="1"/>
    <n v="57.07"/>
    <s v="Dessert"/>
    <n v="29.14"/>
    <d v="2025-08-02T00:00:00"/>
    <s v="Plant 2 Canteen"/>
    <n v="0.02"/>
    <x v="286"/>
    <x v="1"/>
  </r>
  <r>
    <s v="O00156"/>
    <s v="BTIQJ7"/>
    <n v="3"/>
    <n v="30.34"/>
    <s v="Beverage"/>
    <n v="14.18"/>
    <d v="2025-08-09T00:00:00"/>
    <s v="Head Office Café"/>
    <n v="7.0000000000000007E-2"/>
    <x v="287"/>
    <x v="1"/>
  </r>
  <r>
    <s v="O00156"/>
    <s v="D9T84A"/>
    <n v="1"/>
    <n v="116.8"/>
    <s v="Dessert"/>
    <n v="48.97"/>
    <d v="2025-08-09T00:00:00"/>
    <s v="Head Office Café"/>
    <n v="7.0000000000000007E-2"/>
    <x v="211"/>
    <x v="1"/>
  </r>
  <r>
    <s v="O00156"/>
    <s v="HXAJI0"/>
    <n v="3"/>
    <n v="227.61"/>
    <s v="Hot Meal"/>
    <n v="96.22"/>
    <d v="2025-08-09T00:00:00"/>
    <s v="Head Office Café"/>
    <n v="7.0000000000000007E-2"/>
    <x v="153"/>
    <x v="1"/>
  </r>
  <r>
    <s v="O00156"/>
    <s v="SV30T9"/>
    <n v="3"/>
    <n v="39.950000000000003"/>
    <s v="Snack"/>
    <n v="15.51"/>
    <d v="2025-08-09T00:00:00"/>
    <s v="Head Office Café"/>
    <n v="7.0000000000000007E-2"/>
    <x v="288"/>
    <x v="1"/>
  </r>
  <r>
    <s v="O00157"/>
    <s v="SV30T9"/>
    <n v="3"/>
    <n v="39.950000000000003"/>
    <s v="Snack"/>
    <n v="15.51"/>
    <d v="2025-07-31T00:00:00"/>
    <s v="Plant 2 Canteen"/>
    <n v="0.06"/>
    <x v="156"/>
    <x v="0"/>
  </r>
  <r>
    <s v="O00157"/>
    <s v="HH1DNM"/>
    <n v="3"/>
    <n v="246.09"/>
    <s v="Hot Meal"/>
    <n v="112.08"/>
    <d v="2025-07-31T00:00:00"/>
    <s v="Plant 2 Canteen"/>
    <n v="0.06"/>
    <x v="275"/>
    <x v="0"/>
  </r>
  <r>
    <s v="O00157"/>
    <s v="DYTJXE"/>
    <n v="1"/>
    <n v="57.07"/>
    <s v="Dessert"/>
    <n v="29.14"/>
    <d v="2025-07-31T00:00:00"/>
    <s v="Plant 2 Canteen"/>
    <n v="0.06"/>
    <x v="289"/>
    <x v="0"/>
  </r>
  <r>
    <s v="O00158"/>
    <s v="BXO6QJ"/>
    <n v="1"/>
    <n v="20.11"/>
    <s v="Beverage"/>
    <n v="8"/>
    <d v="2025-08-20T00:00:00"/>
    <s v="Plant 1 Canteen"/>
    <n v="0.01"/>
    <x v="290"/>
    <x v="1"/>
  </r>
  <r>
    <s v="O00158"/>
    <s v="DFFYVN"/>
    <n v="2"/>
    <n v="54.2"/>
    <s v="Dessert"/>
    <n v="21.95"/>
    <d v="2025-08-20T00:00:00"/>
    <s v="Plant 1 Canteen"/>
    <n v="0.01"/>
    <x v="291"/>
    <x v="1"/>
  </r>
  <r>
    <s v="O00158"/>
    <s v="DYTJXE"/>
    <n v="3"/>
    <n v="57.07"/>
    <s v="Dessert"/>
    <n v="29.14"/>
    <d v="2025-08-20T00:00:00"/>
    <s v="Plant 1 Canteen"/>
    <n v="0.01"/>
    <x v="292"/>
    <x v="1"/>
  </r>
  <r>
    <s v="O00158"/>
    <s v="SZBIKC"/>
    <n v="1"/>
    <n v="38.06"/>
    <s v="Snack"/>
    <n v="19.55"/>
    <d v="2025-08-20T00:00:00"/>
    <s v="Plant 1 Canteen"/>
    <n v="0.01"/>
    <x v="293"/>
    <x v="1"/>
  </r>
  <r>
    <s v="O00159"/>
    <s v="HH1DNM"/>
    <n v="1"/>
    <n v="246.09"/>
    <s v="Hot Meal"/>
    <n v="112.08"/>
    <d v="2025-08-10T00:00:00"/>
    <s v="Plant 1 Canteen"/>
    <n v="7.0000000000000007E-2"/>
    <x v="58"/>
    <x v="1"/>
  </r>
  <r>
    <s v="O00160"/>
    <s v="H3A3ZM"/>
    <n v="2"/>
    <n v="170.83"/>
    <s v="Hot Meal"/>
    <n v="74.069999999999993"/>
    <d v="2025-08-18T00:00:00"/>
    <s v="Head Office Café"/>
    <n v="0.08"/>
    <x v="294"/>
    <x v="1"/>
  </r>
  <r>
    <s v="O00161"/>
    <s v="DYTJXE"/>
    <n v="1"/>
    <n v="57.07"/>
    <s v="Dessert"/>
    <n v="29.14"/>
    <d v="2025-07-27T00:00:00"/>
    <s v="Head Office Café"/>
    <n v="0.1"/>
    <x v="295"/>
    <x v="0"/>
  </r>
  <r>
    <s v="O00161"/>
    <s v="HDPBHS"/>
    <n v="2"/>
    <n v="256.91000000000003"/>
    <s v="Hot Meal"/>
    <n v="121.24"/>
    <d v="2025-07-27T00:00:00"/>
    <s v="Head Office Café"/>
    <n v="0.1"/>
    <x v="296"/>
    <x v="0"/>
  </r>
  <r>
    <s v="O00161"/>
    <s v="B0T0PV"/>
    <n v="1"/>
    <n v="28.43"/>
    <s v="Beverage"/>
    <n v="13.89"/>
    <d v="2025-07-27T00:00:00"/>
    <s v="Head Office Café"/>
    <n v="0.1"/>
    <x v="28"/>
    <x v="0"/>
  </r>
  <r>
    <s v="O00161"/>
    <s v="DFFYVN"/>
    <n v="2"/>
    <n v="54.2"/>
    <s v="Dessert"/>
    <n v="21.95"/>
    <d v="2025-07-27T00:00:00"/>
    <s v="Head Office Café"/>
    <n v="0.1"/>
    <x v="297"/>
    <x v="0"/>
  </r>
  <r>
    <s v="O00162"/>
    <s v="SV30T9"/>
    <n v="2"/>
    <n v="39.950000000000003"/>
    <s v="Snack"/>
    <n v="15.51"/>
    <d v="2025-08-17T00:00:00"/>
    <s v="Plant 1 Canteen"/>
    <n v="0.1"/>
    <x v="298"/>
    <x v="1"/>
  </r>
  <r>
    <s v="O00162"/>
    <s v="DYTJXE"/>
    <n v="3"/>
    <n v="57.07"/>
    <s v="Dessert"/>
    <n v="29.14"/>
    <d v="2025-08-17T00:00:00"/>
    <s v="Plant 1 Canteen"/>
    <n v="0.1"/>
    <x v="299"/>
    <x v="1"/>
  </r>
  <r>
    <s v="O00162"/>
    <s v="HUZZPQ"/>
    <n v="1"/>
    <n v="146.4"/>
    <s v="Hot Meal"/>
    <n v="80.92"/>
    <d v="2025-08-17T00:00:00"/>
    <s v="Plant 1 Canteen"/>
    <n v="0.1"/>
    <x v="237"/>
    <x v="1"/>
  </r>
  <r>
    <s v="O00162"/>
    <s v="DFFYVN"/>
    <n v="1"/>
    <n v="54.2"/>
    <s v="Dessert"/>
    <n v="21.95"/>
    <d v="2025-08-17T00:00:00"/>
    <s v="Plant 1 Canteen"/>
    <n v="0.1"/>
    <x v="240"/>
    <x v="1"/>
  </r>
  <r>
    <s v="O00163"/>
    <s v="HDPBHS"/>
    <n v="2"/>
    <n v="256.91000000000003"/>
    <s v="Hot Meal"/>
    <n v="121.24"/>
    <d v="2025-07-16T00:00:00"/>
    <s v="Plant 2 Canteen"/>
    <n v="0"/>
    <x v="141"/>
    <x v="0"/>
  </r>
  <r>
    <s v="O00163"/>
    <s v="SV30T9"/>
    <n v="3"/>
    <n v="39.950000000000003"/>
    <s v="Snack"/>
    <n v="15.51"/>
    <d v="2025-07-16T00:00:00"/>
    <s v="Plant 2 Canteen"/>
    <n v="0"/>
    <x v="170"/>
    <x v="0"/>
  </r>
  <r>
    <s v="O00164"/>
    <s v="SCKW5N"/>
    <n v="2"/>
    <n v="70.540000000000006"/>
    <s v="Snack"/>
    <n v="35.81"/>
    <d v="2025-08-09T00:00:00"/>
    <s v="Plant 1 Canteen"/>
    <n v="0.02"/>
    <x v="300"/>
    <x v="1"/>
  </r>
  <r>
    <s v="O00164"/>
    <s v="DYTJXE"/>
    <n v="1"/>
    <n v="57.07"/>
    <s v="Dessert"/>
    <n v="29.14"/>
    <d v="2025-08-09T00:00:00"/>
    <s v="Plant 1 Canteen"/>
    <n v="0.02"/>
    <x v="286"/>
    <x v="1"/>
  </r>
  <r>
    <s v="O00165"/>
    <s v="BHL1C3"/>
    <n v="1"/>
    <n v="22.2"/>
    <s v="Beverage"/>
    <n v="9.3800000000000008"/>
    <d v="2025-07-12T00:00:00"/>
    <s v="Head Office Café"/>
    <n v="0.08"/>
    <x v="204"/>
    <x v="0"/>
  </r>
  <r>
    <s v="O00165"/>
    <s v="BOC6UZ"/>
    <n v="2"/>
    <n v="32.979999999999997"/>
    <s v="Beverage"/>
    <n v="11.84"/>
    <d v="2025-07-12T00:00:00"/>
    <s v="Head Office Café"/>
    <n v="0.08"/>
    <x v="273"/>
    <x v="0"/>
  </r>
  <r>
    <s v="O00165"/>
    <s v="SCKW5N"/>
    <n v="1"/>
    <n v="70.540000000000006"/>
    <s v="Snack"/>
    <n v="35.81"/>
    <d v="2025-07-12T00:00:00"/>
    <s v="Head Office Café"/>
    <n v="0.08"/>
    <x v="301"/>
    <x v="0"/>
  </r>
  <r>
    <s v="O00166"/>
    <s v="BOC6UZ"/>
    <n v="3"/>
    <n v="32.979999999999997"/>
    <s v="Beverage"/>
    <n v="11.84"/>
    <d v="2025-08-19T00:00:00"/>
    <s v="Head Office Café"/>
    <n v="0.08"/>
    <x v="302"/>
    <x v="1"/>
  </r>
  <r>
    <s v="O00167"/>
    <s v="BXO6QJ"/>
    <n v="2"/>
    <n v="20.11"/>
    <s v="Beverage"/>
    <n v="8"/>
    <d v="2025-08-16T00:00:00"/>
    <s v="Plant 1 Canteen"/>
    <n v="0.08"/>
    <x v="203"/>
    <x v="1"/>
  </r>
  <r>
    <s v="O00168"/>
    <s v="HUZZPQ"/>
    <n v="2"/>
    <n v="146.4"/>
    <s v="Hot Meal"/>
    <n v="80.92"/>
    <d v="2025-08-07T00:00:00"/>
    <s v="Plant 1 Canteen"/>
    <n v="0.21"/>
    <x v="303"/>
    <x v="1"/>
  </r>
  <r>
    <s v="O00168"/>
    <s v="S5NQ4F"/>
    <n v="1"/>
    <n v="50.19"/>
    <s v="Snack"/>
    <n v="22.61"/>
    <d v="2025-08-07T00:00:00"/>
    <s v="Plant 1 Canteen"/>
    <n v="0.21"/>
    <x v="304"/>
    <x v="1"/>
  </r>
  <r>
    <s v="O00168"/>
    <s v="DH9SDB"/>
    <n v="1"/>
    <n v="76.55"/>
    <s v="Dessert"/>
    <n v="38.229999999999997"/>
    <d v="2025-08-07T00:00:00"/>
    <s v="Plant 1 Canteen"/>
    <n v="0.21"/>
    <x v="305"/>
    <x v="1"/>
  </r>
  <r>
    <s v="O00169"/>
    <s v="DYTJXE"/>
    <n v="1"/>
    <n v="57.07"/>
    <s v="Dessert"/>
    <n v="29.14"/>
    <d v="2025-07-08T00:00:00"/>
    <s v="Plant 2 Canteen"/>
    <n v="0.08"/>
    <x v="242"/>
    <x v="0"/>
  </r>
  <r>
    <s v="O00169"/>
    <s v="BOC6UZ"/>
    <n v="1"/>
    <n v="32.979999999999997"/>
    <s v="Beverage"/>
    <n v="11.84"/>
    <d v="2025-07-08T00:00:00"/>
    <s v="Plant 2 Canteen"/>
    <n v="0.08"/>
    <x v="222"/>
    <x v="0"/>
  </r>
  <r>
    <s v="O00169"/>
    <s v="HXAJI0"/>
    <n v="1"/>
    <n v="227.61"/>
    <s v="Hot Meal"/>
    <n v="96.22"/>
    <d v="2025-07-08T00:00:00"/>
    <s v="Plant 2 Canteen"/>
    <n v="0.08"/>
    <x v="306"/>
    <x v="0"/>
  </r>
  <r>
    <s v="O00169"/>
    <s v="B0T0PV"/>
    <n v="1"/>
    <n v="28.43"/>
    <s v="Beverage"/>
    <n v="13.89"/>
    <d v="2025-07-08T00:00:00"/>
    <s v="Plant 2 Canteen"/>
    <n v="0.08"/>
    <x v="270"/>
    <x v="0"/>
  </r>
  <r>
    <s v="O00170"/>
    <s v="SZBIKC"/>
    <n v="1"/>
    <n v="38.06"/>
    <s v="Snack"/>
    <n v="19.55"/>
    <d v="2025-07-27T00:00:00"/>
    <s v="Plant 1 Canteen"/>
    <n v="0.11"/>
    <x v="307"/>
    <x v="0"/>
  </r>
  <r>
    <s v="O00170"/>
    <s v="BHL1C3"/>
    <n v="2"/>
    <n v="22.2"/>
    <s v="Beverage"/>
    <n v="9.3800000000000008"/>
    <d v="2025-07-27T00:00:00"/>
    <s v="Plant 1 Canteen"/>
    <n v="0.11"/>
    <x v="308"/>
    <x v="0"/>
  </r>
  <r>
    <s v="O00170"/>
    <s v="S5NQ4F"/>
    <n v="1"/>
    <n v="50.19"/>
    <s v="Snack"/>
    <n v="22.61"/>
    <d v="2025-07-27T00:00:00"/>
    <s v="Plant 1 Canteen"/>
    <n v="0.11"/>
    <x v="309"/>
    <x v="0"/>
  </r>
  <r>
    <s v="O00170"/>
    <s v="SV30T9"/>
    <n v="1"/>
    <n v="39.950000000000003"/>
    <s v="Snack"/>
    <n v="15.51"/>
    <d v="2025-07-27T00:00:00"/>
    <s v="Plant 1 Canteen"/>
    <n v="0.11"/>
    <x v="310"/>
    <x v="0"/>
  </r>
  <r>
    <s v="O00171"/>
    <s v="HUZZPQ"/>
    <n v="1"/>
    <n v="146.4"/>
    <s v="Hot Meal"/>
    <n v="80.92"/>
    <d v="2025-08-27T00:00:00"/>
    <s v="Head Office Café"/>
    <n v="0.1"/>
    <x v="237"/>
    <x v="1"/>
  </r>
  <r>
    <s v="O00171"/>
    <s v="SCKW5N"/>
    <n v="1"/>
    <n v="70.540000000000006"/>
    <s v="Snack"/>
    <n v="35.81"/>
    <d v="2025-08-27T00:00:00"/>
    <s v="Head Office Café"/>
    <n v="0.1"/>
    <x v="311"/>
    <x v="1"/>
  </r>
  <r>
    <s v="O00171"/>
    <s v="H3A3ZM"/>
    <n v="2"/>
    <n v="170.83"/>
    <s v="Hot Meal"/>
    <n v="74.069999999999993"/>
    <d v="2025-08-27T00:00:00"/>
    <s v="Head Office Café"/>
    <n v="0.1"/>
    <x v="312"/>
    <x v="1"/>
  </r>
  <r>
    <s v="O00172"/>
    <s v="HXAJI0"/>
    <n v="2"/>
    <n v="227.61"/>
    <s v="Hot Meal"/>
    <n v="96.22"/>
    <d v="2025-08-13T00:00:00"/>
    <s v="Head Office Café"/>
    <n v="0.09"/>
    <x v="265"/>
    <x v="1"/>
  </r>
  <r>
    <s v="O00173"/>
    <s v="HDPBHS"/>
    <n v="2"/>
    <n v="256.91000000000003"/>
    <s v="Hot Meal"/>
    <n v="121.24"/>
    <d v="2025-08-23T00:00:00"/>
    <s v="Head Office Café"/>
    <n v="0.05"/>
    <x v="313"/>
    <x v="1"/>
  </r>
  <r>
    <s v="O00174"/>
    <s v="BXO6QJ"/>
    <n v="2"/>
    <n v="20.11"/>
    <s v="Beverage"/>
    <n v="8"/>
    <d v="2025-07-19T00:00:00"/>
    <s v="Head Office Café"/>
    <n v="0.09"/>
    <x v="314"/>
    <x v="0"/>
  </r>
  <r>
    <s v="O00174"/>
    <s v="DH9SDB"/>
    <n v="1"/>
    <n v="76.55"/>
    <s v="Dessert"/>
    <n v="38.229999999999997"/>
    <d v="2025-07-19T00:00:00"/>
    <s v="Head Office Café"/>
    <n v="0.09"/>
    <x v="315"/>
    <x v="0"/>
  </r>
  <r>
    <s v="O00174"/>
    <s v="BOC6UZ"/>
    <n v="2"/>
    <n v="32.979999999999997"/>
    <s v="Beverage"/>
    <n v="11.84"/>
    <d v="2025-07-19T00:00:00"/>
    <s v="Head Office Café"/>
    <n v="0.09"/>
    <x v="316"/>
    <x v="0"/>
  </r>
  <r>
    <s v="O00174"/>
    <s v="B0T0PV"/>
    <n v="3"/>
    <n v="28.43"/>
    <s v="Beverage"/>
    <n v="13.89"/>
    <d v="2025-07-19T00:00:00"/>
    <s v="Head Office Café"/>
    <n v="0.09"/>
    <x v="317"/>
    <x v="0"/>
  </r>
  <r>
    <s v="O00175"/>
    <s v="S5NQ4F"/>
    <n v="2"/>
    <n v="50.19"/>
    <s v="Snack"/>
    <n v="22.61"/>
    <d v="2025-07-23T00:00:00"/>
    <s v="Plant 2 Canteen"/>
    <n v="0.03"/>
    <x v="318"/>
    <x v="0"/>
  </r>
  <r>
    <s v="O00175"/>
    <s v="HXAJI0"/>
    <n v="1"/>
    <n v="227.61"/>
    <s v="Hot Meal"/>
    <n v="96.22"/>
    <d v="2025-07-23T00:00:00"/>
    <s v="Plant 2 Canteen"/>
    <n v="0.03"/>
    <x v="319"/>
    <x v="0"/>
  </r>
  <r>
    <s v="O00176"/>
    <s v="BXO6QJ"/>
    <n v="1"/>
    <n v="20.11"/>
    <s v="Beverage"/>
    <n v="8"/>
    <d v="2025-08-07T00:00:00"/>
    <s v="Plant 2 Canteen"/>
    <n v="0.05"/>
    <x v="320"/>
    <x v="1"/>
  </r>
  <r>
    <s v="O00176"/>
    <s v="HDPBHS"/>
    <n v="1"/>
    <n v="256.91000000000003"/>
    <s v="Hot Meal"/>
    <n v="121.24"/>
    <d v="2025-08-07T00:00:00"/>
    <s v="Plant 2 Canteen"/>
    <n v="0.05"/>
    <x v="321"/>
    <x v="1"/>
  </r>
  <r>
    <s v="O00176"/>
    <s v="HXAJI0"/>
    <n v="1"/>
    <n v="227.61"/>
    <s v="Hot Meal"/>
    <n v="96.22"/>
    <d v="2025-08-07T00:00:00"/>
    <s v="Plant 2 Canteen"/>
    <n v="0.05"/>
    <x v="37"/>
    <x v="1"/>
  </r>
  <r>
    <s v="O00177"/>
    <s v="DYTJXE"/>
    <n v="1"/>
    <n v="57.07"/>
    <s v="Dessert"/>
    <n v="29.14"/>
    <d v="2025-08-18T00:00:00"/>
    <s v="Plant 1 Canteen"/>
    <n v="0.04"/>
    <x v="91"/>
    <x v="1"/>
  </r>
  <r>
    <s v="O00177"/>
    <s v="B0T0PV"/>
    <n v="2"/>
    <n v="28.43"/>
    <s v="Beverage"/>
    <n v="13.89"/>
    <d v="2025-08-18T00:00:00"/>
    <s v="Plant 1 Canteen"/>
    <n v="0.04"/>
    <x v="322"/>
    <x v="1"/>
  </r>
  <r>
    <s v="O00177"/>
    <s v="SZBIKC"/>
    <n v="1"/>
    <n v="38.06"/>
    <s v="Snack"/>
    <n v="19.55"/>
    <d v="2025-08-18T00:00:00"/>
    <s v="Plant 1 Canteen"/>
    <n v="0.04"/>
    <x v="323"/>
    <x v="1"/>
  </r>
  <r>
    <s v="O00178"/>
    <s v="H3A3ZM"/>
    <n v="2"/>
    <n v="170.83"/>
    <s v="Hot Meal"/>
    <n v="74.069999999999993"/>
    <d v="2025-07-10T00:00:00"/>
    <s v="Plant 2 Canteen"/>
    <n v="0.06"/>
    <x v="84"/>
    <x v="0"/>
  </r>
  <r>
    <s v="O00178"/>
    <s v="DFFYVN"/>
    <n v="1"/>
    <n v="54.2"/>
    <s v="Dessert"/>
    <n v="21.95"/>
    <d v="2025-07-10T00:00:00"/>
    <s v="Plant 2 Canteen"/>
    <n v="0.06"/>
    <x v="67"/>
    <x v="0"/>
  </r>
  <r>
    <s v="O00178"/>
    <s v="HUZZPQ"/>
    <n v="2"/>
    <n v="146.4"/>
    <s v="Hot Meal"/>
    <n v="80.92"/>
    <d v="2025-07-10T00:00:00"/>
    <s v="Plant 2 Canteen"/>
    <n v="0.06"/>
    <x v="68"/>
    <x v="0"/>
  </r>
  <r>
    <s v="O00178"/>
    <s v="D9T84A"/>
    <n v="3"/>
    <n v="116.8"/>
    <s v="Dessert"/>
    <n v="48.97"/>
    <d v="2025-07-10T00:00:00"/>
    <s v="Plant 2 Canteen"/>
    <n v="0.06"/>
    <x v="324"/>
    <x v="0"/>
  </r>
  <r>
    <s v="O00179"/>
    <s v="HH1DNM"/>
    <n v="1"/>
    <n v="246.09"/>
    <s v="Hot Meal"/>
    <n v="112.08"/>
    <d v="2025-07-02T00:00:00"/>
    <s v="Head Office Café"/>
    <n v="0.15"/>
    <x v="325"/>
    <x v="0"/>
  </r>
  <r>
    <s v="O00179"/>
    <s v="S5NQ4F"/>
    <n v="2"/>
    <n v="50.19"/>
    <s v="Snack"/>
    <n v="22.61"/>
    <d v="2025-07-02T00:00:00"/>
    <s v="Head Office Café"/>
    <n v="0.15"/>
    <x v="326"/>
    <x v="0"/>
  </r>
  <r>
    <s v="O00179"/>
    <s v="SHJ7XV"/>
    <n v="1"/>
    <n v="52.45"/>
    <s v="Snack"/>
    <n v="25.8"/>
    <d v="2025-07-02T00:00:00"/>
    <s v="Head Office Café"/>
    <n v="0.15"/>
    <x v="175"/>
    <x v="0"/>
  </r>
  <r>
    <s v="O00180"/>
    <s v="B0T0PV"/>
    <n v="1"/>
    <n v="28.43"/>
    <s v="Beverage"/>
    <n v="13.89"/>
    <d v="2025-07-08T00:00:00"/>
    <s v="Plant 2 Canteen"/>
    <n v="0"/>
    <x v="327"/>
    <x v="0"/>
  </r>
  <r>
    <s v="O00181"/>
    <s v="HXAJI0"/>
    <n v="3"/>
    <n v="227.61"/>
    <s v="Hot Meal"/>
    <n v="96.22"/>
    <d v="2025-07-09T00:00:00"/>
    <s v="Plant 2 Canteen"/>
    <n v="0.09"/>
    <x v="328"/>
    <x v="0"/>
  </r>
  <r>
    <s v="O00181"/>
    <s v="HH1DNM"/>
    <n v="1"/>
    <n v="246.09"/>
    <s v="Hot Meal"/>
    <n v="112.08"/>
    <d v="2025-07-09T00:00:00"/>
    <s v="Plant 2 Canteen"/>
    <n v="0.09"/>
    <x v="51"/>
    <x v="0"/>
  </r>
  <r>
    <s v="O00181"/>
    <s v="HDPBHS"/>
    <n v="1"/>
    <n v="256.91000000000003"/>
    <s v="Hot Meal"/>
    <n v="121.24"/>
    <d v="2025-07-09T00:00:00"/>
    <s v="Plant 2 Canteen"/>
    <n v="0.09"/>
    <x v="329"/>
    <x v="0"/>
  </r>
  <r>
    <s v="O00181"/>
    <s v="DYTJXE"/>
    <n v="2"/>
    <n v="57.07"/>
    <s v="Dessert"/>
    <n v="29.14"/>
    <d v="2025-07-09T00:00:00"/>
    <s v="Plant 2 Canteen"/>
    <n v="0.09"/>
    <x v="264"/>
    <x v="0"/>
  </r>
  <r>
    <s v="O00182"/>
    <s v="SHJ7XV"/>
    <n v="1"/>
    <n v="52.45"/>
    <s v="Snack"/>
    <n v="25.8"/>
    <d v="2025-07-31T00:00:00"/>
    <s v="Head Office Café"/>
    <n v="0"/>
    <x v="4"/>
    <x v="0"/>
  </r>
  <r>
    <s v="O00183"/>
    <s v="BTIQJ7"/>
    <n v="3"/>
    <n v="30.34"/>
    <s v="Beverage"/>
    <n v="14.18"/>
    <d v="2025-07-04T00:00:00"/>
    <s v="Head Office Café"/>
    <n v="0.04"/>
    <x v="330"/>
    <x v="0"/>
  </r>
  <r>
    <s v="O00183"/>
    <s v="BOC6UZ"/>
    <n v="2"/>
    <n v="32.979999999999997"/>
    <s v="Beverage"/>
    <n v="11.84"/>
    <d v="2025-07-04T00:00:00"/>
    <s v="Head Office Café"/>
    <n v="0.04"/>
    <x v="331"/>
    <x v="0"/>
  </r>
  <r>
    <s v="O00184"/>
    <s v="SZBIKC"/>
    <n v="1"/>
    <n v="38.06"/>
    <s v="Snack"/>
    <n v="19.55"/>
    <d v="2025-07-23T00:00:00"/>
    <s v="Head Office Café"/>
    <n v="0.1"/>
    <x v="55"/>
    <x v="0"/>
  </r>
  <r>
    <s v="O00184"/>
    <s v="S5NQ4F"/>
    <n v="1"/>
    <n v="50.19"/>
    <s v="Snack"/>
    <n v="22.61"/>
    <d v="2025-07-23T00:00:00"/>
    <s v="Head Office Café"/>
    <n v="0.1"/>
    <x v="332"/>
    <x v="0"/>
  </r>
  <r>
    <s v="O00184"/>
    <s v="DYTJXE"/>
    <n v="1"/>
    <n v="57.07"/>
    <s v="Dessert"/>
    <n v="29.14"/>
    <d v="2025-07-23T00:00:00"/>
    <s v="Head Office Café"/>
    <n v="0.1"/>
    <x v="295"/>
    <x v="0"/>
  </r>
  <r>
    <s v="O00185"/>
    <s v="SCKW5N"/>
    <n v="1"/>
    <n v="70.540000000000006"/>
    <s v="Snack"/>
    <n v="35.81"/>
    <d v="2025-07-11T00:00:00"/>
    <s v="Plant 2 Canteen"/>
    <n v="0.06"/>
    <x v="333"/>
    <x v="0"/>
  </r>
  <r>
    <s v="O00185"/>
    <s v="DYTJXE"/>
    <n v="1"/>
    <n v="57.07"/>
    <s v="Dessert"/>
    <n v="29.14"/>
    <d v="2025-07-11T00:00:00"/>
    <s v="Plant 2 Canteen"/>
    <n v="0.06"/>
    <x v="289"/>
    <x v="0"/>
  </r>
  <r>
    <s v="O00185"/>
    <s v="BXO6QJ"/>
    <n v="1"/>
    <n v="20.11"/>
    <s v="Beverage"/>
    <n v="8"/>
    <d v="2025-07-11T00:00:00"/>
    <s v="Plant 2 Canteen"/>
    <n v="0.06"/>
    <x v="257"/>
    <x v="0"/>
  </r>
  <r>
    <s v="O00186"/>
    <s v="BTIQJ7"/>
    <n v="2"/>
    <n v="30.34"/>
    <s v="Beverage"/>
    <n v="14.18"/>
    <d v="2025-07-04T00:00:00"/>
    <s v="Plant 1 Canteen"/>
    <n v="0.02"/>
    <x v="168"/>
    <x v="0"/>
  </r>
  <r>
    <s v="O00187"/>
    <s v="SCKW5N"/>
    <n v="1"/>
    <n v="70.540000000000006"/>
    <s v="Snack"/>
    <n v="35.81"/>
    <d v="2025-08-05T00:00:00"/>
    <s v="Plant 2 Canteen"/>
    <n v="0.03"/>
    <x v="61"/>
    <x v="1"/>
  </r>
  <r>
    <s v="O00187"/>
    <s v="BOC6UZ"/>
    <n v="2"/>
    <n v="32.979999999999997"/>
    <s v="Beverage"/>
    <n v="11.84"/>
    <d v="2025-08-05T00:00:00"/>
    <s v="Plant 2 Canteen"/>
    <n v="0.03"/>
    <x v="250"/>
    <x v="1"/>
  </r>
  <r>
    <s v="O00187"/>
    <s v="DFFYVN"/>
    <n v="2"/>
    <n v="54.2"/>
    <s v="Dessert"/>
    <n v="21.95"/>
    <d v="2025-08-05T00:00:00"/>
    <s v="Plant 2 Canteen"/>
    <n v="0.03"/>
    <x v="215"/>
    <x v="1"/>
  </r>
  <r>
    <s v="O00187"/>
    <s v="H3A3ZM"/>
    <n v="1"/>
    <n v="170.83"/>
    <s v="Hot Meal"/>
    <n v="74.069999999999993"/>
    <d v="2025-08-05T00:00:00"/>
    <s v="Plant 2 Canteen"/>
    <n v="0.03"/>
    <x v="31"/>
    <x v="1"/>
  </r>
  <r>
    <s v="O00188"/>
    <s v="BHL1C3"/>
    <n v="2"/>
    <n v="22.2"/>
    <s v="Beverage"/>
    <n v="9.3800000000000008"/>
    <d v="2025-08-21T00:00:00"/>
    <s v="Plant 2 Canteen"/>
    <n v="0.09"/>
    <x v="334"/>
    <x v="1"/>
  </r>
  <r>
    <s v="O00188"/>
    <s v="BXO6QJ"/>
    <n v="2"/>
    <n v="20.11"/>
    <s v="Beverage"/>
    <n v="8"/>
    <d v="2025-08-21T00:00:00"/>
    <s v="Plant 2 Canteen"/>
    <n v="0.09"/>
    <x v="314"/>
    <x v="1"/>
  </r>
  <r>
    <s v="O00188"/>
    <s v="SCKW5N"/>
    <n v="1"/>
    <n v="70.540000000000006"/>
    <s v="Snack"/>
    <n v="35.81"/>
    <d v="2025-08-21T00:00:00"/>
    <s v="Plant 2 Canteen"/>
    <n v="0.09"/>
    <x v="229"/>
    <x v="1"/>
  </r>
  <r>
    <s v="O00188"/>
    <s v="S5NQ4F"/>
    <n v="1"/>
    <n v="50.19"/>
    <s v="Snack"/>
    <n v="22.61"/>
    <d v="2025-08-21T00:00:00"/>
    <s v="Plant 2 Canteen"/>
    <n v="0.09"/>
    <x v="161"/>
    <x v="1"/>
  </r>
  <r>
    <s v="O00189"/>
    <s v="SCKW5N"/>
    <n v="1"/>
    <n v="70.540000000000006"/>
    <s v="Snack"/>
    <n v="35.81"/>
    <d v="2025-07-17T00:00:00"/>
    <s v="Plant 1 Canteen"/>
    <n v="0.03"/>
    <x v="61"/>
    <x v="0"/>
  </r>
  <r>
    <s v="O00189"/>
    <s v="BXO6QJ"/>
    <n v="2"/>
    <n v="20.11"/>
    <s v="Beverage"/>
    <n v="8"/>
    <d v="2025-07-17T00:00:00"/>
    <s v="Plant 1 Canteen"/>
    <n v="0.03"/>
    <x v="62"/>
    <x v="0"/>
  </r>
  <r>
    <s v="O00189"/>
    <s v="HH1DNM"/>
    <n v="2"/>
    <n v="246.09"/>
    <s v="Hot Meal"/>
    <n v="112.08"/>
    <d v="2025-07-17T00:00:00"/>
    <s v="Plant 1 Canteen"/>
    <n v="0.03"/>
    <x v="7"/>
    <x v="0"/>
  </r>
  <r>
    <s v="O00190"/>
    <s v="HUZZPQ"/>
    <n v="1"/>
    <n v="146.4"/>
    <s v="Hot Meal"/>
    <n v="80.92"/>
    <d v="2025-07-24T00:00:00"/>
    <s v="Plant 2 Canteen"/>
    <n v="7.0000000000000007E-2"/>
    <x v="114"/>
    <x v="0"/>
  </r>
  <r>
    <s v="O00191"/>
    <s v="S5NQ4F"/>
    <n v="2"/>
    <n v="50.19"/>
    <s v="Snack"/>
    <n v="22.61"/>
    <d v="2025-08-15T00:00:00"/>
    <s v="Head Office Café"/>
    <n v="0.06"/>
    <x v="335"/>
    <x v="1"/>
  </r>
  <r>
    <s v="O00191"/>
    <s v="DYTJXE"/>
    <n v="3"/>
    <n v="57.07"/>
    <s v="Dessert"/>
    <n v="29.14"/>
    <d v="2025-08-15T00:00:00"/>
    <s v="Head Office Café"/>
    <n v="0.06"/>
    <x v="336"/>
    <x v="1"/>
  </r>
  <r>
    <s v="O00192"/>
    <s v="HDPBHS"/>
    <n v="2"/>
    <n v="256.91000000000003"/>
    <s v="Hot Meal"/>
    <n v="121.24"/>
    <d v="2025-07-02T00:00:00"/>
    <s v="Plant 2 Canteen"/>
    <n v="0.03"/>
    <x v="249"/>
    <x v="0"/>
  </r>
  <r>
    <s v="O00193"/>
    <s v="BXO6QJ"/>
    <n v="1"/>
    <n v="20.11"/>
    <s v="Beverage"/>
    <n v="8"/>
    <d v="2025-07-16T00:00:00"/>
    <s v="Plant 1 Canteen"/>
    <n v="0.15"/>
    <x v="337"/>
    <x v="0"/>
  </r>
  <r>
    <s v="O00193"/>
    <s v="SCKW5N"/>
    <n v="1"/>
    <n v="70.540000000000006"/>
    <s v="Snack"/>
    <n v="35.81"/>
    <d v="2025-07-16T00:00:00"/>
    <s v="Plant 1 Canteen"/>
    <n v="0.15"/>
    <x v="338"/>
    <x v="0"/>
  </r>
  <r>
    <s v="O00193"/>
    <s v="BOC6UZ"/>
    <n v="3"/>
    <n v="32.979999999999997"/>
    <s v="Beverage"/>
    <n v="11.84"/>
    <d v="2025-07-16T00:00:00"/>
    <s v="Plant 1 Canteen"/>
    <n v="0.15"/>
    <x v="339"/>
    <x v="0"/>
  </r>
  <r>
    <s v="O00193"/>
    <s v="DYTJXE"/>
    <n v="1"/>
    <n v="57.07"/>
    <s v="Dessert"/>
    <n v="29.14"/>
    <d v="2025-07-16T00:00:00"/>
    <s v="Plant 1 Canteen"/>
    <n v="0.15"/>
    <x v="340"/>
    <x v="0"/>
  </r>
  <r>
    <s v="O00194"/>
    <s v="BHL1C3"/>
    <n v="2"/>
    <n v="22.2"/>
    <s v="Beverage"/>
    <n v="9.3800000000000008"/>
    <d v="2025-08-11T00:00:00"/>
    <s v="Head Office Café"/>
    <n v="0.09"/>
    <x v="334"/>
    <x v="1"/>
  </r>
  <r>
    <s v="O00194"/>
    <s v="S5NQ4F"/>
    <n v="2"/>
    <n v="50.19"/>
    <s v="Snack"/>
    <n v="22.61"/>
    <d v="2025-08-11T00:00:00"/>
    <s v="Head Office Café"/>
    <n v="0.09"/>
    <x v="341"/>
    <x v="1"/>
  </r>
  <r>
    <s v="O00194"/>
    <s v="SHJ7XV"/>
    <n v="2"/>
    <n v="52.45"/>
    <s v="Snack"/>
    <n v="25.8"/>
    <d v="2025-08-11T00:00:00"/>
    <s v="Head Office Café"/>
    <n v="0.09"/>
    <x v="342"/>
    <x v="1"/>
  </r>
  <r>
    <s v="O00195"/>
    <s v="D9T84A"/>
    <n v="1"/>
    <n v="116.8"/>
    <s v="Dessert"/>
    <n v="48.97"/>
    <d v="2025-07-20T00:00:00"/>
    <s v="Plant 2 Canteen"/>
    <n v="0"/>
    <x v="343"/>
    <x v="0"/>
  </r>
  <r>
    <s v="O00195"/>
    <s v="S5NQ4F"/>
    <n v="2"/>
    <n v="50.19"/>
    <s v="Snack"/>
    <n v="22.61"/>
    <d v="2025-07-20T00:00:00"/>
    <s v="Plant 2 Canteen"/>
    <n v="0"/>
    <x v="344"/>
    <x v="0"/>
  </r>
  <r>
    <s v="O00195"/>
    <s v="HDPBHS"/>
    <n v="2"/>
    <n v="256.91000000000003"/>
    <s v="Hot Meal"/>
    <n v="121.24"/>
    <d v="2025-07-20T00:00:00"/>
    <s v="Plant 2 Canteen"/>
    <n v="0"/>
    <x v="141"/>
    <x v="0"/>
  </r>
  <r>
    <s v="O00196"/>
    <s v="DH9SDB"/>
    <n v="1"/>
    <n v="76.55"/>
    <s v="Dessert"/>
    <n v="38.229999999999997"/>
    <d v="2025-08-07T00:00:00"/>
    <s v="Head Office Café"/>
    <n v="7.0000000000000007E-2"/>
    <x v="205"/>
    <x v="1"/>
  </r>
  <r>
    <s v="O00196"/>
    <s v="SV30T9"/>
    <n v="3"/>
    <n v="39.950000000000003"/>
    <s v="Snack"/>
    <n v="15.51"/>
    <d v="2025-08-07T00:00:00"/>
    <s v="Head Office Café"/>
    <n v="7.0000000000000007E-2"/>
    <x v="288"/>
    <x v="1"/>
  </r>
  <r>
    <s v="O00196"/>
    <s v="HUZZPQ"/>
    <n v="1"/>
    <n v="146.4"/>
    <s v="Hot Meal"/>
    <n v="80.92"/>
    <d v="2025-08-07T00:00:00"/>
    <s v="Head Office Café"/>
    <n v="7.0000000000000007E-2"/>
    <x v="114"/>
    <x v="1"/>
  </r>
  <r>
    <s v="O00197"/>
    <s v="BTIQJ7"/>
    <n v="2"/>
    <n v="30.34"/>
    <s v="Beverage"/>
    <n v="14.18"/>
    <d v="2025-07-29T00:00:00"/>
    <s v="Plant 1 Canteen"/>
    <n v="0.03"/>
    <x v="126"/>
    <x v="0"/>
  </r>
  <r>
    <s v="O00197"/>
    <s v="HDPBHS"/>
    <n v="1"/>
    <n v="256.91000000000003"/>
    <s v="Hot Meal"/>
    <n v="121.24"/>
    <d v="2025-07-29T00:00:00"/>
    <s v="Plant 1 Canteen"/>
    <n v="0.03"/>
    <x v="234"/>
    <x v="0"/>
  </r>
  <r>
    <s v="O00198"/>
    <s v="DYTJXE"/>
    <n v="1"/>
    <n v="57.07"/>
    <s v="Dessert"/>
    <n v="29.14"/>
    <d v="2025-07-02T00:00:00"/>
    <s v="Head Office Café"/>
    <n v="0.09"/>
    <x v="345"/>
    <x v="0"/>
  </r>
  <r>
    <s v="O00198"/>
    <s v="BTIQJ7"/>
    <n v="2"/>
    <n v="30.34"/>
    <s v="Beverage"/>
    <n v="14.18"/>
    <d v="2025-07-02T00:00:00"/>
    <s v="Head Office Café"/>
    <n v="0.09"/>
    <x v="346"/>
    <x v="0"/>
  </r>
  <r>
    <s v="O00199"/>
    <s v="HH1DNM"/>
    <n v="1"/>
    <n v="246.09"/>
    <s v="Hot Meal"/>
    <n v="112.08"/>
    <d v="2025-08-29T00:00:00"/>
    <s v="Head Office Café"/>
    <n v="0.03"/>
    <x v="106"/>
    <x v="1"/>
  </r>
  <r>
    <s v="O00199"/>
    <s v="HDPBHS"/>
    <n v="1"/>
    <n v="256.91000000000003"/>
    <s v="Hot Meal"/>
    <n v="121.24"/>
    <d v="2025-08-29T00:00:00"/>
    <s v="Head Office Café"/>
    <n v="0.03"/>
    <x v="234"/>
    <x v="1"/>
  </r>
  <r>
    <s v="O00199"/>
    <s v="H3A3ZM"/>
    <n v="2"/>
    <n v="170.83"/>
    <s v="Hot Meal"/>
    <n v="74.069999999999993"/>
    <d v="2025-08-29T00:00:00"/>
    <s v="Head Office Café"/>
    <n v="0.03"/>
    <x v="347"/>
    <x v="1"/>
  </r>
  <r>
    <s v="O00199"/>
    <s v="BOC6UZ"/>
    <n v="1"/>
    <n v="32.979999999999997"/>
    <s v="Beverage"/>
    <n v="11.84"/>
    <d v="2025-08-29T00:00:00"/>
    <s v="Head Office Café"/>
    <n v="0.03"/>
    <x v="209"/>
    <x v="1"/>
  </r>
  <r>
    <s v="O00200"/>
    <s v="SV30T9"/>
    <n v="1"/>
    <n v="39.950000000000003"/>
    <s v="Snack"/>
    <n v="15.51"/>
    <d v="2025-08-29T00:00:00"/>
    <s v="Plant 2 Canteen"/>
    <n v="0.06"/>
    <x v="348"/>
    <x v="1"/>
  </r>
  <r>
    <s v="O00201"/>
    <s v="SZBIKC"/>
    <n v="1"/>
    <n v="38.06"/>
    <s v="Snack"/>
    <n v="19.55"/>
    <d v="2025-07-25T00:00:00"/>
    <s v="Head Office Café"/>
    <n v="0.08"/>
    <x v="99"/>
    <x v="0"/>
  </r>
  <r>
    <s v="O00202"/>
    <s v="H3A3ZM"/>
    <n v="1"/>
    <n v="170.83"/>
    <s v="Hot Meal"/>
    <n v="74.069999999999993"/>
    <d v="2025-07-10T00:00:00"/>
    <s v="Head Office Café"/>
    <n v="0.09"/>
    <x v="349"/>
    <x v="0"/>
  </r>
  <r>
    <s v="O00203"/>
    <s v="HUZZPQ"/>
    <n v="1"/>
    <n v="146.4"/>
    <s v="Hot Meal"/>
    <n v="80.92"/>
    <d v="2025-08-13T00:00:00"/>
    <s v="Plant 1 Canteen"/>
    <n v="0.01"/>
    <x v="279"/>
    <x v="1"/>
  </r>
  <r>
    <s v="O00203"/>
    <s v="DFFYVN"/>
    <n v="2"/>
    <n v="54.2"/>
    <s v="Dessert"/>
    <n v="21.95"/>
    <d v="2025-08-13T00:00:00"/>
    <s v="Plant 1 Canteen"/>
    <n v="0.01"/>
    <x v="291"/>
    <x v="1"/>
  </r>
  <r>
    <s v="O00204"/>
    <s v="BHL1C3"/>
    <n v="1"/>
    <n v="22.2"/>
    <s v="Beverage"/>
    <n v="9.3800000000000008"/>
    <d v="2025-07-10T00:00:00"/>
    <s v="Plant 2 Canteen"/>
    <n v="0.05"/>
    <x v="260"/>
    <x v="0"/>
  </r>
  <r>
    <s v="O00204"/>
    <s v="HXAJI0"/>
    <n v="3"/>
    <n v="227.61"/>
    <s v="Hot Meal"/>
    <n v="96.22"/>
    <d v="2025-07-10T00:00:00"/>
    <s v="Plant 2 Canteen"/>
    <n v="0.05"/>
    <x v="350"/>
    <x v="0"/>
  </r>
  <r>
    <s v="O00204"/>
    <s v="HH1DNM"/>
    <n v="1"/>
    <n v="246.09"/>
    <s v="Hot Meal"/>
    <n v="112.08"/>
    <d v="2025-07-10T00:00:00"/>
    <s v="Plant 2 Canteen"/>
    <n v="0.05"/>
    <x v="117"/>
    <x v="0"/>
  </r>
  <r>
    <s v="O00205"/>
    <s v="HUZZPQ"/>
    <n v="1"/>
    <n v="146.4"/>
    <s v="Hot Meal"/>
    <n v="80.92"/>
    <d v="2025-07-18T00:00:00"/>
    <s v="Plant 1 Canteen"/>
    <n v="0.04"/>
    <x v="40"/>
    <x v="0"/>
  </r>
  <r>
    <s v="O00205"/>
    <s v="SV30T9"/>
    <n v="2"/>
    <n v="39.950000000000003"/>
    <s v="Snack"/>
    <n v="15.51"/>
    <d v="2025-07-18T00:00:00"/>
    <s v="Plant 1 Canteen"/>
    <n v="0.04"/>
    <x v="351"/>
    <x v="0"/>
  </r>
  <r>
    <s v="O00205"/>
    <s v="BTIQJ7"/>
    <n v="1"/>
    <n v="30.34"/>
    <s v="Beverage"/>
    <n v="14.18"/>
    <d v="2025-07-18T00:00:00"/>
    <s v="Plant 1 Canteen"/>
    <n v="0.04"/>
    <x v="352"/>
    <x v="0"/>
  </r>
  <r>
    <s v="O00205"/>
    <s v="SHJ7XV"/>
    <n v="1"/>
    <n v="52.45"/>
    <s v="Snack"/>
    <n v="25.8"/>
    <d v="2025-07-18T00:00:00"/>
    <s v="Plant 1 Canteen"/>
    <n v="0.04"/>
    <x v="96"/>
    <x v="0"/>
  </r>
  <r>
    <s v="O00206"/>
    <s v="B0T0PV"/>
    <n v="3"/>
    <n v="28.43"/>
    <s v="Beverage"/>
    <n v="13.89"/>
    <d v="2025-08-21T00:00:00"/>
    <s v="Head Office Café"/>
    <n v="0.03"/>
    <x v="353"/>
    <x v="1"/>
  </r>
  <r>
    <s v="O00206"/>
    <s v="SZBIKC"/>
    <n v="1"/>
    <n v="38.06"/>
    <s v="Snack"/>
    <n v="19.55"/>
    <d v="2025-08-21T00:00:00"/>
    <s v="Head Office Café"/>
    <n v="0.03"/>
    <x v="354"/>
    <x v="1"/>
  </r>
  <r>
    <s v="O00206"/>
    <s v="BOC6UZ"/>
    <n v="2"/>
    <n v="32.979999999999997"/>
    <s v="Beverage"/>
    <n v="11.84"/>
    <d v="2025-08-21T00:00:00"/>
    <s v="Head Office Café"/>
    <n v="0.03"/>
    <x v="250"/>
    <x v="1"/>
  </r>
  <r>
    <s v="O00206"/>
    <s v="BTIQJ7"/>
    <n v="1"/>
    <n v="30.34"/>
    <s v="Beverage"/>
    <n v="14.18"/>
    <d v="2025-08-21T00:00:00"/>
    <s v="Head Office Café"/>
    <n v="0.03"/>
    <x v="235"/>
    <x v="1"/>
  </r>
  <r>
    <s v="O00207"/>
    <s v="HH1DNM"/>
    <n v="1"/>
    <n v="246.09"/>
    <s v="Hot Meal"/>
    <n v="112.08"/>
    <d v="2025-08-17T00:00:00"/>
    <s v="Plant 2 Canteen"/>
    <n v="0.13"/>
    <x v="355"/>
    <x v="1"/>
  </r>
  <r>
    <s v="O00207"/>
    <s v="DYTJXE"/>
    <n v="3"/>
    <n v="57.07"/>
    <s v="Dessert"/>
    <n v="29.14"/>
    <d v="2025-08-17T00:00:00"/>
    <s v="Plant 2 Canteen"/>
    <n v="0.13"/>
    <x v="356"/>
    <x v="1"/>
  </r>
  <r>
    <s v="O00208"/>
    <s v="BHL1C3"/>
    <n v="3"/>
    <n v="22.2"/>
    <s v="Beverage"/>
    <n v="9.3800000000000008"/>
    <d v="2025-08-15T00:00:00"/>
    <s v="Plant 1 Canteen"/>
    <n v="0.08"/>
    <x v="357"/>
    <x v="1"/>
  </r>
  <r>
    <s v="O00208"/>
    <s v="SZBIKC"/>
    <n v="2"/>
    <n v="38.06"/>
    <s v="Snack"/>
    <n v="19.55"/>
    <d v="2025-08-15T00:00:00"/>
    <s v="Plant 1 Canteen"/>
    <n v="0.08"/>
    <x v="358"/>
    <x v="1"/>
  </r>
  <r>
    <s v="O00209"/>
    <s v="S5NQ4F"/>
    <n v="3"/>
    <n v="50.19"/>
    <s v="Snack"/>
    <n v="22.61"/>
    <d v="2025-08-24T00:00:00"/>
    <s v="Plant 2 Canteen"/>
    <n v="0.01"/>
    <x v="224"/>
    <x v="1"/>
  </r>
  <r>
    <s v="O00209"/>
    <s v="BXO6QJ"/>
    <n v="1"/>
    <n v="20.11"/>
    <s v="Beverage"/>
    <n v="8"/>
    <d v="2025-08-24T00:00:00"/>
    <s v="Plant 2 Canteen"/>
    <n v="0.01"/>
    <x v="290"/>
    <x v="1"/>
  </r>
  <r>
    <s v="O00209"/>
    <s v="B0T0PV"/>
    <n v="2"/>
    <n v="28.43"/>
    <s v="Beverage"/>
    <n v="13.89"/>
    <d v="2025-08-24T00:00:00"/>
    <s v="Plant 2 Canteen"/>
    <n v="0.01"/>
    <x v="48"/>
    <x v="1"/>
  </r>
  <r>
    <s v="O00210"/>
    <s v="BXO6QJ"/>
    <n v="1"/>
    <n v="20.11"/>
    <s v="Beverage"/>
    <n v="8"/>
    <d v="2025-07-26T00:00:00"/>
    <s v="Head Office Café"/>
    <n v="0.1"/>
    <x v="30"/>
    <x v="0"/>
  </r>
  <r>
    <s v="O00210"/>
    <s v="HH1DNM"/>
    <n v="2"/>
    <n v="246.09"/>
    <s v="Hot Meal"/>
    <n v="112.08"/>
    <d v="2025-07-26T00:00:00"/>
    <s v="Head Office Café"/>
    <n v="0.1"/>
    <x v="359"/>
    <x v="0"/>
  </r>
  <r>
    <s v="O00210"/>
    <s v="BHL1C3"/>
    <n v="1"/>
    <n v="22.2"/>
    <s v="Beverage"/>
    <n v="9.3800000000000008"/>
    <d v="2025-07-26T00:00:00"/>
    <s v="Head Office Café"/>
    <n v="0.1"/>
    <x v="360"/>
    <x v="0"/>
  </r>
  <r>
    <s v="O00211"/>
    <s v="HDPBHS"/>
    <n v="3"/>
    <n v="256.91000000000003"/>
    <s v="Hot Meal"/>
    <n v="121.24"/>
    <d v="2025-07-26T00:00:00"/>
    <s v="Head Office Café"/>
    <n v="0.14000000000000001"/>
    <x v="361"/>
    <x v="0"/>
  </r>
  <r>
    <s v="O00211"/>
    <s v="SCKW5N"/>
    <n v="3"/>
    <n v="70.540000000000006"/>
    <s v="Snack"/>
    <n v="35.81"/>
    <d v="2025-07-26T00:00:00"/>
    <s v="Head Office Café"/>
    <n v="0.14000000000000001"/>
    <x v="362"/>
    <x v="0"/>
  </r>
  <r>
    <s v="O00212"/>
    <s v="SV30T9"/>
    <n v="1"/>
    <n v="39.950000000000003"/>
    <s v="Snack"/>
    <n v="15.51"/>
    <d v="2025-07-11T00:00:00"/>
    <s v="Head Office Café"/>
    <n v="0.1"/>
    <x v="363"/>
    <x v="0"/>
  </r>
  <r>
    <s v="O00212"/>
    <s v="DYTJXE"/>
    <n v="1"/>
    <n v="57.07"/>
    <s v="Dessert"/>
    <n v="29.14"/>
    <d v="2025-07-11T00:00:00"/>
    <s v="Head Office Café"/>
    <n v="0.1"/>
    <x v="295"/>
    <x v="0"/>
  </r>
  <r>
    <s v="O00212"/>
    <s v="B0T0PV"/>
    <n v="1"/>
    <n v="28.43"/>
    <s v="Beverage"/>
    <n v="13.89"/>
    <d v="2025-07-11T00:00:00"/>
    <s v="Head Office Café"/>
    <n v="0.1"/>
    <x v="28"/>
    <x v="0"/>
  </r>
  <r>
    <s v="O00212"/>
    <s v="HXAJI0"/>
    <n v="1"/>
    <n v="227.61"/>
    <s v="Hot Meal"/>
    <n v="96.22"/>
    <d v="2025-07-11T00:00:00"/>
    <s v="Head Office Café"/>
    <n v="0.1"/>
    <x v="364"/>
    <x v="0"/>
  </r>
  <r>
    <s v="O00213"/>
    <s v="S5NQ4F"/>
    <n v="2"/>
    <n v="50.19"/>
    <s v="Snack"/>
    <n v="22.61"/>
    <d v="2025-08-24T00:00:00"/>
    <s v="Plant 2 Canteen"/>
    <n v="0"/>
    <x v="344"/>
    <x v="1"/>
  </r>
  <r>
    <s v="O00213"/>
    <s v="SZBIKC"/>
    <n v="3"/>
    <n v="38.06"/>
    <s v="Snack"/>
    <n v="19.55"/>
    <d v="2025-08-24T00:00:00"/>
    <s v="Plant 2 Canteen"/>
    <n v="0"/>
    <x v="365"/>
    <x v="1"/>
  </r>
  <r>
    <s v="O00213"/>
    <s v="HXAJI0"/>
    <n v="1"/>
    <n v="227.61"/>
    <s v="Hot Meal"/>
    <n v="96.22"/>
    <d v="2025-08-24T00:00:00"/>
    <s v="Plant 2 Canteen"/>
    <n v="0"/>
    <x v="366"/>
    <x v="1"/>
  </r>
  <r>
    <s v="O00214"/>
    <s v="DYTJXE"/>
    <n v="1"/>
    <n v="57.07"/>
    <s v="Dessert"/>
    <n v="29.14"/>
    <d v="2025-08-15T00:00:00"/>
    <s v="Head Office Café"/>
    <n v="0.04"/>
    <x v="91"/>
    <x v="1"/>
  </r>
  <r>
    <s v="O00214"/>
    <s v="BHL1C3"/>
    <n v="1"/>
    <n v="22.2"/>
    <s v="Beverage"/>
    <n v="9.3800000000000008"/>
    <d v="2025-08-15T00:00:00"/>
    <s v="Head Office Café"/>
    <n v="0.04"/>
    <x v="92"/>
    <x v="1"/>
  </r>
  <r>
    <s v="O00214"/>
    <s v="HXAJI0"/>
    <n v="3"/>
    <n v="227.61"/>
    <s v="Hot Meal"/>
    <n v="96.22"/>
    <d v="2025-08-15T00:00:00"/>
    <s v="Head Office Café"/>
    <n v="0.04"/>
    <x v="367"/>
    <x v="1"/>
  </r>
  <r>
    <s v="O00215"/>
    <s v="S5NQ4F"/>
    <n v="1"/>
    <n v="50.19"/>
    <s v="Snack"/>
    <n v="22.61"/>
    <d v="2025-07-12T00:00:00"/>
    <s v="Plant 1 Canteen"/>
    <n v="0.11"/>
    <x v="309"/>
    <x v="0"/>
  </r>
  <r>
    <s v="O00215"/>
    <s v="HUZZPQ"/>
    <n v="1"/>
    <n v="146.4"/>
    <s v="Hot Meal"/>
    <n v="80.92"/>
    <d v="2025-07-12T00:00:00"/>
    <s v="Plant 1 Canteen"/>
    <n v="0.11"/>
    <x v="368"/>
    <x v="0"/>
  </r>
  <r>
    <s v="O00215"/>
    <s v="BXO6QJ"/>
    <n v="1"/>
    <n v="20.11"/>
    <s v="Beverage"/>
    <n v="8"/>
    <d v="2025-07-12T00:00:00"/>
    <s v="Plant 1 Canteen"/>
    <n v="0.11"/>
    <x v="369"/>
    <x v="0"/>
  </r>
  <r>
    <s v="O00215"/>
    <s v="DH9SDB"/>
    <n v="2"/>
    <n v="76.55"/>
    <s v="Dessert"/>
    <n v="38.229999999999997"/>
    <d v="2025-07-12T00:00:00"/>
    <s v="Plant 1 Canteen"/>
    <n v="0.11"/>
    <x v="370"/>
    <x v="0"/>
  </r>
  <r>
    <s v="O00216"/>
    <s v="BXO6QJ"/>
    <n v="2"/>
    <n v="20.11"/>
    <s v="Beverage"/>
    <n v="8"/>
    <d v="2025-08-18T00:00:00"/>
    <s v="Plant 1 Canteen"/>
    <n v="0.03"/>
    <x v="62"/>
    <x v="1"/>
  </r>
  <r>
    <s v="O00216"/>
    <s v="BTIQJ7"/>
    <n v="2"/>
    <n v="30.34"/>
    <s v="Beverage"/>
    <n v="14.18"/>
    <d v="2025-08-18T00:00:00"/>
    <s v="Plant 1 Canteen"/>
    <n v="0.03"/>
    <x v="126"/>
    <x v="1"/>
  </r>
  <r>
    <s v="O00216"/>
    <s v="SCKW5N"/>
    <n v="1"/>
    <n v="70.540000000000006"/>
    <s v="Snack"/>
    <n v="35.81"/>
    <d v="2025-08-18T00:00:00"/>
    <s v="Plant 1 Canteen"/>
    <n v="0.03"/>
    <x v="61"/>
    <x v="1"/>
  </r>
  <r>
    <s v="O00217"/>
    <s v="H3A3ZM"/>
    <n v="1"/>
    <n v="170.83"/>
    <s v="Hot Meal"/>
    <n v="74.069999999999993"/>
    <d v="2025-07-14T00:00:00"/>
    <s v="Plant 2 Canteen"/>
    <n v="0.08"/>
    <x v="371"/>
    <x v="0"/>
  </r>
  <r>
    <s v="O00217"/>
    <s v="HDPBHS"/>
    <n v="1"/>
    <n v="256.91000000000003"/>
    <s v="Hot Meal"/>
    <n v="121.24"/>
    <d v="2025-07-14T00:00:00"/>
    <s v="Plant 2 Canteen"/>
    <n v="0.08"/>
    <x v="221"/>
    <x v="0"/>
  </r>
  <r>
    <s v="O00217"/>
    <s v="SV30T9"/>
    <n v="2"/>
    <n v="39.950000000000003"/>
    <s v="Snack"/>
    <n v="15.51"/>
    <d v="2025-07-14T00:00:00"/>
    <s v="Plant 2 Canteen"/>
    <n v="0.08"/>
    <x v="372"/>
    <x v="0"/>
  </r>
  <r>
    <s v="O00217"/>
    <s v="SHJ7XV"/>
    <n v="3"/>
    <n v="52.45"/>
    <s v="Snack"/>
    <n v="25.8"/>
    <d v="2025-07-14T00:00:00"/>
    <s v="Plant 2 Canteen"/>
    <n v="0.08"/>
    <x v="373"/>
    <x v="0"/>
  </r>
  <r>
    <s v="O00218"/>
    <s v="B0T0PV"/>
    <n v="1"/>
    <n v="28.43"/>
    <s v="Beverage"/>
    <n v="13.89"/>
    <d v="2025-08-10T00:00:00"/>
    <s v="Head Office Café"/>
    <n v="0.09"/>
    <x v="374"/>
    <x v="1"/>
  </r>
  <r>
    <s v="O00219"/>
    <s v="DYTJXE"/>
    <n v="2"/>
    <n v="57.07"/>
    <s v="Dessert"/>
    <n v="29.14"/>
    <d v="2025-08-10T00:00:00"/>
    <s v="Head Office Café"/>
    <n v="0.02"/>
    <x v="189"/>
    <x v="1"/>
  </r>
  <r>
    <s v="O00219"/>
    <s v="HXAJI0"/>
    <n v="1"/>
    <n v="227.61"/>
    <s v="Hot Meal"/>
    <n v="96.22"/>
    <d v="2025-08-10T00:00:00"/>
    <s v="Head Office Café"/>
    <n v="0.02"/>
    <x v="375"/>
    <x v="1"/>
  </r>
  <r>
    <s v="O00219"/>
    <s v="H3A3ZM"/>
    <n v="2"/>
    <n v="170.83"/>
    <s v="Hot Meal"/>
    <n v="74.069999999999993"/>
    <d v="2025-08-10T00:00:00"/>
    <s v="Head Office Café"/>
    <n v="0.02"/>
    <x v="251"/>
    <x v="1"/>
  </r>
  <r>
    <s v="O00220"/>
    <s v="DH9SDB"/>
    <n v="3"/>
    <n v="76.55"/>
    <s v="Dessert"/>
    <n v="38.229999999999997"/>
    <d v="2025-07-28T00:00:00"/>
    <s v="Plant 1 Canteen"/>
    <n v="0.06"/>
    <x v="376"/>
    <x v="0"/>
  </r>
  <r>
    <s v="O00220"/>
    <s v="HXAJI0"/>
    <n v="1"/>
    <n v="227.61"/>
    <s v="Hot Meal"/>
    <n v="96.22"/>
    <d v="2025-07-28T00:00:00"/>
    <s v="Plant 1 Canteen"/>
    <n v="0.06"/>
    <x v="102"/>
    <x v="0"/>
  </r>
  <r>
    <s v="O00220"/>
    <s v="DFFYVN"/>
    <n v="3"/>
    <n v="54.2"/>
    <s v="Dessert"/>
    <n v="21.95"/>
    <d v="2025-07-28T00:00:00"/>
    <s v="Plant 1 Canteen"/>
    <n v="0.06"/>
    <x v="377"/>
    <x v="0"/>
  </r>
  <r>
    <s v="O00221"/>
    <s v="DYTJXE"/>
    <n v="1"/>
    <n v="57.07"/>
    <s v="Dessert"/>
    <n v="29.14"/>
    <d v="2025-08-13T00:00:00"/>
    <s v="Plant 2 Canteen"/>
    <n v="0"/>
    <x v="378"/>
    <x v="1"/>
  </r>
  <r>
    <s v="O00222"/>
    <s v="SV30T9"/>
    <n v="1"/>
    <n v="39.950000000000003"/>
    <s v="Snack"/>
    <n v="15.51"/>
    <d v="2025-08-05T00:00:00"/>
    <s v="Head Office Café"/>
    <n v="0.02"/>
    <x v="45"/>
    <x v="1"/>
  </r>
  <r>
    <s v="O00222"/>
    <s v="BXO6QJ"/>
    <n v="2"/>
    <n v="20.11"/>
    <s v="Beverage"/>
    <n v="8"/>
    <d v="2025-08-05T00:00:00"/>
    <s v="Head Office Café"/>
    <n v="0.02"/>
    <x v="379"/>
    <x v="1"/>
  </r>
  <r>
    <s v="O00222"/>
    <s v="BTIQJ7"/>
    <n v="2"/>
    <n v="30.34"/>
    <s v="Beverage"/>
    <n v="14.18"/>
    <d v="2025-08-05T00:00:00"/>
    <s v="Head Office Café"/>
    <n v="0.02"/>
    <x v="168"/>
    <x v="1"/>
  </r>
  <r>
    <s v="O00222"/>
    <s v="DFFYVN"/>
    <n v="3"/>
    <n v="54.2"/>
    <s v="Dessert"/>
    <n v="21.95"/>
    <d v="2025-08-05T00:00:00"/>
    <s v="Head Office Café"/>
    <n v="0.02"/>
    <x v="252"/>
    <x v="1"/>
  </r>
  <r>
    <s v="O00223"/>
    <s v="DFFYVN"/>
    <n v="2"/>
    <n v="54.2"/>
    <s v="Dessert"/>
    <n v="21.95"/>
    <d v="2025-08-08T00:00:00"/>
    <s v="Plant 2 Canteen"/>
    <n v="0.05"/>
    <x v="380"/>
    <x v="1"/>
  </r>
  <r>
    <s v="O00223"/>
    <s v="BHL1C3"/>
    <n v="1"/>
    <n v="22.2"/>
    <s v="Beverage"/>
    <n v="9.3800000000000008"/>
    <d v="2025-08-08T00:00:00"/>
    <s v="Plant 2 Canteen"/>
    <n v="0.05"/>
    <x v="260"/>
    <x v="1"/>
  </r>
  <r>
    <s v="O00223"/>
    <s v="B0T0PV"/>
    <n v="2"/>
    <n v="28.43"/>
    <s v="Beverage"/>
    <n v="13.89"/>
    <d v="2025-08-08T00:00:00"/>
    <s v="Plant 2 Canteen"/>
    <n v="0.05"/>
    <x v="381"/>
    <x v="1"/>
  </r>
  <r>
    <s v="O00224"/>
    <s v="SHJ7XV"/>
    <n v="3"/>
    <n v="52.45"/>
    <s v="Snack"/>
    <n v="25.8"/>
    <d v="2025-07-10T00:00:00"/>
    <s v="Head Office Café"/>
    <n v="0.01"/>
    <x v="382"/>
    <x v="0"/>
  </r>
  <r>
    <s v="O00225"/>
    <s v="SCKW5N"/>
    <n v="1"/>
    <n v="70.540000000000006"/>
    <s v="Snack"/>
    <n v="35.81"/>
    <d v="2025-07-06T00:00:00"/>
    <s v="Plant 2 Canteen"/>
    <n v="0.13"/>
    <x v="383"/>
    <x v="0"/>
  </r>
  <r>
    <s v="O00225"/>
    <s v="B0T0PV"/>
    <n v="2"/>
    <n v="28.43"/>
    <s v="Beverage"/>
    <n v="13.89"/>
    <d v="2025-07-06T00:00:00"/>
    <s v="Plant 2 Canteen"/>
    <n v="0.13"/>
    <x v="384"/>
    <x v="0"/>
  </r>
  <r>
    <s v="O00225"/>
    <s v="HDPBHS"/>
    <n v="3"/>
    <n v="256.91000000000003"/>
    <s v="Hot Meal"/>
    <n v="121.24"/>
    <d v="2025-07-06T00:00:00"/>
    <s v="Plant 2 Canteen"/>
    <n v="0.13"/>
    <x v="385"/>
    <x v="0"/>
  </r>
  <r>
    <s v="O00225"/>
    <s v="BTIQJ7"/>
    <n v="2"/>
    <n v="30.34"/>
    <s v="Beverage"/>
    <n v="14.18"/>
    <d v="2025-07-06T00:00:00"/>
    <s v="Plant 2 Canteen"/>
    <n v="0.13"/>
    <x v="386"/>
    <x v="0"/>
  </r>
  <r>
    <s v="O00226"/>
    <s v="BTIQJ7"/>
    <n v="1"/>
    <n v="30.34"/>
    <s v="Beverage"/>
    <n v="14.18"/>
    <d v="2025-07-07T00:00:00"/>
    <s v="Head Office Café"/>
    <n v="0"/>
    <x v="15"/>
    <x v="0"/>
  </r>
  <r>
    <s v="O00226"/>
    <s v="HUZZPQ"/>
    <n v="1"/>
    <n v="146.4"/>
    <s v="Hot Meal"/>
    <n v="80.92"/>
    <d v="2025-07-07T00:00:00"/>
    <s v="Head Office Café"/>
    <n v="0"/>
    <x v="143"/>
    <x v="0"/>
  </r>
  <r>
    <s v="O00226"/>
    <s v="DH9SDB"/>
    <n v="2"/>
    <n v="76.55"/>
    <s v="Dessert"/>
    <n v="38.229999999999997"/>
    <d v="2025-07-07T00:00:00"/>
    <s v="Head Office Café"/>
    <n v="0"/>
    <x v="118"/>
    <x v="0"/>
  </r>
  <r>
    <s v="O00227"/>
    <s v="H3A3ZM"/>
    <n v="2"/>
    <n v="170.83"/>
    <s v="Hot Meal"/>
    <n v="74.069999999999993"/>
    <d v="2025-07-23T00:00:00"/>
    <s v="Plant 2 Canteen"/>
    <n v="0.04"/>
    <x v="121"/>
    <x v="0"/>
  </r>
  <r>
    <s v="O00227"/>
    <s v="DFFYVN"/>
    <n v="1"/>
    <n v="54.2"/>
    <s v="Dessert"/>
    <n v="21.95"/>
    <d v="2025-07-23T00:00:00"/>
    <s v="Plant 2 Canteen"/>
    <n v="0.04"/>
    <x v="94"/>
    <x v="0"/>
  </r>
  <r>
    <s v="O00228"/>
    <s v="DFFYVN"/>
    <n v="2"/>
    <n v="54.2"/>
    <s v="Dessert"/>
    <n v="21.95"/>
    <d v="2025-07-28T00:00:00"/>
    <s v="Plant 1 Canteen"/>
    <n v="7.0000000000000007E-2"/>
    <x v="387"/>
    <x v="0"/>
  </r>
  <r>
    <s v="O00229"/>
    <s v="HH1DNM"/>
    <n v="1"/>
    <n v="246.09"/>
    <s v="Hot Meal"/>
    <n v="112.08"/>
    <d v="2025-07-18T00:00:00"/>
    <s v="Plant 1 Canteen"/>
    <n v="0.12"/>
    <x v="65"/>
    <x v="0"/>
  </r>
  <r>
    <s v="O00229"/>
    <s v="DFFYVN"/>
    <n v="3"/>
    <n v="54.2"/>
    <s v="Dessert"/>
    <n v="21.95"/>
    <d v="2025-07-18T00:00:00"/>
    <s v="Plant 1 Canteen"/>
    <n v="0.12"/>
    <x v="388"/>
    <x v="0"/>
  </r>
  <r>
    <s v="O00229"/>
    <s v="SCKW5N"/>
    <n v="1"/>
    <n v="70.540000000000006"/>
    <s v="Snack"/>
    <n v="35.81"/>
    <d v="2025-07-18T00:00:00"/>
    <s v="Plant 1 Canteen"/>
    <n v="0.12"/>
    <x v="90"/>
    <x v="0"/>
  </r>
  <r>
    <s v="O00229"/>
    <s v="SZBIKC"/>
    <n v="1"/>
    <n v="38.06"/>
    <s v="Snack"/>
    <n v="19.55"/>
    <d v="2025-07-18T00:00:00"/>
    <s v="Plant 1 Canteen"/>
    <n v="0.12"/>
    <x v="389"/>
    <x v="0"/>
  </r>
  <r>
    <s v="O00230"/>
    <s v="H3A3ZM"/>
    <n v="1"/>
    <n v="170.83"/>
    <s v="Hot Meal"/>
    <n v="74.069999999999993"/>
    <d v="2025-07-02T00:00:00"/>
    <s v="Plant 2 Canteen"/>
    <n v="0"/>
    <x v="390"/>
    <x v="0"/>
  </r>
  <r>
    <s v="O00230"/>
    <s v="B0T0PV"/>
    <n v="1"/>
    <n v="28.43"/>
    <s v="Beverage"/>
    <n v="13.89"/>
    <d v="2025-07-02T00:00:00"/>
    <s v="Plant 2 Canteen"/>
    <n v="0"/>
    <x v="327"/>
    <x v="0"/>
  </r>
  <r>
    <s v="O00231"/>
    <s v="D9T84A"/>
    <n v="1"/>
    <n v="116.8"/>
    <s v="Dessert"/>
    <n v="48.97"/>
    <d v="2025-07-02T00:00:00"/>
    <s v="Plant 1 Canteen"/>
    <n v="0.11"/>
    <x v="391"/>
    <x v="0"/>
  </r>
  <r>
    <s v="O00231"/>
    <s v="SHJ7XV"/>
    <n v="2"/>
    <n v="52.45"/>
    <s v="Snack"/>
    <n v="25.8"/>
    <d v="2025-07-02T00:00:00"/>
    <s v="Plant 1 Canteen"/>
    <n v="0.11"/>
    <x v="233"/>
    <x v="0"/>
  </r>
  <r>
    <s v="O00231"/>
    <s v="BOC6UZ"/>
    <n v="2"/>
    <n v="32.979999999999997"/>
    <s v="Beverage"/>
    <n v="11.84"/>
    <d v="2025-07-02T00:00:00"/>
    <s v="Plant 1 Canteen"/>
    <n v="0.11"/>
    <x v="392"/>
    <x v="0"/>
  </r>
  <r>
    <s v="O00231"/>
    <s v="DH9SDB"/>
    <n v="3"/>
    <n v="76.55"/>
    <s v="Dessert"/>
    <n v="38.229999999999997"/>
    <d v="2025-07-02T00:00:00"/>
    <s v="Plant 1 Canteen"/>
    <n v="0.11"/>
    <x v="393"/>
    <x v="0"/>
  </r>
  <r>
    <s v="O00232"/>
    <s v="BHL1C3"/>
    <n v="1"/>
    <n v="22.2"/>
    <s v="Beverage"/>
    <n v="9.3800000000000008"/>
    <d v="2025-08-11T00:00:00"/>
    <s v="Head Office Café"/>
    <n v="0.06"/>
    <x v="180"/>
    <x v="1"/>
  </r>
  <r>
    <s v="O00232"/>
    <s v="HH1DNM"/>
    <n v="2"/>
    <n v="246.09"/>
    <s v="Hot Meal"/>
    <n v="112.08"/>
    <d v="2025-08-11T00:00:00"/>
    <s v="Head Office Café"/>
    <n v="0.06"/>
    <x v="394"/>
    <x v="1"/>
  </r>
  <r>
    <s v="O00233"/>
    <s v="S5NQ4F"/>
    <n v="2"/>
    <n v="50.19"/>
    <s v="Snack"/>
    <n v="22.61"/>
    <d v="2025-08-16T00:00:00"/>
    <s v="Plant 2 Canteen"/>
    <n v="0.02"/>
    <x v="46"/>
    <x v="1"/>
  </r>
  <r>
    <s v="O00233"/>
    <s v="BTIQJ7"/>
    <n v="1"/>
    <n v="30.34"/>
    <s v="Beverage"/>
    <n v="14.18"/>
    <d v="2025-08-16T00:00:00"/>
    <s v="Plant 2 Canteen"/>
    <n v="0.02"/>
    <x v="395"/>
    <x v="1"/>
  </r>
  <r>
    <s v="O00234"/>
    <s v="SV30T9"/>
    <n v="1"/>
    <n v="39.950000000000003"/>
    <s v="Snack"/>
    <n v="15.51"/>
    <d v="2025-08-14T00:00:00"/>
    <s v="Head Office Café"/>
    <n v="0.08"/>
    <x v="396"/>
    <x v="1"/>
  </r>
  <r>
    <s v="O00235"/>
    <s v="HUZZPQ"/>
    <n v="1"/>
    <n v="146.4"/>
    <s v="Hot Meal"/>
    <n v="80.92"/>
    <d v="2025-08-20T00:00:00"/>
    <s v="Plant 2 Canteen"/>
    <n v="7.0000000000000007E-2"/>
    <x v="114"/>
    <x v="1"/>
  </r>
  <r>
    <s v="O00236"/>
    <s v="SCKW5N"/>
    <n v="2"/>
    <n v="70.540000000000006"/>
    <s v="Snack"/>
    <n v="35.81"/>
    <d v="2025-07-07T00:00:00"/>
    <s v="Plant 2 Canteen"/>
    <n v="0.04"/>
    <x v="123"/>
    <x v="0"/>
  </r>
  <r>
    <s v="O00236"/>
    <s v="DYTJXE"/>
    <n v="1"/>
    <n v="57.07"/>
    <s v="Dessert"/>
    <n v="29.14"/>
    <d v="2025-07-07T00:00:00"/>
    <s v="Plant 2 Canteen"/>
    <n v="0.04"/>
    <x v="91"/>
    <x v="0"/>
  </r>
  <r>
    <s v="O00237"/>
    <s v="SV30T9"/>
    <n v="2"/>
    <n v="39.950000000000003"/>
    <s v="Snack"/>
    <n v="15.51"/>
    <d v="2025-08-17T00:00:00"/>
    <s v="Head Office Café"/>
    <n v="0.06"/>
    <x v="397"/>
    <x v="1"/>
  </r>
  <r>
    <s v="O00238"/>
    <s v="DH9SDB"/>
    <n v="2"/>
    <n v="76.55"/>
    <s v="Dessert"/>
    <n v="38.229999999999997"/>
    <d v="2025-08-01T00:00:00"/>
    <s v="Head Office Café"/>
    <n v="0.04"/>
    <x v="178"/>
    <x v="1"/>
  </r>
  <r>
    <s v="O00238"/>
    <s v="BHL1C3"/>
    <n v="1"/>
    <n v="22.2"/>
    <s v="Beverage"/>
    <n v="9.3800000000000008"/>
    <d v="2025-08-01T00:00:00"/>
    <s v="Head Office Café"/>
    <n v="0.04"/>
    <x v="92"/>
    <x v="1"/>
  </r>
  <r>
    <s v="O00238"/>
    <s v="SCKW5N"/>
    <n v="2"/>
    <n v="70.540000000000006"/>
    <s v="Snack"/>
    <n v="35.81"/>
    <d v="2025-08-01T00:00:00"/>
    <s v="Head Office Café"/>
    <n v="0.04"/>
    <x v="123"/>
    <x v="1"/>
  </r>
  <r>
    <s v="O00238"/>
    <s v="B0T0PV"/>
    <n v="2"/>
    <n v="28.43"/>
    <s v="Beverage"/>
    <n v="13.89"/>
    <d v="2025-08-01T00:00:00"/>
    <s v="Head Office Café"/>
    <n v="0.04"/>
    <x v="322"/>
    <x v="1"/>
  </r>
  <r>
    <s v="O00239"/>
    <s v="BXO6QJ"/>
    <n v="3"/>
    <n v="20.11"/>
    <s v="Beverage"/>
    <n v="8"/>
    <d v="2025-07-27T00:00:00"/>
    <s v="Head Office Café"/>
    <n v="0.06"/>
    <x v="144"/>
    <x v="0"/>
  </r>
  <r>
    <s v="O00239"/>
    <s v="DH9SDB"/>
    <n v="1"/>
    <n v="76.55"/>
    <s v="Dessert"/>
    <n v="38.229999999999997"/>
    <d v="2025-07-27T00:00:00"/>
    <s v="Head Office Café"/>
    <n v="0.06"/>
    <x v="80"/>
    <x v="0"/>
  </r>
  <r>
    <s v="O00239"/>
    <s v="HUZZPQ"/>
    <n v="2"/>
    <n v="146.4"/>
    <s v="Hot Meal"/>
    <n v="80.92"/>
    <d v="2025-07-27T00:00:00"/>
    <s v="Head Office Café"/>
    <n v="0.06"/>
    <x v="68"/>
    <x v="0"/>
  </r>
  <r>
    <s v="O00240"/>
    <s v="SCKW5N"/>
    <n v="3"/>
    <n v="70.540000000000006"/>
    <s v="Snack"/>
    <n v="35.81"/>
    <d v="2025-08-01T00:00:00"/>
    <s v="Plant 2 Canteen"/>
    <n v="0.09"/>
    <x v="398"/>
    <x v="1"/>
  </r>
  <r>
    <s v="O00240"/>
    <s v="H3A3ZM"/>
    <n v="2"/>
    <n v="170.83"/>
    <s v="Hot Meal"/>
    <n v="74.069999999999993"/>
    <d v="2025-08-01T00:00:00"/>
    <s v="Plant 2 Canteen"/>
    <n v="0.09"/>
    <x v="276"/>
    <x v="1"/>
  </r>
  <r>
    <s v="O00240"/>
    <s v="DH9SDB"/>
    <n v="3"/>
    <n v="76.55"/>
    <s v="Dessert"/>
    <n v="38.229999999999997"/>
    <d v="2025-08-01T00:00:00"/>
    <s v="Plant 2 Canteen"/>
    <n v="0.09"/>
    <x v="399"/>
    <x v="1"/>
  </r>
  <r>
    <s v="O00240"/>
    <s v="HDPBHS"/>
    <n v="2"/>
    <n v="256.91000000000003"/>
    <s v="Hot Meal"/>
    <n v="121.24"/>
    <d v="2025-08-01T00:00:00"/>
    <s v="Plant 2 Canteen"/>
    <n v="0.09"/>
    <x v="400"/>
    <x v="1"/>
  </r>
  <r>
    <s v="O00241"/>
    <s v="BTIQJ7"/>
    <n v="1"/>
    <n v="30.34"/>
    <s v="Beverage"/>
    <n v="14.18"/>
    <d v="2025-08-14T00:00:00"/>
    <s v="Head Office Café"/>
    <n v="0.12"/>
    <x v="401"/>
    <x v="1"/>
  </r>
  <r>
    <s v="O00241"/>
    <s v="D9T84A"/>
    <n v="1"/>
    <n v="116.8"/>
    <s v="Dessert"/>
    <n v="48.97"/>
    <d v="2025-08-14T00:00:00"/>
    <s v="Head Office Café"/>
    <n v="0.12"/>
    <x v="71"/>
    <x v="1"/>
  </r>
  <r>
    <s v="O00242"/>
    <s v="SZBIKC"/>
    <n v="1"/>
    <n v="38.06"/>
    <s v="Snack"/>
    <n v="19.55"/>
    <d v="2025-07-12T00:00:00"/>
    <s v="Head Office Café"/>
    <n v="0.01"/>
    <x v="293"/>
    <x v="0"/>
  </r>
  <r>
    <s v="O00242"/>
    <s v="HDPBHS"/>
    <n v="2"/>
    <n v="256.91000000000003"/>
    <s v="Hot Meal"/>
    <n v="121.24"/>
    <d v="2025-07-12T00:00:00"/>
    <s v="Head Office Café"/>
    <n v="0.01"/>
    <x v="402"/>
    <x v="0"/>
  </r>
  <r>
    <s v="O00242"/>
    <s v="SV30T9"/>
    <n v="2"/>
    <n v="39.950000000000003"/>
    <s v="Snack"/>
    <n v="15.51"/>
    <d v="2025-07-12T00:00:00"/>
    <s v="Head Office Café"/>
    <n v="0.01"/>
    <x v="403"/>
    <x v="0"/>
  </r>
  <r>
    <s v="O00242"/>
    <s v="HH1DNM"/>
    <n v="2"/>
    <n v="246.09"/>
    <s v="Hot Meal"/>
    <n v="112.08"/>
    <d v="2025-07-12T00:00:00"/>
    <s v="Head Office Café"/>
    <n v="0.01"/>
    <x v="404"/>
    <x v="0"/>
  </r>
  <r>
    <s v="O00243"/>
    <s v="DYTJXE"/>
    <n v="2"/>
    <n v="57.07"/>
    <s v="Dessert"/>
    <n v="29.14"/>
    <d v="2025-08-12T00:00:00"/>
    <s v="Plant 2 Canteen"/>
    <n v="0.15"/>
    <x v="405"/>
    <x v="1"/>
  </r>
  <r>
    <s v="O00243"/>
    <s v="D9T84A"/>
    <n v="1"/>
    <n v="116.8"/>
    <s v="Dessert"/>
    <n v="48.97"/>
    <d v="2025-08-12T00:00:00"/>
    <s v="Plant 2 Canteen"/>
    <n v="0.15"/>
    <x v="406"/>
    <x v="1"/>
  </r>
  <r>
    <s v="O00244"/>
    <s v="BXO6QJ"/>
    <n v="1"/>
    <n v="20.11"/>
    <s v="Beverage"/>
    <n v="8"/>
    <d v="2025-08-14T00:00:00"/>
    <s v="Plant 2 Canteen"/>
    <n v="0"/>
    <x v="407"/>
    <x v="1"/>
  </r>
  <r>
    <s v="O00244"/>
    <s v="SV30T9"/>
    <n v="3"/>
    <n v="39.950000000000003"/>
    <s v="Snack"/>
    <n v="15.51"/>
    <d v="2025-08-14T00:00:00"/>
    <s v="Plant 2 Canteen"/>
    <n v="0"/>
    <x v="170"/>
    <x v="1"/>
  </r>
  <r>
    <s v="O00244"/>
    <s v="SHJ7XV"/>
    <n v="1"/>
    <n v="52.45"/>
    <s v="Snack"/>
    <n v="25.8"/>
    <d v="2025-08-14T00:00:00"/>
    <s v="Plant 2 Canteen"/>
    <n v="0"/>
    <x v="4"/>
    <x v="1"/>
  </r>
  <r>
    <s v="O00244"/>
    <s v="HXAJI0"/>
    <n v="1"/>
    <n v="227.61"/>
    <s v="Hot Meal"/>
    <n v="96.22"/>
    <d v="2025-08-14T00:00:00"/>
    <s v="Plant 2 Canteen"/>
    <n v="0"/>
    <x v="366"/>
    <x v="1"/>
  </r>
  <r>
    <s v="O00245"/>
    <s v="HXAJI0"/>
    <n v="1"/>
    <n v="227.61"/>
    <s v="Hot Meal"/>
    <n v="96.22"/>
    <d v="2025-07-31T00:00:00"/>
    <s v="Plant 2 Canteen"/>
    <n v="0.05"/>
    <x v="37"/>
    <x v="0"/>
  </r>
  <r>
    <s v="O00245"/>
    <s v="S5NQ4F"/>
    <n v="1"/>
    <n v="50.19"/>
    <s v="Snack"/>
    <n v="22.61"/>
    <d v="2025-07-31T00:00:00"/>
    <s v="Plant 2 Canteen"/>
    <n v="0.05"/>
    <x v="82"/>
    <x v="0"/>
  </r>
  <r>
    <s v="O00245"/>
    <s v="HUZZPQ"/>
    <n v="2"/>
    <n v="146.4"/>
    <s v="Hot Meal"/>
    <n v="80.92"/>
    <d v="2025-07-31T00:00:00"/>
    <s v="Plant 2 Canteen"/>
    <n v="0.05"/>
    <x v="408"/>
    <x v="0"/>
  </r>
  <r>
    <s v="O00245"/>
    <s v="SHJ7XV"/>
    <n v="1"/>
    <n v="52.45"/>
    <s v="Snack"/>
    <n v="25.8"/>
    <d v="2025-07-31T00:00:00"/>
    <s v="Plant 2 Canteen"/>
    <n v="0.05"/>
    <x v="110"/>
    <x v="0"/>
  </r>
  <r>
    <s v="O00246"/>
    <s v="SCKW5N"/>
    <n v="3"/>
    <n v="70.540000000000006"/>
    <s v="Snack"/>
    <n v="35.81"/>
    <d v="2025-08-06T00:00:00"/>
    <s v="Plant 1 Canteen"/>
    <n v="0.08"/>
    <x v="409"/>
    <x v="1"/>
  </r>
  <r>
    <s v="O00247"/>
    <s v="H3A3ZM"/>
    <n v="2"/>
    <n v="170.83"/>
    <s v="Hot Meal"/>
    <n v="74.069999999999993"/>
    <d v="2025-07-10T00:00:00"/>
    <s v="Plant 1 Canteen"/>
    <n v="7.0000000000000007E-2"/>
    <x v="12"/>
    <x v="0"/>
  </r>
  <r>
    <s v="O00247"/>
    <s v="HH1DNM"/>
    <n v="2"/>
    <n v="246.09"/>
    <s v="Hot Meal"/>
    <n v="112.08"/>
    <d v="2025-07-10T00:00:00"/>
    <s v="Plant 1 Canteen"/>
    <n v="7.0000000000000007E-2"/>
    <x v="410"/>
    <x v="0"/>
  </r>
  <r>
    <s v="O00248"/>
    <s v="SV30T9"/>
    <n v="1"/>
    <n v="39.950000000000003"/>
    <s v="Snack"/>
    <n v="15.51"/>
    <d v="2025-08-06T00:00:00"/>
    <s v="Plant 1 Canteen"/>
    <n v="0.04"/>
    <x v="411"/>
    <x v="1"/>
  </r>
  <r>
    <s v="O00248"/>
    <s v="HH1DNM"/>
    <n v="1"/>
    <n v="246.09"/>
    <s v="Hot Meal"/>
    <n v="112.08"/>
    <d v="2025-08-06T00:00:00"/>
    <s v="Plant 1 Canteen"/>
    <n v="0.04"/>
    <x v="19"/>
    <x v="1"/>
  </r>
  <r>
    <s v="O00249"/>
    <s v="H3A3ZM"/>
    <n v="2"/>
    <n v="170.83"/>
    <s v="Hot Meal"/>
    <n v="74.069999999999993"/>
    <d v="2025-08-24T00:00:00"/>
    <s v="Plant 2 Canteen"/>
    <n v="0.05"/>
    <x v="412"/>
    <x v="1"/>
  </r>
  <r>
    <s v="O00249"/>
    <s v="HH1DNM"/>
    <n v="1"/>
    <n v="246.09"/>
    <s v="Hot Meal"/>
    <n v="112.08"/>
    <d v="2025-08-24T00:00:00"/>
    <s v="Plant 2 Canteen"/>
    <n v="0.05"/>
    <x v="117"/>
    <x v="1"/>
  </r>
  <r>
    <s v="O00249"/>
    <s v="DYTJXE"/>
    <n v="1"/>
    <n v="57.07"/>
    <s v="Dessert"/>
    <n v="29.14"/>
    <d v="2025-08-24T00:00:00"/>
    <s v="Plant 2 Canteen"/>
    <n v="0.05"/>
    <x v="34"/>
    <x v="1"/>
  </r>
  <r>
    <s v="O00250"/>
    <s v="BXO6QJ"/>
    <n v="3"/>
    <n v="20.11"/>
    <s v="Beverage"/>
    <n v="8"/>
    <d v="2025-08-04T00:00:00"/>
    <s v="Head Office Café"/>
    <n v="0.04"/>
    <x v="413"/>
    <x v="1"/>
  </r>
  <r>
    <s v="O00250"/>
    <s v="HXAJI0"/>
    <n v="2"/>
    <n v="227.61"/>
    <s v="Hot Meal"/>
    <n v="96.22"/>
    <d v="2025-08-04T00:00:00"/>
    <s v="Head Office Café"/>
    <n v="0.04"/>
    <x v="414"/>
    <x v="1"/>
  </r>
  <r>
    <s v="O00250"/>
    <s v="DYTJXE"/>
    <n v="2"/>
    <n v="57.07"/>
    <s v="Dessert"/>
    <n v="29.14"/>
    <d v="2025-08-04T00:00:00"/>
    <s v="Head Office Café"/>
    <n v="0.04"/>
    <x v="415"/>
    <x v="1"/>
  </r>
  <r>
    <s v="O00250"/>
    <s v="HH1DNM"/>
    <n v="2"/>
    <n v="246.09"/>
    <s v="Hot Meal"/>
    <n v="112.08"/>
    <d v="2025-08-04T00:00:00"/>
    <s v="Head Office Café"/>
    <n v="0.04"/>
    <x v="416"/>
    <x v="1"/>
  </r>
  <r>
    <s v="O00251"/>
    <s v="HXAJI0"/>
    <n v="3"/>
    <n v="227.61"/>
    <s v="Hot Meal"/>
    <n v="96.22"/>
    <d v="2025-07-29T00:00:00"/>
    <s v="Head Office Café"/>
    <n v="0.04"/>
    <x v="367"/>
    <x v="0"/>
  </r>
  <r>
    <s v="O00251"/>
    <s v="S5NQ4F"/>
    <n v="1"/>
    <n v="50.19"/>
    <s v="Snack"/>
    <n v="22.61"/>
    <d v="2025-07-29T00:00:00"/>
    <s v="Head Office Café"/>
    <n v="0.04"/>
    <x v="417"/>
    <x v="0"/>
  </r>
  <r>
    <s v="O00251"/>
    <s v="HUZZPQ"/>
    <n v="2"/>
    <n v="146.4"/>
    <s v="Hot Meal"/>
    <n v="80.92"/>
    <d v="2025-07-29T00:00:00"/>
    <s v="Head Office Café"/>
    <n v="0.04"/>
    <x v="418"/>
    <x v="0"/>
  </r>
  <r>
    <s v="O00251"/>
    <s v="HDPBHS"/>
    <n v="2"/>
    <n v="256.91000000000003"/>
    <s v="Hot Meal"/>
    <n v="121.24"/>
    <d v="2025-07-29T00:00:00"/>
    <s v="Head Office Café"/>
    <n v="0.04"/>
    <x v="41"/>
    <x v="0"/>
  </r>
  <r>
    <s v="O00252"/>
    <s v="SZBIKC"/>
    <n v="2"/>
    <n v="38.06"/>
    <s v="Snack"/>
    <n v="19.55"/>
    <d v="2025-08-26T00:00:00"/>
    <s v="Head Office Café"/>
    <n v="0.09"/>
    <x v="419"/>
    <x v="1"/>
  </r>
  <r>
    <s v="O00252"/>
    <s v="HDPBHS"/>
    <n v="1"/>
    <n v="256.91000000000003"/>
    <s v="Hot Meal"/>
    <n v="121.24"/>
    <d v="2025-08-26T00:00:00"/>
    <s v="Head Office Café"/>
    <n v="0.09"/>
    <x v="329"/>
    <x v="1"/>
  </r>
  <r>
    <s v="O00252"/>
    <s v="HXAJI0"/>
    <n v="3"/>
    <n v="227.61"/>
    <s v="Hot Meal"/>
    <n v="96.22"/>
    <d v="2025-08-26T00:00:00"/>
    <s v="Head Office Café"/>
    <n v="0.09"/>
    <x v="328"/>
    <x v="1"/>
  </r>
  <r>
    <s v="O00253"/>
    <s v="HXAJI0"/>
    <n v="1"/>
    <n v="227.61"/>
    <s v="Hot Meal"/>
    <n v="96.22"/>
    <d v="2025-07-23T00:00:00"/>
    <s v="Plant 1 Canteen"/>
    <n v="7.0000000000000007E-2"/>
    <x v="420"/>
    <x v="0"/>
  </r>
  <r>
    <s v="O00253"/>
    <s v="SHJ7XV"/>
    <n v="1"/>
    <n v="52.45"/>
    <s v="Snack"/>
    <n v="25.8"/>
    <d v="2025-07-23T00:00:00"/>
    <s v="Plant 1 Canteen"/>
    <n v="7.0000000000000007E-2"/>
    <x v="151"/>
    <x v="0"/>
  </r>
  <r>
    <s v="O00254"/>
    <s v="SCKW5N"/>
    <n v="2"/>
    <n v="70.540000000000006"/>
    <s v="Snack"/>
    <n v="35.81"/>
    <d v="2025-07-12T00:00:00"/>
    <s v="Plant 2 Canteen"/>
    <n v="0.03"/>
    <x v="248"/>
    <x v="0"/>
  </r>
  <r>
    <s v="O00254"/>
    <s v="SZBIKC"/>
    <n v="2"/>
    <n v="38.06"/>
    <s v="Snack"/>
    <n v="19.55"/>
    <d v="2025-07-12T00:00:00"/>
    <s v="Plant 2 Canteen"/>
    <n v="0.03"/>
    <x v="267"/>
    <x v="0"/>
  </r>
  <r>
    <s v="O00254"/>
    <s v="BHL1C3"/>
    <n v="2"/>
    <n v="22.2"/>
    <s v="Beverage"/>
    <n v="9.3800000000000008"/>
    <d v="2025-07-12T00:00:00"/>
    <s v="Plant 2 Canteen"/>
    <n v="0.03"/>
    <x v="421"/>
    <x v="0"/>
  </r>
  <r>
    <s v="O00254"/>
    <s v="HXAJI0"/>
    <n v="1"/>
    <n v="227.61"/>
    <s v="Hot Meal"/>
    <n v="96.22"/>
    <d v="2025-07-12T00:00:00"/>
    <s v="Plant 2 Canteen"/>
    <n v="0.03"/>
    <x v="319"/>
    <x v="0"/>
  </r>
  <r>
    <s v="O00255"/>
    <s v="SV30T9"/>
    <n v="2"/>
    <n v="39.950000000000003"/>
    <s v="Snack"/>
    <n v="15.51"/>
    <d v="2025-08-24T00:00:00"/>
    <s v="Head Office Café"/>
    <n v="0.1"/>
    <x v="298"/>
    <x v="1"/>
  </r>
  <r>
    <s v="O00255"/>
    <s v="HXAJI0"/>
    <n v="1"/>
    <n v="227.61"/>
    <s v="Hot Meal"/>
    <n v="96.22"/>
    <d v="2025-08-24T00:00:00"/>
    <s v="Head Office Café"/>
    <n v="0.1"/>
    <x v="364"/>
    <x v="1"/>
  </r>
  <r>
    <s v="O00255"/>
    <s v="HDPBHS"/>
    <n v="1"/>
    <n v="256.91000000000003"/>
    <s v="Hot Meal"/>
    <n v="121.24"/>
    <d v="2025-08-24T00:00:00"/>
    <s v="Head Office Café"/>
    <n v="0.1"/>
    <x v="27"/>
    <x v="1"/>
  </r>
  <r>
    <s v="O00256"/>
    <s v="BHL1C3"/>
    <n v="1"/>
    <n v="22.2"/>
    <s v="Beverage"/>
    <n v="9.3800000000000008"/>
    <d v="2025-07-03T00:00:00"/>
    <s v="Head Office Café"/>
    <n v="7.0000000000000007E-2"/>
    <x v="150"/>
    <x v="0"/>
  </r>
  <r>
    <s v="O00256"/>
    <s v="SHJ7XV"/>
    <n v="1"/>
    <n v="52.45"/>
    <s v="Snack"/>
    <n v="25.8"/>
    <d v="2025-07-03T00:00:00"/>
    <s v="Head Office Café"/>
    <n v="7.0000000000000007E-2"/>
    <x v="151"/>
    <x v="0"/>
  </r>
  <r>
    <s v="O00256"/>
    <s v="HUZZPQ"/>
    <n v="2"/>
    <n v="146.4"/>
    <s v="Hot Meal"/>
    <n v="80.92"/>
    <d v="2025-07-03T00:00:00"/>
    <s v="Head Office Café"/>
    <n v="7.0000000000000007E-2"/>
    <x v="212"/>
    <x v="0"/>
  </r>
  <r>
    <s v="O00257"/>
    <s v="DYTJXE"/>
    <n v="1"/>
    <n v="57.07"/>
    <s v="Dessert"/>
    <n v="29.14"/>
    <d v="2025-07-04T00:00:00"/>
    <s v="Plant 1 Canteen"/>
    <n v="0.09"/>
    <x v="345"/>
    <x v="0"/>
  </r>
  <r>
    <s v="O00257"/>
    <s v="S5NQ4F"/>
    <n v="1"/>
    <n v="50.19"/>
    <s v="Snack"/>
    <n v="22.61"/>
    <d v="2025-07-04T00:00:00"/>
    <s v="Plant 1 Canteen"/>
    <n v="0.09"/>
    <x v="161"/>
    <x v="0"/>
  </r>
  <r>
    <s v="O00257"/>
    <s v="BHL1C3"/>
    <n v="3"/>
    <n v="22.2"/>
    <s v="Beverage"/>
    <n v="9.3800000000000008"/>
    <d v="2025-07-04T00:00:00"/>
    <s v="Plant 1 Canteen"/>
    <n v="0.09"/>
    <x v="422"/>
    <x v="0"/>
  </r>
  <r>
    <s v="O00258"/>
    <s v="BOC6UZ"/>
    <n v="2"/>
    <n v="32.979999999999997"/>
    <s v="Beverage"/>
    <n v="11.84"/>
    <d v="2025-08-03T00:00:00"/>
    <s v="Plant 2 Canteen"/>
    <n v="0.09"/>
    <x v="316"/>
    <x v="1"/>
  </r>
  <r>
    <s v="O00258"/>
    <s v="SCKW5N"/>
    <n v="3"/>
    <n v="70.540000000000006"/>
    <s v="Snack"/>
    <n v="35.81"/>
    <d v="2025-08-03T00:00:00"/>
    <s v="Plant 2 Canteen"/>
    <n v="0.09"/>
    <x v="398"/>
    <x v="1"/>
  </r>
  <r>
    <s v="O00258"/>
    <s v="B0T0PV"/>
    <n v="1"/>
    <n v="28.43"/>
    <s v="Beverage"/>
    <n v="13.89"/>
    <d v="2025-08-03T00:00:00"/>
    <s v="Plant 2 Canteen"/>
    <n v="0.09"/>
    <x v="374"/>
    <x v="1"/>
  </r>
  <r>
    <s v="O00258"/>
    <s v="HUZZPQ"/>
    <n v="2"/>
    <n v="146.4"/>
    <s v="Hot Meal"/>
    <n v="80.92"/>
    <d v="2025-08-03T00:00:00"/>
    <s v="Plant 2 Canteen"/>
    <n v="0.09"/>
    <x v="423"/>
    <x v="1"/>
  </r>
  <r>
    <s v="O00259"/>
    <s v="HH1DNM"/>
    <n v="1"/>
    <n v="246.09"/>
    <s v="Hot Meal"/>
    <n v="112.08"/>
    <d v="2025-08-25T00:00:00"/>
    <s v="Head Office Café"/>
    <n v="0.03"/>
    <x v="106"/>
    <x v="1"/>
  </r>
  <r>
    <s v="O00259"/>
    <s v="SCKW5N"/>
    <n v="2"/>
    <n v="70.540000000000006"/>
    <s v="Snack"/>
    <n v="35.81"/>
    <d v="2025-08-25T00:00:00"/>
    <s v="Head Office Café"/>
    <n v="0.03"/>
    <x v="248"/>
    <x v="1"/>
  </r>
  <r>
    <s v="O00260"/>
    <s v="HXAJI0"/>
    <n v="1"/>
    <n v="227.61"/>
    <s v="Hot Meal"/>
    <n v="96.22"/>
    <d v="2025-07-04T00:00:00"/>
    <s v="Plant 1 Canteen"/>
    <n v="0.04"/>
    <x v="93"/>
    <x v="0"/>
  </r>
  <r>
    <s v="O00260"/>
    <s v="HUZZPQ"/>
    <n v="2"/>
    <n v="146.4"/>
    <s v="Hot Meal"/>
    <n v="80.92"/>
    <d v="2025-07-04T00:00:00"/>
    <s v="Plant 1 Canteen"/>
    <n v="0.04"/>
    <x v="418"/>
    <x v="0"/>
  </r>
  <r>
    <s v="O00261"/>
    <s v="B0T0PV"/>
    <n v="2"/>
    <n v="28.43"/>
    <s v="Beverage"/>
    <n v="13.89"/>
    <d v="2025-08-06T00:00:00"/>
    <s v="Plant 2 Canteen"/>
    <n v="0.09"/>
    <x v="164"/>
    <x v="1"/>
  </r>
  <r>
    <s v="O00261"/>
    <s v="SHJ7XV"/>
    <n v="1"/>
    <n v="52.45"/>
    <s v="Snack"/>
    <n v="25.8"/>
    <d v="2025-08-06T00:00:00"/>
    <s v="Plant 2 Canteen"/>
    <n v="0.09"/>
    <x v="227"/>
    <x v="1"/>
  </r>
  <r>
    <s v="O00261"/>
    <s v="HUZZPQ"/>
    <n v="1"/>
    <n v="146.4"/>
    <s v="Hot Meal"/>
    <n v="80.92"/>
    <d v="2025-08-06T00:00:00"/>
    <s v="Plant 2 Canteen"/>
    <n v="0.09"/>
    <x v="424"/>
    <x v="1"/>
  </r>
  <r>
    <s v="O00262"/>
    <s v="DH9SDB"/>
    <n v="2"/>
    <n v="76.55"/>
    <s v="Dessert"/>
    <n v="38.229999999999997"/>
    <d v="2025-08-06T00:00:00"/>
    <s v="Plant 2 Canteen"/>
    <n v="0.08"/>
    <x v="425"/>
    <x v="1"/>
  </r>
  <r>
    <s v="O00262"/>
    <s v="DFFYVN"/>
    <n v="1"/>
    <n v="54.2"/>
    <s v="Dessert"/>
    <n v="21.95"/>
    <d v="2025-08-06T00:00:00"/>
    <s v="Plant 2 Canteen"/>
    <n v="0.08"/>
    <x v="22"/>
    <x v="1"/>
  </r>
  <r>
    <s v="O00262"/>
    <s v="HDPBHS"/>
    <n v="2"/>
    <n v="256.91000000000003"/>
    <s v="Hot Meal"/>
    <n v="121.24"/>
    <d v="2025-08-06T00:00:00"/>
    <s v="Plant 2 Canteen"/>
    <n v="0.08"/>
    <x v="426"/>
    <x v="1"/>
  </r>
  <r>
    <s v="O00263"/>
    <s v="HDPBHS"/>
    <n v="1"/>
    <n v="256.91000000000003"/>
    <s v="Hot Meal"/>
    <n v="121.24"/>
    <d v="2025-07-06T00:00:00"/>
    <s v="Plant 1 Canteen"/>
    <n v="0.06"/>
    <x v="254"/>
    <x v="0"/>
  </r>
  <r>
    <s v="O00263"/>
    <s v="DH9SDB"/>
    <n v="2"/>
    <n v="76.55"/>
    <s v="Dessert"/>
    <n v="38.229999999999997"/>
    <d v="2025-07-06T00:00:00"/>
    <s v="Plant 1 Canteen"/>
    <n v="0.06"/>
    <x v="145"/>
    <x v="0"/>
  </r>
  <r>
    <s v="O00264"/>
    <s v="B0T0PV"/>
    <n v="1"/>
    <n v="28.43"/>
    <s v="Beverage"/>
    <n v="13.89"/>
    <d v="2025-07-09T00:00:00"/>
    <s v="Plant 2 Canteen"/>
    <n v="0.06"/>
    <x v="81"/>
    <x v="0"/>
  </r>
  <r>
    <s v="O00264"/>
    <s v="DH9SDB"/>
    <n v="2"/>
    <n v="76.55"/>
    <s v="Dessert"/>
    <n v="38.229999999999997"/>
    <d v="2025-07-09T00:00:00"/>
    <s v="Plant 2 Canteen"/>
    <n v="0.06"/>
    <x v="145"/>
    <x v="0"/>
  </r>
  <r>
    <s v="O00264"/>
    <s v="D9T84A"/>
    <n v="3"/>
    <n v="116.8"/>
    <s v="Dessert"/>
    <n v="48.97"/>
    <d v="2025-07-09T00:00:00"/>
    <s v="Plant 2 Canteen"/>
    <n v="0.06"/>
    <x v="324"/>
    <x v="0"/>
  </r>
  <r>
    <s v="O00265"/>
    <s v="BTIQJ7"/>
    <n v="2"/>
    <n v="30.34"/>
    <s v="Beverage"/>
    <n v="14.18"/>
    <d v="2025-08-17T00:00:00"/>
    <s v="Head Office Café"/>
    <n v="0.11"/>
    <x v="427"/>
    <x v="1"/>
  </r>
  <r>
    <s v="O00265"/>
    <s v="BXO6QJ"/>
    <n v="2"/>
    <n v="20.11"/>
    <s v="Beverage"/>
    <n v="8"/>
    <d v="2025-08-17T00:00:00"/>
    <s v="Head Office Café"/>
    <n v="0.11"/>
    <x v="428"/>
    <x v="1"/>
  </r>
  <r>
    <s v="O00265"/>
    <s v="HH1DNM"/>
    <n v="2"/>
    <n v="246.09"/>
    <s v="Hot Meal"/>
    <n v="112.08"/>
    <d v="2025-08-17T00:00:00"/>
    <s v="Head Office Café"/>
    <n v="0.11"/>
    <x v="429"/>
    <x v="1"/>
  </r>
  <r>
    <s v="O00266"/>
    <s v="D9T84A"/>
    <n v="2"/>
    <n v="116.8"/>
    <s v="Dessert"/>
    <n v="48.97"/>
    <d v="2025-07-22T00:00:00"/>
    <s v="Head Office Café"/>
    <n v="0.04"/>
    <x v="430"/>
    <x v="0"/>
  </r>
  <r>
    <s v="O00266"/>
    <s v="HXAJI0"/>
    <n v="1"/>
    <n v="227.61"/>
    <s v="Hot Meal"/>
    <n v="96.22"/>
    <d v="2025-07-22T00:00:00"/>
    <s v="Head Office Café"/>
    <n v="0.04"/>
    <x v="93"/>
    <x v="0"/>
  </r>
  <r>
    <s v="O00267"/>
    <s v="HXAJI0"/>
    <n v="1"/>
    <n v="227.61"/>
    <s v="Hot Meal"/>
    <n v="96.22"/>
    <d v="2025-07-12T00:00:00"/>
    <s v="Plant 2 Canteen"/>
    <n v="0.08"/>
    <x v="306"/>
    <x v="0"/>
  </r>
  <r>
    <s v="O00267"/>
    <s v="HH1DNM"/>
    <n v="1"/>
    <n v="246.09"/>
    <s v="Hot Meal"/>
    <n v="112.08"/>
    <d v="2025-07-12T00:00:00"/>
    <s v="Plant 2 Canteen"/>
    <n v="0.08"/>
    <x v="431"/>
    <x v="0"/>
  </r>
  <r>
    <s v="O00267"/>
    <s v="BXO6QJ"/>
    <n v="1"/>
    <n v="20.11"/>
    <s v="Beverage"/>
    <n v="8"/>
    <d v="2025-07-12T00:00:00"/>
    <s v="Plant 2 Canteen"/>
    <n v="0.08"/>
    <x v="128"/>
    <x v="0"/>
  </r>
  <r>
    <s v="O00267"/>
    <s v="B0T0PV"/>
    <n v="3"/>
    <n v="28.43"/>
    <s v="Beverage"/>
    <n v="13.89"/>
    <d v="2025-07-12T00:00:00"/>
    <s v="Plant 2 Canteen"/>
    <n v="0.08"/>
    <x v="432"/>
    <x v="0"/>
  </r>
  <r>
    <s v="O00268"/>
    <s v="S5NQ4F"/>
    <n v="1"/>
    <n v="50.19"/>
    <s v="Snack"/>
    <n v="22.61"/>
    <d v="2025-08-21T00:00:00"/>
    <s v="Head Office Café"/>
    <n v="0.05"/>
    <x v="82"/>
    <x v="1"/>
  </r>
  <r>
    <s v="O00268"/>
    <s v="HDPBHS"/>
    <n v="3"/>
    <n v="256.91000000000003"/>
    <s v="Hot Meal"/>
    <n v="121.24"/>
    <d v="2025-08-21T00:00:00"/>
    <s v="Head Office Café"/>
    <n v="0.05"/>
    <x v="433"/>
    <x v="1"/>
  </r>
  <r>
    <s v="O00268"/>
    <s v="DYTJXE"/>
    <n v="3"/>
    <n v="57.07"/>
    <s v="Dessert"/>
    <n v="29.14"/>
    <d v="2025-08-21T00:00:00"/>
    <s v="Head Office Café"/>
    <n v="0.05"/>
    <x v="434"/>
    <x v="1"/>
  </r>
  <r>
    <s v="O00269"/>
    <s v="HDPBHS"/>
    <n v="3"/>
    <n v="256.91000000000003"/>
    <s v="Hot Meal"/>
    <n v="121.24"/>
    <d v="2025-08-08T00:00:00"/>
    <s v="Head Office Café"/>
    <n v="0.05"/>
    <x v="433"/>
    <x v="1"/>
  </r>
  <r>
    <s v="O00269"/>
    <s v="B0T0PV"/>
    <n v="1"/>
    <n v="28.43"/>
    <s v="Beverage"/>
    <n v="13.89"/>
    <d v="2025-08-08T00:00:00"/>
    <s v="Head Office Café"/>
    <n v="0.05"/>
    <x v="435"/>
    <x v="1"/>
  </r>
  <r>
    <s v="O00269"/>
    <s v="HXAJI0"/>
    <n v="1"/>
    <n v="227.61"/>
    <s v="Hot Meal"/>
    <n v="96.22"/>
    <d v="2025-08-08T00:00:00"/>
    <s v="Head Office Café"/>
    <n v="0.05"/>
    <x v="37"/>
    <x v="1"/>
  </r>
  <r>
    <s v="O00269"/>
    <s v="SCKW5N"/>
    <n v="2"/>
    <n v="70.540000000000006"/>
    <s v="Snack"/>
    <n v="35.81"/>
    <d v="2025-08-08T00:00:00"/>
    <s v="Head Office Café"/>
    <n v="0.05"/>
    <x v="109"/>
    <x v="1"/>
  </r>
  <r>
    <s v="O00270"/>
    <s v="HH1DNM"/>
    <n v="3"/>
    <n v="246.09"/>
    <s v="Hot Meal"/>
    <n v="112.08"/>
    <d v="2025-07-30T00:00:00"/>
    <s v="Plant 1 Canteen"/>
    <n v="0.1"/>
    <x v="238"/>
    <x v="0"/>
  </r>
  <r>
    <s v="O00270"/>
    <s v="HDPBHS"/>
    <n v="3"/>
    <n v="256.91000000000003"/>
    <s v="Hot Meal"/>
    <n v="121.24"/>
    <d v="2025-07-30T00:00:00"/>
    <s v="Plant 1 Canteen"/>
    <n v="0.1"/>
    <x v="436"/>
    <x v="0"/>
  </r>
  <r>
    <s v="O00270"/>
    <s v="SCKW5N"/>
    <n v="2"/>
    <n v="70.540000000000006"/>
    <s v="Snack"/>
    <n v="35.81"/>
    <d v="2025-07-30T00:00:00"/>
    <s v="Plant 1 Canteen"/>
    <n v="0.1"/>
    <x v="437"/>
    <x v="0"/>
  </r>
  <r>
    <s v="O00271"/>
    <s v="BHL1C3"/>
    <n v="1"/>
    <n v="22.2"/>
    <s v="Beverage"/>
    <n v="9.3800000000000008"/>
    <d v="2025-08-02T00:00:00"/>
    <s v="Plant 1 Canteen"/>
    <n v="0.09"/>
    <x v="78"/>
    <x v="1"/>
  </r>
  <r>
    <s v="O00271"/>
    <s v="DH9SDB"/>
    <n v="1"/>
    <n v="76.55"/>
    <s v="Dessert"/>
    <n v="38.229999999999997"/>
    <d v="2025-08-02T00:00:00"/>
    <s v="Plant 1 Canteen"/>
    <n v="0.09"/>
    <x v="315"/>
    <x v="1"/>
  </r>
  <r>
    <s v="O00271"/>
    <s v="DFFYVN"/>
    <n v="1"/>
    <n v="54.2"/>
    <s v="Dessert"/>
    <n v="21.95"/>
    <d v="2025-08-02T00:00:00"/>
    <s v="Plant 1 Canteen"/>
    <n v="0.09"/>
    <x v="200"/>
    <x v="1"/>
  </r>
  <r>
    <s v="O00272"/>
    <s v="HUZZPQ"/>
    <n v="1"/>
    <n v="146.4"/>
    <s v="Hot Meal"/>
    <n v="80.92"/>
    <d v="2025-07-18T00:00:00"/>
    <s v="Plant 1 Canteen"/>
    <n v="0.09"/>
    <x v="424"/>
    <x v="0"/>
  </r>
  <r>
    <s v="O00272"/>
    <s v="BHL1C3"/>
    <n v="3"/>
    <n v="22.2"/>
    <s v="Beverage"/>
    <n v="9.3800000000000008"/>
    <d v="2025-07-18T00:00:00"/>
    <s v="Plant 1 Canteen"/>
    <n v="0.09"/>
    <x v="422"/>
    <x v="0"/>
  </r>
  <r>
    <s v="O00272"/>
    <s v="SZBIKC"/>
    <n v="1"/>
    <n v="38.06"/>
    <s v="Snack"/>
    <n v="19.55"/>
    <d v="2025-07-18T00:00:00"/>
    <s v="Plant 1 Canteen"/>
    <n v="0.09"/>
    <x v="163"/>
    <x v="0"/>
  </r>
  <r>
    <s v="O00273"/>
    <s v="D9T84A"/>
    <n v="3"/>
    <n v="116.8"/>
    <s v="Dessert"/>
    <n v="48.97"/>
    <d v="2025-08-18T00:00:00"/>
    <s v="Head Office Café"/>
    <n v="0.11"/>
    <x v="230"/>
    <x v="1"/>
  </r>
  <r>
    <s v="O00274"/>
    <s v="SZBIKC"/>
    <n v="1"/>
    <n v="38.06"/>
    <s v="Snack"/>
    <n v="19.55"/>
    <d v="2025-08-08T00:00:00"/>
    <s v="Head Office Café"/>
    <n v="0.06"/>
    <x v="116"/>
    <x v="1"/>
  </r>
  <r>
    <s v="O00274"/>
    <s v="BHL1C3"/>
    <n v="1"/>
    <n v="22.2"/>
    <s v="Beverage"/>
    <n v="9.3800000000000008"/>
    <d v="2025-08-08T00:00:00"/>
    <s v="Head Office Café"/>
    <n v="0.06"/>
    <x v="180"/>
    <x v="1"/>
  </r>
  <r>
    <s v="O00274"/>
    <s v="S5NQ4F"/>
    <n v="2"/>
    <n v="50.19"/>
    <s v="Snack"/>
    <n v="22.61"/>
    <d v="2025-08-08T00:00:00"/>
    <s v="Head Office Café"/>
    <n v="0.06"/>
    <x v="335"/>
    <x v="1"/>
  </r>
  <r>
    <s v="O00274"/>
    <s v="HDPBHS"/>
    <n v="2"/>
    <n v="256.91000000000003"/>
    <s v="Hot Meal"/>
    <n v="121.24"/>
    <d v="2025-08-08T00:00:00"/>
    <s v="Head Office Café"/>
    <n v="0.06"/>
    <x v="438"/>
    <x v="1"/>
  </r>
  <r>
    <s v="O00275"/>
    <s v="BTIQJ7"/>
    <n v="2"/>
    <n v="30.34"/>
    <s v="Beverage"/>
    <n v="14.18"/>
    <d v="2025-08-14T00:00:00"/>
    <s v="Plant 1 Canteen"/>
    <n v="0.09"/>
    <x v="346"/>
    <x v="1"/>
  </r>
  <r>
    <s v="O00275"/>
    <s v="H3A3ZM"/>
    <n v="2"/>
    <n v="170.83"/>
    <s v="Hot Meal"/>
    <n v="74.069999999999993"/>
    <d v="2025-08-14T00:00:00"/>
    <s v="Plant 1 Canteen"/>
    <n v="0.09"/>
    <x v="276"/>
    <x v="1"/>
  </r>
  <r>
    <s v="O00275"/>
    <s v="D9T84A"/>
    <n v="3"/>
    <n v="116.8"/>
    <s v="Dessert"/>
    <n v="48.97"/>
    <d v="2025-08-14T00:00:00"/>
    <s v="Plant 1 Canteen"/>
    <n v="0.09"/>
    <x v="439"/>
    <x v="1"/>
  </r>
  <r>
    <s v="O00275"/>
    <s v="S5NQ4F"/>
    <n v="3"/>
    <n v="50.19"/>
    <s v="Snack"/>
    <n v="22.61"/>
    <d v="2025-08-14T00:00:00"/>
    <s v="Plant 1 Canteen"/>
    <n v="0.09"/>
    <x v="440"/>
    <x v="1"/>
  </r>
  <r>
    <s v="O00276"/>
    <s v="SZBIKC"/>
    <n v="1"/>
    <n v="38.06"/>
    <s v="Snack"/>
    <n v="19.55"/>
    <d v="2025-08-25T00:00:00"/>
    <s v="Plant 2 Canteen"/>
    <n v="0.05"/>
    <x v="441"/>
    <x v="1"/>
  </r>
  <r>
    <s v="O00276"/>
    <s v="BXO6QJ"/>
    <n v="2"/>
    <n v="20.11"/>
    <s v="Beverage"/>
    <n v="8"/>
    <d v="2025-08-25T00:00:00"/>
    <s v="Plant 2 Canteen"/>
    <n v="0.05"/>
    <x v="272"/>
    <x v="1"/>
  </r>
  <r>
    <s v="O00276"/>
    <s v="D9T84A"/>
    <n v="3"/>
    <n v="116.8"/>
    <s v="Dessert"/>
    <n v="48.97"/>
    <d v="2025-08-25T00:00:00"/>
    <s v="Plant 2 Canteen"/>
    <n v="0.05"/>
    <x v="442"/>
    <x v="1"/>
  </r>
  <r>
    <s v="O00277"/>
    <s v="SZBIKC"/>
    <n v="1"/>
    <n v="38.06"/>
    <s v="Snack"/>
    <n v="19.55"/>
    <d v="2025-07-29T00:00:00"/>
    <s v="Plant 1 Canteen"/>
    <n v="7.0000000000000007E-2"/>
    <x v="17"/>
    <x v="0"/>
  </r>
  <r>
    <s v="O00277"/>
    <s v="SV30T9"/>
    <n v="1"/>
    <n v="39.950000000000003"/>
    <s v="Snack"/>
    <n v="15.51"/>
    <d v="2025-07-29T00:00:00"/>
    <s v="Plant 1 Canteen"/>
    <n v="7.0000000000000007E-2"/>
    <x v="98"/>
    <x v="0"/>
  </r>
  <r>
    <s v="O00278"/>
    <s v="H3A3ZM"/>
    <n v="1"/>
    <n v="170.83"/>
    <s v="Hot Meal"/>
    <n v="74.069999999999993"/>
    <d v="2025-07-17T00:00:00"/>
    <s v="Head Office Café"/>
    <n v="0.05"/>
    <x v="83"/>
    <x v="0"/>
  </r>
  <r>
    <s v="O00278"/>
    <s v="BTIQJ7"/>
    <n v="1"/>
    <n v="30.34"/>
    <s v="Beverage"/>
    <n v="14.18"/>
    <d v="2025-07-17T00:00:00"/>
    <s v="Head Office Café"/>
    <n v="0.05"/>
    <x v="1"/>
    <x v="0"/>
  </r>
  <r>
    <s v="O00278"/>
    <s v="D9T84A"/>
    <n v="2"/>
    <n v="116.8"/>
    <s v="Dessert"/>
    <n v="48.97"/>
    <d v="2025-07-17T00:00:00"/>
    <s v="Head Office Café"/>
    <n v="0.05"/>
    <x v="443"/>
    <x v="0"/>
  </r>
  <r>
    <s v="O00279"/>
    <s v="BTIQJ7"/>
    <n v="1"/>
    <n v="30.34"/>
    <s v="Beverage"/>
    <n v="14.18"/>
    <d v="2025-07-09T00:00:00"/>
    <s v="Plant 2 Canteen"/>
    <n v="0.06"/>
    <x v="138"/>
    <x v="0"/>
  </r>
  <r>
    <s v="O00280"/>
    <s v="B0T0PV"/>
    <n v="1"/>
    <n v="28.43"/>
    <s v="Beverage"/>
    <n v="13.89"/>
    <d v="2025-08-27T00:00:00"/>
    <s v="Plant 2 Canteen"/>
    <n v="0.08"/>
    <x v="270"/>
    <x v="1"/>
  </r>
  <r>
    <s v="O00280"/>
    <s v="BTIQJ7"/>
    <n v="3"/>
    <n v="30.34"/>
    <s v="Beverage"/>
    <n v="14.18"/>
    <d v="2025-08-27T00:00:00"/>
    <s v="Plant 2 Canteen"/>
    <n v="0.08"/>
    <x v="444"/>
    <x v="1"/>
  </r>
  <r>
    <s v="O00280"/>
    <s v="H3A3ZM"/>
    <n v="1"/>
    <n v="170.83"/>
    <s v="Hot Meal"/>
    <n v="74.069999999999993"/>
    <d v="2025-08-27T00:00:00"/>
    <s v="Plant 2 Canteen"/>
    <n v="0.08"/>
    <x v="371"/>
    <x v="1"/>
  </r>
  <r>
    <s v="O00281"/>
    <s v="BTIQJ7"/>
    <n v="1"/>
    <n v="30.34"/>
    <s v="Beverage"/>
    <n v="14.18"/>
    <d v="2025-07-31T00:00:00"/>
    <s v="Head Office Café"/>
    <n v="0.03"/>
    <x v="235"/>
    <x v="0"/>
  </r>
  <r>
    <s v="O00282"/>
    <s v="SV30T9"/>
    <n v="2"/>
    <n v="39.950000000000003"/>
    <s v="Snack"/>
    <n v="15.51"/>
    <d v="2025-07-17T00:00:00"/>
    <s v="Plant 1 Canteen"/>
    <n v="0.14000000000000001"/>
    <x v="445"/>
    <x v="0"/>
  </r>
  <r>
    <s v="O00282"/>
    <s v="SCKW5N"/>
    <n v="3"/>
    <n v="70.540000000000006"/>
    <s v="Snack"/>
    <n v="35.81"/>
    <d v="2025-07-17T00:00:00"/>
    <s v="Plant 1 Canteen"/>
    <n v="0.14000000000000001"/>
    <x v="362"/>
    <x v="0"/>
  </r>
  <r>
    <s v="O00282"/>
    <s v="BTIQJ7"/>
    <n v="1"/>
    <n v="30.34"/>
    <s v="Beverage"/>
    <n v="14.18"/>
    <d v="2025-07-17T00:00:00"/>
    <s v="Plant 1 Canteen"/>
    <n v="0.14000000000000001"/>
    <x v="446"/>
    <x v="0"/>
  </r>
  <r>
    <s v="O00283"/>
    <s v="HXAJI0"/>
    <n v="3"/>
    <n v="227.61"/>
    <s v="Hot Meal"/>
    <n v="96.22"/>
    <d v="2025-08-21T00:00:00"/>
    <s v="Head Office Café"/>
    <n v="0.02"/>
    <x v="447"/>
    <x v="1"/>
  </r>
  <r>
    <s v="O00283"/>
    <s v="SV30T9"/>
    <n v="2"/>
    <n v="39.950000000000003"/>
    <s v="Snack"/>
    <n v="15.51"/>
    <d v="2025-08-21T00:00:00"/>
    <s v="Head Office Café"/>
    <n v="0.02"/>
    <x v="284"/>
    <x v="1"/>
  </r>
  <r>
    <s v="O00283"/>
    <s v="H3A3ZM"/>
    <n v="2"/>
    <n v="170.83"/>
    <s v="Hot Meal"/>
    <n v="74.069999999999993"/>
    <d v="2025-08-21T00:00:00"/>
    <s v="Head Office Café"/>
    <n v="0.02"/>
    <x v="251"/>
    <x v="1"/>
  </r>
  <r>
    <s v="O00283"/>
    <s v="BTIQJ7"/>
    <n v="1"/>
    <n v="30.34"/>
    <s v="Beverage"/>
    <n v="14.18"/>
    <d v="2025-08-21T00:00:00"/>
    <s v="Head Office Café"/>
    <n v="0.02"/>
    <x v="395"/>
    <x v="1"/>
  </r>
  <r>
    <s v="O00284"/>
    <s v="DH9SDB"/>
    <n v="1"/>
    <n v="76.55"/>
    <s v="Dessert"/>
    <n v="38.229999999999997"/>
    <d v="2025-07-15T00:00:00"/>
    <s v="Plant 1 Canteen"/>
    <n v="0.01"/>
    <x v="448"/>
    <x v="0"/>
  </r>
  <r>
    <s v="O00284"/>
    <s v="S5NQ4F"/>
    <n v="3"/>
    <n v="50.19"/>
    <s v="Snack"/>
    <n v="22.61"/>
    <d v="2025-07-15T00:00:00"/>
    <s v="Plant 1 Canteen"/>
    <n v="0.01"/>
    <x v="224"/>
    <x v="0"/>
  </r>
  <r>
    <s v="O00284"/>
    <s v="SHJ7XV"/>
    <n v="2"/>
    <n v="52.45"/>
    <s v="Snack"/>
    <n v="25.8"/>
    <d v="2025-07-15T00:00:00"/>
    <s v="Plant 1 Canteen"/>
    <n v="0.01"/>
    <x v="449"/>
    <x v="0"/>
  </r>
  <r>
    <s v="O00285"/>
    <s v="DFFYVN"/>
    <n v="1"/>
    <n v="54.2"/>
    <s v="Dessert"/>
    <n v="21.95"/>
    <d v="2025-07-20T00:00:00"/>
    <s v="Plant 1 Canteen"/>
    <n v="0.11"/>
    <x v="450"/>
    <x v="0"/>
  </r>
  <r>
    <s v="O00285"/>
    <s v="SHJ7XV"/>
    <n v="1"/>
    <n v="52.45"/>
    <s v="Snack"/>
    <n v="25.8"/>
    <d v="2025-07-20T00:00:00"/>
    <s v="Plant 1 Canteen"/>
    <n v="0.11"/>
    <x v="451"/>
    <x v="0"/>
  </r>
  <r>
    <s v="O00285"/>
    <s v="H3A3ZM"/>
    <n v="1"/>
    <n v="170.83"/>
    <s v="Hot Meal"/>
    <n v="74.069999999999993"/>
    <d v="2025-07-20T00:00:00"/>
    <s v="Plant 1 Canteen"/>
    <n v="0.11"/>
    <x v="452"/>
    <x v="0"/>
  </r>
  <r>
    <s v="O00285"/>
    <s v="S5NQ4F"/>
    <n v="3"/>
    <n v="50.19"/>
    <s v="Snack"/>
    <n v="22.61"/>
    <d v="2025-07-20T00:00:00"/>
    <s v="Plant 1 Canteen"/>
    <n v="0.11"/>
    <x v="453"/>
    <x v="0"/>
  </r>
  <r>
    <s v="O00286"/>
    <s v="DH9SDB"/>
    <n v="2"/>
    <n v="76.55"/>
    <s v="Dessert"/>
    <n v="38.229999999999997"/>
    <d v="2025-07-18T00:00:00"/>
    <s v="Head Office Café"/>
    <n v="0.09"/>
    <x v="454"/>
    <x v="0"/>
  </r>
  <r>
    <s v="O00286"/>
    <s v="H3A3ZM"/>
    <n v="1"/>
    <n v="170.83"/>
    <s v="Hot Meal"/>
    <n v="74.069999999999993"/>
    <d v="2025-07-18T00:00:00"/>
    <s v="Head Office Café"/>
    <n v="0.09"/>
    <x v="349"/>
    <x v="0"/>
  </r>
  <r>
    <s v="O00287"/>
    <s v="HUZZPQ"/>
    <n v="1"/>
    <n v="146.4"/>
    <s v="Hot Meal"/>
    <n v="80.92"/>
    <d v="2025-08-25T00:00:00"/>
    <s v="Head Office Café"/>
    <n v="0.08"/>
    <x v="455"/>
    <x v="1"/>
  </r>
  <r>
    <s v="O00287"/>
    <s v="HDPBHS"/>
    <n v="1"/>
    <n v="256.91000000000003"/>
    <s v="Hot Meal"/>
    <n v="121.24"/>
    <d v="2025-08-25T00:00:00"/>
    <s v="Head Office Café"/>
    <n v="0.08"/>
    <x v="221"/>
    <x v="1"/>
  </r>
  <r>
    <s v="O00288"/>
    <s v="H3A3ZM"/>
    <n v="1"/>
    <n v="170.83"/>
    <s v="Hot Meal"/>
    <n v="74.069999999999993"/>
    <d v="2025-07-31T00:00:00"/>
    <s v="Plant 1 Canteen"/>
    <n v="0.09"/>
    <x v="349"/>
    <x v="0"/>
  </r>
  <r>
    <s v="O00288"/>
    <s v="SHJ7XV"/>
    <n v="2"/>
    <n v="52.45"/>
    <s v="Snack"/>
    <n v="25.8"/>
    <d v="2025-07-31T00:00:00"/>
    <s v="Plant 1 Canteen"/>
    <n v="0.09"/>
    <x v="342"/>
    <x v="0"/>
  </r>
  <r>
    <s v="O00288"/>
    <s v="BHL1C3"/>
    <n v="2"/>
    <n v="22.2"/>
    <s v="Beverage"/>
    <n v="9.3800000000000008"/>
    <d v="2025-07-31T00:00:00"/>
    <s v="Plant 1 Canteen"/>
    <n v="0.09"/>
    <x v="334"/>
    <x v="0"/>
  </r>
  <r>
    <s v="O00289"/>
    <s v="SCKW5N"/>
    <n v="3"/>
    <n v="70.540000000000006"/>
    <s v="Snack"/>
    <n v="35.81"/>
    <d v="2025-08-13T00:00:00"/>
    <s v="Head Office Café"/>
    <n v="0.06"/>
    <x v="456"/>
    <x v="1"/>
  </r>
  <r>
    <s v="O00289"/>
    <s v="BXO6QJ"/>
    <n v="1"/>
    <n v="20.11"/>
    <s v="Beverage"/>
    <n v="8"/>
    <d v="2025-08-13T00:00:00"/>
    <s v="Head Office Café"/>
    <n v="0.06"/>
    <x v="257"/>
    <x v="1"/>
  </r>
  <r>
    <s v="O00289"/>
    <s v="DH9SDB"/>
    <n v="1"/>
    <n v="76.55"/>
    <s v="Dessert"/>
    <n v="38.229999999999997"/>
    <d v="2025-08-13T00:00:00"/>
    <s v="Head Office Café"/>
    <n v="0.06"/>
    <x v="80"/>
    <x v="1"/>
  </r>
  <r>
    <s v="O00290"/>
    <s v="BOC6UZ"/>
    <n v="1"/>
    <n v="32.979999999999997"/>
    <s v="Beverage"/>
    <n v="11.84"/>
    <d v="2025-08-04T00:00:00"/>
    <s v="Head Office Café"/>
    <n v="0.02"/>
    <x v="457"/>
    <x v="1"/>
  </r>
  <r>
    <s v="O00290"/>
    <s v="BXO6QJ"/>
    <n v="1"/>
    <n v="20.11"/>
    <s v="Beverage"/>
    <n v="8"/>
    <d v="2025-08-04T00:00:00"/>
    <s v="Head Office Café"/>
    <n v="0.02"/>
    <x v="458"/>
    <x v="1"/>
  </r>
  <r>
    <s v="O00291"/>
    <s v="HDPBHS"/>
    <n v="2"/>
    <n v="256.91000000000003"/>
    <s v="Hot Meal"/>
    <n v="121.24"/>
    <d v="2025-08-14T00:00:00"/>
    <s v="Plant 1 Canteen"/>
    <n v="0.06"/>
    <x v="438"/>
    <x v="1"/>
  </r>
  <r>
    <s v="O00292"/>
    <s v="BXO6QJ"/>
    <n v="1"/>
    <n v="20.11"/>
    <s v="Beverage"/>
    <n v="8"/>
    <d v="2025-07-08T00:00:00"/>
    <s v="Head Office Café"/>
    <n v="0.03"/>
    <x v="210"/>
    <x v="0"/>
  </r>
  <r>
    <s v="O00292"/>
    <s v="BTIQJ7"/>
    <n v="2"/>
    <n v="30.34"/>
    <s v="Beverage"/>
    <n v="14.18"/>
    <d v="2025-07-08T00:00:00"/>
    <s v="Head Office Café"/>
    <n v="0.03"/>
    <x v="126"/>
    <x v="0"/>
  </r>
  <r>
    <s v="O00293"/>
    <s v="HXAJI0"/>
    <n v="2"/>
    <n v="227.61"/>
    <s v="Hot Meal"/>
    <n v="96.22"/>
    <d v="2025-08-07T00:00:00"/>
    <s v="Plant 2 Canteen"/>
    <n v="0.1"/>
    <x v="459"/>
    <x v="1"/>
  </r>
  <r>
    <s v="O00293"/>
    <s v="BTIQJ7"/>
    <n v="2"/>
    <n v="30.34"/>
    <s v="Beverage"/>
    <n v="14.18"/>
    <d v="2025-08-07T00:00:00"/>
    <s v="Plant 2 Canteen"/>
    <n v="0.1"/>
    <x v="25"/>
    <x v="1"/>
  </r>
  <r>
    <s v="O00294"/>
    <s v="B0T0PV"/>
    <n v="2"/>
    <n v="28.43"/>
    <s v="Beverage"/>
    <n v="13.89"/>
    <d v="2025-08-13T00:00:00"/>
    <s v="Head Office Café"/>
    <n v="0.05"/>
    <x v="381"/>
    <x v="1"/>
  </r>
  <r>
    <s v="O00295"/>
    <s v="DYTJXE"/>
    <n v="1"/>
    <n v="57.07"/>
    <s v="Dessert"/>
    <n v="29.14"/>
    <d v="2025-08-28T00:00:00"/>
    <s v="Plant 2 Canteen"/>
    <n v="0.03"/>
    <x v="460"/>
    <x v="1"/>
  </r>
  <r>
    <s v="O00295"/>
    <s v="BHL1C3"/>
    <n v="1"/>
    <n v="22.2"/>
    <s v="Beverage"/>
    <n v="9.3800000000000008"/>
    <d v="2025-08-28T00:00:00"/>
    <s v="Plant 2 Canteen"/>
    <n v="0.03"/>
    <x v="95"/>
    <x v="1"/>
  </r>
  <r>
    <s v="O00296"/>
    <s v="S5NQ4F"/>
    <n v="1"/>
    <n v="50.19"/>
    <s v="Snack"/>
    <n v="22.61"/>
    <d v="2025-08-13T00:00:00"/>
    <s v="Plant 1 Canteen"/>
    <n v="0.05"/>
    <x v="82"/>
    <x v="1"/>
  </r>
  <r>
    <s v="O00296"/>
    <s v="SV30T9"/>
    <n v="3"/>
    <n v="39.950000000000003"/>
    <s v="Snack"/>
    <n v="15.51"/>
    <d v="2025-08-13T00:00:00"/>
    <s v="Plant 1 Canteen"/>
    <n v="0.05"/>
    <x v="125"/>
    <x v="1"/>
  </r>
  <r>
    <s v="O00297"/>
    <s v="SCKW5N"/>
    <n v="3"/>
    <n v="70.540000000000006"/>
    <s v="Snack"/>
    <n v="35.81"/>
    <d v="2025-08-19T00:00:00"/>
    <s v="Head Office Café"/>
    <n v="0.08"/>
    <x v="409"/>
    <x v="1"/>
  </r>
  <r>
    <s v="O00298"/>
    <s v="HDPBHS"/>
    <n v="1"/>
    <n v="256.91000000000003"/>
    <s v="Hot Meal"/>
    <n v="121.24"/>
    <d v="2025-08-12T00:00:00"/>
    <s v="Plant 2 Canteen"/>
    <n v="0.04"/>
    <x v="122"/>
    <x v="1"/>
  </r>
  <r>
    <s v="O00299"/>
    <s v="SZBIKC"/>
    <n v="1"/>
    <n v="38.06"/>
    <s v="Snack"/>
    <n v="19.55"/>
    <d v="2025-08-05T00:00:00"/>
    <s v="Plant 2 Canteen"/>
    <n v="0.03"/>
    <x v="354"/>
    <x v="1"/>
  </r>
  <r>
    <s v="O00299"/>
    <s v="D9T84A"/>
    <n v="1"/>
    <n v="116.8"/>
    <s v="Dessert"/>
    <n v="48.97"/>
    <d v="2025-08-05T00:00:00"/>
    <s v="Plant 2 Canteen"/>
    <n v="0.03"/>
    <x v="107"/>
    <x v="1"/>
  </r>
  <r>
    <s v="O00299"/>
    <s v="HUZZPQ"/>
    <n v="2"/>
    <n v="146.4"/>
    <s v="Hot Meal"/>
    <n v="80.92"/>
    <d v="2025-08-05T00:00:00"/>
    <s v="Plant 2 Canteen"/>
    <n v="0.03"/>
    <x v="208"/>
    <x v="1"/>
  </r>
  <r>
    <s v="O00299"/>
    <s v="BXO6QJ"/>
    <n v="1"/>
    <n v="20.11"/>
    <s v="Beverage"/>
    <n v="8"/>
    <d v="2025-08-05T00:00:00"/>
    <s v="Plant 2 Canteen"/>
    <n v="0.03"/>
    <x v="210"/>
    <x v="1"/>
  </r>
  <r>
    <s v="O00300"/>
    <s v="DFFYVN"/>
    <n v="1"/>
    <n v="54.2"/>
    <s v="Dessert"/>
    <n v="21.95"/>
    <d v="2025-08-03T00:00:00"/>
    <s v="Head Office Café"/>
    <n v="7.0000000000000007E-2"/>
    <x v="461"/>
    <x v="1"/>
  </r>
  <r>
    <s v="O00300"/>
    <s v="HH1DNM"/>
    <n v="1"/>
    <n v="246.09"/>
    <s v="Hot Meal"/>
    <n v="112.08"/>
    <d v="2025-08-03T00:00:00"/>
    <s v="Head Office Café"/>
    <n v="7.0000000000000007E-2"/>
    <x v="58"/>
    <x v="1"/>
  </r>
  <r>
    <s v="O00300"/>
    <s v="SHJ7XV"/>
    <n v="2"/>
    <n v="52.45"/>
    <s v="Snack"/>
    <n v="25.8"/>
    <d v="2025-08-03T00:00:00"/>
    <s v="Head Office Café"/>
    <n v="7.0000000000000007E-2"/>
    <x v="462"/>
    <x v="1"/>
  </r>
  <r>
    <s v="O00301"/>
    <s v="SV30T9"/>
    <n v="3"/>
    <n v="39.950000000000003"/>
    <s v="Snack"/>
    <n v="15.51"/>
    <d v="2025-07-07T00:00:00"/>
    <s v="Plant 2 Canteen"/>
    <n v="7.0000000000000007E-2"/>
    <x v="288"/>
    <x v="0"/>
  </r>
  <r>
    <s v="O00301"/>
    <s v="DH9SDB"/>
    <n v="1"/>
    <n v="76.55"/>
    <s v="Dessert"/>
    <n v="38.229999999999997"/>
    <d v="2025-07-07T00:00:00"/>
    <s v="Plant 2 Canteen"/>
    <n v="7.0000000000000007E-2"/>
    <x v="205"/>
    <x v="0"/>
  </r>
  <r>
    <s v="O00301"/>
    <s v="DFFYVN"/>
    <n v="2"/>
    <n v="54.2"/>
    <s v="Dessert"/>
    <n v="21.95"/>
    <d v="2025-07-07T00:00:00"/>
    <s v="Plant 2 Canteen"/>
    <n v="7.0000000000000007E-2"/>
    <x v="387"/>
    <x v="0"/>
  </r>
  <r>
    <s v="O00301"/>
    <s v="SCKW5N"/>
    <n v="1"/>
    <n v="70.540000000000006"/>
    <s v="Snack"/>
    <n v="35.81"/>
    <d v="2025-07-07T00:00:00"/>
    <s v="Plant 2 Canteen"/>
    <n v="7.0000000000000007E-2"/>
    <x v="135"/>
    <x v="0"/>
  </r>
  <r>
    <s v="O00302"/>
    <s v="BHL1C3"/>
    <n v="3"/>
    <n v="22.2"/>
    <s v="Beverage"/>
    <n v="9.3800000000000008"/>
    <d v="2025-07-28T00:00:00"/>
    <s v="Plant 2 Canteen"/>
    <n v="0.04"/>
    <x v="463"/>
    <x v="0"/>
  </r>
  <r>
    <s v="O00303"/>
    <s v="SV30T9"/>
    <n v="2"/>
    <n v="39.950000000000003"/>
    <s v="Snack"/>
    <n v="15.51"/>
    <d v="2025-08-02T00:00:00"/>
    <s v="Plant 1 Canteen"/>
    <n v="0.04"/>
    <x v="351"/>
    <x v="1"/>
  </r>
  <r>
    <s v="O00303"/>
    <s v="SZBIKC"/>
    <n v="2"/>
    <n v="38.06"/>
    <s v="Snack"/>
    <n v="19.55"/>
    <d v="2025-08-02T00:00:00"/>
    <s v="Plant 1 Canteen"/>
    <n v="0.04"/>
    <x v="464"/>
    <x v="1"/>
  </r>
  <r>
    <s v="O00304"/>
    <s v="BOC6UZ"/>
    <n v="1"/>
    <n v="32.979999999999997"/>
    <s v="Beverage"/>
    <n v="11.84"/>
    <d v="2025-08-04T00:00:00"/>
    <s v="Plant 2 Canteen"/>
    <n v="7.0000000000000007E-2"/>
    <x v="11"/>
    <x v="1"/>
  </r>
  <r>
    <s v="O00305"/>
    <s v="SV30T9"/>
    <n v="2"/>
    <n v="39.950000000000003"/>
    <s v="Snack"/>
    <n v="15.51"/>
    <d v="2025-07-13T00:00:00"/>
    <s v="Head Office Café"/>
    <n v="0"/>
    <x v="465"/>
    <x v="0"/>
  </r>
  <r>
    <s v="O00305"/>
    <s v="HH1DNM"/>
    <n v="2"/>
    <n v="246.09"/>
    <s v="Hot Meal"/>
    <n v="112.08"/>
    <d v="2025-07-13T00:00:00"/>
    <s v="Head Office Café"/>
    <n v="0"/>
    <x v="466"/>
    <x v="0"/>
  </r>
  <r>
    <s v="O00306"/>
    <s v="S5NQ4F"/>
    <n v="1"/>
    <n v="50.19"/>
    <s v="Snack"/>
    <n v="22.61"/>
    <d v="2025-08-24T00:00:00"/>
    <s v="Plant 2 Canteen"/>
    <n v="0"/>
    <x v="467"/>
    <x v="1"/>
  </r>
  <r>
    <s v="O00306"/>
    <s v="BXO6QJ"/>
    <n v="1"/>
    <n v="20.11"/>
    <s v="Beverage"/>
    <n v="8"/>
    <d v="2025-08-24T00:00:00"/>
    <s v="Plant 2 Canteen"/>
    <n v="0"/>
    <x v="407"/>
    <x v="1"/>
  </r>
  <r>
    <s v="O00306"/>
    <s v="H3A3ZM"/>
    <n v="1"/>
    <n v="170.83"/>
    <s v="Hot Meal"/>
    <n v="74.069999999999993"/>
    <d v="2025-08-24T00:00:00"/>
    <s v="Plant 2 Canteen"/>
    <n v="0"/>
    <x v="390"/>
    <x v="1"/>
  </r>
  <r>
    <s v="O00306"/>
    <s v="HUZZPQ"/>
    <n v="3"/>
    <n v="146.4"/>
    <s v="Hot Meal"/>
    <n v="80.92"/>
    <d v="2025-08-24T00:00:00"/>
    <s v="Plant 2 Canteen"/>
    <n v="0"/>
    <x v="468"/>
    <x v="1"/>
  </r>
  <r>
    <s v="O00307"/>
    <s v="DH9SDB"/>
    <n v="1"/>
    <n v="76.55"/>
    <s v="Dessert"/>
    <n v="38.229999999999997"/>
    <d v="2025-08-21T00:00:00"/>
    <s v="Plant 1 Canteen"/>
    <n v="0.03"/>
    <x v="469"/>
    <x v="1"/>
  </r>
  <r>
    <s v="O00307"/>
    <s v="HH1DNM"/>
    <n v="1"/>
    <n v="246.09"/>
    <s v="Hot Meal"/>
    <n v="112.08"/>
    <d v="2025-08-21T00:00:00"/>
    <s v="Plant 1 Canteen"/>
    <n v="0.03"/>
    <x v="106"/>
    <x v="1"/>
  </r>
  <r>
    <s v="O00307"/>
    <s v="BHL1C3"/>
    <n v="2"/>
    <n v="22.2"/>
    <s v="Beverage"/>
    <n v="9.3800000000000008"/>
    <d v="2025-08-21T00:00:00"/>
    <s v="Plant 1 Canteen"/>
    <n v="0.03"/>
    <x v="421"/>
    <x v="1"/>
  </r>
  <r>
    <s v="O00307"/>
    <s v="BTIQJ7"/>
    <n v="2"/>
    <n v="30.34"/>
    <s v="Beverage"/>
    <n v="14.18"/>
    <d v="2025-08-21T00:00:00"/>
    <s v="Plant 1 Canteen"/>
    <n v="0.03"/>
    <x v="126"/>
    <x v="1"/>
  </r>
  <r>
    <s v="O00308"/>
    <s v="HDPBHS"/>
    <n v="1"/>
    <n v="256.91000000000003"/>
    <s v="Hot Meal"/>
    <n v="121.24"/>
    <d v="2025-08-19T00:00:00"/>
    <s v="Plant 2 Canteen"/>
    <n v="0.05"/>
    <x v="321"/>
    <x v="1"/>
  </r>
  <r>
    <s v="O00308"/>
    <s v="DFFYVN"/>
    <n v="3"/>
    <n v="54.2"/>
    <s v="Dessert"/>
    <n v="21.95"/>
    <d v="2025-08-19T00:00:00"/>
    <s v="Plant 2 Canteen"/>
    <n v="0.05"/>
    <x v="42"/>
    <x v="1"/>
  </r>
  <r>
    <s v="O00308"/>
    <s v="D9T84A"/>
    <n v="1"/>
    <n v="116.8"/>
    <s v="Dessert"/>
    <n v="48.97"/>
    <d v="2025-08-19T00:00:00"/>
    <s v="Plant 2 Canteen"/>
    <n v="0.05"/>
    <x v="470"/>
    <x v="1"/>
  </r>
  <r>
    <s v="O00308"/>
    <s v="HH1DNM"/>
    <n v="2"/>
    <n v="246.09"/>
    <s v="Hot Meal"/>
    <n v="112.08"/>
    <d v="2025-08-19T00:00:00"/>
    <s v="Plant 2 Canteen"/>
    <n v="0.05"/>
    <x v="471"/>
    <x v="1"/>
  </r>
  <r>
    <s v="O00309"/>
    <s v="BOC6UZ"/>
    <n v="1"/>
    <n v="32.979999999999997"/>
    <s v="Beverage"/>
    <n v="11.84"/>
    <d v="2025-07-18T00:00:00"/>
    <s v="Plant 1 Canteen"/>
    <n v="7.0000000000000007E-2"/>
    <x v="11"/>
    <x v="0"/>
  </r>
  <r>
    <s v="O00309"/>
    <s v="SZBIKC"/>
    <n v="2"/>
    <n v="38.06"/>
    <s v="Snack"/>
    <n v="19.55"/>
    <d v="2025-07-18T00:00:00"/>
    <s v="Plant 1 Canteen"/>
    <n v="7.0000000000000007E-2"/>
    <x v="199"/>
    <x v="0"/>
  </r>
  <r>
    <s v="O00310"/>
    <s v="BXO6QJ"/>
    <n v="1"/>
    <n v="20.11"/>
    <s v="Beverage"/>
    <n v="8"/>
    <d v="2025-07-23T00:00:00"/>
    <s v="Plant 1 Canteen"/>
    <n v="0.12"/>
    <x v="472"/>
    <x v="0"/>
  </r>
  <r>
    <s v="O00310"/>
    <s v="DYTJXE"/>
    <n v="2"/>
    <n v="57.07"/>
    <s v="Dessert"/>
    <n v="29.14"/>
    <d v="2025-07-23T00:00:00"/>
    <s v="Plant 1 Canteen"/>
    <n v="0.12"/>
    <x v="473"/>
    <x v="0"/>
  </r>
  <r>
    <s v="O00310"/>
    <s v="S5NQ4F"/>
    <n v="1"/>
    <n v="50.19"/>
    <s v="Snack"/>
    <n v="22.61"/>
    <d v="2025-07-23T00:00:00"/>
    <s v="Plant 1 Canteen"/>
    <n v="0.12"/>
    <x v="169"/>
    <x v="0"/>
  </r>
  <r>
    <s v="O00311"/>
    <s v="DH9SDB"/>
    <n v="2"/>
    <n v="76.55"/>
    <s v="Dessert"/>
    <n v="38.229999999999997"/>
    <d v="2025-07-11T00:00:00"/>
    <s v="Head Office Café"/>
    <n v="0.09"/>
    <x v="454"/>
    <x v="0"/>
  </r>
  <r>
    <s v="O00311"/>
    <s v="D9T84A"/>
    <n v="1"/>
    <n v="116.8"/>
    <s v="Dessert"/>
    <n v="48.97"/>
    <d v="2025-07-11T00:00:00"/>
    <s v="Head Office Café"/>
    <n v="0.09"/>
    <x v="244"/>
    <x v="0"/>
  </r>
  <r>
    <s v="O00311"/>
    <s v="SZBIKC"/>
    <n v="2"/>
    <n v="38.06"/>
    <s v="Snack"/>
    <n v="19.55"/>
    <d v="2025-07-11T00:00:00"/>
    <s v="Head Office Café"/>
    <n v="0.09"/>
    <x v="419"/>
    <x v="0"/>
  </r>
  <r>
    <s v="O00312"/>
    <s v="SCKW5N"/>
    <n v="2"/>
    <n v="70.540000000000006"/>
    <s v="Snack"/>
    <n v="35.81"/>
    <d v="2025-07-04T00:00:00"/>
    <s v="Head Office Café"/>
    <n v="0.05"/>
    <x v="109"/>
    <x v="0"/>
  </r>
  <r>
    <s v="O00312"/>
    <s v="DH9SDB"/>
    <n v="1"/>
    <n v="76.55"/>
    <s v="Dessert"/>
    <n v="38.229999999999997"/>
    <d v="2025-07-04T00:00:00"/>
    <s v="Head Office Café"/>
    <n v="0.05"/>
    <x v="2"/>
    <x v="0"/>
  </r>
  <r>
    <s v="O00312"/>
    <s v="DYTJXE"/>
    <n v="1"/>
    <n v="57.07"/>
    <s v="Dessert"/>
    <n v="29.14"/>
    <d v="2025-07-04T00:00:00"/>
    <s v="Head Office Café"/>
    <n v="0.05"/>
    <x v="34"/>
    <x v="0"/>
  </r>
  <r>
    <s v="O00313"/>
    <s v="DFFYVN"/>
    <n v="1"/>
    <n v="54.2"/>
    <s v="Dessert"/>
    <n v="21.95"/>
    <d v="2025-08-28T00:00:00"/>
    <s v="Plant 2 Canteen"/>
    <n v="0.06"/>
    <x v="67"/>
    <x v="1"/>
  </r>
  <r>
    <s v="O00314"/>
    <s v="BOC6UZ"/>
    <n v="1"/>
    <n v="32.979999999999997"/>
    <s v="Beverage"/>
    <n v="11.84"/>
    <d v="2025-07-17T00:00:00"/>
    <s v="Head Office Café"/>
    <n v="0.02"/>
    <x v="457"/>
    <x v="0"/>
  </r>
  <r>
    <s v="O00315"/>
    <s v="DH9SDB"/>
    <n v="3"/>
    <n v="76.55"/>
    <s v="Dessert"/>
    <n v="38.229999999999997"/>
    <d v="2025-08-05T00:00:00"/>
    <s v="Head Office Café"/>
    <n v="0.06"/>
    <x v="376"/>
    <x v="1"/>
  </r>
  <r>
    <s v="O00315"/>
    <s v="D9T84A"/>
    <n v="1"/>
    <n v="116.8"/>
    <s v="Dessert"/>
    <n v="48.97"/>
    <d v="2025-08-05T00:00:00"/>
    <s v="Head Office Café"/>
    <n v="0.06"/>
    <x v="69"/>
    <x v="1"/>
  </r>
  <r>
    <s v="O00316"/>
    <s v="BHL1C3"/>
    <n v="3"/>
    <n v="22.2"/>
    <s v="Beverage"/>
    <n v="9.3800000000000008"/>
    <d v="2025-08-29T00:00:00"/>
    <s v="Plant 2 Canteen"/>
    <n v="0.05"/>
    <x v="474"/>
    <x v="1"/>
  </r>
  <r>
    <s v="O00317"/>
    <s v="SHJ7XV"/>
    <n v="2"/>
    <n v="52.45"/>
    <s v="Snack"/>
    <n v="25.8"/>
    <d v="2025-08-22T00:00:00"/>
    <s v="Plant 1 Canteen"/>
    <n v="7.0000000000000007E-2"/>
    <x v="462"/>
    <x v="1"/>
  </r>
  <r>
    <s v="O00317"/>
    <s v="HUZZPQ"/>
    <n v="1"/>
    <n v="146.4"/>
    <s v="Hot Meal"/>
    <n v="80.92"/>
    <d v="2025-08-22T00:00:00"/>
    <s v="Plant 1 Canteen"/>
    <n v="7.0000000000000007E-2"/>
    <x v="114"/>
    <x v="1"/>
  </r>
  <r>
    <s v="O00318"/>
    <s v="BOC6UZ"/>
    <n v="3"/>
    <n v="32.979999999999997"/>
    <s v="Beverage"/>
    <n v="11.84"/>
    <d v="2025-08-05T00:00:00"/>
    <s v="Head Office Café"/>
    <n v="0.03"/>
    <x v="32"/>
    <x v="1"/>
  </r>
  <r>
    <s v="O00318"/>
    <s v="HUZZPQ"/>
    <n v="1"/>
    <n v="146.4"/>
    <s v="Hot Meal"/>
    <n v="80.92"/>
    <d v="2025-08-05T00:00:00"/>
    <s v="Head Office Café"/>
    <n v="0.03"/>
    <x v="475"/>
    <x v="1"/>
  </r>
  <r>
    <s v="O00318"/>
    <s v="DFFYVN"/>
    <n v="2"/>
    <n v="54.2"/>
    <s v="Dessert"/>
    <n v="21.95"/>
    <d v="2025-08-05T00:00:00"/>
    <s v="Head Office Café"/>
    <n v="0.03"/>
    <x v="215"/>
    <x v="1"/>
  </r>
  <r>
    <s v="O00318"/>
    <s v="BHL1C3"/>
    <n v="2"/>
    <n v="22.2"/>
    <s v="Beverage"/>
    <n v="9.3800000000000008"/>
    <d v="2025-08-05T00:00:00"/>
    <s v="Head Office Café"/>
    <n v="0.03"/>
    <x v="421"/>
    <x v="1"/>
  </r>
  <r>
    <s v="O00319"/>
    <s v="BXO6QJ"/>
    <n v="2"/>
    <n v="20.11"/>
    <s v="Beverage"/>
    <n v="8"/>
    <d v="2025-07-28T00:00:00"/>
    <s v="Plant 2 Canteen"/>
    <n v="0.08"/>
    <x v="203"/>
    <x v="0"/>
  </r>
  <r>
    <s v="O00319"/>
    <s v="DYTJXE"/>
    <n v="1"/>
    <n v="57.07"/>
    <s v="Dessert"/>
    <n v="29.14"/>
    <d v="2025-07-28T00:00:00"/>
    <s v="Plant 2 Canteen"/>
    <n v="0.08"/>
    <x v="242"/>
    <x v="0"/>
  </r>
  <r>
    <s v="O00320"/>
    <s v="H3A3ZM"/>
    <n v="2"/>
    <n v="170.83"/>
    <s v="Hot Meal"/>
    <n v="74.069999999999993"/>
    <d v="2025-07-16T00:00:00"/>
    <s v="Plant 1 Canteen"/>
    <n v="0.12"/>
    <x v="476"/>
    <x v="0"/>
  </r>
  <r>
    <s v="O00321"/>
    <s v="SHJ7XV"/>
    <n v="2"/>
    <n v="52.45"/>
    <s v="Snack"/>
    <n v="25.8"/>
    <d v="2025-07-06T00:00:00"/>
    <s v="Head Office Café"/>
    <n v="0.06"/>
    <x v="179"/>
    <x v="0"/>
  </r>
  <r>
    <s v="O00321"/>
    <s v="B0T0PV"/>
    <n v="1"/>
    <n v="28.43"/>
    <s v="Beverage"/>
    <n v="13.89"/>
    <d v="2025-07-06T00:00:00"/>
    <s v="Head Office Café"/>
    <n v="0.06"/>
    <x v="81"/>
    <x v="0"/>
  </r>
  <r>
    <s v="O00321"/>
    <s v="D9T84A"/>
    <n v="3"/>
    <n v="116.8"/>
    <s v="Dessert"/>
    <n v="48.97"/>
    <d v="2025-07-06T00:00:00"/>
    <s v="Head Office Café"/>
    <n v="0.06"/>
    <x v="324"/>
    <x v="0"/>
  </r>
  <r>
    <s v="O00321"/>
    <s v="HUZZPQ"/>
    <n v="1"/>
    <n v="146.4"/>
    <s v="Hot Meal"/>
    <n v="80.92"/>
    <d v="2025-07-06T00:00:00"/>
    <s v="Head Office Café"/>
    <n v="0.06"/>
    <x v="139"/>
    <x v="0"/>
  </r>
  <r>
    <s v="O00322"/>
    <s v="HH1DNM"/>
    <n v="1"/>
    <n v="246.09"/>
    <s v="Hot Meal"/>
    <n v="112.08"/>
    <d v="2025-07-11T00:00:00"/>
    <s v="Head Office Café"/>
    <n v="0.08"/>
    <x v="431"/>
    <x v="0"/>
  </r>
  <r>
    <s v="O00322"/>
    <s v="BHL1C3"/>
    <n v="2"/>
    <n v="22.2"/>
    <s v="Beverage"/>
    <n v="9.3800000000000008"/>
    <d v="2025-07-11T00:00:00"/>
    <s v="Head Office Café"/>
    <n v="0.08"/>
    <x v="477"/>
    <x v="0"/>
  </r>
  <r>
    <s v="O00322"/>
    <s v="B0T0PV"/>
    <n v="3"/>
    <n v="28.43"/>
    <s v="Beverage"/>
    <n v="13.89"/>
    <d v="2025-07-11T00:00:00"/>
    <s v="Head Office Café"/>
    <n v="0.08"/>
    <x v="432"/>
    <x v="0"/>
  </r>
  <r>
    <s v="O00322"/>
    <s v="D9T84A"/>
    <n v="3"/>
    <n v="116.8"/>
    <s v="Dessert"/>
    <n v="48.97"/>
    <d v="2025-07-11T00:00:00"/>
    <s v="Head Office Café"/>
    <n v="0.08"/>
    <x v="241"/>
    <x v="0"/>
  </r>
  <r>
    <s v="O00323"/>
    <s v="D9T84A"/>
    <n v="1"/>
    <n v="116.8"/>
    <s v="Dessert"/>
    <n v="48.97"/>
    <d v="2025-07-09T00:00:00"/>
    <s v="Plant 1 Canteen"/>
    <n v="0.09"/>
    <x v="244"/>
    <x v="0"/>
  </r>
  <r>
    <s v="O00323"/>
    <s v="B0T0PV"/>
    <n v="2"/>
    <n v="28.43"/>
    <s v="Beverage"/>
    <n v="13.89"/>
    <d v="2025-07-09T00:00:00"/>
    <s v="Plant 1 Canteen"/>
    <n v="0.09"/>
    <x v="164"/>
    <x v="0"/>
  </r>
  <r>
    <s v="O00324"/>
    <s v="HXAJI0"/>
    <n v="1"/>
    <n v="227.61"/>
    <s v="Hot Meal"/>
    <n v="96.22"/>
    <d v="2025-07-15T00:00:00"/>
    <s v="Plant 2 Canteen"/>
    <n v="0.04"/>
    <x v="93"/>
    <x v="0"/>
  </r>
  <r>
    <s v="O00324"/>
    <s v="S5NQ4F"/>
    <n v="3"/>
    <n v="50.19"/>
    <s v="Snack"/>
    <n v="22.61"/>
    <d v="2025-07-15T00:00:00"/>
    <s v="Plant 2 Canteen"/>
    <n v="0.04"/>
    <x v="478"/>
    <x v="0"/>
  </r>
  <r>
    <s v="O00324"/>
    <s v="SCKW5N"/>
    <n v="2"/>
    <n v="70.540000000000006"/>
    <s v="Snack"/>
    <n v="35.81"/>
    <d v="2025-07-15T00:00:00"/>
    <s v="Plant 2 Canteen"/>
    <n v="0.04"/>
    <x v="123"/>
    <x v="0"/>
  </r>
  <r>
    <s v="O00325"/>
    <s v="S5NQ4F"/>
    <n v="1"/>
    <n v="50.19"/>
    <s v="Snack"/>
    <n v="22.61"/>
    <d v="2025-08-04T00:00:00"/>
    <s v="Plant 1 Canteen"/>
    <n v="7.0000000000000007E-2"/>
    <x v="479"/>
    <x v="1"/>
  </r>
  <r>
    <s v="O00326"/>
    <s v="BXO6QJ"/>
    <n v="1"/>
    <n v="20.11"/>
    <s v="Beverage"/>
    <n v="8"/>
    <d v="2025-08-18T00:00:00"/>
    <s v="Plant 2 Canteen"/>
    <n v="0.06"/>
    <x v="257"/>
    <x v="1"/>
  </r>
  <r>
    <s v="O00327"/>
    <s v="SZBIKC"/>
    <n v="1"/>
    <n v="38.06"/>
    <s v="Snack"/>
    <n v="19.55"/>
    <d v="2025-08-06T00:00:00"/>
    <s v="Plant 1 Canteen"/>
    <n v="0.06"/>
    <x v="116"/>
    <x v="1"/>
  </r>
  <r>
    <s v="O00327"/>
    <s v="B0T0PV"/>
    <n v="1"/>
    <n v="28.43"/>
    <s v="Beverage"/>
    <n v="13.89"/>
    <d v="2025-08-06T00:00:00"/>
    <s v="Plant 1 Canteen"/>
    <n v="0.06"/>
    <x v="81"/>
    <x v="1"/>
  </r>
  <r>
    <s v="O00327"/>
    <s v="S5NQ4F"/>
    <n v="1"/>
    <n v="50.19"/>
    <s v="Snack"/>
    <n v="22.61"/>
    <d v="2025-08-06T00:00:00"/>
    <s v="Plant 1 Canteen"/>
    <n v="0.06"/>
    <x v="53"/>
    <x v="1"/>
  </r>
  <r>
    <s v="O00328"/>
    <s v="HUZZPQ"/>
    <n v="2"/>
    <n v="146.4"/>
    <s v="Hot Meal"/>
    <n v="80.92"/>
    <d v="2025-08-02T00:00:00"/>
    <s v="Plant 1 Canteen"/>
    <n v="0.03"/>
    <x v="208"/>
    <x v="1"/>
  </r>
  <r>
    <s v="O00329"/>
    <s v="DFFYVN"/>
    <n v="1"/>
    <n v="54.2"/>
    <s v="Dessert"/>
    <n v="21.95"/>
    <d v="2025-08-16T00:00:00"/>
    <s v="Head Office Café"/>
    <n v="0.06"/>
    <x v="67"/>
    <x v="1"/>
  </r>
  <r>
    <s v="O00329"/>
    <s v="HUZZPQ"/>
    <n v="3"/>
    <n v="146.4"/>
    <s v="Hot Meal"/>
    <n v="80.92"/>
    <d v="2025-08-16T00:00:00"/>
    <s v="Head Office Café"/>
    <n v="0.06"/>
    <x v="480"/>
    <x v="1"/>
  </r>
  <r>
    <s v="O00329"/>
    <s v="SHJ7XV"/>
    <n v="1"/>
    <n v="52.45"/>
    <s v="Snack"/>
    <n v="25.8"/>
    <d v="2025-08-16T00:00:00"/>
    <s v="Head Office Café"/>
    <n v="0.06"/>
    <x v="481"/>
    <x v="1"/>
  </r>
  <r>
    <s v="O00330"/>
    <s v="BXO6QJ"/>
    <n v="2"/>
    <n v="20.11"/>
    <s v="Beverage"/>
    <n v="8"/>
    <d v="2025-08-13T00:00:00"/>
    <s v="Head Office Café"/>
    <n v="0.08"/>
    <x v="203"/>
    <x v="1"/>
  </r>
  <r>
    <s v="O00330"/>
    <s v="H3A3ZM"/>
    <n v="1"/>
    <n v="170.83"/>
    <s v="Hot Meal"/>
    <n v="74.069999999999993"/>
    <d v="2025-08-13T00:00:00"/>
    <s v="Head Office Café"/>
    <n v="0.08"/>
    <x v="371"/>
    <x v="1"/>
  </r>
  <r>
    <s v="O00330"/>
    <s v="HDPBHS"/>
    <n v="2"/>
    <n v="256.91000000000003"/>
    <s v="Hot Meal"/>
    <n v="121.24"/>
    <d v="2025-08-13T00:00:00"/>
    <s v="Head Office Café"/>
    <n v="0.08"/>
    <x v="426"/>
    <x v="1"/>
  </r>
  <r>
    <s v="O00331"/>
    <s v="SZBIKC"/>
    <n v="2"/>
    <n v="38.06"/>
    <s v="Snack"/>
    <n v="19.55"/>
    <d v="2025-07-26T00:00:00"/>
    <s v="Plant 1 Canteen"/>
    <n v="0.12"/>
    <x v="482"/>
    <x v="0"/>
  </r>
  <r>
    <s v="O00331"/>
    <s v="HH1DNM"/>
    <n v="1"/>
    <n v="246.09"/>
    <s v="Hot Meal"/>
    <n v="112.08"/>
    <d v="2025-07-26T00:00:00"/>
    <s v="Plant 1 Canteen"/>
    <n v="0.12"/>
    <x v="65"/>
    <x v="0"/>
  </r>
  <r>
    <s v="O00331"/>
    <s v="SV30T9"/>
    <n v="2"/>
    <n v="39.950000000000003"/>
    <s v="Snack"/>
    <n v="15.51"/>
    <d v="2025-07-26T00:00:00"/>
    <s v="Plant 1 Canteen"/>
    <n v="0.12"/>
    <x v="483"/>
    <x v="0"/>
  </r>
  <r>
    <s v="O00331"/>
    <s v="DYTJXE"/>
    <n v="1"/>
    <n v="57.07"/>
    <s v="Dessert"/>
    <n v="29.14"/>
    <d v="2025-07-26T00:00:00"/>
    <s v="Plant 1 Canteen"/>
    <n v="0.12"/>
    <x v="484"/>
    <x v="0"/>
  </r>
  <r>
    <s v="O00332"/>
    <s v="BHL1C3"/>
    <n v="2"/>
    <n v="22.2"/>
    <s v="Beverage"/>
    <n v="9.3800000000000008"/>
    <d v="2025-08-11T00:00:00"/>
    <s v="Plant 1 Canteen"/>
    <n v="0.1"/>
    <x v="485"/>
    <x v="1"/>
  </r>
  <r>
    <s v="O00332"/>
    <s v="SCKW5N"/>
    <n v="1"/>
    <n v="70.540000000000006"/>
    <s v="Snack"/>
    <n v="35.81"/>
    <d v="2025-08-11T00:00:00"/>
    <s v="Plant 1 Canteen"/>
    <n v="0.1"/>
    <x v="311"/>
    <x v="1"/>
  </r>
  <r>
    <s v="O00332"/>
    <s v="S5NQ4F"/>
    <n v="1"/>
    <n v="50.19"/>
    <s v="Snack"/>
    <n v="22.61"/>
    <d v="2025-08-11T00:00:00"/>
    <s v="Plant 1 Canteen"/>
    <n v="0.1"/>
    <x v="332"/>
    <x v="1"/>
  </r>
  <r>
    <s v="O00332"/>
    <s v="DFFYVN"/>
    <n v="1"/>
    <n v="54.2"/>
    <s v="Dessert"/>
    <n v="21.95"/>
    <d v="2025-08-11T00:00:00"/>
    <s v="Plant 1 Canteen"/>
    <n v="0.1"/>
    <x v="240"/>
    <x v="1"/>
  </r>
  <r>
    <s v="O00333"/>
    <s v="BXO6QJ"/>
    <n v="1"/>
    <n v="20.11"/>
    <s v="Beverage"/>
    <n v="8"/>
    <d v="2025-07-13T00:00:00"/>
    <s v="Plant 1 Canteen"/>
    <n v="0.15"/>
    <x v="337"/>
    <x v="0"/>
  </r>
  <r>
    <s v="O00333"/>
    <s v="DH9SDB"/>
    <n v="2"/>
    <n v="76.55"/>
    <s v="Dessert"/>
    <n v="38.229999999999997"/>
    <d v="2025-07-13T00:00:00"/>
    <s v="Plant 1 Canteen"/>
    <n v="0.15"/>
    <x v="174"/>
    <x v="0"/>
  </r>
  <r>
    <s v="O00334"/>
    <s v="HXAJI0"/>
    <n v="2"/>
    <n v="227.61"/>
    <s v="Hot Meal"/>
    <n v="96.22"/>
    <d v="2025-07-07T00:00:00"/>
    <s v="Plant 1 Canteen"/>
    <n v="0.03"/>
    <x v="486"/>
    <x v="0"/>
  </r>
  <r>
    <s v="O00334"/>
    <s v="DFFYVN"/>
    <n v="1"/>
    <n v="54.2"/>
    <s v="Dessert"/>
    <n v="21.95"/>
    <d v="2025-07-07T00:00:00"/>
    <s v="Plant 1 Canteen"/>
    <n v="0.03"/>
    <x v="487"/>
    <x v="0"/>
  </r>
  <r>
    <s v="O00334"/>
    <s v="S5NQ4F"/>
    <n v="2"/>
    <n v="50.19"/>
    <s v="Snack"/>
    <n v="22.61"/>
    <d v="2025-07-07T00:00:00"/>
    <s v="Plant 1 Canteen"/>
    <n v="0.03"/>
    <x v="318"/>
    <x v="0"/>
  </r>
  <r>
    <s v="O00334"/>
    <s v="BOC6UZ"/>
    <n v="2"/>
    <n v="32.979999999999997"/>
    <s v="Beverage"/>
    <n v="11.84"/>
    <d v="2025-07-07T00:00:00"/>
    <s v="Plant 1 Canteen"/>
    <n v="0.03"/>
    <x v="250"/>
    <x v="0"/>
  </r>
  <r>
    <s v="O00335"/>
    <s v="H3A3ZM"/>
    <n v="2"/>
    <n v="170.83"/>
    <s v="Hot Meal"/>
    <n v="74.069999999999993"/>
    <d v="2025-07-02T00:00:00"/>
    <s v="Head Office Café"/>
    <n v="0.09"/>
    <x v="276"/>
    <x v="0"/>
  </r>
  <r>
    <s v="O00335"/>
    <s v="D9T84A"/>
    <n v="2"/>
    <n v="116.8"/>
    <s v="Dessert"/>
    <n v="48.97"/>
    <d v="2025-07-02T00:00:00"/>
    <s v="Head Office Café"/>
    <n v="0.09"/>
    <x v="488"/>
    <x v="0"/>
  </r>
  <r>
    <s v="O00335"/>
    <s v="HUZZPQ"/>
    <n v="1"/>
    <n v="146.4"/>
    <s v="Hot Meal"/>
    <n v="80.92"/>
    <d v="2025-07-02T00:00:00"/>
    <s v="Head Office Café"/>
    <n v="0.09"/>
    <x v="424"/>
    <x v="0"/>
  </r>
  <r>
    <s v="O00336"/>
    <s v="S5NQ4F"/>
    <n v="2"/>
    <n v="50.19"/>
    <s v="Snack"/>
    <n v="22.61"/>
    <d v="2025-07-15T00:00:00"/>
    <s v="Plant 2 Canteen"/>
    <n v="7.0000000000000007E-2"/>
    <x v="489"/>
    <x v="0"/>
  </r>
  <r>
    <s v="O00336"/>
    <s v="DYTJXE"/>
    <n v="2"/>
    <n v="57.07"/>
    <s v="Dessert"/>
    <n v="29.14"/>
    <d v="2025-07-15T00:00:00"/>
    <s v="Plant 2 Canteen"/>
    <n v="7.0000000000000007E-2"/>
    <x v="16"/>
    <x v="0"/>
  </r>
  <r>
    <s v="O00337"/>
    <s v="HUZZPQ"/>
    <n v="1"/>
    <n v="146.4"/>
    <s v="Hot Meal"/>
    <n v="80.92"/>
    <d v="2025-07-24T00:00:00"/>
    <s v="Head Office Café"/>
    <n v="0.15"/>
    <x v="490"/>
    <x v="0"/>
  </r>
  <r>
    <s v="O00338"/>
    <s v="B0T0PV"/>
    <n v="1"/>
    <n v="28.43"/>
    <s v="Beverage"/>
    <n v="13.89"/>
    <d v="2025-08-21T00:00:00"/>
    <s v="Plant 2 Canteen"/>
    <n v="0.03"/>
    <x v="21"/>
    <x v="1"/>
  </r>
  <r>
    <s v="O00338"/>
    <s v="BTIQJ7"/>
    <n v="1"/>
    <n v="30.34"/>
    <s v="Beverage"/>
    <n v="14.18"/>
    <d v="2025-08-21T00:00:00"/>
    <s v="Plant 2 Canteen"/>
    <n v="0.03"/>
    <x v="235"/>
    <x v="1"/>
  </r>
  <r>
    <s v="O00338"/>
    <s v="BOC6UZ"/>
    <n v="3"/>
    <n v="32.979999999999997"/>
    <s v="Beverage"/>
    <n v="11.84"/>
    <d v="2025-08-21T00:00:00"/>
    <s v="Plant 2 Canteen"/>
    <n v="0.03"/>
    <x v="32"/>
    <x v="1"/>
  </r>
  <r>
    <s v="O00339"/>
    <s v="D9T84A"/>
    <n v="2"/>
    <n v="116.8"/>
    <s v="Dessert"/>
    <n v="48.97"/>
    <d v="2025-08-19T00:00:00"/>
    <s v="Head Office Café"/>
    <n v="0.03"/>
    <x v="60"/>
    <x v="1"/>
  </r>
  <r>
    <s v="O00339"/>
    <s v="DYTJXE"/>
    <n v="3"/>
    <n v="57.07"/>
    <s v="Dessert"/>
    <n v="29.14"/>
    <d v="2025-08-19T00:00:00"/>
    <s v="Head Office Café"/>
    <n v="0.03"/>
    <x v="491"/>
    <x v="1"/>
  </r>
  <r>
    <s v="O00340"/>
    <s v="SHJ7XV"/>
    <n v="3"/>
    <n v="52.45"/>
    <s v="Snack"/>
    <n v="25.8"/>
    <d v="2025-08-15T00:00:00"/>
    <s v="Plant 1 Canteen"/>
    <n v="0.04"/>
    <x v="492"/>
    <x v="1"/>
  </r>
  <r>
    <s v="O00340"/>
    <s v="BOC6UZ"/>
    <n v="1"/>
    <n v="32.979999999999997"/>
    <s v="Beverage"/>
    <n v="11.84"/>
    <d v="2025-08-15T00:00:00"/>
    <s v="Plant 1 Canteen"/>
    <n v="0.04"/>
    <x v="177"/>
    <x v="1"/>
  </r>
  <r>
    <s v="O00340"/>
    <s v="DFFYVN"/>
    <n v="1"/>
    <n v="54.2"/>
    <s v="Dessert"/>
    <n v="21.95"/>
    <d v="2025-08-15T00:00:00"/>
    <s v="Plant 1 Canteen"/>
    <n v="0.04"/>
    <x v="94"/>
    <x v="1"/>
  </r>
  <r>
    <s v="O00340"/>
    <s v="BTIQJ7"/>
    <n v="1"/>
    <n v="30.34"/>
    <s v="Beverage"/>
    <n v="14.18"/>
    <d v="2025-08-15T00:00:00"/>
    <s v="Plant 1 Canteen"/>
    <n v="0.04"/>
    <x v="352"/>
    <x v="1"/>
  </r>
  <r>
    <s v="O00341"/>
    <s v="SV30T9"/>
    <n v="1"/>
    <n v="39.950000000000003"/>
    <s v="Snack"/>
    <n v="15.51"/>
    <d v="2025-07-25T00:00:00"/>
    <s v="Head Office Café"/>
    <n v="0"/>
    <x v="74"/>
    <x v="0"/>
  </r>
  <r>
    <s v="O00341"/>
    <s v="DH9SDB"/>
    <n v="3"/>
    <n v="76.55"/>
    <s v="Dessert"/>
    <n v="38.229999999999997"/>
    <d v="2025-07-25T00:00:00"/>
    <s v="Head Office Café"/>
    <n v="0"/>
    <x v="493"/>
    <x v="0"/>
  </r>
  <r>
    <s v="O00341"/>
    <s v="HUZZPQ"/>
    <n v="1"/>
    <n v="146.4"/>
    <s v="Hot Meal"/>
    <n v="80.92"/>
    <d v="2025-07-25T00:00:00"/>
    <s v="Head Office Café"/>
    <n v="0"/>
    <x v="143"/>
    <x v="0"/>
  </r>
  <r>
    <s v="O00342"/>
    <s v="SHJ7XV"/>
    <n v="1"/>
    <n v="52.45"/>
    <s v="Snack"/>
    <n v="25.8"/>
    <d v="2025-08-03T00:00:00"/>
    <s v="Plant 1 Canteen"/>
    <n v="0.04"/>
    <x v="96"/>
    <x v="1"/>
  </r>
  <r>
    <s v="O00342"/>
    <s v="B0T0PV"/>
    <n v="2"/>
    <n v="28.43"/>
    <s v="Beverage"/>
    <n v="13.89"/>
    <d v="2025-08-03T00:00:00"/>
    <s v="Plant 1 Canteen"/>
    <n v="0.04"/>
    <x v="322"/>
    <x v="1"/>
  </r>
  <r>
    <s v="O00343"/>
    <s v="DFFYVN"/>
    <n v="2"/>
    <n v="54.2"/>
    <s v="Dessert"/>
    <n v="21.95"/>
    <d v="2025-08-26T00:00:00"/>
    <s v="Head Office Café"/>
    <n v="0.03"/>
    <x v="215"/>
    <x v="1"/>
  </r>
  <r>
    <s v="O00344"/>
    <s v="SZBIKC"/>
    <n v="2"/>
    <n v="38.06"/>
    <s v="Snack"/>
    <n v="19.55"/>
    <d v="2025-08-04T00:00:00"/>
    <s v="Head Office Café"/>
    <n v="7.0000000000000007E-2"/>
    <x v="199"/>
    <x v="1"/>
  </r>
  <r>
    <s v="O00344"/>
    <s v="DFFYVN"/>
    <n v="1"/>
    <n v="54.2"/>
    <s v="Dessert"/>
    <n v="21.95"/>
    <d v="2025-08-04T00:00:00"/>
    <s v="Head Office Café"/>
    <n v="7.0000000000000007E-2"/>
    <x v="461"/>
    <x v="1"/>
  </r>
  <r>
    <s v="O00344"/>
    <s v="S5NQ4F"/>
    <n v="2"/>
    <n v="50.19"/>
    <s v="Snack"/>
    <n v="22.61"/>
    <d v="2025-08-04T00:00:00"/>
    <s v="Head Office Café"/>
    <n v="7.0000000000000007E-2"/>
    <x v="489"/>
    <x v="1"/>
  </r>
  <r>
    <s v="O00345"/>
    <s v="BHL1C3"/>
    <n v="1"/>
    <n v="22.2"/>
    <s v="Beverage"/>
    <n v="9.3800000000000008"/>
    <d v="2025-08-15T00:00:00"/>
    <s v="Head Office Café"/>
    <n v="7.0000000000000007E-2"/>
    <x v="150"/>
    <x v="1"/>
  </r>
  <r>
    <s v="O00345"/>
    <s v="DFFYVN"/>
    <n v="3"/>
    <n v="54.2"/>
    <s v="Dessert"/>
    <n v="21.95"/>
    <d v="2025-08-15T00:00:00"/>
    <s v="Head Office Café"/>
    <n v="7.0000000000000007E-2"/>
    <x v="494"/>
    <x v="1"/>
  </r>
  <r>
    <s v="O00345"/>
    <s v="HXAJI0"/>
    <n v="2"/>
    <n v="227.61"/>
    <s v="Hot Meal"/>
    <n v="96.22"/>
    <d v="2025-08-15T00:00:00"/>
    <s v="Head Office Café"/>
    <n v="7.0000000000000007E-2"/>
    <x v="134"/>
    <x v="1"/>
  </r>
  <r>
    <s v="O00346"/>
    <s v="BXO6QJ"/>
    <n v="1"/>
    <n v="20.11"/>
    <s v="Beverage"/>
    <n v="8"/>
    <d v="2025-07-14T00:00:00"/>
    <s v="Plant 1 Canteen"/>
    <n v="0.14000000000000001"/>
    <x v="495"/>
    <x v="0"/>
  </r>
  <r>
    <s v="O00346"/>
    <s v="B0T0PV"/>
    <n v="2"/>
    <n v="28.43"/>
    <s v="Beverage"/>
    <n v="13.89"/>
    <d v="2025-07-14T00:00:00"/>
    <s v="Plant 1 Canteen"/>
    <n v="0.14000000000000001"/>
    <x v="496"/>
    <x v="0"/>
  </r>
  <r>
    <s v="O00347"/>
    <s v="HUZZPQ"/>
    <n v="2"/>
    <n v="146.4"/>
    <s v="Hot Meal"/>
    <n v="80.92"/>
    <d v="2025-07-29T00:00:00"/>
    <s v="Plant 1 Canteen"/>
    <n v="0.1"/>
    <x v="497"/>
    <x v="0"/>
  </r>
  <r>
    <s v="O00347"/>
    <s v="HDPBHS"/>
    <n v="1"/>
    <n v="256.91000000000003"/>
    <s v="Hot Meal"/>
    <n v="121.24"/>
    <d v="2025-07-29T00:00:00"/>
    <s v="Plant 1 Canteen"/>
    <n v="0.1"/>
    <x v="27"/>
    <x v="0"/>
  </r>
  <r>
    <s v="O00348"/>
    <s v="H3A3ZM"/>
    <n v="2"/>
    <n v="170.83"/>
    <s v="Hot Meal"/>
    <n v="74.069999999999993"/>
    <d v="2025-07-31T00:00:00"/>
    <s v="Plant 2 Canteen"/>
    <n v="0.04"/>
    <x v="121"/>
    <x v="0"/>
  </r>
  <r>
    <s v="O00348"/>
    <s v="HDPBHS"/>
    <n v="3"/>
    <n v="256.91000000000003"/>
    <s v="Hot Meal"/>
    <n v="121.24"/>
    <d v="2025-07-31T00:00:00"/>
    <s v="Plant 2 Canteen"/>
    <n v="0.04"/>
    <x v="498"/>
    <x v="0"/>
  </r>
  <r>
    <s v="O00348"/>
    <s v="SCKW5N"/>
    <n v="1"/>
    <n v="70.540000000000006"/>
    <s v="Snack"/>
    <n v="35.81"/>
    <d v="2025-07-31T00:00:00"/>
    <s v="Plant 2 Canteen"/>
    <n v="0.04"/>
    <x v="8"/>
    <x v="0"/>
  </r>
  <r>
    <s v="O00348"/>
    <s v="DYTJXE"/>
    <n v="2"/>
    <n v="57.07"/>
    <s v="Dessert"/>
    <n v="29.14"/>
    <d v="2025-07-31T00:00:00"/>
    <s v="Plant 2 Canteen"/>
    <n v="0.04"/>
    <x v="415"/>
    <x v="0"/>
  </r>
  <r>
    <s v="O00349"/>
    <s v="D9T84A"/>
    <n v="1"/>
    <n v="116.8"/>
    <s v="Dessert"/>
    <n v="48.97"/>
    <d v="2025-08-16T00:00:00"/>
    <s v="Plant 2 Canteen"/>
    <n v="0.02"/>
    <x v="499"/>
    <x v="1"/>
  </r>
  <r>
    <s v="O00349"/>
    <s v="HH1DNM"/>
    <n v="1"/>
    <n v="246.09"/>
    <s v="Hot Meal"/>
    <n v="112.08"/>
    <d v="2025-08-16T00:00:00"/>
    <s v="Plant 2 Canteen"/>
    <n v="0.02"/>
    <x v="253"/>
    <x v="1"/>
  </r>
  <r>
    <s v="O00349"/>
    <s v="DH9SDB"/>
    <n v="3"/>
    <n v="76.55"/>
    <s v="Dessert"/>
    <n v="38.229999999999997"/>
    <d v="2025-08-16T00:00:00"/>
    <s v="Plant 2 Canteen"/>
    <n v="0.02"/>
    <x v="500"/>
    <x v="1"/>
  </r>
  <r>
    <s v="O00349"/>
    <s v="H3A3ZM"/>
    <n v="2"/>
    <n v="170.83"/>
    <s v="Hot Meal"/>
    <n v="74.069999999999993"/>
    <d v="2025-08-16T00:00:00"/>
    <s v="Plant 2 Canteen"/>
    <n v="0.02"/>
    <x v="251"/>
    <x v="1"/>
  </r>
  <r>
    <s v="O00350"/>
    <s v="BOC6UZ"/>
    <n v="2"/>
    <n v="32.979999999999997"/>
    <s v="Beverage"/>
    <n v="11.84"/>
    <d v="2025-07-29T00:00:00"/>
    <s v="Plant 2 Canteen"/>
    <n v="0.08"/>
    <x v="273"/>
    <x v="0"/>
  </r>
  <r>
    <s v="O00350"/>
    <s v="HUZZPQ"/>
    <n v="2"/>
    <n v="146.4"/>
    <s v="Hot Meal"/>
    <n v="80.92"/>
    <d v="2025-07-29T00:00:00"/>
    <s v="Plant 2 Canteen"/>
    <n v="0.08"/>
    <x v="172"/>
    <x v="0"/>
  </r>
  <r>
    <s v="O00350"/>
    <s v="B0T0PV"/>
    <n v="1"/>
    <n v="28.43"/>
    <s v="Beverage"/>
    <n v="13.89"/>
    <d v="2025-07-29T00:00:00"/>
    <s v="Plant 2 Canteen"/>
    <n v="0.08"/>
    <x v="270"/>
    <x v="0"/>
  </r>
  <r>
    <s v="O00351"/>
    <s v="BTIQJ7"/>
    <n v="2"/>
    <n v="30.34"/>
    <s v="Beverage"/>
    <n v="14.18"/>
    <d v="2025-07-27T00:00:00"/>
    <s v="Plant 1 Canteen"/>
    <n v="0.01"/>
    <x v="501"/>
    <x v="0"/>
  </r>
  <r>
    <s v="O00352"/>
    <s v="BXO6QJ"/>
    <n v="1"/>
    <n v="20.11"/>
    <s v="Beverage"/>
    <n v="8"/>
    <d v="2025-08-12T00:00:00"/>
    <s v="Plant 2 Canteen"/>
    <n v="0.13"/>
    <x v="502"/>
    <x v="1"/>
  </r>
  <r>
    <s v="O00352"/>
    <s v="DFFYVN"/>
    <n v="2"/>
    <n v="54.2"/>
    <s v="Dessert"/>
    <n v="21.95"/>
    <d v="2025-08-12T00:00:00"/>
    <s v="Plant 2 Canteen"/>
    <n v="0.13"/>
    <x v="219"/>
    <x v="1"/>
  </r>
  <r>
    <s v="O00352"/>
    <s v="BTIQJ7"/>
    <n v="1"/>
    <n v="30.34"/>
    <s v="Beverage"/>
    <n v="14.18"/>
    <d v="2025-08-12T00:00:00"/>
    <s v="Plant 2 Canteen"/>
    <n v="0.13"/>
    <x v="503"/>
    <x v="1"/>
  </r>
  <r>
    <s v="O00352"/>
    <s v="SZBIKC"/>
    <n v="2"/>
    <n v="38.06"/>
    <s v="Snack"/>
    <n v="19.55"/>
    <d v="2025-08-12T00:00:00"/>
    <s v="Plant 2 Canteen"/>
    <n v="0.13"/>
    <x v="504"/>
    <x v="1"/>
  </r>
  <r>
    <s v="O00353"/>
    <s v="DH9SDB"/>
    <n v="3"/>
    <n v="76.55"/>
    <s v="Dessert"/>
    <n v="38.229999999999997"/>
    <d v="2025-08-18T00:00:00"/>
    <s v="Plant 2 Canteen"/>
    <n v="0.11"/>
    <x v="393"/>
    <x v="1"/>
  </r>
  <r>
    <s v="O00354"/>
    <s v="DH9SDB"/>
    <n v="2"/>
    <n v="76.55"/>
    <s v="Dessert"/>
    <n v="38.229999999999997"/>
    <d v="2025-08-11T00:00:00"/>
    <s v="Plant 1 Canteen"/>
    <n v="0.04"/>
    <x v="178"/>
    <x v="1"/>
  </r>
  <r>
    <s v="O00354"/>
    <s v="SZBIKC"/>
    <n v="1"/>
    <n v="38.06"/>
    <s v="Snack"/>
    <n v="19.55"/>
    <d v="2025-08-11T00:00:00"/>
    <s v="Plant 1 Canteen"/>
    <n v="0.04"/>
    <x v="323"/>
    <x v="1"/>
  </r>
  <r>
    <s v="O00355"/>
    <s v="DYTJXE"/>
    <n v="1"/>
    <n v="57.07"/>
    <s v="Dessert"/>
    <n v="29.14"/>
    <d v="2025-08-23T00:00:00"/>
    <s v="Plant 2 Canteen"/>
    <n v="0"/>
    <x v="378"/>
    <x v="1"/>
  </r>
  <r>
    <s v="O00355"/>
    <s v="BTIQJ7"/>
    <n v="1"/>
    <n v="30.34"/>
    <s v="Beverage"/>
    <n v="14.18"/>
    <d v="2025-08-23T00:00:00"/>
    <s v="Plant 2 Canteen"/>
    <n v="0"/>
    <x v="15"/>
    <x v="1"/>
  </r>
  <r>
    <s v="O00356"/>
    <s v="S5NQ4F"/>
    <n v="2"/>
    <n v="50.19"/>
    <s v="Snack"/>
    <n v="22.61"/>
    <d v="2025-08-02T00:00:00"/>
    <s v="Head Office Café"/>
    <n v="0.11"/>
    <x v="196"/>
    <x v="1"/>
  </r>
  <r>
    <s v="O00356"/>
    <s v="HXAJI0"/>
    <n v="2"/>
    <n v="227.61"/>
    <s v="Hot Meal"/>
    <n v="96.22"/>
    <d v="2025-08-02T00:00:00"/>
    <s v="Head Office Café"/>
    <n v="0.11"/>
    <x v="505"/>
    <x v="1"/>
  </r>
  <r>
    <s v="O00356"/>
    <s v="H3A3ZM"/>
    <n v="1"/>
    <n v="170.83"/>
    <s v="Hot Meal"/>
    <n v="74.069999999999993"/>
    <d v="2025-08-02T00:00:00"/>
    <s v="Head Office Café"/>
    <n v="0.11"/>
    <x v="452"/>
    <x v="1"/>
  </r>
  <r>
    <s v="O00356"/>
    <s v="BTIQJ7"/>
    <n v="2"/>
    <n v="30.34"/>
    <s v="Beverage"/>
    <n v="14.18"/>
    <d v="2025-08-02T00:00:00"/>
    <s v="Head Office Café"/>
    <n v="0.11"/>
    <x v="427"/>
    <x v="1"/>
  </r>
  <r>
    <s v="O00357"/>
    <s v="BXO6QJ"/>
    <n v="1"/>
    <n v="20.11"/>
    <s v="Beverage"/>
    <n v="8"/>
    <d v="2025-08-28T00:00:00"/>
    <s v="Head Office Café"/>
    <n v="0.06"/>
    <x v="257"/>
    <x v="1"/>
  </r>
  <r>
    <s v="O00357"/>
    <s v="BHL1C3"/>
    <n v="1"/>
    <n v="22.2"/>
    <s v="Beverage"/>
    <n v="9.3800000000000008"/>
    <d v="2025-08-28T00:00:00"/>
    <s v="Head Office Café"/>
    <n v="0.06"/>
    <x v="180"/>
    <x v="1"/>
  </r>
  <r>
    <s v="O00357"/>
    <s v="DYTJXE"/>
    <n v="1"/>
    <n v="57.07"/>
    <s v="Dessert"/>
    <n v="29.14"/>
    <d v="2025-08-28T00:00:00"/>
    <s v="Head Office Café"/>
    <n v="0.06"/>
    <x v="289"/>
    <x v="1"/>
  </r>
  <r>
    <s v="O00358"/>
    <s v="SCKW5N"/>
    <n v="1"/>
    <n v="70.540000000000006"/>
    <s v="Snack"/>
    <n v="35.81"/>
    <d v="2025-08-04T00:00:00"/>
    <s v="Plant 2 Canteen"/>
    <n v="0.11"/>
    <x v="160"/>
    <x v="1"/>
  </r>
  <r>
    <s v="O00358"/>
    <s v="BTIQJ7"/>
    <n v="1"/>
    <n v="30.34"/>
    <s v="Beverage"/>
    <n v="14.18"/>
    <d v="2025-08-04T00:00:00"/>
    <s v="Plant 2 Canteen"/>
    <n v="0.11"/>
    <x v="506"/>
    <x v="1"/>
  </r>
  <r>
    <s v="O00359"/>
    <s v="HXAJI0"/>
    <n v="2"/>
    <n v="227.61"/>
    <s v="Hot Meal"/>
    <n v="96.22"/>
    <d v="2025-08-12T00:00:00"/>
    <s v="Plant 2 Canteen"/>
    <n v="0"/>
    <x v="120"/>
    <x v="1"/>
  </r>
  <r>
    <s v="O00360"/>
    <s v="H3A3ZM"/>
    <n v="1"/>
    <n v="170.83"/>
    <s v="Hot Meal"/>
    <n v="74.069999999999993"/>
    <d v="2025-08-09T00:00:00"/>
    <s v="Plant 2 Canteen"/>
    <n v="0.04"/>
    <x v="507"/>
    <x v="1"/>
  </r>
  <r>
    <s v="O00360"/>
    <s v="HDPBHS"/>
    <n v="3"/>
    <n v="256.91000000000003"/>
    <s v="Hot Meal"/>
    <n v="121.24"/>
    <d v="2025-08-09T00:00:00"/>
    <s v="Plant 2 Canteen"/>
    <n v="0.04"/>
    <x v="498"/>
    <x v="1"/>
  </r>
  <r>
    <s v="O00360"/>
    <s v="BTIQJ7"/>
    <n v="2"/>
    <n v="30.34"/>
    <s v="Beverage"/>
    <n v="14.18"/>
    <d v="2025-08-09T00:00:00"/>
    <s v="Plant 2 Canteen"/>
    <n v="0.04"/>
    <x v="508"/>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4">
  <r>
    <s v="O00001"/>
    <s v="SHJ7XV"/>
    <n v="3"/>
    <n v="52.45"/>
    <x v="0"/>
    <n v="25.8"/>
    <d v="2025-07-14T00:00:00"/>
    <x v="0"/>
    <n v="0.06"/>
    <n v="147.90900000000002"/>
    <x v="0"/>
    <s v="Breakfast"/>
    <s v="UPI"/>
    <s v="Single"/>
    <s v="OK"/>
  </r>
  <r>
    <s v="O00002"/>
    <s v="BTIQJ7"/>
    <n v="1"/>
    <n v="30.34"/>
    <x v="1"/>
    <n v="14.18"/>
    <d v="2025-07-24T00:00:00"/>
    <x v="1"/>
    <n v="0.05"/>
    <n v="28.822999999999997"/>
    <x v="0"/>
    <s v="Dinner"/>
    <s v="Cash"/>
    <s v="Single"/>
    <s v="OK"/>
  </r>
  <r>
    <s v="O00002"/>
    <s v="DH9SDB"/>
    <n v="1"/>
    <n v="76.55"/>
    <x v="2"/>
    <n v="38.229999999999997"/>
    <d v="2025-07-24T00:00:00"/>
    <x v="1"/>
    <n v="0.05"/>
    <n v="72.722499999999997"/>
    <x v="0"/>
    <s v="Dinner"/>
    <s v="Cash"/>
    <s v="Single"/>
    <s v="OK"/>
  </r>
  <r>
    <s v="O00003"/>
    <s v="BOC6UZ"/>
    <n v="2"/>
    <n v="32.979999999999997"/>
    <x v="1"/>
    <n v="11.84"/>
    <d v="2025-07-10T00:00:00"/>
    <x v="0"/>
    <n v="0"/>
    <n v="65.959999999999994"/>
    <x v="0"/>
    <s v="Lunch"/>
    <s v="Card"/>
    <s v="Combo"/>
    <s v="OK"/>
  </r>
  <r>
    <s v="O00003"/>
    <s v="SHJ7XV"/>
    <n v="1"/>
    <n v="52.45"/>
    <x v="0"/>
    <n v="25.8"/>
    <d v="2025-07-10T00:00:00"/>
    <x v="0"/>
    <n v="0"/>
    <n v="52.45"/>
    <x v="0"/>
    <s v="Lunch"/>
    <s v="Card"/>
    <s v="Combo"/>
    <s v="OK"/>
  </r>
  <r>
    <s v="O00003"/>
    <s v="H3A3ZM"/>
    <n v="3"/>
    <n v="170.83"/>
    <x v="3"/>
    <n v="74.069999999999993"/>
    <d v="2025-07-10T00:00:00"/>
    <x v="0"/>
    <n v="0"/>
    <n v="512.49"/>
    <x v="0"/>
    <s v="Lunch"/>
    <s v="Card"/>
    <s v="Combo"/>
    <s v="OK"/>
  </r>
  <r>
    <s v="O00003"/>
    <s v="SZBIKC"/>
    <n v="1"/>
    <n v="38.06"/>
    <x v="0"/>
    <n v="19.55"/>
    <d v="2025-07-10T00:00:00"/>
    <x v="0"/>
    <n v="0"/>
    <n v="38.06"/>
    <x v="0"/>
    <s v="Lunch"/>
    <s v="Card"/>
    <s v="Combo"/>
    <s v="OK"/>
  </r>
  <r>
    <s v="O00004"/>
    <s v="HH1DNM"/>
    <n v="2"/>
    <n v="246.09"/>
    <x v="3"/>
    <n v="112.08"/>
    <d v="2025-08-10T00:00:00"/>
    <x v="1"/>
    <n v="0.03"/>
    <n v="477.41460000000001"/>
    <x v="1"/>
    <s v="Breakfast"/>
    <s v="Cash"/>
    <s v="Single"/>
    <s v="OK"/>
  </r>
  <r>
    <s v="O00005"/>
    <s v="SCKW5N"/>
    <n v="1"/>
    <n v="70.540000000000006"/>
    <x v="0"/>
    <n v="35.81"/>
    <d v="2025-07-07T00:00:00"/>
    <x v="1"/>
    <n v="0.04"/>
    <n v="67.718400000000003"/>
    <x v="0"/>
    <s v="Breakfast"/>
    <s v="Card"/>
    <s v="Single"/>
    <s v="OK"/>
  </r>
  <r>
    <s v="O00005"/>
    <s v="B0T0PV"/>
    <n v="1"/>
    <n v="28.43"/>
    <x v="1"/>
    <n v="13.89"/>
    <d v="2025-07-07T00:00:00"/>
    <x v="1"/>
    <n v="0.04"/>
    <n v="27.2928"/>
    <x v="0"/>
    <s v="Breakfast"/>
    <s v="Card"/>
    <s v="Single"/>
    <s v="OK"/>
  </r>
  <r>
    <s v="O00006"/>
    <s v="BXO6QJ"/>
    <n v="3"/>
    <n v="20.11"/>
    <x v="1"/>
    <n v="8"/>
    <d v="2025-07-25T00:00:00"/>
    <x v="2"/>
    <n v="0.1"/>
    <n v="54.296999999999997"/>
    <x v="0"/>
    <s v="Breakfast"/>
    <s v="UPI"/>
    <s v="Single"/>
    <s v="OK"/>
  </r>
  <r>
    <s v="O00007"/>
    <s v="BOC6UZ"/>
    <n v="1"/>
    <n v="32.979999999999997"/>
    <x v="1"/>
    <n v="11.84"/>
    <d v="2025-07-14T00:00:00"/>
    <x v="1"/>
    <n v="7.0000000000000007E-2"/>
    <n v="30.671399999999995"/>
    <x v="0"/>
    <s v="Dinner"/>
    <s v="Card"/>
    <s v="Combo"/>
    <s v="OK"/>
  </r>
  <r>
    <s v="O00007"/>
    <s v="H3A3ZM"/>
    <n v="2"/>
    <n v="170.83"/>
    <x v="3"/>
    <n v="74.069999999999993"/>
    <d v="2025-07-14T00:00:00"/>
    <x v="1"/>
    <n v="7.0000000000000007E-2"/>
    <n v="317.74380000000002"/>
    <x v="0"/>
    <s v="Dinner"/>
    <s v="Card"/>
    <s v="Combo"/>
    <s v="OK"/>
  </r>
  <r>
    <s v="O00008"/>
    <s v="BHL1C3"/>
    <n v="1"/>
    <n v="22.2"/>
    <x v="1"/>
    <n v="9.3800000000000008"/>
    <d v="2025-07-25T00:00:00"/>
    <x v="2"/>
    <n v="0"/>
    <n v="22.2"/>
    <x v="0"/>
    <s v="Lunch"/>
    <s v="UPI"/>
    <s v="Single"/>
    <s v="OK"/>
  </r>
  <r>
    <s v="O00008"/>
    <s v="DYTJXE"/>
    <n v="3"/>
    <n v="57.07"/>
    <x v="2"/>
    <n v="29.14"/>
    <d v="2025-07-25T00:00:00"/>
    <x v="2"/>
    <n v="0"/>
    <n v="171.21"/>
    <x v="0"/>
    <s v="Lunch"/>
    <s v="UPI"/>
    <s v="Single"/>
    <s v="OK"/>
  </r>
  <r>
    <s v="O00008"/>
    <s v="BTIQJ7"/>
    <n v="1"/>
    <n v="30.34"/>
    <x v="1"/>
    <n v="14.18"/>
    <d v="2025-07-25T00:00:00"/>
    <x v="2"/>
    <n v="0"/>
    <n v="30.34"/>
    <x v="0"/>
    <s v="Lunch"/>
    <s v="UPI"/>
    <s v="Single"/>
    <s v="OK"/>
  </r>
  <r>
    <s v="O00009"/>
    <s v="H3A3ZM"/>
    <n v="2"/>
    <n v="170.83"/>
    <x v="3"/>
    <n v="74.069999999999993"/>
    <d v="2025-07-06T00:00:00"/>
    <x v="0"/>
    <n v="7.0000000000000007E-2"/>
    <n v="317.74380000000002"/>
    <x v="0"/>
    <s v="Breakfast"/>
    <s v="Cash"/>
    <s v="Single"/>
    <s v="OK"/>
  </r>
  <r>
    <s v="O00009"/>
    <s v="DYTJXE"/>
    <n v="2"/>
    <n v="57.07"/>
    <x v="2"/>
    <n v="29.14"/>
    <d v="2025-07-06T00:00:00"/>
    <x v="0"/>
    <n v="7.0000000000000007E-2"/>
    <n v="106.1502"/>
    <x v="0"/>
    <s v="Breakfast"/>
    <s v="Cash"/>
    <s v="Single"/>
    <s v="OK"/>
  </r>
  <r>
    <s v="O00009"/>
    <s v="SZBIKC"/>
    <n v="1"/>
    <n v="38.06"/>
    <x v="0"/>
    <n v="19.55"/>
    <d v="2025-07-06T00:00:00"/>
    <x v="0"/>
    <n v="7.0000000000000007E-2"/>
    <n v="35.395800000000001"/>
    <x v="0"/>
    <s v="Breakfast"/>
    <s v="Cash"/>
    <s v="Single"/>
    <s v="OK"/>
  </r>
  <r>
    <s v="O00010"/>
    <s v="BHL1C3"/>
    <n v="2"/>
    <n v="22.2"/>
    <x v="1"/>
    <n v="9.3800000000000008"/>
    <d v="2025-07-24T00:00:00"/>
    <x v="2"/>
    <n v="0.04"/>
    <n v="42.623999999999995"/>
    <x v="0"/>
    <s v="Breakfast"/>
    <s v="Card"/>
    <s v="Combo"/>
    <s v="OK"/>
  </r>
  <r>
    <s v="O00010"/>
    <s v="HH1DNM"/>
    <n v="1"/>
    <n v="246.09"/>
    <x v="3"/>
    <n v="112.08"/>
    <d v="2025-07-24T00:00:00"/>
    <x v="2"/>
    <n v="0.04"/>
    <n v="236.24639999999999"/>
    <x v="0"/>
    <s v="Breakfast"/>
    <s v="Card"/>
    <s v="Combo"/>
    <s v="OK"/>
  </r>
  <r>
    <s v="O00010"/>
    <s v="SCKW5N"/>
    <n v="1"/>
    <n v="70.540000000000006"/>
    <x v="0"/>
    <n v="35.81"/>
    <d v="2025-07-24T00:00:00"/>
    <x v="2"/>
    <n v="0.04"/>
    <n v="67.718400000000003"/>
    <x v="0"/>
    <s v="Breakfast"/>
    <s v="Card"/>
    <s v="Combo"/>
    <s v="OK"/>
  </r>
  <r>
    <s v="O00010"/>
    <s v="DH9SDB"/>
    <n v="1"/>
    <n v="76.55"/>
    <x v="2"/>
    <n v="38.229999999999997"/>
    <d v="2025-07-24T00:00:00"/>
    <x v="2"/>
    <n v="0.04"/>
    <n v="73.488"/>
    <x v="0"/>
    <s v="Breakfast"/>
    <s v="Card"/>
    <s v="Combo"/>
    <s v="OK"/>
  </r>
  <r>
    <s v="O00011"/>
    <s v="B0T0PV"/>
    <n v="1"/>
    <n v="28.43"/>
    <x v="1"/>
    <n v="13.89"/>
    <d v="2025-07-22T00:00:00"/>
    <x v="1"/>
    <n v="0.03"/>
    <n v="27.577099999999998"/>
    <x v="0"/>
    <s v="Breakfast"/>
    <s v="Cash"/>
    <s v="Single"/>
    <s v="OK"/>
  </r>
  <r>
    <s v="O00012"/>
    <s v="DFFYVN"/>
    <n v="1"/>
    <n v="54.2"/>
    <x v="2"/>
    <n v="21.95"/>
    <d v="2025-07-01T00:00:00"/>
    <x v="1"/>
    <n v="0.08"/>
    <n v="49.864000000000004"/>
    <x v="0"/>
    <s v="Lunch"/>
    <s v="Card"/>
    <s v="Single"/>
    <s v="OK"/>
  </r>
  <r>
    <s v="O00012"/>
    <s v="SHJ7XV"/>
    <n v="1"/>
    <n v="52.45"/>
    <x v="0"/>
    <n v="25.8"/>
    <d v="2025-07-01T00:00:00"/>
    <x v="1"/>
    <n v="0.08"/>
    <n v="48.254000000000005"/>
    <x v="0"/>
    <s v="Lunch"/>
    <s v="Card"/>
    <s v="Single"/>
    <s v="OK"/>
  </r>
  <r>
    <s v="O00013"/>
    <s v="DH9SDB"/>
    <n v="3"/>
    <n v="76.55"/>
    <x v="2"/>
    <n v="38.229999999999997"/>
    <d v="2025-08-11T00:00:00"/>
    <x v="0"/>
    <n v="0.1"/>
    <n v="206.68499999999997"/>
    <x v="1"/>
    <s v="Breakfast"/>
    <s v="UPI"/>
    <s v="Combo"/>
    <s v="HighDisc"/>
  </r>
  <r>
    <s v="O00013"/>
    <s v="BTIQJ7"/>
    <n v="2"/>
    <n v="30.34"/>
    <x v="1"/>
    <n v="14.18"/>
    <d v="2025-08-11T00:00:00"/>
    <x v="0"/>
    <n v="0.1"/>
    <n v="54.612000000000002"/>
    <x v="1"/>
    <s v="Breakfast"/>
    <s v="UPI"/>
    <s v="Combo"/>
    <s v="HighDisc"/>
  </r>
  <r>
    <s v="O00013"/>
    <s v="D9T84A"/>
    <n v="3"/>
    <n v="116.8"/>
    <x v="2"/>
    <n v="48.97"/>
    <d v="2025-08-11T00:00:00"/>
    <x v="0"/>
    <n v="0.1"/>
    <n v="315.36"/>
    <x v="1"/>
    <s v="Breakfast"/>
    <s v="UPI"/>
    <s v="Combo"/>
    <s v="HighDisc"/>
  </r>
  <r>
    <s v="O00013"/>
    <s v="HDPBHS"/>
    <n v="1"/>
    <n v="256.91000000000003"/>
    <x v="3"/>
    <n v="121.24"/>
    <d v="2025-08-11T00:00:00"/>
    <x v="0"/>
    <n v="0.1"/>
    <n v="231.21900000000002"/>
    <x v="1"/>
    <s v="Breakfast"/>
    <s v="UPI"/>
    <s v="Combo"/>
    <s v="HighDisc"/>
  </r>
  <r>
    <s v="O00014"/>
    <s v="B0T0PV"/>
    <n v="1"/>
    <n v="28.43"/>
    <x v="1"/>
    <n v="13.89"/>
    <d v="2025-07-16T00:00:00"/>
    <x v="2"/>
    <n v="0.1"/>
    <n v="25.587"/>
    <x v="0"/>
    <s v="Breakfast"/>
    <s v="Cash"/>
    <s v="Single"/>
    <s v="OK"/>
  </r>
  <r>
    <s v="O00014"/>
    <s v="DH9SDB"/>
    <n v="2"/>
    <n v="76.55"/>
    <x v="2"/>
    <n v="38.229999999999997"/>
    <d v="2025-07-16T00:00:00"/>
    <x v="2"/>
    <n v="0.1"/>
    <n v="137.79"/>
    <x v="0"/>
    <s v="Breakfast"/>
    <s v="Cash"/>
    <s v="Single"/>
    <s v="OK"/>
  </r>
  <r>
    <s v="O00014"/>
    <s v="BXO6QJ"/>
    <n v="1"/>
    <n v="20.11"/>
    <x v="1"/>
    <n v="8"/>
    <d v="2025-07-16T00:00:00"/>
    <x v="2"/>
    <n v="0.1"/>
    <n v="18.099"/>
    <x v="0"/>
    <s v="Breakfast"/>
    <s v="Cash"/>
    <s v="Single"/>
    <s v="OK"/>
  </r>
  <r>
    <s v="O00015"/>
    <s v="H3A3ZM"/>
    <n v="1"/>
    <n v="170.83"/>
    <x v="3"/>
    <n v="74.069999999999993"/>
    <d v="2025-08-26T00:00:00"/>
    <x v="0"/>
    <n v="0.03"/>
    <n v="165.70510000000002"/>
    <x v="1"/>
    <s v="Lunch"/>
    <s v="Cash"/>
    <s v="Combo"/>
    <s v="OK"/>
  </r>
  <r>
    <s v="O00015"/>
    <s v="BOC6UZ"/>
    <n v="3"/>
    <n v="32.979999999999997"/>
    <x v="1"/>
    <n v="11.84"/>
    <d v="2025-08-26T00:00:00"/>
    <x v="0"/>
    <n v="0.03"/>
    <n v="95.971800000000002"/>
    <x v="1"/>
    <s v="Lunch"/>
    <s v="Cash"/>
    <s v="Combo"/>
    <s v="OK"/>
  </r>
  <r>
    <s v="O00015"/>
    <s v="DH9SDB"/>
    <n v="2"/>
    <n v="76.55"/>
    <x v="2"/>
    <n v="38.229999999999997"/>
    <d v="2025-08-26T00:00:00"/>
    <x v="0"/>
    <n v="0.03"/>
    <n v="148.50699999999998"/>
    <x v="1"/>
    <s v="Lunch"/>
    <s v="Cash"/>
    <s v="Combo"/>
    <s v="OK"/>
  </r>
  <r>
    <s v="O00016"/>
    <s v="DYTJXE"/>
    <n v="1"/>
    <n v="57.07"/>
    <x v="2"/>
    <n v="29.14"/>
    <d v="2025-07-06T00:00:00"/>
    <x v="2"/>
    <n v="0.05"/>
    <n v="54.216499999999996"/>
    <x v="0"/>
    <s v="Dinner"/>
    <s v="Card"/>
    <s v="Single"/>
    <s v="OK"/>
  </r>
  <r>
    <s v="O00016"/>
    <s v="SCKW5N"/>
    <n v="1"/>
    <n v="70.540000000000006"/>
    <x v="0"/>
    <n v="35.81"/>
    <d v="2025-07-06T00:00:00"/>
    <x v="2"/>
    <n v="0.05"/>
    <n v="67.013000000000005"/>
    <x v="0"/>
    <s v="Dinner"/>
    <s v="Card"/>
    <s v="Single"/>
    <s v="OK"/>
  </r>
  <r>
    <s v="O00016"/>
    <s v="SHJ7XV"/>
    <n v="3"/>
    <n v="52.45"/>
    <x v="0"/>
    <n v="25.8"/>
    <d v="2025-07-06T00:00:00"/>
    <x v="2"/>
    <n v="0.05"/>
    <n v="149.48250000000002"/>
    <x v="0"/>
    <s v="Dinner"/>
    <s v="Card"/>
    <s v="Single"/>
    <s v="OK"/>
  </r>
  <r>
    <s v="O00016"/>
    <s v="HXAJI0"/>
    <n v="1"/>
    <n v="227.61"/>
    <x v="3"/>
    <n v="96.22"/>
    <d v="2025-07-06T00:00:00"/>
    <x v="2"/>
    <n v="0.05"/>
    <n v="216.2295"/>
    <x v="0"/>
    <s v="Dinner"/>
    <s v="Card"/>
    <s v="Single"/>
    <s v="OK"/>
  </r>
  <r>
    <s v="O00017"/>
    <s v="BOC6UZ"/>
    <n v="1"/>
    <n v="32.979999999999997"/>
    <x v="1"/>
    <n v="11.84"/>
    <d v="2025-08-21T00:00:00"/>
    <x v="2"/>
    <n v="7.0000000000000007E-2"/>
    <n v="30.671399999999995"/>
    <x v="1"/>
    <s v="Dinner"/>
    <s v="UPI"/>
    <s v="Single"/>
    <s v="OK"/>
  </r>
  <r>
    <s v="O00018"/>
    <s v="D9T84A"/>
    <n v="1"/>
    <n v="116.8"/>
    <x v="2"/>
    <n v="48.97"/>
    <d v="2025-07-19T00:00:00"/>
    <x v="2"/>
    <n v="0.1"/>
    <n v="105.12"/>
    <x v="0"/>
    <s v="Breakfast"/>
    <s v="Cash"/>
    <s v="Single"/>
    <s v="OK"/>
  </r>
  <r>
    <s v="O00018"/>
    <s v="BOC6UZ"/>
    <n v="2"/>
    <n v="32.979999999999997"/>
    <x v="1"/>
    <n v="11.84"/>
    <d v="2025-07-19T00:00:00"/>
    <x v="2"/>
    <n v="0.1"/>
    <n v="59.363999999999997"/>
    <x v="0"/>
    <s v="Breakfast"/>
    <s v="Cash"/>
    <s v="Single"/>
    <s v="OK"/>
  </r>
  <r>
    <s v="O00019"/>
    <s v="HUZZPQ"/>
    <n v="1"/>
    <n v="146.4"/>
    <x v="3"/>
    <n v="80.92"/>
    <d v="2025-08-09T00:00:00"/>
    <x v="2"/>
    <n v="0.04"/>
    <n v="140.54400000000001"/>
    <x v="1"/>
    <s v="Breakfast"/>
    <s v="Cash"/>
    <s v="Single"/>
    <s v="OK"/>
  </r>
  <r>
    <s v="O00019"/>
    <s v="SCKW5N"/>
    <n v="1"/>
    <n v="70.540000000000006"/>
    <x v="0"/>
    <n v="35.81"/>
    <d v="2025-08-09T00:00:00"/>
    <x v="2"/>
    <n v="0.04"/>
    <n v="67.718400000000003"/>
    <x v="1"/>
    <s v="Breakfast"/>
    <s v="Cash"/>
    <s v="Single"/>
    <s v="OK"/>
  </r>
  <r>
    <s v="O00019"/>
    <s v="HDPBHS"/>
    <n v="2"/>
    <n v="256.91000000000003"/>
    <x v="3"/>
    <n v="121.24"/>
    <d v="2025-08-09T00:00:00"/>
    <x v="2"/>
    <n v="0.04"/>
    <n v="493.2672"/>
    <x v="1"/>
    <s v="Breakfast"/>
    <s v="Cash"/>
    <s v="Single"/>
    <s v="OK"/>
  </r>
  <r>
    <s v="O00020"/>
    <s v="DFFYVN"/>
    <n v="3"/>
    <n v="54.2"/>
    <x v="2"/>
    <n v="21.95"/>
    <d v="2025-07-09T00:00:00"/>
    <x v="1"/>
    <n v="0.05"/>
    <n v="154.47000000000003"/>
    <x v="0"/>
    <s v="Breakfast"/>
    <s v="UPI"/>
    <s v="Combo"/>
    <s v="OK"/>
  </r>
  <r>
    <s v="O00020"/>
    <s v="HXAJI0"/>
    <n v="1"/>
    <n v="227.61"/>
    <x v="3"/>
    <n v="96.22"/>
    <d v="2025-07-09T00:00:00"/>
    <x v="1"/>
    <n v="0.05"/>
    <n v="216.2295"/>
    <x v="0"/>
    <s v="Breakfast"/>
    <s v="UPI"/>
    <s v="Combo"/>
    <s v="OK"/>
  </r>
  <r>
    <s v="O00020"/>
    <s v="BOC6UZ"/>
    <n v="1"/>
    <n v="32.979999999999997"/>
    <x v="1"/>
    <n v="11.84"/>
    <d v="2025-07-09T00:00:00"/>
    <x v="1"/>
    <n v="0.05"/>
    <n v="31.330999999999996"/>
    <x v="0"/>
    <s v="Breakfast"/>
    <s v="UPI"/>
    <s v="Combo"/>
    <s v="OK"/>
  </r>
  <r>
    <s v="O00020"/>
    <s v="DH9SDB"/>
    <n v="1"/>
    <n v="76.55"/>
    <x v="2"/>
    <n v="38.229999999999997"/>
    <d v="2025-07-09T00:00:00"/>
    <x v="1"/>
    <n v="0.05"/>
    <n v="72.722499999999997"/>
    <x v="0"/>
    <s v="Breakfast"/>
    <s v="UPI"/>
    <s v="Combo"/>
    <s v="OK"/>
  </r>
  <r>
    <s v="O00021"/>
    <s v="SHJ7XV"/>
    <n v="3"/>
    <n v="52.45"/>
    <x v="0"/>
    <n v="25.8"/>
    <d v="2025-07-31T00:00:00"/>
    <x v="1"/>
    <n v="0.02"/>
    <n v="154.20300000000003"/>
    <x v="0"/>
    <s v="Dinner"/>
    <s v="UPI"/>
    <s v="Single"/>
    <s v="OK"/>
  </r>
  <r>
    <s v="O00021"/>
    <s v="SV30T9"/>
    <n v="1"/>
    <n v="39.950000000000003"/>
    <x v="0"/>
    <n v="15.51"/>
    <d v="2025-07-31T00:00:00"/>
    <x v="1"/>
    <n v="0.02"/>
    <n v="39.151000000000003"/>
    <x v="0"/>
    <s v="Dinner"/>
    <s v="UPI"/>
    <s v="Single"/>
    <s v="OK"/>
  </r>
  <r>
    <s v="O00021"/>
    <s v="S5NQ4F"/>
    <n v="2"/>
    <n v="50.19"/>
    <x v="0"/>
    <n v="22.61"/>
    <d v="2025-07-31T00:00:00"/>
    <x v="1"/>
    <n v="0.02"/>
    <n v="98.372399999999999"/>
    <x v="0"/>
    <s v="Dinner"/>
    <s v="UPI"/>
    <s v="Single"/>
    <s v="OK"/>
  </r>
  <r>
    <s v="O00022"/>
    <s v="DFFYVN"/>
    <n v="1"/>
    <n v="54.2"/>
    <x v="2"/>
    <n v="21.95"/>
    <d v="2025-07-24T00:00:00"/>
    <x v="1"/>
    <n v="0.01"/>
    <n v="53.658000000000001"/>
    <x v="0"/>
    <s v="Breakfast"/>
    <s v="Cash"/>
    <s v="Combo"/>
    <s v="OK"/>
  </r>
  <r>
    <s v="O00022"/>
    <s v="B0T0PV"/>
    <n v="2"/>
    <n v="28.43"/>
    <x v="1"/>
    <n v="13.89"/>
    <d v="2025-07-24T00:00:00"/>
    <x v="1"/>
    <n v="0.01"/>
    <n v="56.291399999999996"/>
    <x v="0"/>
    <s v="Breakfast"/>
    <s v="Cash"/>
    <s v="Combo"/>
    <s v="OK"/>
  </r>
  <r>
    <s v="O00022"/>
    <s v="HDPBHS"/>
    <n v="1"/>
    <n v="256.91000000000003"/>
    <x v="3"/>
    <n v="121.24"/>
    <d v="2025-07-24T00:00:00"/>
    <x v="1"/>
    <n v="0.01"/>
    <n v="254.34090000000003"/>
    <x v="0"/>
    <s v="Breakfast"/>
    <s v="Cash"/>
    <s v="Combo"/>
    <s v="OK"/>
  </r>
  <r>
    <s v="O00023"/>
    <s v="BXO6QJ"/>
    <n v="1"/>
    <n v="20.11"/>
    <x v="1"/>
    <n v="8"/>
    <d v="2025-08-14T00:00:00"/>
    <x v="1"/>
    <n v="0.09"/>
    <n v="18.3001"/>
    <x v="1"/>
    <s v="Lunch"/>
    <s v="Cash"/>
    <s v="Combo"/>
    <s v="OK"/>
  </r>
  <r>
    <s v="O00023"/>
    <s v="HH1DNM"/>
    <n v="1"/>
    <n v="246.09"/>
    <x v="3"/>
    <n v="112.08"/>
    <d v="2025-08-14T00:00:00"/>
    <x v="1"/>
    <n v="0.09"/>
    <n v="223.9419"/>
    <x v="1"/>
    <s v="Lunch"/>
    <s v="Cash"/>
    <s v="Combo"/>
    <s v="OK"/>
  </r>
  <r>
    <s v="O00024"/>
    <s v="HUZZPQ"/>
    <n v="3"/>
    <n v="146.4"/>
    <x v="3"/>
    <n v="80.92"/>
    <d v="2025-08-24T00:00:00"/>
    <x v="2"/>
    <n v="0.11"/>
    <n v="390.88800000000003"/>
    <x v="1"/>
    <s v="Dinner"/>
    <s v="UPI"/>
    <s v="Single"/>
    <s v="HighDisc"/>
  </r>
  <r>
    <s v="O00025"/>
    <s v="S5NQ4F"/>
    <n v="1"/>
    <n v="50.19"/>
    <x v="0"/>
    <n v="22.61"/>
    <d v="2025-08-19T00:00:00"/>
    <x v="1"/>
    <n v="0.06"/>
    <n v="47.178599999999996"/>
    <x v="1"/>
    <s v="Breakfast"/>
    <s v="Card"/>
    <s v="Single"/>
    <s v="OK"/>
  </r>
  <r>
    <s v="O00026"/>
    <s v="SHJ7XV"/>
    <n v="1"/>
    <n v="52.45"/>
    <x v="0"/>
    <n v="25.8"/>
    <d v="2025-07-24T00:00:00"/>
    <x v="1"/>
    <n v="0.1"/>
    <n v="47.205000000000005"/>
    <x v="0"/>
    <s v="Dinner"/>
    <s v="Cash"/>
    <s v="Single"/>
    <s v="OK"/>
  </r>
  <r>
    <s v="O00026"/>
    <s v="SZBIKC"/>
    <n v="1"/>
    <n v="38.06"/>
    <x v="0"/>
    <n v="19.55"/>
    <d v="2025-07-24T00:00:00"/>
    <x v="1"/>
    <n v="0.1"/>
    <n v="34.254000000000005"/>
    <x v="0"/>
    <s v="Dinner"/>
    <s v="Cash"/>
    <s v="Single"/>
    <s v="OK"/>
  </r>
  <r>
    <s v="O00027"/>
    <s v="H3A3ZM"/>
    <n v="3"/>
    <n v="170.83"/>
    <x v="3"/>
    <n v="74.069999999999993"/>
    <d v="2025-08-22T00:00:00"/>
    <x v="0"/>
    <n v="7.0000000000000007E-2"/>
    <n v="476.6157"/>
    <x v="1"/>
    <s v="Dinner"/>
    <s v="UPI"/>
    <s v="Combo"/>
    <s v="HighDisc"/>
  </r>
  <r>
    <s v="O00027"/>
    <s v="BTIQJ7"/>
    <n v="1"/>
    <n v="30.34"/>
    <x v="1"/>
    <n v="14.18"/>
    <d v="2025-08-22T00:00:00"/>
    <x v="0"/>
    <n v="7.0000000000000007E-2"/>
    <n v="28.216199999999997"/>
    <x v="1"/>
    <s v="Dinner"/>
    <s v="UPI"/>
    <s v="Combo"/>
    <s v="HighDisc"/>
  </r>
  <r>
    <s v="O00027"/>
    <s v="DYTJXE"/>
    <n v="2"/>
    <n v="57.07"/>
    <x v="2"/>
    <n v="29.14"/>
    <d v="2025-08-22T00:00:00"/>
    <x v="0"/>
    <n v="7.0000000000000007E-2"/>
    <n v="106.1502"/>
    <x v="1"/>
    <s v="Dinner"/>
    <s v="UPI"/>
    <s v="Combo"/>
    <s v="HighDisc"/>
  </r>
  <r>
    <s v="O00027"/>
    <s v="HH1DNM"/>
    <n v="1"/>
    <n v="246.09"/>
    <x v="3"/>
    <n v="112.08"/>
    <d v="2025-08-22T00:00:00"/>
    <x v="0"/>
    <n v="7.0000000000000007E-2"/>
    <n v="228.86369999999999"/>
    <x v="1"/>
    <s v="Dinner"/>
    <s v="UPI"/>
    <s v="Combo"/>
    <s v="HighDisc"/>
  </r>
  <r>
    <s v="O00028"/>
    <s v="S5NQ4F"/>
    <n v="1"/>
    <n v="50.19"/>
    <x v="0"/>
    <n v="22.61"/>
    <d v="2025-07-02T00:00:00"/>
    <x v="0"/>
    <n v="0.03"/>
    <n v="48.684299999999993"/>
    <x v="0"/>
    <s v="Breakfast"/>
    <s v="Card"/>
    <s v="Single"/>
    <s v="OK"/>
  </r>
  <r>
    <s v="O00028"/>
    <s v="D9T84A"/>
    <n v="2"/>
    <n v="116.8"/>
    <x v="2"/>
    <n v="48.97"/>
    <d v="2025-07-02T00:00:00"/>
    <x v="0"/>
    <n v="0.03"/>
    <n v="226.59199999999998"/>
    <x v="0"/>
    <s v="Breakfast"/>
    <s v="Card"/>
    <s v="Single"/>
    <s v="OK"/>
  </r>
  <r>
    <s v="O00028"/>
    <s v="SCKW5N"/>
    <n v="1"/>
    <n v="70.540000000000006"/>
    <x v="0"/>
    <n v="35.81"/>
    <d v="2025-07-02T00:00:00"/>
    <x v="0"/>
    <n v="0.03"/>
    <n v="68.4238"/>
    <x v="0"/>
    <s v="Breakfast"/>
    <s v="Card"/>
    <s v="Single"/>
    <s v="OK"/>
  </r>
  <r>
    <s v="O00028"/>
    <s v="BXO6QJ"/>
    <n v="2"/>
    <n v="20.11"/>
    <x v="1"/>
    <n v="8"/>
    <d v="2025-07-02T00:00:00"/>
    <x v="0"/>
    <n v="0.03"/>
    <n v="39.013399999999997"/>
    <x v="0"/>
    <s v="Breakfast"/>
    <s v="Card"/>
    <s v="Single"/>
    <s v="OK"/>
  </r>
  <r>
    <s v="O00029"/>
    <s v="S5NQ4F"/>
    <n v="3"/>
    <n v="50.19"/>
    <x v="0"/>
    <n v="22.61"/>
    <d v="2025-07-14T00:00:00"/>
    <x v="1"/>
    <n v="7.0000000000000007E-2"/>
    <n v="140.03009999999998"/>
    <x v="0"/>
    <s v="Breakfast"/>
    <s v="Cash"/>
    <s v="Single"/>
    <s v="OK"/>
  </r>
  <r>
    <s v="O00030"/>
    <s v="B0T0PV"/>
    <n v="1"/>
    <n v="28.43"/>
    <x v="1"/>
    <n v="13.89"/>
    <d v="2025-07-16T00:00:00"/>
    <x v="1"/>
    <n v="0.12"/>
    <n v="25.0184"/>
    <x v="0"/>
    <s v="Breakfast"/>
    <s v="UPI"/>
    <s v="Combo"/>
    <s v="HighDisc"/>
  </r>
  <r>
    <s v="O00030"/>
    <s v="HH1DNM"/>
    <n v="1"/>
    <n v="246.09"/>
    <x v="3"/>
    <n v="112.08"/>
    <d v="2025-07-16T00:00:00"/>
    <x v="1"/>
    <n v="0.12"/>
    <n v="216.5592"/>
    <x v="0"/>
    <s v="Breakfast"/>
    <s v="UPI"/>
    <s v="Combo"/>
    <s v="HighDisc"/>
  </r>
  <r>
    <s v="O00030"/>
    <s v="SCKW5N"/>
    <n v="2"/>
    <n v="70.540000000000006"/>
    <x v="0"/>
    <n v="35.81"/>
    <d v="2025-07-16T00:00:00"/>
    <x v="1"/>
    <n v="0.12"/>
    <n v="124.1504"/>
    <x v="0"/>
    <s v="Breakfast"/>
    <s v="UPI"/>
    <s v="Combo"/>
    <s v="HighDisc"/>
  </r>
  <r>
    <s v="O00031"/>
    <s v="DFFYVN"/>
    <n v="1"/>
    <n v="54.2"/>
    <x v="2"/>
    <n v="21.95"/>
    <d v="2025-08-03T00:00:00"/>
    <x v="2"/>
    <n v="0.06"/>
    <n v="50.948"/>
    <x v="1"/>
    <s v="Lunch"/>
    <s v="UPI"/>
    <s v="Single"/>
    <s v="OK"/>
  </r>
  <r>
    <s v="O00031"/>
    <s v="HUZZPQ"/>
    <n v="2"/>
    <n v="146.4"/>
    <x v="3"/>
    <n v="80.92"/>
    <d v="2025-08-03T00:00:00"/>
    <x v="2"/>
    <n v="0.06"/>
    <n v="275.23199999999997"/>
    <x v="1"/>
    <s v="Lunch"/>
    <s v="UPI"/>
    <s v="Single"/>
    <s v="OK"/>
  </r>
  <r>
    <s v="O00031"/>
    <s v="D9T84A"/>
    <n v="1"/>
    <n v="116.8"/>
    <x v="2"/>
    <n v="48.97"/>
    <d v="2025-08-03T00:00:00"/>
    <x v="2"/>
    <n v="0.06"/>
    <n v="109.79199999999999"/>
    <x v="1"/>
    <s v="Lunch"/>
    <s v="UPI"/>
    <s v="Single"/>
    <s v="OK"/>
  </r>
  <r>
    <s v="O00032"/>
    <s v="DFFYVN"/>
    <n v="1"/>
    <n v="54.2"/>
    <x v="2"/>
    <n v="21.95"/>
    <d v="2025-08-19T00:00:00"/>
    <x v="1"/>
    <n v="0.12"/>
    <n v="47.696000000000005"/>
    <x v="1"/>
    <s v="Breakfast"/>
    <s v="Cash"/>
    <s v="Combo"/>
    <s v="HighDisc"/>
  </r>
  <r>
    <s v="O00032"/>
    <s v="D9T84A"/>
    <n v="1"/>
    <n v="116.8"/>
    <x v="2"/>
    <n v="48.97"/>
    <d v="2025-08-19T00:00:00"/>
    <x v="1"/>
    <n v="0.12"/>
    <n v="102.78399999999999"/>
    <x v="1"/>
    <s v="Breakfast"/>
    <s v="Cash"/>
    <s v="Combo"/>
    <s v="HighDisc"/>
  </r>
  <r>
    <s v="O00032"/>
    <s v="BOC6UZ"/>
    <n v="2"/>
    <n v="32.979999999999997"/>
    <x v="1"/>
    <n v="11.84"/>
    <d v="2025-08-19T00:00:00"/>
    <x v="1"/>
    <n v="0.12"/>
    <n v="58.044799999999995"/>
    <x v="1"/>
    <s v="Breakfast"/>
    <s v="Cash"/>
    <s v="Combo"/>
    <s v="HighDisc"/>
  </r>
  <r>
    <s v="O00032"/>
    <s v="HUZZPQ"/>
    <n v="2"/>
    <n v="146.4"/>
    <x v="3"/>
    <n v="80.92"/>
    <d v="2025-08-19T00:00:00"/>
    <x v="1"/>
    <n v="0.12"/>
    <n v="257.66399999999999"/>
    <x v="1"/>
    <s v="Breakfast"/>
    <s v="Cash"/>
    <s v="Combo"/>
    <s v="HighDisc"/>
  </r>
  <r>
    <s v="O00033"/>
    <s v="SV30T9"/>
    <n v="1"/>
    <n v="39.950000000000003"/>
    <x v="0"/>
    <n v="15.51"/>
    <d v="2025-08-11T00:00:00"/>
    <x v="1"/>
    <n v="0"/>
    <n v="39.950000000000003"/>
    <x v="1"/>
    <s v="Breakfast"/>
    <s v="Cash"/>
    <s v="Single"/>
    <s v="OK"/>
  </r>
  <r>
    <s v="O00033"/>
    <s v="D9T84A"/>
    <n v="3"/>
    <n v="116.8"/>
    <x v="2"/>
    <n v="48.97"/>
    <d v="2025-08-11T00:00:00"/>
    <x v="1"/>
    <n v="0"/>
    <n v="350.4"/>
    <x v="1"/>
    <s v="Breakfast"/>
    <s v="Cash"/>
    <s v="Single"/>
    <s v="OK"/>
  </r>
  <r>
    <s v="O00034"/>
    <s v="BOC6UZ"/>
    <n v="1"/>
    <n v="32.979999999999997"/>
    <x v="1"/>
    <n v="11.84"/>
    <d v="2025-07-13T00:00:00"/>
    <x v="0"/>
    <n v="0.09"/>
    <n v="30.011799999999997"/>
    <x v="0"/>
    <s v="Dinner"/>
    <s v="Cash"/>
    <s v="Single"/>
    <s v="OK"/>
  </r>
  <r>
    <s v="O00034"/>
    <s v="SV30T9"/>
    <n v="1"/>
    <n v="39.950000000000003"/>
    <x v="0"/>
    <n v="15.51"/>
    <d v="2025-07-13T00:00:00"/>
    <x v="0"/>
    <n v="0.09"/>
    <n v="36.354500000000002"/>
    <x v="0"/>
    <s v="Dinner"/>
    <s v="Cash"/>
    <s v="Single"/>
    <s v="OK"/>
  </r>
  <r>
    <s v="O00034"/>
    <s v="BHL1C3"/>
    <n v="1"/>
    <n v="22.2"/>
    <x v="1"/>
    <n v="9.3800000000000008"/>
    <d v="2025-07-13T00:00:00"/>
    <x v="0"/>
    <n v="0.09"/>
    <n v="20.202000000000002"/>
    <x v="0"/>
    <s v="Dinner"/>
    <s v="Cash"/>
    <s v="Single"/>
    <s v="OK"/>
  </r>
  <r>
    <s v="O00035"/>
    <s v="D9T84A"/>
    <n v="1"/>
    <n v="116.8"/>
    <x v="2"/>
    <n v="48.97"/>
    <d v="2025-08-23T00:00:00"/>
    <x v="0"/>
    <n v="0.06"/>
    <n v="109.79199999999999"/>
    <x v="1"/>
    <s v="Dinner"/>
    <s v="UPI"/>
    <s v="Combo"/>
    <s v="HighDisc"/>
  </r>
  <r>
    <s v="O00035"/>
    <s v="HXAJI0"/>
    <n v="2"/>
    <n v="227.61"/>
    <x v="3"/>
    <n v="96.22"/>
    <d v="2025-08-23T00:00:00"/>
    <x v="0"/>
    <n v="0.06"/>
    <n v="427.90679999999998"/>
    <x v="1"/>
    <s v="Dinner"/>
    <s v="UPI"/>
    <s v="Combo"/>
    <s v="HighDisc"/>
  </r>
  <r>
    <s v="O00035"/>
    <s v="DH9SDB"/>
    <n v="1"/>
    <n v="76.55"/>
    <x v="2"/>
    <n v="38.229999999999997"/>
    <d v="2025-08-23T00:00:00"/>
    <x v="0"/>
    <n v="0.06"/>
    <n v="71.956999999999994"/>
    <x v="1"/>
    <s v="Dinner"/>
    <s v="UPI"/>
    <s v="Combo"/>
    <s v="HighDisc"/>
  </r>
  <r>
    <s v="O00035"/>
    <s v="B0T0PV"/>
    <n v="1"/>
    <n v="28.43"/>
    <x v="1"/>
    <n v="13.89"/>
    <d v="2025-08-23T00:00:00"/>
    <x v="0"/>
    <n v="0.06"/>
    <n v="26.7242"/>
    <x v="1"/>
    <s v="Dinner"/>
    <s v="UPI"/>
    <s v="Combo"/>
    <s v="HighDisc"/>
  </r>
  <r>
    <s v="O00036"/>
    <s v="S5NQ4F"/>
    <n v="1"/>
    <n v="50.19"/>
    <x v="0"/>
    <n v="22.61"/>
    <d v="2025-07-12T00:00:00"/>
    <x v="2"/>
    <n v="0.05"/>
    <n v="47.680499999999995"/>
    <x v="0"/>
    <s v="Breakfast"/>
    <s v="Cash"/>
    <s v="Single"/>
    <s v="OK"/>
  </r>
  <r>
    <s v="O00036"/>
    <s v="H3A3ZM"/>
    <n v="1"/>
    <n v="170.83"/>
    <x v="3"/>
    <n v="74.069999999999993"/>
    <d v="2025-07-12T00:00:00"/>
    <x v="2"/>
    <n v="0.05"/>
    <n v="162.2885"/>
    <x v="0"/>
    <s v="Breakfast"/>
    <s v="Cash"/>
    <s v="Single"/>
    <s v="OK"/>
  </r>
  <r>
    <s v="O00037"/>
    <s v="H3A3ZM"/>
    <n v="2"/>
    <n v="170.83"/>
    <x v="3"/>
    <n v="74.069999999999993"/>
    <d v="2025-07-04T00:00:00"/>
    <x v="1"/>
    <n v="0.06"/>
    <n v="321.16039999999998"/>
    <x v="0"/>
    <s v="Dinner"/>
    <s v="UPI"/>
    <s v="Single"/>
    <s v="OK"/>
  </r>
  <r>
    <s v="O00038"/>
    <s v="BHL1C3"/>
    <n v="1"/>
    <n v="22.2"/>
    <x v="1"/>
    <n v="9.3800000000000008"/>
    <d v="2025-08-11T00:00:00"/>
    <x v="2"/>
    <n v="0"/>
    <n v="22.2"/>
    <x v="1"/>
    <s v="Dinner"/>
    <s v="Card"/>
    <s v="Single"/>
    <s v="OK"/>
  </r>
  <r>
    <s v="O00038"/>
    <s v="BOC6UZ"/>
    <n v="2"/>
    <n v="32.979999999999997"/>
    <x v="1"/>
    <n v="11.84"/>
    <d v="2025-08-11T00:00:00"/>
    <x v="2"/>
    <n v="0"/>
    <n v="65.959999999999994"/>
    <x v="1"/>
    <s v="Dinner"/>
    <s v="Card"/>
    <s v="Single"/>
    <s v="OK"/>
  </r>
  <r>
    <s v="O00039"/>
    <s v="H3A3ZM"/>
    <n v="3"/>
    <n v="170.83"/>
    <x v="3"/>
    <n v="74.069999999999993"/>
    <d v="2025-07-05T00:00:00"/>
    <x v="1"/>
    <n v="0.05"/>
    <n v="486.8655"/>
    <x v="0"/>
    <s v="Breakfast"/>
    <s v="UPI"/>
    <s v="Single"/>
    <s v="OK"/>
  </r>
  <r>
    <s v="O00040"/>
    <s v="BOC6UZ"/>
    <n v="3"/>
    <n v="32.979999999999997"/>
    <x v="1"/>
    <n v="11.84"/>
    <d v="2025-07-11T00:00:00"/>
    <x v="1"/>
    <n v="7.0000000000000007E-2"/>
    <n v="92.014199999999988"/>
    <x v="0"/>
    <s v="Breakfast"/>
    <s v="Card"/>
    <s v="Combo"/>
    <s v="HighDisc"/>
  </r>
  <r>
    <s v="O00040"/>
    <s v="B0T0PV"/>
    <n v="1"/>
    <n v="28.43"/>
    <x v="1"/>
    <n v="13.89"/>
    <d v="2025-07-11T00:00:00"/>
    <x v="1"/>
    <n v="7.0000000000000007E-2"/>
    <n v="26.439899999999998"/>
    <x v="0"/>
    <s v="Breakfast"/>
    <s v="Card"/>
    <s v="Combo"/>
    <s v="HighDisc"/>
  </r>
  <r>
    <s v="O00040"/>
    <s v="HDPBHS"/>
    <n v="2"/>
    <n v="256.91000000000003"/>
    <x v="3"/>
    <n v="121.24"/>
    <d v="2025-07-11T00:00:00"/>
    <x v="1"/>
    <n v="7.0000000000000007E-2"/>
    <n v="477.8526"/>
    <x v="0"/>
    <s v="Breakfast"/>
    <s v="Card"/>
    <s v="Combo"/>
    <s v="HighDisc"/>
  </r>
  <r>
    <s v="O00040"/>
    <s v="BTIQJ7"/>
    <n v="1"/>
    <n v="30.34"/>
    <x v="1"/>
    <n v="14.18"/>
    <d v="2025-07-11T00:00:00"/>
    <x v="1"/>
    <n v="7.0000000000000007E-2"/>
    <n v="28.216199999999997"/>
    <x v="0"/>
    <s v="Breakfast"/>
    <s v="Card"/>
    <s v="Combo"/>
    <s v="HighDisc"/>
  </r>
  <r>
    <s v="O00041"/>
    <s v="BOC6UZ"/>
    <n v="3"/>
    <n v="32.979999999999997"/>
    <x v="1"/>
    <n v="11.84"/>
    <d v="2025-07-24T00:00:00"/>
    <x v="2"/>
    <n v="0.12"/>
    <n v="87.0672"/>
    <x v="0"/>
    <s v="Breakfast"/>
    <s v="Card"/>
    <s v="Single"/>
    <s v="OK"/>
  </r>
  <r>
    <s v="O00041"/>
    <s v="SCKW5N"/>
    <n v="1"/>
    <n v="70.540000000000006"/>
    <x v="0"/>
    <n v="35.81"/>
    <d v="2025-07-24T00:00:00"/>
    <x v="2"/>
    <n v="0.12"/>
    <n v="62.075200000000002"/>
    <x v="0"/>
    <s v="Breakfast"/>
    <s v="Card"/>
    <s v="Single"/>
    <s v="OK"/>
  </r>
  <r>
    <s v="O00042"/>
    <s v="DYTJXE"/>
    <n v="1"/>
    <n v="57.07"/>
    <x v="2"/>
    <n v="29.14"/>
    <d v="2025-07-18T00:00:00"/>
    <x v="0"/>
    <n v="0.04"/>
    <n v="54.787199999999999"/>
    <x v="0"/>
    <s v="Lunch"/>
    <s v="Card"/>
    <s v="Combo"/>
    <s v="OK"/>
  </r>
  <r>
    <s v="O00042"/>
    <s v="BHL1C3"/>
    <n v="1"/>
    <n v="22.2"/>
    <x v="1"/>
    <n v="9.3800000000000008"/>
    <d v="2025-07-18T00:00:00"/>
    <x v="0"/>
    <n v="0.04"/>
    <n v="21.311999999999998"/>
    <x v="0"/>
    <s v="Lunch"/>
    <s v="Card"/>
    <s v="Combo"/>
    <s v="OK"/>
  </r>
  <r>
    <s v="O00042"/>
    <s v="HXAJI0"/>
    <n v="1"/>
    <n v="227.61"/>
    <x v="3"/>
    <n v="96.22"/>
    <d v="2025-07-18T00:00:00"/>
    <x v="0"/>
    <n v="0.04"/>
    <n v="218.50560000000002"/>
    <x v="0"/>
    <s v="Lunch"/>
    <s v="Card"/>
    <s v="Combo"/>
    <s v="OK"/>
  </r>
  <r>
    <s v="O00042"/>
    <s v="DFFYVN"/>
    <n v="1"/>
    <n v="54.2"/>
    <x v="2"/>
    <n v="21.95"/>
    <d v="2025-07-18T00:00:00"/>
    <x v="0"/>
    <n v="0.04"/>
    <n v="52.032000000000004"/>
    <x v="0"/>
    <s v="Lunch"/>
    <s v="Card"/>
    <s v="Combo"/>
    <s v="OK"/>
  </r>
  <r>
    <s v="O00043"/>
    <s v="BHL1C3"/>
    <n v="1"/>
    <n v="22.2"/>
    <x v="1"/>
    <n v="9.3800000000000008"/>
    <d v="2025-07-27T00:00:00"/>
    <x v="2"/>
    <n v="0.03"/>
    <n v="21.533999999999999"/>
    <x v="0"/>
    <s v="Breakfast"/>
    <s v="Cash"/>
    <s v="Single"/>
    <s v="OK"/>
  </r>
  <r>
    <s v="O00044"/>
    <s v="BHL1C3"/>
    <n v="1"/>
    <n v="22.2"/>
    <x v="1"/>
    <n v="9.3800000000000008"/>
    <d v="2025-07-05T00:00:00"/>
    <x v="1"/>
    <n v="0.04"/>
    <n v="21.311999999999998"/>
    <x v="0"/>
    <s v="Breakfast"/>
    <s v="Cash"/>
    <s v="Single"/>
    <s v="OK"/>
  </r>
  <r>
    <s v="O00044"/>
    <s v="SHJ7XV"/>
    <n v="1"/>
    <n v="52.45"/>
    <x v="0"/>
    <n v="25.8"/>
    <d v="2025-07-05T00:00:00"/>
    <x v="1"/>
    <n v="0.04"/>
    <n v="50.352000000000004"/>
    <x v="0"/>
    <s v="Breakfast"/>
    <s v="Cash"/>
    <s v="Single"/>
    <s v="OK"/>
  </r>
  <r>
    <s v="O00044"/>
    <s v="SCKW5N"/>
    <n v="1"/>
    <n v="70.540000000000006"/>
    <x v="0"/>
    <n v="35.81"/>
    <d v="2025-07-05T00:00:00"/>
    <x v="1"/>
    <n v="0.04"/>
    <n v="67.718400000000003"/>
    <x v="0"/>
    <s v="Breakfast"/>
    <s v="Cash"/>
    <s v="Single"/>
    <s v="OK"/>
  </r>
  <r>
    <s v="O00045"/>
    <s v="BXO6QJ"/>
    <n v="3"/>
    <n v="20.11"/>
    <x v="1"/>
    <n v="8"/>
    <d v="2025-08-04T00:00:00"/>
    <x v="1"/>
    <n v="0.1"/>
    <n v="54.296999999999997"/>
    <x v="1"/>
    <s v="Breakfast"/>
    <s v="Cash"/>
    <s v="Single"/>
    <s v="OK"/>
  </r>
  <r>
    <s v="O00045"/>
    <s v="BOC6UZ"/>
    <n v="2"/>
    <n v="32.979999999999997"/>
    <x v="1"/>
    <n v="11.84"/>
    <d v="2025-08-04T00:00:00"/>
    <x v="1"/>
    <n v="0.1"/>
    <n v="59.363999999999997"/>
    <x v="1"/>
    <s v="Breakfast"/>
    <s v="Cash"/>
    <s v="Single"/>
    <s v="OK"/>
  </r>
  <r>
    <s v="O00045"/>
    <s v="D9T84A"/>
    <n v="2"/>
    <n v="116.8"/>
    <x v="2"/>
    <n v="48.97"/>
    <d v="2025-08-04T00:00:00"/>
    <x v="1"/>
    <n v="0.1"/>
    <n v="210.24"/>
    <x v="1"/>
    <s v="Breakfast"/>
    <s v="Cash"/>
    <s v="Single"/>
    <s v="OK"/>
  </r>
  <r>
    <s v="O00046"/>
    <s v="SV30T9"/>
    <n v="1"/>
    <n v="39.950000000000003"/>
    <x v="0"/>
    <n v="15.51"/>
    <d v="2025-07-20T00:00:00"/>
    <x v="1"/>
    <n v="7.0000000000000007E-2"/>
    <n v="37.153500000000001"/>
    <x v="0"/>
    <s v="Breakfast"/>
    <s v="Card"/>
    <s v="Single"/>
    <s v="OK"/>
  </r>
  <r>
    <s v="O00047"/>
    <s v="HDPBHS"/>
    <n v="2"/>
    <n v="256.91000000000003"/>
    <x v="3"/>
    <n v="121.24"/>
    <d v="2025-07-28T00:00:00"/>
    <x v="1"/>
    <n v="0.04"/>
    <n v="493.2672"/>
    <x v="0"/>
    <s v="Breakfast"/>
    <s v="UPI"/>
    <s v="Single"/>
    <s v="OK"/>
  </r>
  <r>
    <s v="O00047"/>
    <s v="SHJ7XV"/>
    <n v="1"/>
    <n v="52.45"/>
    <x v="0"/>
    <n v="25.8"/>
    <d v="2025-07-28T00:00:00"/>
    <x v="1"/>
    <n v="0.04"/>
    <n v="50.352000000000004"/>
    <x v="0"/>
    <s v="Breakfast"/>
    <s v="UPI"/>
    <s v="Single"/>
    <s v="OK"/>
  </r>
  <r>
    <s v="O00047"/>
    <s v="DFFYVN"/>
    <n v="1"/>
    <n v="54.2"/>
    <x v="2"/>
    <n v="21.95"/>
    <d v="2025-07-28T00:00:00"/>
    <x v="1"/>
    <n v="0.04"/>
    <n v="52.032000000000004"/>
    <x v="0"/>
    <s v="Breakfast"/>
    <s v="UPI"/>
    <s v="Single"/>
    <s v="OK"/>
  </r>
  <r>
    <s v="O00048"/>
    <s v="SZBIKC"/>
    <n v="1"/>
    <n v="38.06"/>
    <x v="0"/>
    <n v="19.55"/>
    <d v="2025-08-22T00:00:00"/>
    <x v="1"/>
    <n v="0.08"/>
    <n v="35.0152"/>
    <x v="1"/>
    <s v="Breakfast"/>
    <s v="Cash"/>
    <s v="Single"/>
    <s v="OK"/>
  </r>
  <r>
    <s v="O00048"/>
    <s v="S5NQ4F"/>
    <n v="2"/>
    <n v="50.19"/>
    <x v="0"/>
    <n v="22.61"/>
    <d v="2025-08-22T00:00:00"/>
    <x v="1"/>
    <n v="0.08"/>
    <n v="92.349599999999995"/>
    <x v="1"/>
    <s v="Breakfast"/>
    <s v="Cash"/>
    <s v="Single"/>
    <s v="OK"/>
  </r>
  <r>
    <s v="O00048"/>
    <s v="B0T0PV"/>
    <n v="2"/>
    <n v="28.43"/>
    <x v="1"/>
    <n v="13.89"/>
    <d v="2025-08-22T00:00:00"/>
    <x v="1"/>
    <n v="0.08"/>
    <n v="52.311199999999999"/>
    <x v="1"/>
    <s v="Breakfast"/>
    <s v="Cash"/>
    <s v="Single"/>
    <s v="OK"/>
  </r>
  <r>
    <s v="O00049"/>
    <s v="HXAJI0"/>
    <n v="1"/>
    <n v="227.61"/>
    <x v="3"/>
    <n v="96.22"/>
    <d v="2025-07-18T00:00:00"/>
    <x v="0"/>
    <n v="0.06"/>
    <n v="213.95339999999999"/>
    <x v="0"/>
    <s v="Lunch"/>
    <s v="Cash"/>
    <s v="Combo"/>
    <s v="OK"/>
  </r>
  <r>
    <s v="O00049"/>
    <s v="BOC6UZ"/>
    <n v="2"/>
    <n v="32.979999999999997"/>
    <x v="1"/>
    <n v="11.84"/>
    <d v="2025-07-18T00:00:00"/>
    <x v="0"/>
    <n v="0.06"/>
    <n v="62.002399999999987"/>
    <x v="0"/>
    <s v="Lunch"/>
    <s v="Cash"/>
    <s v="Combo"/>
    <s v="OK"/>
  </r>
  <r>
    <s v="O00050"/>
    <s v="DH9SDB"/>
    <n v="1"/>
    <n v="76.55"/>
    <x v="2"/>
    <n v="38.229999999999997"/>
    <d v="2025-08-28T00:00:00"/>
    <x v="1"/>
    <n v="0.1"/>
    <n v="68.894999999999996"/>
    <x v="1"/>
    <s v="Breakfast"/>
    <s v="UPI"/>
    <s v="Single"/>
    <s v="OK"/>
  </r>
  <r>
    <s v="O00050"/>
    <s v="BOC6UZ"/>
    <n v="1"/>
    <n v="32.979999999999997"/>
    <x v="1"/>
    <n v="11.84"/>
    <d v="2025-08-28T00:00:00"/>
    <x v="1"/>
    <n v="0.1"/>
    <n v="29.681999999999999"/>
    <x v="1"/>
    <s v="Breakfast"/>
    <s v="UPI"/>
    <s v="Single"/>
    <s v="OK"/>
  </r>
  <r>
    <s v="O00051"/>
    <s v="HH1DNM"/>
    <n v="1"/>
    <n v="246.09"/>
    <x v="3"/>
    <n v="112.08"/>
    <d v="2025-08-12T00:00:00"/>
    <x v="0"/>
    <n v="0.03"/>
    <n v="238.7073"/>
    <x v="1"/>
    <s v="Lunch"/>
    <s v="Cash"/>
    <s v="Single"/>
    <s v="OK"/>
  </r>
  <r>
    <s v="O00051"/>
    <s v="D9T84A"/>
    <n v="1"/>
    <n v="116.8"/>
    <x v="2"/>
    <n v="48.97"/>
    <d v="2025-08-12T00:00:00"/>
    <x v="0"/>
    <n v="0.03"/>
    <n v="113.29599999999999"/>
    <x v="1"/>
    <s v="Lunch"/>
    <s v="Cash"/>
    <s v="Single"/>
    <s v="OK"/>
  </r>
  <r>
    <s v="O00051"/>
    <s v="DH9SDB"/>
    <n v="3"/>
    <n v="76.55"/>
    <x v="2"/>
    <n v="38.229999999999997"/>
    <d v="2025-08-12T00:00:00"/>
    <x v="0"/>
    <n v="0.03"/>
    <n v="222.76049999999998"/>
    <x v="1"/>
    <s v="Lunch"/>
    <s v="Cash"/>
    <s v="Single"/>
    <s v="OK"/>
  </r>
  <r>
    <s v="O00052"/>
    <s v="SCKW5N"/>
    <n v="2"/>
    <n v="70.540000000000006"/>
    <x v="0"/>
    <n v="35.81"/>
    <d v="2025-08-26T00:00:00"/>
    <x v="2"/>
    <n v="0.05"/>
    <n v="134.02600000000001"/>
    <x v="1"/>
    <s v="Breakfast"/>
    <s v="Cash"/>
    <s v="Single"/>
    <s v="OK"/>
  </r>
  <r>
    <s v="O00052"/>
    <s v="SHJ7XV"/>
    <n v="1"/>
    <n v="52.45"/>
    <x v="0"/>
    <n v="25.8"/>
    <d v="2025-08-26T00:00:00"/>
    <x v="2"/>
    <n v="0.05"/>
    <n v="49.827500000000001"/>
    <x v="1"/>
    <s v="Breakfast"/>
    <s v="Cash"/>
    <s v="Single"/>
    <s v="OK"/>
  </r>
  <r>
    <s v="O00053"/>
    <s v="SHJ7XV"/>
    <n v="2"/>
    <n v="52.45"/>
    <x v="0"/>
    <n v="25.8"/>
    <d v="2025-07-01T00:00:00"/>
    <x v="0"/>
    <n v="0.04"/>
    <n v="100.70400000000001"/>
    <x v="0"/>
    <s v="Breakfast"/>
    <s v="UPI"/>
    <s v="Single"/>
    <s v="OK"/>
  </r>
  <r>
    <s v="O00054"/>
    <s v="SZBIKC"/>
    <n v="1"/>
    <n v="38.06"/>
    <x v="0"/>
    <n v="19.55"/>
    <d v="2025-08-05T00:00:00"/>
    <x v="1"/>
    <n v="0"/>
    <n v="38.06"/>
    <x v="1"/>
    <s v="Lunch"/>
    <s v="UPI"/>
    <s v="Single"/>
    <s v="OK"/>
  </r>
  <r>
    <s v="O00054"/>
    <s v="D9T84A"/>
    <n v="2"/>
    <n v="116.8"/>
    <x v="2"/>
    <n v="48.97"/>
    <d v="2025-08-05T00:00:00"/>
    <x v="1"/>
    <n v="0"/>
    <n v="233.6"/>
    <x v="1"/>
    <s v="Lunch"/>
    <s v="UPI"/>
    <s v="Single"/>
    <s v="OK"/>
  </r>
  <r>
    <s v="O00055"/>
    <s v="HDPBHS"/>
    <n v="2"/>
    <n v="256.91000000000003"/>
    <x v="3"/>
    <n v="121.24"/>
    <d v="2025-07-31T00:00:00"/>
    <x v="0"/>
    <n v="7.0000000000000007E-2"/>
    <n v="477.8526"/>
    <x v="0"/>
    <s v="Dinner"/>
    <s v="UPI"/>
    <s v="Single"/>
    <s v="HighDisc"/>
  </r>
  <r>
    <s v="O00055"/>
    <s v="HH1DNM"/>
    <n v="1"/>
    <n v="246.09"/>
    <x v="3"/>
    <n v="112.08"/>
    <d v="2025-07-31T00:00:00"/>
    <x v="0"/>
    <n v="7.0000000000000007E-2"/>
    <n v="228.86369999999999"/>
    <x v="0"/>
    <s v="Dinner"/>
    <s v="UPI"/>
    <s v="Single"/>
    <s v="HighDisc"/>
  </r>
  <r>
    <s v="O00056"/>
    <s v="D9T84A"/>
    <n v="3"/>
    <n v="116.8"/>
    <x v="2"/>
    <n v="48.97"/>
    <d v="2025-08-19T00:00:00"/>
    <x v="1"/>
    <n v="7.0000000000000007E-2"/>
    <n v="325.87199999999996"/>
    <x v="1"/>
    <s v="Lunch"/>
    <s v="Card"/>
    <s v="Single"/>
    <s v="OK"/>
  </r>
  <r>
    <s v="O00056"/>
    <s v="HUZZPQ"/>
    <n v="1"/>
    <n v="146.4"/>
    <x v="3"/>
    <n v="80.92"/>
    <d v="2025-08-19T00:00:00"/>
    <x v="1"/>
    <n v="7.0000000000000007E-2"/>
    <n v="136.15199999999999"/>
    <x v="1"/>
    <s v="Lunch"/>
    <s v="Card"/>
    <s v="Single"/>
    <s v="OK"/>
  </r>
  <r>
    <s v="O00057"/>
    <s v="S5NQ4F"/>
    <n v="1"/>
    <n v="50.19"/>
    <x v="0"/>
    <n v="22.61"/>
    <d v="2025-08-09T00:00:00"/>
    <x v="0"/>
    <n v="0.06"/>
    <n v="47.178599999999996"/>
    <x v="1"/>
    <s v="Breakfast"/>
    <s v="UPI"/>
    <s v="Single"/>
    <s v="OK"/>
  </r>
  <r>
    <s v="O00057"/>
    <s v="BTIQJ7"/>
    <n v="3"/>
    <n v="30.34"/>
    <x v="1"/>
    <n v="14.18"/>
    <d v="2025-08-09T00:00:00"/>
    <x v="0"/>
    <n v="0.06"/>
    <n v="85.558799999999991"/>
    <x v="1"/>
    <s v="Breakfast"/>
    <s v="UPI"/>
    <s v="Single"/>
    <s v="OK"/>
  </r>
  <r>
    <s v="O00057"/>
    <s v="SZBIKC"/>
    <n v="1"/>
    <n v="38.06"/>
    <x v="0"/>
    <n v="19.55"/>
    <d v="2025-08-09T00:00:00"/>
    <x v="0"/>
    <n v="0.06"/>
    <n v="35.776400000000002"/>
    <x v="1"/>
    <s v="Breakfast"/>
    <s v="UPI"/>
    <s v="Single"/>
    <s v="OK"/>
  </r>
  <r>
    <s v="O00057"/>
    <s v="DH9SDB"/>
    <n v="1"/>
    <n v="76.55"/>
    <x v="2"/>
    <n v="38.229999999999997"/>
    <d v="2025-08-09T00:00:00"/>
    <x v="0"/>
    <n v="0.06"/>
    <n v="71.956999999999994"/>
    <x v="1"/>
    <s v="Breakfast"/>
    <s v="UPI"/>
    <s v="Single"/>
    <s v="OK"/>
  </r>
  <r>
    <s v="O00058"/>
    <s v="HH1DNM"/>
    <n v="1"/>
    <n v="246.09"/>
    <x v="3"/>
    <n v="112.08"/>
    <d v="2025-07-19T00:00:00"/>
    <x v="1"/>
    <n v="0.05"/>
    <n v="233.78549999999998"/>
    <x v="0"/>
    <s v="Dinner"/>
    <s v="Card"/>
    <s v="Single"/>
    <s v="OK"/>
  </r>
  <r>
    <s v="O00059"/>
    <s v="DH9SDB"/>
    <n v="2"/>
    <n v="76.55"/>
    <x v="2"/>
    <n v="38.229999999999997"/>
    <d v="2025-08-25T00:00:00"/>
    <x v="1"/>
    <n v="0"/>
    <n v="153.1"/>
    <x v="1"/>
    <s v="Lunch"/>
    <s v="UPI"/>
    <s v="Single"/>
    <s v="OK"/>
  </r>
  <r>
    <s v="O00059"/>
    <s v="DFFYVN"/>
    <n v="1"/>
    <n v="54.2"/>
    <x v="2"/>
    <n v="21.95"/>
    <d v="2025-08-25T00:00:00"/>
    <x v="1"/>
    <n v="0"/>
    <n v="54.2"/>
    <x v="1"/>
    <s v="Lunch"/>
    <s v="UPI"/>
    <s v="Single"/>
    <s v="OK"/>
  </r>
  <r>
    <s v="O00059"/>
    <s v="HXAJI0"/>
    <n v="2"/>
    <n v="227.61"/>
    <x v="3"/>
    <n v="96.22"/>
    <d v="2025-08-25T00:00:00"/>
    <x v="1"/>
    <n v="0"/>
    <n v="455.22"/>
    <x v="1"/>
    <s v="Lunch"/>
    <s v="UPI"/>
    <s v="Single"/>
    <s v="OK"/>
  </r>
  <r>
    <s v="O00060"/>
    <s v="H3A3ZM"/>
    <n v="2"/>
    <n v="170.83"/>
    <x v="3"/>
    <n v="74.069999999999993"/>
    <d v="2025-07-30T00:00:00"/>
    <x v="1"/>
    <n v="0.04"/>
    <n v="327.99360000000001"/>
    <x v="0"/>
    <s v="Dinner"/>
    <s v="Card"/>
    <s v="Single"/>
    <s v="OK"/>
  </r>
  <r>
    <s v="O00060"/>
    <s v="HDPBHS"/>
    <n v="1"/>
    <n v="256.91000000000003"/>
    <x v="3"/>
    <n v="121.24"/>
    <d v="2025-07-30T00:00:00"/>
    <x v="1"/>
    <n v="0.04"/>
    <n v="246.6336"/>
    <x v="0"/>
    <s v="Dinner"/>
    <s v="Card"/>
    <s v="Single"/>
    <s v="OK"/>
  </r>
  <r>
    <s v="O00060"/>
    <s v="SCKW5N"/>
    <n v="2"/>
    <n v="70.540000000000006"/>
    <x v="0"/>
    <n v="35.81"/>
    <d v="2025-07-30T00:00:00"/>
    <x v="1"/>
    <n v="0.04"/>
    <n v="135.43680000000001"/>
    <x v="0"/>
    <s v="Dinner"/>
    <s v="Card"/>
    <s v="Single"/>
    <s v="OK"/>
  </r>
  <r>
    <s v="O00061"/>
    <s v="SHJ7XV"/>
    <n v="1"/>
    <n v="52.45"/>
    <x v="0"/>
    <n v="25.8"/>
    <d v="2025-08-15T00:00:00"/>
    <x v="1"/>
    <n v="0.05"/>
    <n v="49.827500000000001"/>
    <x v="1"/>
    <s v="Breakfast"/>
    <s v="UPI"/>
    <s v="Single"/>
    <s v="OK"/>
  </r>
  <r>
    <s v="O00061"/>
    <s v="BTIQJ7"/>
    <n v="2"/>
    <n v="30.34"/>
    <x v="1"/>
    <n v="14.18"/>
    <d v="2025-08-15T00:00:00"/>
    <x v="1"/>
    <n v="0.05"/>
    <n v="57.645999999999994"/>
    <x v="1"/>
    <s v="Breakfast"/>
    <s v="UPI"/>
    <s v="Single"/>
    <s v="OK"/>
  </r>
  <r>
    <s v="O00061"/>
    <s v="SV30T9"/>
    <n v="3"/>
    <n v="39.950000000000003"/>
    <x v="0"/>
    <n v="15.51"/>
    <d v="2025-08-15T00:00:00"/>
    <x v="1"/>
    <n v="0.05"/>
    <n v="113.8575"/>
    <x v="1"/>
    <s v="Breakfast"/>
    <s v="UPI"/>
    <s v="Single"/>
    <s v="OK"/>
  </r>
  <r>
    <s v="O00061"/>
    <s v="BOC6UZ"/>
    <n v="1"/>
    <n v="32.979999999999997"/>
    <x v="1"/>
    <n v="11.84"/>
    <d v="2025-08-15T00:00:00"/>
    <x v="1"/>
    <n v="0.05"/>
    <n v="31.330999999999996"/>
    <x v="1"/>
    <s v="Breakfast"/>
    <s v="UPI"/>
    <s v="Single"/>
    <s v="OK"/>
  </r>
  <r>
    <s v="O00062"/>
    <s v="D9T84A"/>
    <n v="2"/>
    <n v="116.8"/>
    <x v="2"/>
    <n v="48.97"/>
    <d v="2025-08-19T00:00:00"/>
    <x v="1"/>
    <n v="0.03"/>
    <n v="226.59199999999998"/>
    <x v="1"/>
    <s v="Dinner"/>
    <s v="Cash"/>
    <s v="Single"/>
    <s v="OK"/>
  </r>
  <r>
    <s v="O00062"/>
    <s v="BTIQJ7"/>
    <n v="2"/>
    <n v="30.34"/>
    <x v="1"/>
    <n v="14.18"/>
    <d v="2025-08-19T00:00:00"/>
    <x v="1"/>
    <n v="0.03"/>
    <n v="58.8596"/>
    <x v="1"/>
    <s v="Dinner"/>
    <s v="Cash"/>
    <s v="Single"/>
    <s v="OK"/>
  </r>
  <r>
    <s v="O00063"/>
    <s v="DH9SDB"/>
    <n v="2"/>
    <n v="76.55"/>
    <x v="2"/>
    <n v="38.229999999999997"/>
    <d v="2025-07-28T00:00:00"/>
    <x v="0"/>
    <n v="0.05"/>
    <n v="145.44499999999999"/>
    <x v="0"/>
    <s v="Dinner"/>
    <s v="UPI"/>
    <s v="Single"/>
    <s v="OK"/>
  </r>
  <r>
    <s v="O00064"/>
    <s v="BXO6QJ"/>
    <n v="1"/>
    <n v="20.11"/>
    <x v="1"/>
    <n v="8"/>
    <d v="2025-07-10T00:00:00"/>
    <x v="2"/>
    <n v="0.08"/>
    <n v="18.501200000000001"/>
    <x v="0"/>
    <s v="Breakfast"/>
    <s v="Card"/>
    <s v="Single"/>
    <s v="OK"/>
  </r>
  <r>
    <s v="O00065"/>
    <s v="HDPBHS"/>
    <n v="2"/>
    <n v="256.91000000000003"/>
    <x v="3"/>
    <n v="121.24"/>
    <d v="2025-07-20T00:00:00"/>
    <x v="2"/>
    <n v="0.14000000000000001"/>
    <n v="441.88520000000005"/>
    <x v="0"/>
    <s v="Lunch"/>
    <s v="Cash"/>
    <s v="Combo"/>
    <s v="HighDisc"/>
  </r>
  <r>
    <s v="O00065"/>
    <s v="SCKW5N"/>
    <n v="2"/>
    <n v="70.540000000000006"/>
    <x v="0"/>
    <n v="35.81"/>
    <d v="2025-07-20T00:00:00"/>
    <x v="2"/>
    <n v="0.14000000000000001"/>
    <n v="121.32880000000002"/>
    <x v="0"/>
    <s v="Lunch"/>
    <s v="Cash"/>
    <s v="Combo"/>
    <s v="HighDisc"/>
  </r>
  <r>
    <s v="O00065"/>
    <s v="B0T0PV"/>
    <n v="1"/>
    <n v="28.43"/>
    <x v="1"/>
    <n v="13.89"/>
    <d v="2025-07-20T00:00:00"/>
    <x v="2"/>
    <n v="0.14000000000000001"/>
    <n v="24.4498"/>
    <x v="0"/>
    <s v="Lunch"/>
    <s v="Cash"/>
    <s v="Combo"/>
    <s v="HighDisc"/>
  </r>
  <r>
    <s v="O00066"/>
    <s v="SZBIKC"/>
    <n v="1"/>
    <n v="38.06"/>
    <x v="0"/>
    <n v="19.55"/>
    <d v="2025-08-16T00:00:00"/>
    <x v="0"/>
    <n v="7.0000000000000007E-2"/>
    <n v="35.395800000000001"/>
    <x v="1"/>
    <s v="Breakfast"/>
    <s v="Card"/>
    <s v="Single"/>
    <s v="HighDisc"/>
  </r>
  <r>
    <s v="O00066"/>
    <s v="HUZZPQ"/>
    <n v="3"/>
    <n v="146.4"/>
    <x v="3"/>
    <n v="80.92"/>
    <d v="2025-08-16T00:00:00"/>
    <x v="0"/>
    <n v="7.0000000000000007E-2"/>
    <n v="408.45600000000002"/>
    <x v="1"/>
    <s v="Breakfast"/>
    <s v="Card"/>
    <s v="Single"/>
    <s v="HighDisc"/>
  </r>
  <r>
    <s v="O00066"/>
    <s v="DH9SDB"/>
    <n v="2"/>
    <n v="76.55"/>
    <x v="2"/>
    <n v="38.229999999999997"/>
    <d v="2025-08-16T00:00:00"/>
    <x v="0"/>
    <n v="7.0000000000000007E-2"/>
    <n v="142.38299999999998"/>
    <x v="1"/>
    <s v="Breakfast"/>
    <s v="Card"/>
    <s v="Single"/>
    <s v="HighDisc"/>
  </r>
  <r>
    <s v="O00066"/>
    <s v="HXAJI0"/>
    <n v="2"/>
    <n v="227.61"/>
    <x v="3"/>
    <n v="96.22"/>
    <d v="2025-08-16T00:00:00"/>
    <x v="0"/>
    <n v="7.0000000000000007E-2"/>
    <n v="423.3546"/>
    <x v="1"/>
    <s v="Breakfast"/>
    <s v="Card"/>
    <s v="Single"/>
    <s v="HighDisc"/>
  </r>
  <r>
    <s v="O00067"/>
    <s v="SCKW5N"/>
    <n v="1"/>
    <n v="70.540000000000006"/>
    <x v="0"/>
    <n v="35.81"/>
    <d v="2025-08-26T00:00:00"/>
    <x v="2"/>
    <n v="7.0000000000000007E-2"/>
    <n v="65.602199999999996"/>
    <x v="1"/>
    <s v="Breakfast"/>
    <s v="UPI"/>
    <s v="Single"/>
    <s v="OK"/>
  </r>
  <r>
    <s v="O00067"/>
    <s v="B0T0PV"/>
    <n v="1"/>
    <n v="28.43"/>
    <x v="1"/>
    <n v="13.89"/>
    <d v="2025-08-26T00:00:00"/>
    <x v="2"/>
    <n v="7.0000000000000007E-2"/>
    <n v="26.439899999999998"/>
    <x v="1"/>
    <s v="Breakfast"/>
    <s v="UPI"/>
    <s v="Single"/>
    <s v="OK"/>
  </r>
  <r>
    <s v="O00067"/>
    <s v="BTIQJ7"/>
    <n v="1"/>
    <n v="30.34"/>
    <x v="1"/>
    <n v="14.18"/>
    <d v="2025-08-26T00:00:00"/>
    <x v="2"/>
    <n v="7.0000000000000007E-2"/>
    <n v="28.216199999999997"/>
    <x v="1"/>
    <s v="Breakfast"/>
    <s v="UPI"/>
    <s v="Single"/>
    <s v="OK"/>
  </r>
  <r>
    <s v="O00067"/>
    <s v="D9T84A"/>
    <n v="2"/>
    <n v="116.8"/>
    <x v="2"/>
    <n v="48.97"/>
    <d v="2025-08-26T00:00:00"/>
    <x v="2"/>
    <n v="7.0000000000000007E-2"/>
    <n v="217.24799999999999"/>
    <x v="1"/>
    <s v="Breakfast"/>
    <s v="UPI"/>
    <s v="Single"/>
    <s v="OK"/>
  </r>
  <r>
    <s v="O00068"/>
    <s v="H3A3ZM"/>
    <n v="1"/>
    <n v="170.83"/>
    <x v="3"/>
    <n v="74.069999999999993"/>
    <d v="2025-08-18T00:00:00"/>
    <x v="1"/>
    <n v="0.06"/>
    <n v="160.58019999999999"/>
    <x v="1"/>
    <s v="Breakfast"/>
    <s v="Cash"/>
    <s v="Combo"/>
    <s v="OK"/>
  </r>
  <r>
    <s v="O00068"/>
    <s v="S5NQ4F"/>
    <n v="1"/>
    <n v="50.19"/>
    <x v="0"/>
    <n v="22.61"/>
    <d v="2025-08-18T00:00:00"/>
    <x v="1"/>
    <n v="0.06"/>
    <n v="47.178599999999996"/>
    <x v="1"/>
    <s v="Breakfast"/>
    <s v="Cash"/>
    <s v="Combo"/>
    <s v="OK"/>
  </r>
  <r>
    <s v="O00068"/>
    <s v="BTIQJ7"/>
    <n v="1"/>
    <n v="30.34"/>
    <x v="1"/>
    <n v="14.18"/>
    <d v="2025-08-18T00:00:00"/>
    <x v="1"/>
    <n v="0.06"/>
    <n v="28.519599999999997"/>
    <x v="1"/>
    <s v="Breakfast"/>
    <s v="Cash"/>
    <s v="Combo"/>
    <s v="OK"/>
  </r>
  <r>
    <s v="O00068"/>
    <s v="HUZZPQ"/>
    <n v="1"/>
    <n v="146.4"/>
    <x v="3"/>
    <n v="80.92"/>
    <d v="2025-08-18T00:00:00"/>
    <x v="1"/>
    <n v="0.06"/>
    <n v="137.61599999999999"/>
    <x v="1"/>
    <s v="Breakfast"/>
    <s v="Cash"/>
    <s v="Combo"/>
    <s v="OK"/>
  </r>
  <r>
    <s v="O00069"/>
    <s v="HH1DNM"/>
    <n v="3"/>
    <n v="246.09"/>
    <x v="3"/>
    <n v="112.08"/>
    <d v="2025-07-11T00:00:00"/>
    <x v="1"/>
    <n v="0"/>
    <n v="738.27"/>
    <x v="0"/>
    <s v="Lunch"/>
    <s v="Cash"/>
    <s v="Single"/>
    <s v="OK"/>
  </r>
  <r>
    <s v="O00069"/>
    <s v="HDPBHS"/>
    <n v="2"/>
    <n v="256.91000000000003"/>
    <x v="3"/>
    <n v="121.24"/>
    <d v="2025-07-11T00:00:00"/>
    <x v="1"/>
    <n v="0"/>
    <n v="513.82000000000005"/>
    <x v="0"/>
    <s v="Lunch"/>
    <s v="Cash"/>
    <s v="Single"/>
    <s v="OK"/>
  </r>
  <r>
    <s v="O00069"/>
    <s v="SCKW5N"/>
    <n v="2"/>
    <n v="70.540000000000006"/>
    <x v="0"/>
    <n v="35.81"/>
    <d v="2025-07-11T00:00:00"/>
    <x v="1"/>
    <n v="0"/>
    <n v="141.08000000000001"/>
    <x v="0"/>
    <s v="Lunch"/>
    <s v="Cash"/>
    <s v="Single"/>
    <s v="OK"/>
  </r>
  <r>
    <s v="O00069"/>
    <s v="HUZZPQ"/>
    <n v="1"/>
    <n v="146.4"/>
    <x v="3"/>
    <n v="80.92"/>
    <d v="2025-07-11T00:00:00"/>
    <x v="1"/>
    <n v="0"/>
    <n v="146.4"/>
    <x v="0"/>
    <s v="Lunch"/>
    <s v="Cash"/>
    <s v="Single"/>
    <s v="OK"/>
  </r>
  <r>
    <s v="O00070"/>
    <s v="BXO6QJ"/>
    <n v="3"/>
    <n v="20.11"/>
    <x v="1"/>
    <n v="8"/>
    <d v="2025-08-15T00:00:00"/>
    <x v="2"/>
    <n v="0.06"/>
    <n v="56.710199999999993"/>
    <x v="1"/>
    <s v="Breakfast"/>
    <s v="Cash"/>
    <s v="Single"/>
    <s v="OK"/>
  </r>
  <r>
    <s v="O00071"/>
    <s v="H3A3ZM"/>
    <n v="1"/>
    <n v="170.83"/>
    <x v="3"/>
    <n v="74.069999999999993"/>
    <d v="2025-08-14T00:00:00"/>
    <x v="2"/>
    <n v="0.06"/>
    <n v="160.58019999999999"/>
    <x v="1"/>
    <s v="Lunch"/>
    <s v="UPI"/>
    <s v="Single"/>
    <s v="OK"/>
  </r>
  <r>
    <s v="O00071"/>
    <s v="DH9SDB"/>
    <n v="2"/>
    <n v="76.55"/>
    <x v="2"/>
    <n v="38.229999999999997"/>
    <d v="2025-08-14T00:00:00"/>
    <x v="2"/>
    <n v="0.06"/>
    <n v="143.91399999999999"/>
    <x v="1"/>
    <s v="Lunch"/>
    <s v="UPI"/>
    <s v="Single"/>
    <s v="OK"/>
  </r>
  <r>
    <s v="O00072"/>
    <s v="H3A3ZM"/>
    <n v="2"/>
    <n v="170.83"/>
    <x v="3"/>
    <n v="74.069999999999993"/>
    <d v="2025-08-24T00:00:00"/>
    <x v="0"/>
    <n v="0.16"/>
    <n v="286.99439999999998"/>
    <x v="1"/>
    <s v="Lunch"/>
    <s v="Card"/>
    <s v="Combo"/>
    <s v="HighDisc"/>
  </r>
  <r>
    <s v="O00072"/>
    <s v="BTIQJ7"/>
    <n v="1"/>
    <n v="30.34"/>
    <x v="1"/>
    <n v="14.18"/>
    <d v="2025-08-24T00:00:00"/>
    <x v="0"/>
    <n v="0.16"/>
    <n v="25.485599999999998"/>
    <x v="1"/>
    <s v="Lunch"/>
    <s v="Card"/>
    <s v="Combo"/>
    <s v="HighDisc"/>
  </r>
  <r>
    <s v="O00072"/>
    <s v="B0T0PV"/>
    <n v="1"/>
    <n v="28.43"/>
    <x v="1"/>
    <n v="13.89"/>
    <d v="2025-08-24T00:00:00"/>
    <x v="0"/>
    <n v="0.16"/>
    <n v="23.8812"/>
    <x v="1"/>
    <s v="Lunch"/>
    <s v="Card"/>
    <s v="Combo"/>
    <s v="HighDisc"/>
  </r>
  <r>
    <s v="O00073"/>
    <s v="S5NQ4F"/>
    <n v="2"/>
    <n v="50.19"/>
    <x v="0"/>
    <n v="22.61"/>
    <d v="2025-08-11T00:00:00"/>
    <x v="0"/>
    <n v="0.05"/>
    <n v="95.36099999999999"/>
    <x v="1"/>
    <s v="Dinner"/>
    <s v="Cash"/>
    <s v="Single"/>
    <s v="OK"/>
  </r>
  <r>
    <s v="O00074"/>
    <s v="BHL1C3"/>
    <n v="1"/>
    <n v="22.2"/>
    <x v="1"/>
    <n v="9.3800000000000008"/>
    <d v="2025-08-13T00:00:00"/>
    <x v="1"/>
    <n v="7.0000000000000007E-2"/>
    <n v="20.645999999999997"/>
    <x v="1"/>
    <s v="Dinner"/>
    <s v="UPI"/>
    <s v="Combo"/>
    <s v="HighDisc"/>
  </r>
  <r>
    <s v="O00074"/>
    <s v="SHJ7XV"/>
    <n v="1"/>
    <n v="52.45"/>
    <x v="0"/>
    <n v="25.8"/>
    <d v="2025-08-13T00:00:00"/>
    <x v="1"/>
    <n v="7.0000000000000007E-2"/>
    <n v="48.778500000000001"/>
    <x v="1"/>
    <s v="Dinner"/>
    <s v="UPI"/>
    <s v="Combo"/>
    <s v="HighDisc"/>
  </r>
  <r>
    <s v="O00074"/>
    <s v="SCKW5N"/>
    <n v="2"/>
    <n v="70.540000000000006"/>
    <x v="0"/>
    <n v="35.81"/>
    <d v="2025-08-13T00:00:00"/>
    <x v="1"/>
    <n v="7.0000000000000007E-2"/>
    <n v="131.20439999999999"/>
    <x v="1"/>
    <s v="Dinner"/>
    <s v="UPI"/>
    <s v="Combo"/>
    <s v="HighDisc"/>
  </r>
  <r>
    <s v="O00074"/>
    <s v="HXAJI0"/>
    <n v="3"/>
    <n v="227.61"/>
    <x v="3"/>
    <n v="96.22"/>
    <d v="2025-08-13T00:00:00"/>
    <x v="1"/>
    <n v="7.0000000000000007E-2"/>
    <n v="635.03189999999995"/>
    <x v="1"/>
    <s v="Dinner"/>
    <s v="UPI"/>
    <s v="Combo"/>
    <s v="HighDisc"/>
  </r>
  <r>
    <s v="O00075"/>
    <s v="B0T0PV"/>
    <n v="2"/>
    <n v="28.43"/>
    <x v="1"/>
    <n v="13.89"/>
    <d v="2025-08-20T00:00:00"/>
    <x v="1"/>
    <n v="0.06"/>
    <n v="53.448399999999999"/>
    <x v="1"/>
    <s v="Dinner"/>
    <s v="Cash"/>
    <s v="Combo"/>
    <s v="OK"/>
  </r>
  <r>
    <s v="O00075"/>
    <s v="HUZZPQ"/>
    <n v="2"/>
    <n v="146.4"/>
    <x v="3"/>
    <n v="80.92"/>
    <d v="2025-08-20T00:00:00"/>
    <x v="1"/>
    <n v="0.06"/>
    <n v="275.23199999999997"/>
    <x v="1"/>
    <s v="Dinner"/>
    <s v="Cash"/>
    <s v="Combo"/>
    <s v="OK"/>
  </r>
  <r>
    <s v="O00075"/>
    <s v="SZBIKC"/>
    <n v="2"/>
    <n v="38.06"/>
    <x v="0"/>
    <n v="19.55"/>
    <d v="2025-08-20T00:00:00"/>
    <x v="1"/>
    <n v="0.06"/>
    <n v="71.552800000000005"/>
    <x v="1"/>
    <s v="Dinner"/>
    <s v="Cash"/>
    <s v="Combo"/>
    <s v="OK"/>
  </r>
  <r>
    <s v="O00075"/>
    <s v="SV30T9"/>
    <n v="3"/>
    <n v="39.950000000000003"/>
    <x v="0"/>
    <n v="15.51"/>
    <d v="2025-08-20T00:00:00"/>
    <x v="1"/>
    <n v="0.06"/>
    <n v="112.65900000000001"/>
    <x v="1"/>
    <s v="Dinner"/>
    <s v="Cash"/>
    <s v="Combo"/>
    <s v="OK"/>
  </r>
  <r>
    <s v="O00076"/>
    <s v="DFFYVN"/>
    <n v="1"/>
    <n v="54.2"/>
    <x v="2"/>
    <n v="21.95"/>
    <d v="2025-08-12T00:00:00"/>
    <x v="2"/>
    <n v="0.01"/>
    <n v="53.658000000000001"/>
    <x v="1"/>
    <s v="Dinner"/>
    <s v="Card"/>
    <s v="Single"/>
    <s v="OK"/>
  </r>
  <r>
    <s v="O00076"/>
    <s v="S5NQ4F"/>
    <n v="1"/>
    <n v="50.19"/>
    <x v="0"/>
    <n v="22.61"/>
    <d v="2025-08-12T00:00:00"/>
    <x v="2"/>
    <n v="0.01"/>
    <n v="49.688099999999999"/>
    <x v="1"/>
    <s v="Dinner"/>
    <s v="Card"/>
    <s v="Single"/>
    <s v="OK"/>
  </r>
  <r>
    <s v="O00076"/>
    <s v="HUZZPQ"/>
    <n v="2"/>
    <n v="146.4"/>
    <x v="3"/>
    <n v="80.92"/>
    <d v="2025-08-12T00:00:00"/>
    <x v="2"/>
    <n v="0.01"/>
    <n v="289.87200000000001"/>
    <x v="1"/>
    <s v="Dinner"/>
    <s v="Card"/>
    <s v="Single"/>
    <s v="OK"/>
  </r>
  <r>
    <s v="O00077"/>
    <s v="BOC6UZ"/>
    <n v="1"/>
    <n v="32.979999999999997"/>
    <x v="1"/>
    <n v="11.84"/>
    <d v="2025-07-27T00:00:00"/>
    <x v="1"/>
    <n v="0.11"/>
    <n v="29.352199999999996"/>
    <x v="0"/>
    <s v="Lunch"/>
    <s v="UPI"/>
    <s v="Single"/>
    <s v="OK"/>
  </r>
  <r>
    <s v="O00077"/>
    <s v="SCKW5N"/>
    <n v="1"/>
    <n v="70.540000000000006"/>
    <x v="0"/>
    <n v="35.81"/>
    <d v="2025-07-27T00:00:00"/>
    <x v="1"/>
    <n v="0.11"/>
    <n v="62.780600000000007"/>
    <x v="0"/>
    <s v="Lunch"/>
    <s v="UPI"/>
    <s v="Single"/>
    <s v="OK"/>
  </r>
  <r>
    <s v="O00078"/>
    <s v="S5NQ4F"/>
    <n v="1"/>
    <n v="50.19"/>
    <x v="0"/>
    <n v="22.61"/>
    <d v="2025-07-14T00:00:00"/>
    <x v="2"/>
    <n v="0.09"/>
    <n v="45.672899999999998"/>
    <x v="0"/>
    <s v="Dinner"/>
    <s v="Card"/>
    <s v="Single"/>
    <s v="OK"/>
  </r>
  <r>
    <s v="O00078"/>
    <s v="BOC6UZ"/>
    <n v="3"/>
    <n v="32.979999999999997"/>
    <x v="1"/>
    <n v="11.84"/>
    <d v="2025-07-14T00:00:00"/>
    <x v="2"/>
    <n v="0.09"/>
    <n v="90.035399999999996"/>
    <x v="0"/>
    <s v="Dinner"/>
    <s v="Card"/>
    <s v="Single"/>
    <s v="OK"/>
  </r>
  <r>
    <s v="O00079"/>
    <s v="SZBIKC"/>
    <n v="1"/>
    <n v="38.06"/>
    <x v="0"/>
    <n v="19.55"/>
    <d v="2025-07-22T00:00:00"/>
    <x v="2"/>
    <n v="0.09"/>
    <n v="34.634600000000006"/>
    <x v="0"/>
    <s v="Breakfast"/>
    <s v="Card"/>
    <s v="Single"/>
    <s v="OK"/>
  </r>
  <r>
    <s v="O00079"/>
    <s v="B0T0PV"/>
    <n v="2"/>
    <n v="28.43"/>
    <x v="1"/>
    <n v="13.89"/>
    <d v="2025-07-22T00:00:00"/>
    <x v="2"/>
    <n v="0.09"/>
    <n v="51.742600000000003"/>
    <x v="0"/>
    <s v="Breakfast"/>
    <s v="Card"/>
    <s v="Single"/>
    <s v="OK"/>
  </r>
  <r>
    <s v="O00080"/>
    <s v="BHL1C3"/>
    <n v="2"/>
    <n v="22.2"/>
    <x v="1"/>
    <n v="9.3800000000000008"/>
    <d v="2025-08-22T00:00:00"/>
    <x v="1"/>
    <n v="0.02"/>
    <n v="43.512"/>
    <x v="1"/>
    <s v="Dinner"/>
    <s v="Cash"/>
    <s v="Combo"/>
    <s v="OK"/>
  </r>
  <r>
    <s v="O00080"/>
    <s v="BOC6UZ"/>
    <n v="2"/>
    <n v="32.979999999999997"/>
    <x v="1"/>
    <n v="11.84"/>
    <d v="2025-08-22T00:00:00"/>
    <x v="1"/>
    <n v="0.02"/>
    <n v="64.640799999999999"/>
    <x v="1"/>
    <s v="Dinner"/>
    <s v="Cash"/>
    <s v="Combo"/>
    <s v="OK"/>
  </r>
  <r>
    <s v="O00080"/>
    <s v="HDPBHS"/>
    <n v="1"/>
    <n v="256.91000000000003"/>
    <x v="3"/>
    <n v="121.24"/>
    <d v="2025-08-22T00:00:00"/>
    <x v="1"/>
    <n v="0.02"/>
    <n v="251.77180000000001"/>
    <x v="1"/>
    <s v="Dinner"/>
    <s v="Cash"/>
    <s v="Combo"/>
    <s v="OK"/>
  </r>
  <r>
    <s v="O00080"/>
    <s v="BTIQJ7"/>
    <n v="2"/>
    <n v="30.34"/>
    <x v="1"/>
    <n v="14.18"/>
    <d v="2025-08-22T00:00:00"/>
    <x v="1"/>
    <n v="0.02"/>
    <n v="59.4664"/>
    <x v="1"/>
    <s v="Dinner"/>
    <s v="Cash"/>
    <s v="Combo"/>
    <s v="OK"/>
  </r>
  <r>
    <s v="O00081"/>
    <s v="S5NQ4F"/>
    <n v="1"/>
    <n v="50.19"/>
    <x v="0"/>
    <n v="22.61"/>
    <d v="2025-08-11T00:00:00"/>
    <x v="1"/>
    <n v="0.12"/>
    <n v="44.167200000000001"/>
    <x v="1"/>
    <s v="Breakfast"/>
    <s v="UPI"/>
    <s v="Single"/>
    <s v="OK"/>
  </r>
  <r>
    <s v="O00082"/>
    <s v="SV30T9"/>
    <n v="3"/>
    <n v="39.950000000000003"/>
    <x v="0"/>
    <n v="15.51"/>
    <d v="2025-08-26T00:00:00"/>
    <x v="1"/>
    <n v="0"/>
    <n v="119.85000000000001"/>
    <x v="1"/>
    <s v="Breakfast"/>
    <s v="Cash"/>
    <s v="Single"/>
    <s v="OK"/>
  </r>
  <r>
    <s v="O00083"/>
    <s v="BTIQJ7"/>
    <n v="1"/>
    <n v="30.34"/>
    <x v="1"/>
    <n v="14.18"/>
    <d v="2025-07-30T00:00:00"/>
    <x v="1"/>
    <n v="0.08"/>
    <n v="27.912800000000001"/>
    <x v="0"/>
    <s v="Breakfast"/>
    <s v="UPI"/>
    <s v="Combo"/>
    <s v="OK"/>
  </r>
  <r>
    <s v="O00083"/>
    <s v="HUZZPQ"/>
    <n v="2"/>
    <n v="146.4"/>
    <x v="3"/>
    <n v="80.92"/>
    <d v="2025-07-30T00:00:00"/>
    <x v="1"/>
    <n v="0.08"/>
    <n v="269.37600000000003"/>
    <x v="0"/>
    <s v="Breakfast"/>
    <s v="UPI"/>
    <s v="Combo"/>
    <s v="OK"/>
  </r>
  <r>
    <s v="O00084"/>
    <s v="BTIQJ7"/>
    <n v="1"/>
    <n v="30.34"/>
    <x v="1"/>
    <n v="14.18"/>
    <d v="2025-08-28T00:00:00"/>
    <x v="2"/>
    <n v="0.15"/>
    <n v="25.788999999999998"/>
    <x v="1"/>
    <s v="Dinner"/>
    <s v="Cash"/>
    <s v="Single"/>
    <s v="OK"/>
  </r>
  <r>
    <s v="O00084"/>
    <s v="DH9SDB"/>
    <n v="2"/>
    <n v="76.55"/>
    <x v="2"/>
    <n v="38.229999999999997"/>
    <d v="2025-08-28T00:00:00"/>
    <x v="2"/>
    <n v="0.15"/>
    <n v="130.13499999999999"/>
    <x v="1"/>
    <s v="Dinner"/>
    <s v="Cash"/>
    <s v="Single"/>
    <s v="OK"/>
  </r>
  <r>
    <s v="O00084"/>
    <s v="SHJ7XV"/>
    <n v="1"/>
    <n v="52.45"/>
    <x v="0"/>
    <n v="25.8"/>
    <d v="2025-08-28T00:00:00"/>
    <x v="2"/>
    <n v="0.15"/>
    <n v="44.582500000000003"/>
    <x v="1"/>
    <s v="Dinner"/>
    <s v="Cash"/>
    <s v="Single"/>
    <s v="OK"/>
  </r>
  <r>
    <s v="O00085"/>
    <s v="DFFYVN"/>
    <n v="1"/>
    <n v="54.2"/>
    <x v="2"/>
    <n v="21.95"/>
    <d v="2025-08-12T00:00:00"/>
    <x v="1"/>
    <n v="0.02"/>
    <n v="53.116"/>
    <x v="1"/>
    <s v="Lunch"/>
    <s v="Card"/>
    <s v="Single"/>
    <s v="OK"/>
  </r>
  <r>
    <s v="O00085"/>
    <s v="S5NQ4F"/>
    <n v="2"/>
    <n v="50.19"/>
    <x v="0"/>
    <n v="22.61"/>
    <d v="2025-08-12T00:00:00"/>
    <x v="1"/>
    <n v="0.02"/>
    <n v="98.372399999999999"/>
    <x v="1"/>
    <s v="Lunch"/>
    <s v="Card"/>
    <s v="Single"/>
    <s v="OK"/>
  </r>
  <r>
    <s v="O00086"/>
    <s v="BOC6UZ"/>
    <n v="1"/>
    <n v="32.979999999999997"/>
    <x v="1"/>
    <n v="11.84"/>
    <d v="2025-08-09T00:00:00"/>
    <x v="0"/>
    <n v="0.04"/>
    <n v="31.660799999999995"/>
    <x v="1"/>
    <s v="Lunch"/>
    <s v="Card"/>
    <s v="Single"/>
    <s v="OK"/>
  </r>
  <r>
    <s v="O00086"/>
    <s v="DH9SDB"/>
    <n v="2"/>
    <n v="76.55"/>
    <x v="2"/>
    <n v="38.229999999999997"/>
    <d v="2025-08-09T00:00:00"/>
    <x v="0"/>
    <n v="0.04"/>
    <n v="146.976"/>
    <x v="1"/>
    <s v="Lunch"/>
    <s v="Card"/>
    <s v="Single"/>
    <s v="OK"/>
  </r>
  <r>
    <s v="O00087"/>
    <s v="SHJ7XV"/>
    <n v="2"/>
    <n v="52.45"/>
    <x v="0"/>
    <n v="25.8"/>
    <d v="2025-08-22T00:00:00"/>
    <x v="2"/>
    <n v="0.06"/>
    <n v="98.605999999999995"/>
    <x v="1"/>
    <s v="Breakfast"/>
    <s v="UPI"/>
    <s v="Single"/>
    <s v="OK"/>
  </r>
  <r>
    <s v="O00087"/>
    <s v="BHL1C3"/>
    <n v="1"/>
    <n v="22.2"/>
    <x v="1"/>
    <n v="9.3800000000000008"/>
    <d v="2025-08-22T00:00:00"/>
    <x v="2"/>
    <n v="0.06"/>
    <n v="20.867999999999999"/>
    <x v="1"/>
    <s v="Breakfast"/>
    <s v="UPI"/>
    <s v="Single"/>
    <s v="OK"/>
  </r>
  <r>
    <s v="O00087"/>
    <s v="SCKW5N"/>
    <n v="2"/>
    <n v="70.540000000000006"/>
    <x v="0"/>
    <n v="35.81"/>
    <d v="2025-08-22T00:00:00"/>
    <x v="2"/>
    <n v="0.06"/>
    <n v="132.61520000000002"/>
    <x v="1"/>
    <s v="Breakfast"/>
    <s v="UPI"/>
    <s v="Single"/>
    <s v="OK"/>
  </r>
  <r>
    <s v="O00088"/>
    <s v="HXAJI0"/>
    <n v="1"/>
    <n v="227.61"/>
    <x v="3"/>
    <n v="96.22"/>
    <d v="2025-07-09T00:00:00"/>
    <x v="0"/>
    <n v="0.04"/>
    <n v="218.50560000000002"/>
    <x v="0"/>
    <s v="Breakfast"/>
    <s v="Cash"/>
    <s v="Single"/>
    <s v="OK"/>
  </r>
  <r>
    <s v="O00088"/>
    <s v="DH9SDB"/>
    <n v="1"/>
    <n v="76.55"/>
    <x v="2"/>
    <n v="38.229999999999997"/>
    <d v="2025-07-09T00:00:00"/>
    <x v="0"/>
    <n v="0.04"/>
    <n v="73.488"/>
    <x v="0"/>
    <s v="Breakfast"/>
    <s v="Cash"/>
    <s v="Single"/>
    <s v="OK"/>
  </r>
  <r>
    <s v="O00089"/>
    <s v="SV30T9"/>
    <n v="1"/>
    <n v="39.950000000000003"/>
    <x v="0"/>
    <n v="15.51"/>
    <d v="2025-07-18T00:00:00"/>
    <x v="2"/>
    <n v="0"/>
    <n v="39.950000000000003"/>
    <x v="0"/>
    <s v="Dinner"/>
    <s v="Card"/>
    <s v="Single"/>
    <s v="OK"/>
  </r>
  <r>
    <s v="O00089"/>
    <s v="HDPBHS"/>
    <n v="2"/>
    <n v="256.91000000000003"/>
    <x v="3"/>
    <n v="121.24"/>
    <d v="2025-07-18T00:00:00"/>
    <x v="2"/>
    <n v="0"/>
    <n v="513.82000000000005"/>
    <x v="0"/>
    <s v="Dinner"/>
    <s v="Card"/>
    <s v="Single"/>
    <s v="OK"/>
  </r>
  <r>
    <s v="O00089"/>
    <s v="SHJ7XV"/>
    <n v="2"/>
    <n v="52.45"/>
    <x v="0"/>
    <n v="25.8"/>
    <d v="2025-07-18T00:00:00"/>
    <x v="2"/>
    <n v="0"/>
    <n v="104.9"/>
    <x v="0"/>
    <s v="Dinner"/>
    <s v="Card"/>
    <s v="Single"/>
    <s v="OK"/>
  </r>
  <r>
    <s v="O00090"/>
    <s v="HXAJI0"/>
    <n v="3"/>
    <n v="227.61"/>
    <x v="3"/>
    <n v="96.22"/>
    <d v="2025-07-21T00:00:00"/>
    <x v="1"/>
    <n v="0.06"/>
    <n v="641.86019999999996"/>
    <x v="0"/>
    <s v="Dinner"/>
    <s v="Card"/>
    <s v="Combo"/>
    <s v="HighDisc"/>
  </r>
  <r>
    <s v="O00090"/>
    <s v="BOC6UZ"/>
    <n v="1"/>
    <n v="32.979999999999997"/>
    <x v="1"/>
    <n v="11.84"/>
    <d v="2025-07-21T00:00:00"/>
    <x v="1"/>
    <n v="0.06"/>
    <n v="31.001199999999994"/>
    <x v="0"/>
    <s v="Dinner"/>
    <s v="Card"/>
    <s v="Combo"/>
    <s v="HighDisc"/>
  </r>
  <r>
    <s v="O00090"/>
    <s v="BHL1C3"/>
    <n v="2"/>
    <n v="22.2"/>
    <x v="1"/>
    <n v="9.3800000000000008"/>
    <d v="2025-07-21T00:00:00"/>
    <x v="1"/>
    <n v="0.06"/>
    <n v="41.735999999999997"/>
    <x v="0"/>
    <s v="Dinner"/>
    <s v="Card"/>
    <s v="Combo"/>
    <s v="HighDisc"/>
  </r>
  <r>
    <s v="O00091"/>
    <s v="HUZZPQ"/>
    <n v="2"/>
    <n v="146.4"/>
    <x v="3"/>
    <n v="80.92"/>
    <d v="2025-07-28T00:00:00"/>
    <x v="1"/>
    <n v="0.02"/>
    <n v="286.94400000000002"/>
    <x v="0"/>
    <s v="Breakfast"/>
    <s v="Cash"/>
    <s v="Single"/>
    <s v="OK"/>
  </r>
  <r>
    <s v="O00092"/>
    <s v="B0T0PV"/>
    <n v="2"/>
    <n v="28.43"/>
    <x v="1"/>
    <n v="13.89"/>
    <d v="2025-07-03T00:00:00"/>
    <x v="0"/>
    <n v="0.08"/>
    <n v="52.311199999999999"/>
    <x v="0"/>
    <s v="Breakfast"/>
    <s v="Cash"/>
    <s v="Combo"/>
    <s v="HighDisc"/>
  </r>
  <r>
    <s v="O00092"/>
    <s v="HXAJI0"/>
    <n v="2"/>
    <n v="227.61"/>
    <x v="3"/>
    <n v="96.22"/>
    <d v="2025-07-03T00:00:00"/>
    <x v="0"/>
    <n v="0.08"/>
    <n v="418.80240000000003"/>
    <x v="0"/>
    <s v="Breakfast"/>
    <s v="Cash"/>
    <s v="Combo"/>
    <s v="HighDisc"/>
  </r>
  <r>
    <s v="O00092"/>
    <s v="D9T84A"/>
    <n v="2"/>
    <n v="116.8"/>
    <x v="2"/>
    <n v="48.97"/>
    <d v="2025-07-03T00:00:00"/>
    <x v="0"/>
    <n v="0.08"/>
    <n v="214.91200000000001"/>
    <x v="0"/>
    <s v="Breakfast"/>
    <s v="Cash"/>
    <s v="Combo"/>
    <s v="HighDisc"/>
  </r>
  <r>
    <s v="O00093"/>
    <s v="DYTJXE"/>
    <n v="2"/>
    <n v="57.07"/>
    <x v="2"/>
    <n v="29.14"/>
    <d v="2025-07-23T00:00:00"/>
    <x v="0"/>
    <n v="0.02"/>
    <n v="111.85719999999999"/>
    <x v="0"/>
    <s v="Breakfast"/>
    <s v="UPI"/>
    <s v="Single"/>
    <s v="OK"/>
  </r>
  <r>
    <s v="O00093"/>
    <s v="HUZZPQ"/>
    <n v="2"/>
    <n v="146.4"/>
    <x v="3"/>
    <n v="80.92"/>
    <d v="2025-07-23T00:00:00"/>
    <x v="0"/>
    <n v="0.02"/>
    <n v="286.94400000000002"/>
    <x v="0"/>
    <s v="Breakfast"/>
    <s v="UPI"/>
    <s v="Single"/>
    <s v="OK"/>
  </r>
  <r>
    <s v="O00094"/>
    <s v="S5NQ4F"/>
    <n v="1"/>
    <n v="50.19"/>
    <x v="0"/>
    <n v="22.61"/>
    <d v="2025-07-04T00:00:00"/>
    <x v="2"/>
    <n v="0.12"/>
    <n v="44.167200000000001"/>
    <x v="0"/>
    <s v="Breakfast"/>
    <s v="Cash"/>
    <s v="Single"/>
    <s v="OK"/>
  </r>
  <r>
    <s v="O00094"/>
    <s v="D9T84A"/>
    <n v="1"/>
    <n v="116.8"/>
    <x v="2"/>
    <n v="48.97"/>
    <d v="2025-07-04T00:00:00"/>
    <x v="2"/>
    <n v="0.12"/>
    <n v="102.78399999999999"/>
    <x v="0"/>
    <s v="Breakfast"/>
    <s v="Cash"/>
    <s v="Single"/>
    <s v="OK"/>
  </r>
  <r>
    <s v="O00094"/>
    <s v="B0T0PV"/>
    <n v="1"/>
    <n v="28.43"/>
    <x v="1"/>
    <n v="13.89"/>
    <d v="2025-07-04T00:00:00"/>
    <x v="2"/>
    <n v="0.12"/>
    <n v="25.0184"/>
    <x v="0"/>
    <s v="Breakfast"/>
    <s v="Cash"/>
    <s v="Single"/>
    <s v="OK"/>
  </r>
  <r>
    <s v="O00095"/>
    <s v="SV30T9"/>
    <n v="2"/>
    <n v="39.950000000000003"/>
    <x v="0"/>
    <n v="15.51"/>
    <d v="2025-07-24T00:00:00"/>
    <x v="2"/>
    <n v="0.03"/>
    <n v="77.503"/>
    <x v="0"/>
    <s v="Breakfast"/>
    <s v="UPI"/>
    <s v="Single"/>
    <s v="OK"/>
  </r>
  <r>
    <s v="O00095"/>
    <s v="HXAJI0"/>
    <n v="3"/>
    <n v="227.61"/>
    <x v="3"/>
    <n v="96.22"/>
    <d v="2025-07-24T00:00:00"/>
    <x v="2"/>
    <n v="0.03"/>
    <n v="662.3451"/>
    <x v="0"/>
    <s v="Breakfast"/>
    <s v="UPI"/>
    <s v="Single"/>
    <s v="OK"/>
  </r>
  <r>
    <s v="O00096"/>
    <s v="HH1DNM"/>
    <n v="3"/>
    <n v="246.09"/>
    <x v="3"/>
    <n v="112.08"/>
    <d v="2025-08-25T00:00:00"/>
    <x v="2"/>
    <n v="0.05"/>
    <n v="701.35649999999998"/>
    <x v="1"/>
    <s v="Breakfast"/>
    <s v="UPI"/>
    <s v="Single"/>
    <s v="HighDisc"/>
  </r>
  <r>
    <s v="O00096"/>
    <s v="DFFYVN"/>
    <n v="1"/>
    <n v="54.2"/>
    <x v="2"/>
    <n v="21.95"/>
    <d v="2025-08-25T00:00:00"/>
    <x v="2"/>
    <n v="0.05"/>
    <n v="51.49"/>
    <x v="1"/>
    <s v="Breakfast"/>
    <s v="UPI"/>
    <s v="Single"/>
    <s v="HighDisc"/>
  </r>
  <r>
    <s v="O00096"/>
    <s v="DH9SDB"/>
    <n v="1"/>
    <n v="76.55"/>
    <x v="2"/>
    <n v="38.229999999999997"/>
    <d v="2025-08-25T00:00:00"/>
    <x v="2"/>
    <n v="0.05"/>
    <n v="72.722499999999997"/>
    <x v="1"/>
    <s v="Breakfast"/>
    <s v="UPI"/>
    <s v="Single"/>
    <s v="HighDisc"/>
  </r>
  <r>
    <s v="O00097"/>
    <s v="B0T0PV"/>
    <n v="2"/>
    <n v="28.43"/>
    <x v="1"/>
    <n v="13.89"/>
    <d v="2025-08-06T00:00:00"/>
    <x v="2"/>
    <n v="0.09"/>
    <n v="51.742600000000003"/>
    <x v="1"/>
    <s v="Breakfast"/>
    <s v="UPI"/>
    <s v="Single"/>
    <s v="OK"/>
  </r>
  <r>
    <s v="O00098"/>
    <s v="BOC6UZ"/>
    <n v="3"/>
    <n v="32.979999999999997"/>
    <x v="1"/>
    <n v="11.84"/>
    <d v="2025-07-17T00:00:00"/>
    <x v="1"/>
    <n v="0.01"/>
    <n v="97.950599999999994"/>
    <x v="0"/>
    <s v="Breakfast"/>
    <s v="UPI"/>
    <s v="Single"/>
    <s v="OK"/>
  </r>
  <r>
    <s v="O00098"/>
    <s v="B0T0PV"/>
    <n v="3"/>
    <n v="28.43"/>
    <x v="1"/>
    <n v="13.89"/>
    <d v="2025-07-17T00:00:00"/>
    <x v="1"/>
    <n v="0.01"/>
    <n v="84.437099999999987"/>
    <x v="0"/>
    <s v="Breakfast"/>
    <s v="UPI"/>
    <s v="Single"/>
    <s v="OK"/>
  </r>
  <r>
    <s v="O00099"/>
    <s v="DYTJXE"/>
    <n v="2"/>
    <n v="57.07"/>
    <x v="2"/>
    <n v="29.14"/>
    <d v="2025-07-31T00:00:00"/>
    <x v="0"/>
    <n v="7.0000000000000007E-2"/>
    <n v="106.1502"/>
    <x v="0"/>
    <s v="Lunch"/>
    <s v="Card"/>
    <s v="Single"/>
    <s v="OK"/>
  </r>
  <r>
    <s v="O00099"/>
    <s v="HUZZPQ"/>
    <n v="1"/>
    <n v="146.4"/>
    <x v="3"/>
    <n v="80.92"/>
    <d v="2025-07-31T00:00:00"/>
    <x v="0"/>
    <n v="7.0000000000000007E-2"/>
    <n v="136.15199999999999"/>
    <x v="0"/>
    <s v="Lunch"/>
    <s v="Card"/>
    <s v="Single"/>
    <s v="OK"/>
  </r>
  <r>
    <s v="O00100"/>
    <s v="S5NQ4F"/>
    <n v="2"/>
    <n v="50.19"/>
    <x v="0"/>
    <n v="22.61"/>
    <d v="2025-07-20T00:00:00"/>
    <x v="2"/>
    <n v="0.11"/>
    <n v="89.338200000000001"/>
    <x v="0"/>
    <s v="Lunch"/>
    <s v="UPI"/>
    <s v="Single"/>
    <s v="OK"/>
  </r>
  <r>
    <s v="O00100"/>
    <s v="HDPBHS"/>
    <n v="1"/>
    <n v="256.91000000000003"/>
    <x v="3"/>
    <n v="121.24"/>
    <d v="2025-07-20T00:00:00"/>
    <x v="2"/>
    <n v="0.11"/>
    <n v="228.64990000000003"/>
    <x v="0"/>
    <s v="Lunch"/>
    <s v="UPI"/>
    <s v="Single"/>
    <s v="OK"/>
  </r>
  <r>
    <s v="O00101"/>
    <s v="BTIQJ7"/>
    <n v="1"/>
    <n v="30.34"/>
    <x v="1"/>
    <n v="14.18"/>
    <d v="2025-07-11T00:00:00"/>
    <x v="0"/>
    <n v="0"/>
    <n v="30.34"/>
    <x v="0"/>
    <s v="Breakfast"/>
    <s v="UPI"/>
    <s v="Single"/>
    <s v="OK"/>
  </r>
  <r>
    <s v="O00101"/>
    <s v="SCKW5N"/>
    <n v="1"/>
    <n v="70.540000000000006"/>
    <x v="0"/>
    <n v="35.81"/>
    <d v="2025-07-11T00:00:00"/>
    <x v="0"/>
    <n v="0"/>
    <n v="70.540000000000006"/>
    <x v="0"/>
    <s v="Breakfast"/>
    <s v="UPI"/>
    <s v="Single"/>
    <s v="OK"/>
  </r>
  <r>
    <s v="O00101"/>
    <s v="SV30T9"/>
    <n v="1"/>
    <n v="39.950000000000003"/>
    <x v="0"/>
    <n v="15.51"/>
    <d v="2025-07-11T00:00:00"/>
    <x v="0"/>
    <n v="0"/>
    <n v="39.950000000000003"/>
    <x v="0"/>
    <s v="Breakfast"/>
    <s v="UPI"/>
    <s v="Single"/>
    <s v="OK"/>
  </r>
  <r>
    <s v="O00102"/>
    <s v="SZBIKC"/>
    <n v="2"/>
    <n v="38.06"/>
    <x v="0"/>
    <n v="19.55"/>
    <d v="2025-08-25T00:00:00"/>
    <x v="2"/>
    <n v="7.0000000000000007E-2"/>
    <n v="70.791600000000003"/>
    <x v="1"/>
    <s v="Breakfast"/>
    <s v="UPI"/>
    <s v="Single"/>
    <s v="OK"/>
  </r>
  <r>
    <s v="O00103"/>
    <s v="SCKW5N"/>
    <n v="2"/>
    <n v="70.540000000000006"/>
    <x v="0"/>
    <n v="35.81"/>
    <d v="2025-08-06T00:00:00"/>
    <x v="2"/>
    <n v="7.0000000000000007E-2"/>
    <n v="131.20439999999999"/>
    <x v="1"/>
    <s v="Breakfast"/>
    <s v="UPI"/>
    <s v="Single"/>
    <s v="OK"/>
  </r>
  <r>
    <s v="O00104"/>
    <s v="DFFYVN"/>
    <n v="1"/>
    <n v="54.2"/>
    <x v="2"/>
    <n v="21.95"/>
    <d v="2025-07-02T00:00:00"/>
    <x v="1"/>
    <n v="0.09"/>
    <n v="49.322000000000003"/>
    <x v="0"/>
    <s v="Lunch"/>
    <s v="Cash"/>
    <s v="Single"/>
    <s v="OK"/>
  </r>
  <r>
    <s v="O00105"/>
    <s v="BTIQJ7"/>
    <n v="1"/>
    <n v="30.34"/>
    <x v="1"/>
    <n v="14.18"/>
    <d v="2025-08-05T00:00:00"/>
    <x v="0"/>
    <n v="0.01"/>
    <n v="30.0366"/>
    <x v="1"/>
    <s v="Breakfast"/>
    <s v="UPI"/>
    <s v="Single"/>
    <s v="OK"/>
  </r>
  <r>
    <s v="O00106"/>
    <s v="SZBIKC"/>
    <n v="3"/>
    <n v="38.06"/>
    <x v="0"/>
    <n v="19.55"/>
    <d v="2025-08-12T00:00:00"/>
    <x v="2"/>
    <n v="0.01"/>
    <n v="113.0382"/>
    <x v="1"/>
    <s v="Lunch"/>
    <s v="UPI"/>
    <s v="Combo"/>
    <s v="OK"/>
  </r>
  <r>
    <s v="O00106"/>
    <s v="B0T0PV"/>
    <n v="2"/>
    <n v="28.43"/>
    <x v="1"/>
    <n v="13.89"/>
    <d v="2025-08-12T00:00:00"/>
    <x v="2"/>
    <n v="0.01"/>
    <n v="56.291399999999996"/>
    <x v="1"/>
    <s v="Lunch"/>
    <s v="UPI"/>
    <s v="Combo"/>
    <s v="OK"/>
  </r>
  <r>
    <s v="O00106"/>
    <s v="HDPBHS"/>
    <n v="1"/>
    <n v="256.91000000000003"/>
    <x v="3"/>
    <n v="121.24"/>
    <d v="2025-08-12T00:00:00"/>
    <x v="2"/>
    <n v="0.01"/>
    <n v="254.34090000000003"/>
    <x v="1"/>
    <s v="Lunch"/>
    <s v="UPI"/>
    <s v="Combo"/>
    <s v="OK"/>
  </r>
  <r>
    <s v="O00107"/>
    <s v="BXO6QJ"/>
    <n v="2"/>
    <n v="20.11"/>
    <x v="1"/>
    <n v="8"/>
    <d v="2025-08-22T00:00:00"/>
    <x v="1"/>
    <n v="0.08"/>
    <n v="37.002400000000002"/>
    <x v="1"/>
    <s v="Lunch"/>
    <s v="Card"/>
    <s v="Single"/>
    <s v="OK"/>
  </r>
  <r>
    <s v="O00107"/>
    <s v="BHL1C3"/>
    <n v="1"/>
    <n v="22.2"/>
    <x v="1"/>
    <n v="9.3800000000000008"/>
    <d v="2025-08-22T00:00:00"/>
    <x v="1"/>
    <n v="0.08"/>
    <n v="20.423999999999999"/>
    <x v="1"/>
    <s v="Lunch"/>
    <s v="Card"/>
    <s v="Single"/>
    <s v="OK"/>
  </r>
  <r>
    <s v="O00108"/>
    <s v="DH9SDB"/>
    <n v="1"/>
    <n v="76.55"/>
    <x v="2"/>
    <n v="38.229999999999997"/>
    <d v="2025-08-01T00:00:00"/>
    <x v="2"/>
    <n v="7.0000000000000007E-2"/>
    <n v="71.191499999999991"/>
    <x v="1"/>
    <s v="Lunch"/>
    <s v="Card"/>
    <s v="Single"/>
    <s v="OK"/>
  </r>
  <r>
    <s v="O00108"/>
    <s v="B0T0PV"/>
    <n v="1"/>
    <n v="28.43"/>
    <x v="1"/>
    <n v="13.89"/>
    <d v="2025-08-01T00:00:00"/>
    <x v="2"/>
    <n v="7.0000000000000007E-2"/>
    <n v="26.439899999999998"/>
    <x v="1"/>
    <s v="Lunch"/>
    <s v="Card"/>
    <s v="Single"/>
    <s v="OK"/>
  </r>
  <r>
    <s v="O00108"/>
    <s v="SCKW5N"/>
    <n v="1"/>
    <n v="70.540000000000006"/>
    <x v="0"/>
    <n v="35.81"/>
    <d v="2025-08-01T00:00:00"/>
    <x v="2"/>
    <n v="7.0000000000000007E-2"/>
    <n v="65.602199999999996"/>
    <x v="1"/>
    <s v="Lunch"/>
    <s v="Card"/>
    <s v="Single"/>
    <s v="OK"/>
  </r>
  <r>
    <s v="O00108"/>
    <s v="SV30T9"/>
    <n v="1"/>
    <n v="39.950000000000003"/>
    <x v="0"/>
    <n v="15.51"/>
    <d v="2025-08-01T00:00:00"/>
    <x v="2"/>
    <n v="7.0000000000000007E-2"/>
    <n v="37.153500000000001"/>
    <x v="1"/>
    <s v="Lunch"/>
    <s v="Card"/>
    <s v="Single"/>
    <s v="OK"/>
  </r>
  <r>
    <s v="O00109"/>
    <s v="BTIQJ7"/>
    <n v="2"/>
    <n v="30.34"/>
    <x v="1"/>
    <n v="14.18"/>
    <d v="2025-07-24T00:00:00"/>
    <x v="1"/>
    <n v="7.0000000000000007E-2"/>
    <n v="56.432399999999994"/>
    <x v="0"/>
    <s v="Dinner"/>
    <s v="UPI"/>
    <s v="Single"/>
    <s v="OK"/>
  </r>
  <r>
    <s v="O00110"/>
    <s v="BTIQJ7"/>
    <n v="2"/>
    <n v="30.34"/>
    <x v="1"/>
    <n v="14.18"/>
    <d v="2025-08-02T00:00:00"/>
    <x v="2"/>
    <n v="7.0000000000000007E-2"/>
    <n v="56.432399999999994"/>
    <x v="1"/>
    <s v="Dinner"/>
    <s v="Card"/>
    <s v="Combo"/>
    <s v="HighDisc"/>
  </r>
  <r>
    <s v="O00110"/>
    <s v="HXAJI0"/>
    <n v="2"/>
    <n v="227.61"/>
    <x v="3"/>
    <n v="96.22"/>
    <d v="2025-08-02T00:00:00"/>
    <x v="2"/>
    <n v="7.0000000000000007E-2"/>
    <n v="423.3546"/>
    <x v="1"/>
    <s v="Dinner"/>
    <s v="Card"/>
    <s v="Combo"/>
    <s v="HighDisc"/>
  </r>
  <r>
    <s v="O00110"/>
    <s v="DYTJXE"/>
    <n v="1"/>
    <n v="57.07"/>
    <x v="2"/>
    <n v="29.14"/>
    <d v="2025-08-02T00:00:00"/>
    <x v="2"/>
    <n v="7.0000000000000007E-2"/>
    <n v="53.075099999999999"/>
    <x v="1"/>
    <s v="Dinner"/>
    <s v="Card"/>
    <s v="Combo"/>
    <s v="HighDisc"/>
  </r>
  <r>
    <s v="O00110"/>
    <s v="HH1DNM"/>
    <n v="1"/>
    <n v="246.09"/>
    <x v="3"/>
    <n v="112.08"/>
    <d v="2025-08-02T00:00:00"/>
    <x v="2"/>
    <n v="7.0000000000000007E-2"/>
    <n v="228.86369999999999"/>
    <x v="1"/>
    <s v="Dinner"/>
    <s v="Card"/>
    <s v="Combo"/>
    <s v="HighDisc"/>
  </r>
  <r>
    <s v="O00111"/>
    <s v="HUZZPQ"/>
    <n v="2"/>
    <n v="146.4"/>
    <x v="3"/>
    <n v="80.92"/>
    <d v="2025-08-17T00:00:00"/>
    <x v="2"/>
    <n v="0.03"/>
    <n v="284.01600000000002"/>
    <x v="1"/>
    <s v="Lunch"/>
    <s v="Card"/>
    <s v="Combo"/>
    <s v="OK"/>
  </r>
  <r>
    <s v="O00111"/>
    <s v="BOC6UZ"/>
    <n v="1"/>
    <n v="32.979999999999997"/>
    <x v="1"/>
    <n v="11.84"/>
    <d v="2025-08-17T00:00:00"/>
    <x v="2"/>
    <n v="0.03"/>
    <n v="31.990599999999997"/>
    <x v="1"/>
    <s v="Lunch"/>
    <s v="Card"/>
    <s v="Combo"/>
    <s v="OK"/>
  </r>
  <r>
    <s v="O00111"/>
    <s v="BXO6QJ"/>
    <n v="1"/>
    <n v="20.11"/>
    <x v="1"/>
    <n v="8"/>
    <d v="2025-08-17T00:00:00"/>
    <x v="2"/>
    <n v="0.03"/>
    <n v="19.506699999999999"/>
    <x v="1"/>
    <s v="Lunch"/>
    <s v="Card"/>
    <s v="Combo"/>
    <s v="OK"/>
  </r>
  <r>
    <s v="O00112"/>
    <s v="D9T84A"/>
    <n v="1"/>
    <n v="116.8"/>
    <x v="2"/>
    <n v="48.97"/>
    <d v="2025-07-28T00:00:00"/>
    <x v="0"/>
    <n v="7.0000000000000007E-2"/>
    <n v="108.624"/>
    <x v="0"/>
    <s v="Breakfast"/>
    <s v="Card"/>
    <s v="Combo"/>
    <s v="OK"/>
  </r>
  <r>
    <s v="O00112"/>
    <s v="HUZZPQ"/>
    <n v="2"/>
    <n v="146.4"/>
    <x v="3"/>
    <n v="80.92"/>
    <d v="2025-07-28T00:00:00"/>
    <x v="0"/>
    <n v="7.0000000000000007E-2"/>
    <n v="272.30399999999997"/>
    <x v="0"/>
    <s v="Breakfast"/>
    <s v="Card"/>
    <s v="Combo"/>
    <s v="OK"/>
  </r>
  <r>
    <s v="O00112"/>
    <s v="BTIQJ7"/>
    <n v="1"/>
    <n v="30.34"/>
    <x v="1"/>
    <n v="14.18"/>
    <d v="2025-07-28T00:00:00"/>
    <x v="0"/>
    <n v="7.0000000000000007E-2"/>
    <n v="28.216199999999997"/>
    <x v="0"/>
    <s v="Breakfast"/>
    <s v="Card"/>
    <s v="Combo"/>
    <s v="OK"/>
  </r>
  <r>
    <s v="O00113"/>
    <s v="HUZZPQ"/>
    <n v="1"/>
    <n v="146.4"/>
    <x v="3"/>
    <n v="80.92"/>
    <d v="2025-07-02T00:00:00"/>
    <x v="0"/>
    <n v="7.0000000000000007E-2"/>
    <n v="136.15199999999999"/>
    <x v="0"/>
    <s v="Breakfast"/>
    <s v="Cash"/>
    <s v="Single"/>
    <s v="OK"/>
  </r>
  <r>
    <s v="O00113"/>
    <s v="H3A3ZM"/>
    <n v="1"/>
    <n v="170.83"/>
    <x v="3"/>
    <n v="74.069999999999993"/>
    <d v="2025-07-02T00:00:00"/>
    <x v="0"/>
    <n v="7.0000000000000007E-2"/>
    <n v="158.87190000000001"/>
    <x v="0"/>
    <s v="Breakfast"/>
    <s v="Cash"/>
    <s v="Single"/>
    <s v="OK"/>
  </r>
  <r>
    <s v="O00113"/>
    <s v="D9T84A"/>
    <n v="1"/>
    <n v="116.8"/>
    <x v="2"/>
    <n v="48.97"/>
    <d v="2025-07-02T00:00:00"/>
    <x v="0"/>
    <n v="7.0000000000000007E-2"/>
    <n v="108.624"/>
    <x v="0"/>
    <s v="Breakfast"/>
    <s v="Cash"/>
    <s v="Single"/>
    <s v="OK"/>
  </r>
  <r>
    <s v="O00113"/>
    <s v="DYTJXE"/>
    <n v="2"/>
    <n v="57.07"/>
    <x v="2"/>
    <n v="29.14"/>
    <d v="2025-07-02T00:00:00"/>
    <x v="0"/>
    <n v="7.0000000000000007E-2"/>
    <n v="106.1502"/>
    <x v="0"/>
    <s v="Breakfast"/>
    <s v="Cash"/>
    <s v="Single"/>
    <s v="OK"/>
  </r>
  <r>
    <s v="O00114"/>
    <s v="S5NQ4F"/>
    <n v="3"/>
    <n v="50.19"/>
    <x v="0"/>
    <n v="22.61"/>
    <d v="2025-08-09T00:00:00"/>
    <x v="1"/>
    <n v="0.03"/>
    <n v="146.05289999999999"/>
    <x v="1"/>
    <s v="Dinner"/>
    <s v="Cash"/>
    <s v="Single"/>
    <s v="OK"/>
  </r>
  <r>
    <s v="O00114"/>
    <s v="DFFYVN"/>
    <n v="2"/>
    <n v="54.2"/>
    <x v="2"/>
    <n v="21.95"/>
    <d v="2025-08-09T00:00:00"/>
    <x v="1"/>
    <n v="0.03"/>
    <n v="105.148"/>
    <x v="1"/>
    <s v="Dinner"/>
    <s v="Cash"/>
    <s v="Single"/>
    <s v="OK"/>
  </r>
  <r>
    <s v="O00115"/>
    <s v="HH1DNM"/>
    <n v="2"/>
    <n v="246.09"/>
    <x v="3"/>
    <n v="112.08"/>
    <d v="2025-08-17T00:00:00"/>
    <x v="1"/>
    <n v="0.13"/>
    <n v="428.19659999999999"/>
    <x v="1"/>
    <s v="Dinner"/>
    <s v="Cash"/>
    <s v="Combo"/>
    <s v="HighDisc"/>
  </r>
  <r>
    <s v="O00115"/>
    <s v="BOC6UZ"/>
    <n v="1"/>
    <n v="32.979999999999997"/>
    <x v="1"/>
    <n v="11.84"/>
    <d v="2025-08-17T00:00:00"/>
    <x v="1"/>
    <n v="0.13"/>
    <n v="28.692599999999999"/>
    <x v="1"/>
    <s v="Dinner"/>
    <s v="Cash"/>
    <s v="Combo"/>
    <s v="HighDisc"/>
  </r>
  <r>
    <s v="O00115"/>
    <s v="DH9SDB"/>
    <n v="3"/>
    <n v="76.55"/>
    <x v="2"/>
    <n v="38.229999999999997"/>
    <d v="2025-08-17T00:00:00"/>
    <x v="1"/>
    <n v="0.13"/>
    <n v="199.79549999999998"/>
    <x v="1"/>
    <s v="Dinner"/>
    <s v="Cash"/>
    <s v="Combo"/>
    <s v="HighDisc"/>
  </r>
  <r>
    <s v="O00115"/>
    <s v="DFFYVN"/>
    <n v="2"/>
    <n v="54.2"/>
    <x v="2"/>
    <n v="21.95"/>
    <d v="2025-08-17T00:00:00"/>
    <x v="1"/>
    <n v="0.13"/>
    <n v="94.308000000000007"/>
    <x v="1"/>
    <s v="Dinner"/>
    <s v="Cash"/>
    <s v="Combo"/>
    <s v="HighDisc"/>
  </r>
  <r>
    <s v="O00116"/>
    <s v="SV30T9"/>
    <n v="3"/>
    <n v="39.950000000000003"/>
    <x v="0"/>
    <n v="15.51"/>
    <d v="2025-07-22T00:00:00"/>
    <x v="1"/>
    <n v="0.08"/>
    <n v="110.26200000000001"/>
    <x v="0"/>
    <s v="Dinner"/>
    <s v="Cash"/>
    <s v="Combo"/>
    <s v="OK"/>
  </r>
  <r>
    <s v="O00116"/>
    <s v="HDPBHS"/>
    <n v="1"/>
    <n v="256.91000000000003"/>
    <x v="3"/>
    <n v="121.24"/>
    <d v="2025-07-22T00:00:00"/>
    <x v="1"/>
    <n v="0.08"/>
    <n v="236.35720000000003"/>
    <x v="0"/>
    <s v="Dinner"/>
    <s v="Cash"/>
    <s v="Combo"/>
    <s v="OK"/>
  </r>
  <r>
    <s v="O00116"/>
    <s v="BOC6UZ"/>
    <n v="1"/>
    <n v="32.979999999999997"/>
    <x v="1"/>
    <n v="11.84"/>
    <d v="2025-07-22T00:00:00"/>
    <x v="1"/>
    <n v="0.08"/>
    <n v="30.3416"/>
    <x v="0"/>
    <s v="Dinner"/>
    <s v="Cash"/>
    <s v="Combo"/>
    <s v="OK"/>
  </r>
  <r>
    <s v="O00117"/>
    <s v="D9T84A"/>
    <n v="2"/>
    <n v="116.8"/>
    <x v="2"/>
    <n v="48.97"/>
    <d v="2025-08-26T00:00:00"/>
    <x v="1"/>
    <n v="0.01"/>
    <n v="231.26399999999998"/>
    <x v="1"/>
    <s v="Dinner"/>
    <s v="UPI"/>
    <s v="Single"/>
    <s v="OK"/>
  </r>
  <r>
    <s v="O00117"/>
    <s v="S5NQ4F"/>
    <n v="3"/>
    <n v="50.19"/>
    <x v="0"/>
    <n v="22.61"/>
    <d v="2025-08-26T00:00:00"/>
    <x v="1"/>
    <n v="0.01"/>
    <n v="149.0643"/>
    <x v="1"/>
    <s v="Dinner"/>
    <s v="UPI"/>
    <s v="Single"/>
    <s v="OK"/>
  </r>
  <r>
    <s v="O00117"/>
    <s v="BXO6QJ"/>
    <n v="3"/>
    <n v="20.11"/>
    <x v="1"/>
    <n v="8"/>
    <d v="2025-08-26T00:00:00"/>
    <x v="1"/>
    <n v="0.01"/>
    <n v="59.726700000000001"/>
    <x v="1"/>
    <s v="Dinner"/>
    <s v="UPI"/>
    <s v="Single"/>
    <s v="OK"/>
  </r>
  <r>
    <s v="O00117"/>
    <s v="DH9SDB"/>
    <n v="3"/>
    <n v="76.55"/>
    <x v="2"/>
    <n v="38.229999999999997"/>
    <d v="2025-08-26T00:00:00"/>
    <x v="1"/>
    <n v="0.01"/>
    <n v="227.35349999999997"/>
    <x v="1"/>
    <s v="Dinner"/>
    <s v="UPI"/>
    <s v="Single"/>
    <s v="OK"/>
  </r>
  <r>
    <s v="O00118"/>
    <s v="SHJ7XV"/>
    <n v="1"/>
    <n v="52.45"/>
    <x v="0"/>
    <n v="25.8"/>
    <d v="2025-08-03T00:00:00"/>
    <x v="1"/>
    <n v="0.09"/>
    <n v="47.729500000000002"/>
    <x v="1"/>
    <s v="Lunch"/>
    <s v="UPI"/>
    <s v="Single"/>
    <s v="OK"/>
  </r>
  <r>
    <s v="O00119"/>
    <s v="SCKW5N"/>
    <n v="1"/>
    <n v="70.540000000000006"/>
    <x v="0"/>
    <n v="35.81"/>
    <d v="2025-08-04T00:00:00"/>
    <x v="0"/>
    <n v="0.02"/>
    <n v="69.129200000000012"/>
    <x v="1"/>
    <s v="Breakfast"/>
    <s v="Card"/>
    <s v="Single"/>
    <s v="OK"/>
  </r>
  <r>
    <s v="O00120"/>
    <s v="BXO6QJ"/>
    <n v="1"/>
    <n v="20.11"/>
    <x v="1"/>
    <n v="8"/>
    <d v="2025-07-25T00:00:00"/>
    <x v="2"/>
    <n v="0.09"/>
    <n v="18.3001"/>
    <x v="0"/>
    <s v="Lunch"/>
    <s v="UPI"/>
    <s v="Single"/>
    <s v="OK"/>
  </r>
  <r>
    <s v="O00120"/>
    <s v="SCKW5N"/>
    <n v="1"/>
    <n v="70.540000000000006"/>
    <x v="0"/>
    <n v="35.81"/>
    <d v="2025-07-25T00:00:00"/>
    <x v="2"/>
    <n v="0.09"/>
    <n v="64.191400000000002"/>
    <x v="0"/>
    <s v="Lunch"/>
    <s v="UPI"/>
    <s v="Single"/>
    <s v="OK"/>
  </r>
  <r>
    <s v="O00121"/>
    <s v="D9T84A"/>
    <n v="3"/>
    <n v="116.8"/>
    <x v="2"/>
    <n v="48.97"/>
    <d v="2025-07-31T00:00:00"/>
    <x v="2"/>
    <n v="0.11"/>
    <n v="311.85599999999999"/>
    <x v="0"/>
    <s v="Dinner"/>
    <s v="UPI"/>
    <s v="Single"/>
    <s v="HighDisc"/>
  </r>
  <r>
    <s v="O00121"/>
    <s v="DH9SDB"/>
    <n v="1"/>
    <n v="76.55"/>
    <x v="2"/>
    <n v="38.229999999999997"/>
    <d v="2025-07-31T00:00:00"/>
    <x v="2"/>
    <n v="0.11"/>
    <n v="68.129499999999993"/>
    <x v="0"/>
    <s v="Dinner"/>
    <s v="UPI"/>
    <s v="Single"/>
    <s v="HighDisc"/>
  </r>
  <r>
    <s v="O00121"/>
    <s v="SZBIKC"/>
    <n v="2"/>
    <n v="38.06"/>
    <x v="0"/>
    <n v="19.55"/>
    <d v="2025-07-31T00:00:00"/>
    <x v="2"/>
    <n v="0.11"/>
    <n v="67.746800000000007"/>
    <x v="0"/>
    <s v="Dinner"/>
    <s v="UPI"/>
    <s v="Single"/>
    <s v="HighDisc"/>
  </r>
  <r>
    <s v="O00121"/>
    <s v="SHJ7XV"/>
    <n v="2"/>
    <n v="52.45"/>
    <x v="0"/>
    <n v="25.8"/>
    <d v="2025-07-31T00:00:00"/>
    <x v="2"/>
    <n v="0.11"/>
    <n v="93.361000000000004"/>
    <x v="0"/>
    <s v="Dinner"/>
    <s v="UPI"/>
    <s v="Single"/>
    <s v="HighDisc"/>
  </r>
  <r>
    <s v="O00122"/>
    <s v="HDPBHS"/>
    <n v="1"/>
    <n v="256.91000000000003"/>
    <x v="3"/>
    <n v="121.24"/>
    <d v="2025-07-19T00:00:00"/>
    <x v="2"/>
    <n v="0.03"/>
    <n v="249.20270000000002"/>
    <x v="0"/>
    <s v="Dinner"/>
    <s v="Card"/>
    <s v="Combo"/>
    <s v="OK"/>
  </r>
  <r>
    <s v="O00122"/>
    <s v="BTIQJ7"/>
    <n v="1"/>
    <n v="30.34"/>
    <x v="1"/>
    <n v="14.18"/>
    <d v="2025-07-19T00:00:00"/>
    <x v="2"/>
    <n v="0.03"/>
    <n v="29.4298"/>
    <x v="0"/>
    <s v="Dinner"/>
    <s v="Card"/>
    <s v="Combo"/>
    <s v="OK"/>
  </r>
  <r>
    <s v="O00122"/>
    <s v="DYTJXE"/>
    <n v="2"/>
    <n v="57.07"/>
    <x v="2"/>
    <n v="29.14"/>
    <d v="2025-07-19T00:00:00"/>
    <x v="2"/>
    <n v="0.03"/>
    <n v="110.7158"/>
    <x v="0"/>
    <s v="Dinner"/>
    <s v="Card"/>
    <s v="Combo"/>
    <s v="OK"/>
  </r>
  <r>
    <s v="O00122"/>
    <s v="D9T84A"/>
    <n v="2"/>
    <n v="116.8"/>
    <x v="2"/>
    <n v="48.97"/>
    <d v="2025-07-19T00:00:00"/>
    <x v="2"/>
    <n v="0.03"/>
    <n v="226.59199999999998"/>
    <x v="0"/>
    <s v="Dinner"/>
    <s v="Card"/>
    <s v="Combo"/>
    <s v="OK"/>
  </r>
  <r>
    <s v="O00123"/>
    <s v="HUZZPQ"/>
    <n v="1"/>
    <n v="146.4"/>
    <x v="3"/>
    <n v="80.92"/>
    <d v="2025-08-27T00:00:00"/>
    <x v="0"/>
    <n v="0.1"/>
    <n v="131.76000000000002"/>
    <x v="1"/>
    <s v="Lunch"/>
    <s v="Card"/>
    <s v="Single"/>
    <s v="HighDisc"/>
  </r>
  <r>
    <s v="O00123"/>
    <s v="HH1DNM"/>
    <n v="3"/>
    <n v="246.09"/>
    <x v="3"/>
    <n v="112.08"/>
    <d v="2025-08-27T00:00:00"/>
    <x v="0"/>
    <n v="0.1"/>
    <n v="664.44299999999998"/>
    <x v="1"/>
    <s v="Lunch"/>
    <s v="Card"/>
    <s v="Single"/>
    <s v="HighDisc"/>
  </r>
  <r>
    <s v="O00123"/>
    <s v="SHJ7XV"/>
    <n v="3"/>
    <n v="52.45"/>
    <x v="0"/>
    <n v="25.8"/>
    <d v="2025-08-27T00:00:00"/>
    <x v="0"/>
    <n v="0.1"/>
    <n v="141.61500000000004"/>
    <x v="1"/>
    <s v="Lunch"/>
    <s v="Card"/>
    <s v="Single"/>
    <s v="HighDisc"/>
  </r>
  <r>
    <s v="O00123"/>
    <s v="DFFYVN"/>
    <n v="1"/>
    <n v="54.2"/>
    <x v="2"/>
    <n v="21.95"/>
    <d v="2025-08-27T00:00:00"/>
    <x v="0"/>
    <n v="0.1"/>
    <n v="48.78"/>
    <x v="1"/>
    <s v="Lunch"/>
    <s v="Card"/>
    <s v="Single"/>
    <s v="HighDisc"/>
  </r>
  <r>
    <s v="O00124"/>
    <s v="D9T84A"/>
    <n v="3"/>
    <n v="116.8"/>
    <x v="2"/>
    <n v="48.97"/>
    <d v="2025-07-20T00:00:00"/>
    <x v="1"/>
    <n v="0.08"/>
    <n v="322.36799999999999"/>
    <x v="0"/>
    <s v="Breakfast"/>
    <s v="Card"/>
    <s v="Combo"/>
    <s v="HighDisc"/>
  </r>
  <r>
    <s v="O00124"/>
    <s v="DYTJXE"/>
    <n v="1"/>
    <n v="57.07"/>
    <x v="2"/>
    <n v="29.14"/>
    <d v="2025-07-20T00:00:00"/>
    <x v="1"/>
    <n v="0.08"/>
    <n v="52.504400000000004"/>
    <x v="0"/>
    <s v="Breakfast"/>
    <s v="Card"/>
    <s v="Combo"/>
    <s v="HighDisc"/>
  </r>
  <r>
    <s v="O00124"/>
    <s v="BOC6UZ"/>
    <n v="1"/>
    <n v="32.979999999999997"/>
    <x v="1"/>
    <n v="11.84"/>
    <d v="2025-07-20T00:00:00"/>
    <x v="1"/>
    <n v="0.08"/>
    <n v="30.3416"/>
    <x v="0"/>
    <s v="Breakfast"/>
    <s v="Card"/>
    <s v="Combo"/>
    <s v="HighDisc"/>
  </r>
  <r>
    <s v="O00124"/>
    <s v="HH1DNM"/>
    <n v="2"/>
    <n v="246.09"/>
    <x v="3"/>
    <n v="112.08"/>
    <d v="2025-07-20T00:00:00"/>
    <x v="1"/>
    <n v="0.08"/>
    <n v="452.80560000000003"/>
    <x v="0"/>
    <s v="Breakfast"/>
    <s v="Card"/>
    <s v="Combo"/>
    <s v="HighDisc"/>
  </r>
  <r>
    <s v="O00125"/>
    <s v="D9T84A"/>
    <n v="1"/>
    <n v="116.8"/>
    <x v="2"/>
    <n v="48.97"/>
    <d v="2025-07-30T00:00:00"/>
    <x v="2"/>
    <n v="0.09"/>
    <n v="106.288"/>
    <x v="0"/>
    <s v="Lunch"/>
    <s v="UPI"/>
    <s v="Single"/>
    <s v="OK"/>
  </r>
  <r>
    <s v="O00125"/>
    <s v="DFFYVN"/>
    <n v="1"/>
    <n v="54.2"/>
    <x v="2"/>
    <n v="21.95"/>
    <d v="2025-07-30T00:00:00"/>
    <x v="2"/>
    <n v="0.09"/>
    <n v="49.322000000000003"/>
    <x v="0"/>
    <s v="Lunch"/>
    <s v="UPI"/>
    <s v="Single"/>
    <s v="OK"/>
  </r>
  <r>
    <s v="O00126"/>
    <s v="SHJ7XV"/>
    <n v="1"/>
    <n v="52.45"/>
    <x v="0"/>
    <n v="25.8"/>
    <d v="2025-07-27T00:00:00"/>
    <x v="2"/>
    <n v="0.14000000000000001"/>
    <n v="45.106999999999999"/>
    <x v="0"/>
    <s v="Dinner"/>
    <s v="UPI"/>
    <s v="Single"/>
    <s v="HighDisc"/>
  </r>
  <r>
    <s v="O00126"/>
    <s v="HUZZPQ"/>
    <n v="1"/>
    <n v="146.4"/>
    <x v="3"/>
    <n v="80.92"/>
    <d v="2025-07-27T00:00:00"/>
    <x v="2"/>
    <n v="0.14000000000000001"/>
    <n v="125.904"/>
    <x v="0"/>
    <s v="Dinner"/>
    <s v="UPI"/>
    <s v="Single"/>
    <s v="HighDisc"/>
  </r>
  <r>
    <s v="O00126"/>
    <s v="DYTJXE"/>
    <n v="3"/>
    <n v="57.07"/>
    <x v="2"/>
    <n v="29.14"/>
    <d v="2025-07-27T00:00:00"/>
    <x v="2"/>
    <n v="0.14000000000000001"/>
    <n v="147.2406"/>
    <x v="0"/>
    <s v="Dinner"/>
    <s v="UPI"/>
    <s v="Single"/>
    <s v="HighDisc"/>
  </r>
  <r>
    <s v="O00127"/>
    <s v="SCKW5N"/>
    <n v="2"/>
    <n v="70.540000000000006"/>
    <x v="0"/>
    <n v="35.81"/>
    <d v="2025-07-13T00:00:00"/>
    <x v="0"/>
    <n v="0.05"/>
    <n v="134.02600000000001"/>
    <x v="0"/>
    <s v="Lunch"/>
    <s v="Cash"/>
    <s v="Single"/>
    <s v="OK"/>
  </r>
  <r>
    <s v="O00127"/>
    <s v="BTIQJ7"/>
    <n v="2"/>
    <n v="30.34"/>
    <x v="1"/>
    <n v="14.18"/>
    <d v="2025-07-13T00:00:00"/>
    <x v="0"/>
    <n v="0.05"/>
    <n v="57.645999999999994"/>
    <x v="0"/>
    <s v="Lunch"/>
    <s v="Cash"/>
    <s v="Single"/>
    <s v="OK"/>
  </r>
  <r>
    <s v="O00128"/>
    <s v="SCKW5N"/>
    <n v="2"/>
    <n v="70.540000000000006"/>
    <x v="0"/>
    <n v="35.81"/>
    <d v="2025-08-25T00:00:00"/>
    <x v="1"/>
    <n v="0.03"/>
    <n v="136.8476"/>
    <x v="1"/>
    <s v="Dinner"/>
    <s v="Card"/>
    <s v="Combo"/>
    <s v="OK"/>
  </r>
  <r>
    <s v="O00128"/>
    <s v="HDPBHS"/>
    <n v="2"/>
    <n v="256.91000000000003"/>
    <x v="3"/>
    <n v="121.24"/>
    <d v="2025-08-25T00:00:00"/>
    <x v="1"/>
    <n v="0.03"/>
    <n v="498.40540000000004"/>
    <x v="1"/>
    <s v="Dinner"/>
    <s v="Card"/>
    <s v="Combo"/>
    <s v="OK"/>
  </r>
  <r>
    <s v="O00128"/>
    <s v="BOC6UZ"/>
    <n v="2"/>
    <n v="32.979999999999997"/>
    <x v="1"/>
    <n v="11.84"/>
    <d v="2025-08-25T00:00:00"/>
    <x v="1"/>
    <n v="0.03"/>
    <n v="63.981199999999994"/>
    <x v="1"/>
    <s v="Dinner"/>
    <s v="Card"/>
    <s v="Combo"/>
    <s v="OK"/>
  </r>
  <r>
    <s v="O00129"/>
    <s v="H3A3ZM"/>
    <n v="2"/>
    <n v="170.83"/>
    <x v="3"/>
    <n v="74.069999999999993"/>
    <d v="2025-08-03T00:00:00"/>
    <x v="2"/>
    <n v="0.02"/>
    <n v="334.82679999999999"/>
    <x v="1"/>
    <s v="Breakfast"/>
    <s v="Card"/>
    <s v="Single"/>
    <s v="OK"/>
  </r>
  <r>
    <s v="O00129"/>
    <s v="DFFYVN"/>
    <n v="3"/>
    <n v="54.2"/>
    <x v="2"/>
    <n v="21.95"/>
    <d v="2025-08-03T00:00:00"/>
    <x v="2"/>
    <n v="0.02"/>
    <n v="159.34800000000001"/>
    <x v="1"/>
    <s v="Breakfast"/>
    <s v="Card"/>
    <s v="Single"/>
    <s v="OK"/>
  </r>
  <r>
    <s v="O00129"/>
    <s v="HH1DNM"/>
    <n v="1"/>
    <n v="246.09"/>
    <x v="3"/>
    <n v="112.08"/>
    <d v="2025-08-03T00:00:00"/>
    <x v="2"/>
    <n v="0.02"/>
    <n v="241.16820000000001"/>
    <x v="1"/>
    <s v="Breakfast"/>
    <s v="Card"/>
    <s v="Single"/>
    <s v="OK"/>
  </r>
  <r>
    <s v="O00130"/>
    <s v="D9T84A"/>
    <n v="1"/>
    <n v="116.8"/>
    <x v="2"/>
    <n v="48.97"/>
    <d v="2025-07-12T00:00:00"/>
    <x v="2"/>
    <n v="0.03"/>
    <n v="113.29599999999999"/>
    <x v="0"/>
    <s v="Breakfast"/>
    <s v="Card"/>
    <s v="Single"/>
    <s v="OK"/>
  </r>
  <r>
    <s v="O00130"/>
    <s v="DH9SDB"/>
    <n v="3"/>
    <n v="76.55"/>
    <x v="2"/>
    <n v="38.229999999999997"/>
    <d v="2025-07-12T00:00:00"/>
    <x v="2"/>
    <n v="0.03"/>
    <n v="222.76049999999998"/>
    <x v="0"/>
    <s v="Breakfast"/>
    <s v="Card"/>
    <s v="Single"/>
    <s v="OK"/>
  </r>
  <r>
    <s v="O00130"/>
    <s v="SCKW5N"/>
    <n v="1"/>
    <n v="70.540000000000006"/>
    <x v="0"/>
    <n v="35.81"/>
    <d v="2025-07-12T00:00:00"/>
    <x v="2"/>
    <n v="0.03"/>
    <n v="68.4238"/>
    <x v="0"/>
    <s v="Breakfast"/>
    <s v="Card"/>
    <s v="Single"/>
    <s v="OK"/>
  </r>
  <r>
    <s v="O00131"/>
    <s v="HDPBHS"/>
    <n v="1"/>
    <n v="256.91000000000003"/>
    <x v="3"/>
    <n v="121.24"/>
    <d v="2025-08-26T00:00:00"/>
    <x v="0"/>
    <n v="0.06"/>
    <n v="241.49540000000002"/>
    <x v="1"/>
    <s v="Breakfast"/>
    <s v="Cash"/>
    <s v="Combo"/>
    <s v="OK"/>
  </r>
  <r>
    <s v="O00131"/>
    <s v="HUZZPQ"/>
    <n v="1"/>
    <n v="146.4"/>
    <x v="3"/>
    <n v="80.92"/>
    <d v="2025-08-26T00:00:00"/>
    <x v="0"/>
    <n v="0.06"/>
    <n v="137.61599999999999"/>
    <x v="1"/>
    <s v="Breakfast"/>
    <s v="Cash"/>
    <s v="Combo"/>
    <s v="OK"/>
  </r>
  <r>
    <s v="O00131"/>
    <s v="B0T0PV"/>
    <n v="2"/>
    <n v="28.43"/>
    <x v="1"/>
    <n v="13.89"/>
    <d v="2025-08-26T00:00:00"/>
    <x v="0"/>
    <n v="0.06"/>
    <n v="53.448399999999999"/>
    <x v="1"/>
    <s v="Breakfast"/>
    <s v="Cash"/>
    <s v="Combo"/>
    <s v="OK"/>
  </r>
  <r>
    <s v="O00131"/>
    <s v="H3A3ZM"/>
    <n v="1"/>
    <n v="170.83"/>
    <x v="3"/>
    <n v="74.069999999999993"/>
    <d v="2025-08-26T00:00:00"/>
    <x v="0"/>
    <n v="0.06"/>
    <n v="160.58019999999999"/>
    <x v="1"/>
    <s v="Breakfast"/>
    <s v="Cash"/>
    <s v="Combo"/>
    <s v="OK"/>
  </r>
  <r>
    <s v="O00132"/>
    <s v="HDPBHS"/>
    <n v="1"/>
    <n v="256.91000000000003"/>
    <x v="3"/>
    <n v="121.24"/>
    <d v="2025-07-15T00:00:00"/>
    <x v="0"/>
    <n v="7.0000000000000007E-2"/>
    <n v="238.9263"/>
    <x v="0"/>
    <s v="Dinner"/>
    <s v="Cash"/>
    <s v="Single"/>
    <s v="OK"/>
  </r>
  <r>
    <s v="O00132"/>
    <s v="D9T84A"/>
    <n v="2"/>
    <n v="116.8"/>
    <x v="2"/>
    <n v="48.97"/>
    <d v="2025-07-15T00:00:00"/>
    <x v="0"/>
    <n v="7.0000000000000007E-2"/>
    <n v="217.24799999999999"/>
    <x v="0"/>
    <s v="Dinner"/>
    <s v="Cash"/>
    <s v="Single"/>
    <s v="OK"/>
  </r>
  <r>
    <s v="O00133"/>
    <s v="B0T0PV"/>
    <n v="1"/>
    <n v="28.43"/>
    <x v="1"/>
    <n v="13.89"/>
    <d v="2025-07-12T00:00:00"/>
    <x v="0"/>
    <n v="7.0000000000000007E-2"/>
    <n v="26.439899999999998"/>
    <x v="0"/>
    <s v="Dinner"/>
    <s v="UPI"/>
    <s v="Single"/>
    <s v="OK"/>
  </r>
  <r>
    <s v="O00133"/>
    <s v="DYTJXE"/>
    <n v="2"/>
    <n v="57.07"/>
    <x v="2"/>
    <n v="29.14"/>
    <d v="2025-07-12T00:00:00"/>
    <x v="0"/>
    <n v="7.0000000000000007E-2"/>
    <n v="106.1502"/>
    <x v="0"/>
    <s v="Dinner"/>
    <s v="UPI"/>
    <s v="Single"/>
    <s v="OK"/>
  </r>
  <r>
    <s v="O00133"/>
    <s v="D9T84A"/>
    <n v="2"/>
    <n v="116.8"/>
    <x v="2"/>
    <n v="48.97"/>
    <d v="2025-07-12T00:00:00"/>
    <x v="0"/>
    <n v="7.0000000000000007E-2"/>
    <n v="217.24799999999999"/>
    <x v="0"/>
    <s v="Dinner"/>
    <s v="UPI"/>
    <s v="Single"/>
    <s v="OK"/>
  </r>
  <r>
    <s v="O00134"/>
    <s v="BOC6UZ"/>
    <n v="3"/>
    <n v="32.979999999999997"/>
    <x v="1"/>
    <n v="11.84"/>
    <d v="2025-08-20T00:00:00"/>
    <x v="1"/>
    <n v="0.09"/>
    <n v="90.035399999999996"/>
    <x v="1"/>
    <s v="Dinner"/>
    <s v="Card"/>
    <s v="Single"/>
    <s v="OK"/>
  </r>
  <r>
    <s v="O00135"/>
    <s v="DYTJXE"/>
    <n v="2"/>
    <n v="57.07"/>
    <x v="2"/>
    <n v="29.14"/>
    <d v="2025-08-27T00:00:00"/>
    <x v="1"/>
    <n v="0.06"/>
    <n v="107.29159999999999"/>
    <x v="1"/>
    <s v="Breakfast"/>
    <s v="UPI"/>
    <s v="Single"/>
    <s v="OK"/>
  </r>
  <r>
    <s v="O00135"/>
    <s v="BXO6QJ"/>
    <n v="1"/>
    <n v="20.11"/>
    <x v="1"/>
    <n v="8"/>
    <d v="2025-08-27T00:00:00"/>
    <x v="1"/>
    <n v="0.06"/>
    <n v="18.903399999999998"/>
    <x v="1"/>
    <s v="Breakfast"/>
    <s v="UPI"/>
    <s v="Single"/>
    <s v="OK"/>
  </r>
  <r>
    <s v="O00135"/>
    <s v="BOC6UZ"/>
    <n v="2"/>
    <n v="32.979999999999997"/>
    <x v="1"/>
    <n v="11.84"/>
    <d v="2025-08-27T00:00:00"/>
    <x v="1"/>
    <n v="0.06"/>
    <n v="62.002399999999987"/>
    <x v="1"/>
    <s v="Breakfast"/>
    <s v="UPI"/>
    <s v="Single"/>
    <s v="OK"/>
  </r>
  <r>
    <s v="O00136"/>
    <s v="SHJ7XV"/>
    <n v="2"/>
    <n v="52.45"/>
    <x v="0"/>
    <n v="25.8"/>
    <d v="2025-08-29T00:00:00"/>
    <x v="0"/>
    <n v="0.12"/>
    <n v="92.312000000000012"/>
    <x v="1"/>
    <s v="Breakfast"/>
    <s v="Cash"/>
    <s v="Single"/>
    <s v="HighDisc"/>
  </r>
  <r>
    <s v="O00136"/>
    <s v="HXAJI0"/>
    <n v="2"/>
    <n v="227.61"/>
    <x v="3"/>
    <n v="96.22"/>
    <d v="2025-08-29T00:00:00"/>
    <x v="0"/>
    <n v="0.12"/>
    <n v="400.59360000000004"/>
    <x v="1"/>
    <s v="Breakfast"/>
    <s v="Cash"/>
    <s v="Single"/>
    <s v="HighDisc"/>
  </r>
  <r>
    <s v="O00137"/>
    <s v="BHL1C3"/>
    <n v="1"/>
    <n v="22.2"/>
    <x v="1"/>
    <n v="9.3800000000000008"/>
    <d v="2025-07-26T00:00:00"/>
    <x v="0"/>
    <n v="0.05"/>
    <n v="21.09"/>
    <x v="0"/>
    <s v="Dinner"/>
    <s v="Cash"/>
    <s v="Combo"/>
    <s v="OK"/>
  </r>
  <r>
    <s v="O00137"/>
    <s v="BOC6UZ"/>
    <n v="1"/>
    <n v="32.979999999999997"/>
    <x v="1"/>
    <n v="11.84"/>
    <d v="2025-07-26T00:00:00"/>
    <x v="0"/>
    <n v="0.05"/>
    <n v="31.330999999999996"/>
    <x v="0"/>
    <s v="Dinner"/>
    <s v="Cash"/>
    <s v="Combo"/>
    <s v="OK"/>
  </r>
  <r>
    <s v="O00137"/>
    <s v="DYTJXE"/>
    <n v="2"/>
    <n v="57.07"/>
    <x v="2"/>
    <n v="29.14"/>
    <d v="2025-07-26T00:00:00"/>
    <x v="0"/>
    <n v="0.05"/>
    <n v="108.43299999999999"/>
    <x v="0"/>
    <s v="Dinner"/>
    <s v="Cash"/>
    <s v="Combo"/>
    <s v="OK"/>
  </r>
  <r>
    <s v="O00137"/>
    <s v="HUZZPQ"/>
    <n v="1"/>
    <n v="146.4"/>
    <x v="3"/>
    <n v="80.92"/>
    <d v="2025-07-26T00:00:00"/>
    <x v="0"/>
    <n v="0.05"/>
    <n v="139.08000000000001"/>
    <x v="0"/>
    <s v="Dinner"/>
    <s v="Cash"/>
    <s v="Combo"/>
    <s v="OK"/>
  </r>
  <r>
    <s v="O00138"/>
    <s v="S5NQ4F"/>
    <n v="2"/>
    <n v="50.19"/>
    <x v="0"/>
    <n v="22.61"/>
    <d v="2025-07-18T00:00:00"/>
    <x v="0"/>
    <n v="0.17"/>
    <n v="83.315399999999997"/>
    <x v="0"/>
    <s v="Breakfast"/>
    <s v="Cash"/>
    <s v="Single"/>
    <s v="OK"/>
  </r>
  <r>
    <s v="O00139"/>
    <s v="DYTJXE"/>
    <n v="2"/>
    <n v="57.07"/>
    <x v="2"/>
    <n v="29.14"/>
    <d v="2025-08-09T00:00:00"/>
    <x v="1"/>
    <n v="0.09"/>
    <n v="103.8674"/>
    <x v="1"/>
    <s v="Dinner"/>
    <s v="UPI"/>
    <s v="Single"/>
    <s v="HighDisc"/>
  </r>
  <r>
    <s v="O00139"/>
    <s v="HXAJI0"/>
    <n v="2"/>
    <n v="227.61"/>
    <x v="3"/>
    <n v="96.22"/>
    <d v="2025-08-09T00:00:00"/>
    <x v="1"/>
    <n v="0.09"/>
    <n v="414.25020000000006"/>
    <x v="1"/>
    <s v="Dinner"/>
    <s v="UPI"/>
    <s v="Single"/>
    <s v="HighDisc"/>
  </r>
  <r>
    <s v="O00139"/>
    <s v="SHJ7XV"/>
    <n v="3"/>
    <n v="52.45"/>
    <x v="0"/>
    <n v="25.8"/>
    <d v="2025-08-09T00:00:00"/>
    <x v="1"/>
    <n v="0.09"/>
    <n v="143.18850000000003"/>
    <x v="1"/>
    <s v="Dinner"/>
    <s v="UPI"/>
    <s v="Single"/>
    <s v="HighDisc"/>
  </r>
  <r>
    <s v="O00140"/>
    <s v="S5NQ4F"/>
    <n v="3"/>
    <n v="50.19"/>
    <x v="0"/>
    <n v="22.61"/>
    <d v="2025-07-29T00:00:00"/>
    <x v="2"/>
    <n v="0.03"/>
    <n v="146.05289999999999"/>
    <x v="0"/>
    <s v="Lunch"/>
    <s v="Card"/>
    <s v="Single"/>
    <s v="OK"/>
  </r>
  <r>
    <s v="O00140"/>
    <s v="SZBIKC"/>
    <n v="2"/>
    <n v="38.06"/>
    <x v="0"/>
    <n v="19.55"/>
    <d v="2025-07-29T00:00:00"/>
    <x v="2"/>
    <n v="0.03"/>
    <n v="73.836399999999998"/>
    <x v="0"/>
    <s v="Lunch"/>
    <s v="Card"/>
    <s v="Single"/>
    <s v="OK"/>
  </r>
  <r>
    <s v="O00140"/>
    <s v="BOC6UZ"/>
    <n v="1"/>
    <n v="32.979999999999997"/>
    <x v="1"/>
    <n v="11.84"/>
    <d v="2025-07-29T00:00:00"/>
    <x v="2"/>
    <n v="0.03"/>
    <n v="31.990599999999997"/>
    <x v="0"/>
    <s v="Lunch"/>
    <s v="Card"/>
    <s v="Single"/>
    <s v="OK"/>
  </r>
  <r>
    <s v="O00140"/>
    <s v="BTIQJ7"/>
    <n v="2"/>
    <n v="30.34"/>
    <x v="1"/>
    <n v="14.18"/>
    <d v="2025-07-29T00:00:00"/>
    <x v="2"/>
    <n v="0.03"/>
    <n v="58.8596"/>
    <x v="0"/>
    <s v="Lunch"/>
    <s v="Card"/>
    <s v="Single"/>
    <s v="OK"/>
  </r>
  <r>
    <s v="O00141"/>
    <s v="SHJ7XV"/>
    <n v="1"/>
    <n v="52.45"/>
    <x v="0"/>
    <n v="25.8"/>
    <d v="2025-08-14T00:00:00"/>
    <x v="2"/>
    <n v="0.02"/>
    <n v="51.401000000000003"/>
    <x v="1"/>
    <s v="Breakfast"/>
    <s v="Cash"/>
    <s v="Single"/>
    <s v="OK"/>
  </r>
  <r>
    <s v="O00141"/>
    <s v="B0T0PV"/>
    <n v="1"/>
    <n v="28.43"/>
    <x v="1"/>
    <n v="13.89"/>
    <d v="2025-08-14T00:00:00"/>
    <x v="2"/>
    <n v="0.02"/>
    <n v="27.8614"/>
    <x v="1"/>
    <s v="Breakfast"/>
    <s v="Cash"/>
    <s v="Single"/>
    <s v="OK"/>
  </r>
  <r>
    <s v="O00142"/>
    <s v="B0T0PV"/>
    <n v="1"/>
    <n v="28.43"/>
    <x v="1"/>
    <n v="13.89"/>
    <d v="2025-08-27T00:00:00"/>
    <x v="0"/>
    <n v="0.08"/>
    <n v="26.1556"/>
    <x v="1"/>
    <s v="Lunch"/>
    <s v="Card"/>
    <s v="Single"/>
    <s v="OK"/>
  </r>
  <r>
    <s v="O00142"/>
    <s v="S5NQ4F"/>
    <n v="3"/>
    <n v="50.19"/>
    <x v="0"/>
    <n v="22.61"/>
    <d v="2025-08-27T00:00:00"/>
    <x v="0"/>
    <n v="0.08"/>
    <n v="138.52439999999999"/>
    <x v="1"/>
    <s v="Lunch"/>
    <s v="Card"/>
    <s v="Single"/>
    <s v="OK"/>
  </r>
  <r>
    <s v="O00143"/>
    <s v="BXO6QJ"/>
    <n v="2"/>
    <n v="20.11"/>
    <x v="1"/>
    <n v="8"/>
    <d v="2025-08-23T00:00:00"/>
    <x v="2"/>
    <n v="0.05"/>
    <n v="38.208999999999996"/>
    <x v="1"/>
    <s v="Breakfast"/>
    <s v="Cash"/>
    <s v="Single"/>
    <s v="OK"/>
  </r>
  <r>
    <s v="O00144"/>
    <s v="SHJ7XV"/>
    <n v="1"/>
    <n v="52.45"/>
    <x v="0"/>
    <n v="25.8"/>
    <d v="2025-07-15T00:00:00"/>
    <x v="2"/>
    <n v="0.09"/>
    <n v="47.729500000000002"/>
    <x v="0"/>
    <s v="Breakfast"/>
    <s v="Cash"/>
    <s v="Single"/>
    <s v="OK"/>
  </r>
  <r>
    <s v="O00145"/>
    <s v="BOC6UZ"/>
    <n v="2"/>
    <n v="32.979999999999997"/>
    <x v="1"/>
    <n v="11.84"/>
    <d v="2025-08-28T00:00:00"/>
    <x v="0"/>
    <n v="0.08"/>
    <n v="60.683199999999999"/>
    <x v="1"/>
    <s v="Breakfast"/>
    <s v="Card"/>
    <s v="Single"/>
    <s v="OK"/>
  </r>
  <r>
    <s v="O00145"/>
    <s v="DYTJXE"/>
    <n v="1"/>
    <n v="57.07"/>
    <x v="2"/>
    <n v="29.14"/>
    <d v="2025-08-28T00:00:00"/>
    <x v="0"/>
    <n v="0.08"/>
    <n v="52.504400000000004"/>
    <x v="1"/>
    <s v="Breakfast"/>
    <s v="Card"/>
    <s v="Single"/>
    <s v="OK"/>
  </r>
  <r>
    <s v="O00145"/>
    <s v="D9T84A"/>
    <n v="2"/>
    <n v="116.8"/>
    <x v="2"/>
    <n v="48.97"/>
    <d v="2025-08-28T00:00:00"/>
    <x v="0"/>
    <n v="0.08"/>
    <n v="214.91200000000001"/>
    <x v="1"/>
    <s v="Breakfast"/>
    <s v="Card"/>
    <s v="Single"/>
    <s v="OK"/>
  </r>
  <r>
    <s v="O00146"/>
    <s v="HDPBHS"/>
    <n v="3"/>
    <n v="256.91000000000003"/>
    <x v="3"/>
    <n v="121.24"/>
    <d v="2025-07-13T00:00:00"/>
    <x v="1"/>
    <n v="0.06"/>
    <n v="724.48619999999994"/>
    <x v="0"/>
    <s v="Breakfast"/>
    <s v="Card"/>
    <s v="Combo"/>
    <s v="HighDisc"/>
  </r>
  <r>
    <s v="O00146"/>
    <s v="BHL1C3"/>
    <n v="2"/>
    <n v="22.2"/>
    <x v="1"/>
    <n v="9.3800000000000008"/>
    <d v="2025-07-13T00:00:00"/>
    <x v="1"/>
    <n v="0.06"/>
    <n v="41.735999999999997"/>
    <x v="0"/>
    <s v="Breakfast"/>
    <s v="Card"/>
    <s v="Combo"/>
    <s v="HighDisc"/>
  </r>
  <r>
    <s v="O00146"/>
    <s v="D9T84A"/>
    <n v="1"/>
    <n v="116.8"/>
    <x v="2"/>
    <n v="48.97"/>
    <d v="2025-07-13T00:00:00"/>
    <x v="1"/>
    <n v="0.06"/>
    <n v="109.79199999999999"/>
    <x v="0"/>
    <s v="Breakfast"/>
    <s v="Card"/>
    <s v="Combo"/>
    <s v="HighDisc"/>
  </r>
  <r>
    <s v="O00146"/>
    <s v="HH1DNM"/>
    <n v="3"/>
    <n v="246.09"/>
    <x v="3"/>
    <n v="112.08"/>
    <d v="2025-07-13T00:00:00"/>
    <x v="1"/>
    <n v="0.06"/>
    <n v="693.97379999999998"/>
    <x v="0"/>
    <s v="Breakfast"/>
    <s v="Card"/>
    <s v="Combo"/>
    <s v="HighDisc"/>
  </r>
  <r>
    <s v="O00147"/>
    <s v="SCKW5N"/>
    <n v="1"/>
    <n v="70.540000000000006"/>
    <x v="0"/>
    <n v="35.81"/>
    <d v="2025-07-27T00:00:00"/>
    <x v="0"/>
    <n v="0.03"/>
    <n v="68.4238"/>
    <x v="0"/>
    <s v="Dinner"/>
    <s v="Card"/>
    <s v="Combo"/>
    <s v="OK"/>
  </r>
  <r>
    <s v="O00147"/>
    <s v="H3A3ZM"/>
    <n v="1"/>
    <n v="170.83"/>
    <x v="3"/>
    <n v="74.069999999999993"/>
    <d v="2025-07-27T00:00:00"/>
    <x v="0"/>
    <n v="0.03"/>
    <n v="165.70510000000002"/>
    <x v="0"/>
    <s v="Dinner"/>
    <s v="Card"/>
    <s v="Combo"/>
    <s v="OK"/>
  </r>
  <r>
    <s v="O00147"/>
    <s v="BOC6UZ"/>
    <n v="3"/>
    <n v="32.979999999999997"/>
    <x v="1"/>
    <n v="11.84"/>
    <d v="2025-07-27T00:00:00"/>
    <x v="0"/>
    <n v="0.03"/>
    <n v="95.971800000000002"/>
    <x v="0"/>
    <s v="Dinner"/>
    <s v="Card"/>
    <s v="Combo"/>
    <s v="OK"/>
  </r>
  <r>
    <s v="O00147"/>
    <s v="B0T0PV"/>
    <n v="1"/>
    <n v="28.43"/>
    <x v="1"/>
    <n v="13.89"/>
    <d v="2025-07-27T00:00:00"/>
    <x v="0"/>
    <n v="0.03"/>
    <n v="27.577099999999998"/>
    <x v="0"/>
    <s v="Dinner"/>
    <s v="Card"/>
    <s v="Combo"/>
    <s v="OK"/>
  </r>
  <r>
    <s v="O00148"/>
    <s v="BTIQJ7"/>
    <n v="1"/>
    <n v="30.34"/>
    <x v="1"/>
    <n v="14.18"/>
    <d v="2025-07-09T00:00:00"/>
    <x v="0"/>
    <n v="0"/>
    <n v="30.34"/>
    <x v="0"/>
    <s v="Breakfast"/>
    <s v="Card"/>
    <s v="Single"/>
    <s v="OK"/>
  </r>
  <r>
    <s v="O00148"/>
    <s v="SV30T9"/>
    <n v="1"/>
    <n v="39.950000000000003"/>
    <x v="0"/>
    <n v="15.51"/>
    <d v="2025-07-09T00:00:00"/>
    <x v="0"/>
    <n v="0"/>
    <n v="39.950000000000003"/>
    <x v="0"/>
    <s v="Breakfast"/>
    <s v="Card"/>
    <s v="Single"/>
    <s v="OK"/>
  </r>
  <r>
    <s v="O00149"/>
    <s v="HXAJI0"/>
    <n v="1"/>
    <n v="227.61"/>
    <x v="3"/>
    <n v="96.22"/>
    <d v="2025-08-28T00:00:00"/>
    <x v="1"/>
    <n v="0.04"/>
    <n v="218.50560000000002"/>
    <x v="1"/>
    <s v="Dinner"/>
    <s v="Cash"/>
    <s v="Single"/>
    <s v="OK"/>
  </r>
  <r>
    <s v="O00149"/>
    <s v="SCKW5N"/>
    <n v="1"/>
    <n v="70.540000000000006"/>
    <x v="0"/>
    <n v="35.81"/>
    <d v="2025-08-28T00:00:00"/>
    <x v="1"/>
    <n v="0.04"/>
    <n v="67.718400000000003"/>
    <x v="1"/>
    <s v="Dinner"/>
    <s v="Cash"/>
    <s v="Single"/>
    <s v="OK"/>
  </r>
  <r>
    <s v="O00150"/>
    <s v="H3A3ZM"/>
    <n v="2"/>
    <n v="170.83"/>
    <x v="3"/>
    <n v="74.069999999999993"/>
    <d v="2025-08-26T00:00:00"/>
    <x v="0"/>
    <n v="0.09"/>
    <n v="310.91060000000004"/>
    <x v="1"/>
    <s v="Breakfast"/>
    <s v="UPI"/>
    <s v="Single"/>
    <s v="HighDisc"/>
  </r>
  <r>
    <s v="O00150"/>
    <s v="HH1DNM"/>
    <n v="1"/>
    <n v="246.09"/>
    <x v="3"/>
    <n v="112.08"/>
    <d v="2025-08-26T00:00:00"/>
    <x v="0"/>
    <n v="0.09"/>
    <n v="223.9419"/>
    <x v="1"/>
    <s v="Breakfast"/>
    <s v="UPI"/>
    <s v="Single"/>
    <s v="HighDisc"/>
  </r>
  <r>
    <s v="O00150"/>
    <s v="HXAJI0"/>
    <n v="1"/>
    <n v="227.61"/>
    <x v="3"/>
    <n v="96.22"/>
    <d v="2025-08-26T00:00:00"/>
    <x v="0"/>
    <n v="0.09"/>
    <n v="207.12510000000003"/>
    <x v="1"/>
    <s v="Breakfast"/>
    <s v="UPI"/>
    <s v="Single"/>
    <s v="HighDisc"/>
  </r>
  <r>
    <s v="O00151"/>
    <s v="HXAJI0"/>
    <n v="2"/>
    <n v="227.61"/>
    <x v="3"/>
    <n v="96.22"/>
    <d v="2025-08-26T00:00:00"/>
    <x v="2"/>
    <n v="7.0000000000000007E-2"/>
    <n v="423.3546"/>
    <x v="1"/>
    <s v="Breakfast"/>
    <s v="Card"/>
    <s v="Single"/>
    <s v="HighDisc"/>
  </r>
  <r>
    <s v="O00151"/>
    <s v="HUZZPQ"/>
    <n v="3"/>
    <n v="146.4"/>
    <x v="3"/>
    <n v="80.92"/>
    <d v="2025-08-26T00:00:00"/>
    <x v="2"/>
    <n v="7.0000000000000007E-2"/>
    <n v="408.45600000000002"/>
    <x v="1"/>
    <s v="Breakfast"/>
    <s v="Card"/>
    <s v="Single"/>
    <s v="HighDisc"/>
  </r>
  <r>
    <s v="O00151"/>
    <s v="HH1DNM"/>
    <n v="3"/>
    <n v="246.09"/>
    <x v="3"/>
    <n v="112.08"/>
    <d v="2025-08-26T00:00:00"/>
    <x v="2"/>
    <n v="7.0000000000000007E-2"/>
    <n v="686.59109999999998"/>
    <x v="1"/>
    <s v="Breakfast"/>
    <s v="Card"/>
    <s v="Single"/>
    <s v="HighDisc"/>
  </r>
  <r>
    <s v="O00152"/>
    <s v="HUZZPQ"/>
    <n v="1"/>
    <n v="146.4"/>
    <x v="3"/>
    <n v="80.92"/>
    <d v="2025-08-13T00:00:00"/>
    <x v="1"/>
    <n v="0.01"/>
    <n v="144.93600000000001"/>
    <x v="1"/>
    <s v="Breakfast"/>
    <s v="UPI"/>
    <s v="Combo"/>
    <s v="OK"/>
  </r>
  <r>
    <s v="O00152"/>
    <s v="BTIQJ7"/>
    <n v="3"/>
    <n v="30.34"/>
    <x v="1"/>
    <n v="14.18"/>
    <d v="2025-08-13T00:00:00"/>
    <x v="1"/>
    <n v="0.01"/>
    <n v="90.109799999999993"/>
    <x v="1"/>
    <s v="Breakfast"/>
    <s v="UPI"/>
    <s v="Combo"/>
    <s v="OK"/>
  </r>
  <r>
    <s v="O00153"/>
    <s v="BXO6QJ"/>
    <n v="1"/>
    <n v="20.11"/>
    <x v="1"/>
    <n v="8"/>
    <d v="2025-08-17T00:00:00"/>
    <x v="2"/>
    <n v="7.0000000000000007E-2"/>
    <n v="18.702299999999997"/>
    <x v="1"/>
    <s v="Dinner"/>
    <s v="Card"/>
    <s v="Single"/>
    <s v="OK"/>
  </r>
  <r>
    <s v="O00153"/>
    <s v="B0T0PV"/>
    <n v="2"/>
    <n v="28.43"/>
    <x v="1"/>
    <n v="13.89"/>
    <d v="2025-08-17T00:00:00"/>
    <x v="2"/>
    <n v="7.0000000000000007E-2"/>
    <n v="52.879799999999996"/>
    <x v="1"/>
    <s v="Dinner"/>
    <s v="Card"/>
    <s v="Single"/>
    <s v="OK"/>
  </r>
  <r>
    <s v="O00154"/>
    <s v="S5NQ4F"/>
    <n v="1"/>
    <n v="50.19"/>
    <x v="0"/>
    <n v="22.61"/>
    <d v="2025-08-02T00:00:00"/>
    <x v="1"/>
    <n v="0.08"/>
    <n v="46.174799999999998"/>
    <x v="1"/>
    <s v="Lunch"/>
    <s v="Cash"/>
    <s v="Single"/>
    <s v="OK"/>
  </r>
  <r>
    <s v="O00154"/>
    <s v="B0T0PV"/>
    <n v="2"/>
    <n v="28.43"/>
    <x v="1"/>
    <n v="13.89"/>
    <d v="2025-08-02T00:00:00"/>
    <x v="1"/>
    <n v="0.08"/>
    <n v="52.311199999999999"/>
    <x v="1"/>
    <s v="Lunch"/>
    <s v="Cash"/>
    <s v="Single"/>
    <s v="OK"/>
  </r>
  <r>
    <s v="O00154"/>
    <s v="D9T84A"/>
    <n v="2"/>
    <n v="116.8"/>
    <x v="2"/>
    <n v="48.97"/>
    <d v="2025-08-02T00:00:00"/>
    <x v="1"/>
    <n v="0.08"/>
    <n v="214.91200000000001"/>
    <x v="1"/>
    <s v="Lunch"/>
    <s v="Cash"/>
    <s v="Single"/>
    <s v="OK"/>
  </r>
  <r>
    <s v="O00154"/>
    <s v="BOC6UZ"/>
    <n v="1"/>
    <n v="32.979999999999997"/>
    <x v="1"/>
    <n v="11.84"/>
    <d v="2025-08-02T00:00:00"/>
    <x v="1"/>
    <n v="0.08"/>
    <n v="30.3416"/>
    <x v="1"/>
    <s v="Lunch"/>
    <s v="Cash"/>
    <s v="Single"/>
    <s v="OK"/>
  </r>
  <r>
    <s v="O00155"/>
    <s v="SV30T9"/>
    <n v="2"/>
    <n v="39.950000000000003"/>
    <x v="0"/>
    <n v="15.51"/>
    <d v="2025-08-02T00:00:00"/>
    <x v="1"/>
    <n v="0.02"/>
    <n v="78.302000000000007"/>
    <x v="1"/>
    <s v="Breakfast"/>
    <s v="Card"/>
    <s v="Single"/>
    <s v="OK"/>
  </r>
  <r>
    <s v="O00155"/>
    <s v="SHJ7XV"/>
    <n v="3"/>
    <n v="52.45"/>
    <x v="0"/>
    <n v="25.8"/>
    <d v="2025-08-02T00:00:00"/>
    <x v="1"/>
    <n v="0.02"/>
    <n v="154.20300000000003"/>
    <x v="1"/>
    <s v="Breakfast"/>
    <s v="Card"/>
    <s v="Single"/>
    <s v="OK"/>
  </r>
  <r>
    <s v="O00155"/>
    <s v="HDPBHS"/>
    <n v="2"/>
    <n v="256.91000000000003"/>
    <x v="3"/>
    <n v="121.24"/>
    <d v="2025-08-02T00:00:00"/>
    <x v="1"/>
    <n v="0.02"/>
    <n v="503.54360000000003"/>
    <x v="1"/>
    <s v="Breakfast"/>
    <s v="Card"/>
    <s v="Single"/>
    <s v="OK"/>
  </r>
  <r>
    <s v="O00155"/>
    <s v="DYTJXE"/>
    <n v="1"/>
    <n v="57.07"/>
    <x v="2"/>
    <n v="29.14"/>
    <d v="2025-08-02T00:00:00"/>
    <x v="1"/>
    <n v="0.02"/>
    <n v="55.928599999999996"/>
    <x v="1"/>
    <s v="Breakfast"/>
    <s v="Card"/>
    <s v="Single"/>
    <s v="OK"/>
  </r>
  <r>
    <s v="O00156"/>
    <s v="BTIQJ7"/>
    <n v="3"/>
    <n v="30.34"/>
    <x v="1"/>
    <n v="14.18"/>
    <d v="2025-08-09T00:00:00"/>
    <x v="0"/>
    <n v="7.0000000000000007E-2"/>
    <n v="84.648599999999988"/>
    <x v="1"/>
    <s v="Breakfast"/>
    <s v="Card"/>
    <s v="Combo"/>
    <s v="HighDisc"/>
  </r>
  <r>
    <s v="O00156"/>
    <s v="D9T84A"/>
    <n v="1"/>
    <n v="116.8"/>
    <x v="2"/>
    <n v="48.97"/>
    <d v="2025-08-09T00:00:00"/>
    <x v="0"/>
    <n v="7.0000000000000007E-2"/>
    <n v="108.624"/>
    <x v="1"/>
    <s v="Breakfast"/>
    <s v="Card"/>
    <s v="Combo"/>
    <s v="HighDisc"/>
  </r>
  <r>
    <s v="O00156"/>
    <s v="HXAJI0"/>
    <n v="3"/>
    <n v="227.61"/>
    <x v="3"/>
    <n v="96.22"/>
    <d v="2025-08-09T00:00:00"/>
    <x v="0"/>
    <n v="7.0000000000000007E-2"/>
    <n v="635.03189999999995"/>
    <x v="1"/>
    <s v="Breakfast"/>
    <s v="Card"/>
    <s v="Combo"/>
    <s v="HighDisc"/>
  </r>
  <r>
    <s v="O00156"/>
    <s v="SV30T9"/>
    <n v="3"/>
    <n v="39.950000000000003"/>
    <x v="0"/>
    <n v="15.51"/>
    <d v="2025-08-09T00:00:00"/>
    <x v="0"/>
    <n v="7.0000000000000007E-2"/>
    <n v="111.4605"/>
    <x v="1"/>
    <s v="Breakfast"/>
    <s v="Card"/>
    <s v="Combo"/>
    <s v="HighDisc"/>
  </r>
  <r>
    <s v="O00157"/>
    <s v="SV30T9"/>
    <n v="3"/>
    <n v="39.950000000000003"/>
    <x v="0"/>
    <n v="15.51"/>
    <d v="2025-07-31T00:00:00"/>
    <x v="1"/>
    <n v="0.06"/>
    <n v="112.65900000000001"/>
    <x v="0"/>
    <s v="Dinner"/>
    <s v="Cash"/>
    <s v="Single"/>
    <s v="HighDisc"/>
  </r>
  <r>
    <s v="O00157"/>
    <s v="HH1DNM"/>
    <n v="3"/>
    <n v="246.09"/>
    <x v="3"/>
    <n v="112.08"/>
    <d v="2025-07-31T00:00:00"/>
    <x v="1"/>
    <n v="0.06"/>
    <n v="693.97379999999998"/>
    <x v="0"/>
    <s v="Dinner"/>
    <s v="Cash"/>
    <s v="Single"/>
    <s v="HighDisc"/>
  </r>
  <r>
    <s v="O00157"/>
    <s v="DYTJXE"/>
    <n v="1"/>
    <n v="57.07"/>
    <x v="2"/>
    <n v="29.14"/>
    <d v="2025-07-31T00:00:00"/>
    <x v="1"/>
    <n v="0.06"/>
    <n v="53.645799999999994"/>
    <x v="0"/>
    <s v="Dinner"/>
    <s v="Cash"/>
    <s v="Single"/>
    <s v="HighDisc"/>
  </r>
  <r>
    <s v="O00158"/>
    <s v="BXO6QJ"/>
    <n v="1"/>
    <n v="20.11"/>
    <x v="1"/>
    <n v="8"/>
    <d v="2025-08-20T00:00:00"/>
    <x v="2"/>
    <n v="0.01"/>
    <n v="19.908899999999999"/>
    <x v="1"/>
    <s v="Breakfast"/>
    <s v="UPI"/>
    <s v="Single"/>
    <s v="OK"/>
  </r>
  <r>
    <s v="O00158"/>
    <s v="DFFYVN"/>
    <n v="2"/>
    <n v="54.2"/>
    <x v="2"/>
    <n v="21.95"/>
    <d v="2025-08-20T00:00:00"/>
    <x v="2"/>
    <n v="0.01"/>
    <n v="107.316"/>
    <x v="1"/>
    <s v="Breakfast"/>
    <s v="UPI"/>
    <s v="Single"/>
    <s v="OK"/>
  </r>
  <r>
    <s v="O00158"/>
    <s v="DYTJXE"/>
    <n v="3"/>
    <n v="57.07"/>
    <x v="2"/>
    <n v="29.14"/>
    <d v="2025-08-20T00:00:00"/>
    <x v="2"/>
    <n v="0.01"/>
    <n v="169.49790000000002"/>
    <x v="1"/>
    <s v="Breakfast"/>
    <s v="UPI"/>
    <s v="Single"/>
    <s v="OK"/>
  </r>
  <r>
    <s v="O00158"/>
    <s v="SZBIKC"/>
    <n v="1"/>
    <n v="38.06"/>
    <x v="0"/>
    <n v="19.55"/>
    <d v="2025-08-20T00:00:00"/>
    <x v="2"/>
    <n v="0.01"/>
    <n v="37.679400000000001"/>
    <x v="1"/>
    <s v="Breakfast"/>
    <s v="UPI"/>
    <s v="Single"/>
    <s v="OK"/>
  </r>
  <r>
    <s v="O00159"/>
    <s v="HH1DNM"/>
    <n v="1"/>
    <n v="246.09"/>
    <x v="3"/>
    <n v="112.08"/>
    <d v="2025-08-10T00:00:00"/>
    <x v="2"/>
    <n v="7.0000000000000007E-2"/>
    <n v="228.86369999999999"/>
    <x v="1"/>
    <s v="Breakfast"/>
    <s v="UPI"/>
    <s v="Single"/>
    <s v="OK"/>
  </r>
  <r>
    <s v="O00160"/>
    <s v="H3A3ZM"/>
    <n v="2"/>
    <n v="170.83"/>
    <x v="3"/>
    <n v="74.069999999999993"/>
    <d v="2025-08-18T00:00:00"/>
    <x v="0"/>
    <n v="0.08"/>
    <n v="314.32720000000006"/>
    <x v="1"/>
    <s v="Lunch"/>
    <s v="Cash"/>
    <s v="Single"/>
    <s v="OK"/>
  </r>
  <r>
    <s v="O00161"/>
    <s v="DYTJXE"/>
    <n v="1"/>
    <n v="57.07"/>
    <x v="2"/>
    <n v="29.14"/>
    <d v="2025-07-27T00:00:00"/>
    <x v="0"/>
    <n v="0.1"/>
    <n v="51.363"/>
    <x v="0"/>
    <s v="Breakfast"/>
    <s v="Card"/>
    <s v="Combo"/>
    <s v="HighDisc"/>
  </r>
  <r>
    <s v="O00161"/>
    <s v="HDPBHS"/>
    <n v="2"/>
    <n v="256.91000000000003"/>
    <x v="3"/>
    <n v="121.24"/>
    <d v="2025-07-27T00:00:00"/>
    <x v="0"/>
    <n v="0.1"/>
    <n v="462.43800000000005"/>
    <x v="0"/>
    <s v="Breakfast"/>
    <s v="Card"/>
    <s v="Combo"/>
    <s v="HighDisc"/>
  </r>
  <r>
    <s v="O00161"/>
    <s v="B0T0PV"/>
    <n v="1"/>
    <n v="28.43"/>
    <x v="1"/>
    <n v="13.89"/>
    <d v="2025-07-27T00:00:00"/>
    <x v="0"/>
    <n v="0.1"/>
    <n v="25.587"/>
    <x v="0"/>
    <s v="Breakfast"/>
    <s v="Card"/>
    <s v="Combo"/>
    <s v="HighDisc"/>
  </r>
  <r>
    <s v="O00161"/>
    <s v="DFFYVN"/>
    <n v="2"/>
    <n v="54.2"/>
    <x v="2"/>
    <n v="21.95"/>
    <d v="2025-07-27T00:00:00"/>
    <x v="0"/>
    <n v="0.1"/>
    <n v="97.56"/>
    <x v="0"/>
    <s v="Breakfast"/>
    <s v="Card"/>
    <s v="Combo"/>
    <s v="HighDisc"/>
  </r>
  <r>
    <s v="O00162"/>
    <s v="SV30T9"/>
    <n v="2"/>
    <n v="39.950000000000003"/>
    <x v="0"/>
    <n v="15.51"/>
    <d v="2025-08-17T00:00:00"/>
    <x v="2"/>
    <n v="0.1"/>
    <n v="71.910000000000011"/>
    <x v="1"/>
    <s v="Breakfast"/>
    <s v="UPI"/>
    <s v="Single"/>
    <s v="HighDisc"/>
  </r>
  <r>
    <s v="O00162"/>
    <s v="DYTJXE"/>
    <n v="3"/>
    <n v="57.07"/>
    <x v="2"/>
    <n v="29.14"/>
    <d v="2025-08-17T00:00:00"/>
    <x v="2"/>
    <n v="0.1"/>
    <n v="154.089"/>
    <x v="1"/>
    <s v="Breakfast"/>
    <s v="UPI"/>
    <s v="Single"/>
    <s v="HighDisc"/>
  </r>
  <r>
    <s v="O00162"/>
    <s v="HUZZPQ"/>
    <n v="1"/>
    <n v="146.4"/>
    <x v="3"/>
    <n v="80.92"/>
    <d v="2025-08-17T00:00:00"/>
    <x v="2"/>
    <n v="0.1"/>
    <n v="131.76000000000002"/>
    <x v="1"/>
    <s v="Breakfast"/>
    <s v="UPI"/>
    <s v="Single"/>
    <s v="HighDisc"/>
  </r>
  <r>
    <s v="O00162"/>
    <s v="DFFYVN"/>
    <n v="1"/>
    <n v="54.2"/>
    <x v="2"/>
    <n v="21.95"/>
    <d v="2025-08-17T00:00:00"/>
    <x v="2"/>
    <n v="0.1"/>
    <n v="48.78"/>
    <x v="1"/>
    <s v="Breakfast"/>
    <s v="UPI"/>
    <s v="Single"/>
    <s v="HighDisc"/>
  </r>
  <r>
    <s v="O00163"/>
    <s v="HDPBHS"/>
    <n v="2"/>
    <n v="256.91000000000003"/>
    <x v="3"/>
    <n v="121.24"/>
    <d v="2025-07-16T00:00:00"/>
    <x v="1"/>
    <n v="0"/>
    <n v="513.82000000000005"/>
    <x v="0"/>
    <s v="Lunch"/>
    <s v="Cash"/>
    <s v="Single"/>
    <s v="OK"/>
  </r>
  <r>
    <s v="O00163"/>
    <s v="SV30T9"/>
    <n v="3"/>
    <n v="39.950000000000003"/>
    <x v="0"/>
    <n v="15.51"/>
    <d v="2025-07-16T00:00:00"/>
    <x v="1"/>
    <n v="0"/>
    <n v="119.85000000000001"/>
    <x v="0"/>
    <s v="Lunch"/>
    <s v="Cash"/>
    <s v="Single"/>
    <s v="OK"/>
  </r>
  <r>
    <s v="O00164"/>
    <s v="SCKW5N"/>
    <n v="2"/>
    <n v="70.540000000000006"/>
    <x v="0"/>
    <n v="35.81"/>
    <d v="2025-08-09T00:00:00"/>
    <x v="2"/>
    <n v="0.02"/>
    <n v="138.25840000000002"/>
    <x v="1"/>
    <s v="Dinner"/>
    <s v="Cash"/>
    <s v="Single"/>
    <s v="OK"/>
  </r>
  <r>
    <s v="O00164"/>
    <s v="DYTJXE"/>
    <n v="1"/>
    <n v="57.07"/>
    <x v="2"/>
    <n v="29.14"/>
    <d v="2025-08-09T00:00:00"/>
    <x v="2"/>
    <n v="0.02"/>
    <n v="55.928599999999996"/>
    <x v="1"/>
    <s v="Dinner"/>
    <s v="Cash"/>
    <s v="Single"/>
    <s v="OK"/>
  </r>
  <r>
    <s v="O00165"/>
    <s v="BHL1C3"/>
    <n v="1"/>
    <n v="22.2"/>
    <x v="1"/>
    <n v="9.3800000000000008"/>
    <d v="2025-07-12T00:00:00"/>
    <x v="0"/>
    <n v="0.08"/>
    <n v="20.423999999999999"/>
    <x v="0"/>
    <s v="Lunch"/>
    <s v="Card"/>
    <s v="Single"/>
    <s v="OK"/>
  </r>
  <r>
    <s v="O00165"/>
    <s v="BOC6UZ"/>
    <n v="2"/>
    <n v="32.979999999999997"/>
    <x v="1"/>
    <n v="11.84"/>
    <d v="2025-07-12T00:00:00"/>
    <x v="0"/>
    <n v="0.08"/>
    <n v="60.683199999999999"/>
    <x v="0"/>
    <s v="Lunch"/>
    <s v="Card"/>
    <s v="Single"/>
    <s v="OK"/>
  </r>
  <r>
    <s v="O00165"/>
    <s v="SCKW5N"/>
    <n v="1"/>
    <n v="70.540000000000006"/>
    <x v="0"/>
    <n v="35.81"/>
    <d v="2025-07-12T00:00:00"/>
    <x v="0"/>
    <n v="0.08"/>
    <n v="64.896800000000013"/>
    <x v="0"/>
    <s v="Lunch"/>
    <s v="Card"/>
    <s v="Single"/>
    <s v="OK"/>
  </r>
  <r>
    <s v="O00166"/>
    <s v="BOC6UZ"/>
    <n v="3"/>
    <n v="32.979999999999997"/>
    <x v="1"/>
    <n v="11.84"/>
    <d v="2025-08-19T00:00:00"/>
    <x v="0"/>
    <n v="0.08"/>
    <n v="91.024799999999999"/>
    <x v="1"/>
    <s v="Lunch"/>
    <s v="Card"/>
    <s v="Single"/>
    <s v="OK"/>
  </r>
  <r>
    <s v="O00167"/>
    <s v="BXO6QJ"/>
    <n v="2"/>
    <n v="20.11"/>
    <x v="1"/>
    <n v="8"/>
    <d v="2025-08-16T00:00:00"/>
    <x v="2"/>
    <n v="0.08"/>
    <n v="37.002400000000002"/>
    <x v="1"/>
    <s v="Breakfast"/>
    <s v="UPI"/>
    <s v="Single"/>
    <s v="OK"/>
  </r>
  <r>
    <s v="O00168"/>
    <s v="HUZZPQ"/>
    <n v="2"/>
    <n v="146.4"/>
    <x v="3"/>
    <n v="80.92"/>
    <d v="2025-08-07T00:00:00"/>
    <x v="2"/>
    <n v="0.21"/>
    <n v="231.31200000000001"/>
    <x v="1"/>
    <s v="Lunch"/>
    <s v="UPI"/>
    <s v="Single"/>
    <s v="HighDisc"/>
  </r>
  <r>
    <s v="O00168"/>
    <s v="S5NQ4F"/>
    <n v="1"/>
    <n v="50.19"/>
    <x v="0"/>
    <n v="22.61"/>
    <d v="2025-08-07T00:00:00"/>
    <x v="2"/>
    <n v="0.21"/>
    <n v="39.650100000000002"/>
    <x v="1"/>
    <s v="Lunch"/>
    <s v="UPI"/>
    <s v="Single"/>
    <s v="HighDisc"/>
  </r>
  <r>
    <s v="O00168"/>
    <s v="DH9SDB"/>
    <n v="1"/>
    <n v="76.55"/>
    <x v="2"/>
    <n v="38.229999999999997"/>
    <d v="2025-08-07T00:00:00"/>
    <x v="2"/>
    <n v="0.21"/>
    <n v="60.474499999999999"/>
    <x v="1"/>
    <s v="Lunch"/>
    <s v="UPI"/>
    <s v="Single"/>
    <s v="HighDisc"/>
  </r>
  <r>
    <s v="O00169"/>
    <s v="DYTJXE"/>
    <n v="1"/>
    <n v="57.07"/>
    <x v="2"/>
    <n v="29.14"/>
    <d v="2025-07-08T00:00:00"/>
    <x v="1"/>
    <n v="0.08"/>
    <n v="52.504400000000004"/>
    <x v="0"/>
    <s v="Breakfast"/>
    <s v="Card"/>
    <s v="Combo"/>
    <s v="OK"/>
  </r>
  <r>
    <s v="O00169"/>
    <s v="BOC6UZ"/>
    <n v="1"/>
    <n v="32.979999999999997"/>
    <x v="1"/>
    <n v="11.84"/>
    <d v="2025-07-08T00:00:00"/>
    <x v="1"/>
    <n v="0.08"/>
    <n v="30.3416"/>
    <x v="0"/>
    <s v="Breakfast"/>
    <s v="Card"/>
    <s v="Combo"/>
    <s v="OK"/>
  </r>
  <r>
    <s v="O00169"/>
    <s v="HXAJI0"/>
    <n v="1"/>
    <n v="227.61"/>
    <x v="3"/>
    <n v="96.22"/>
    <d v="2025-07-08T00:00:00"/>
    <x v="1"/>
    <n v="0.08"/>
    <n v="209.40120000000002"/>
    <x v="0"/>
    <s v="Breakfast"/>
    <s v="Card"/>
    <s v="Combo"/>
    <s v="OK"/>
  </r>
  <r>
    <s v="O00169"/>
    <s v="B0T0PV"/>
    <n v="1"/>
    <n v="28.43"/>
    <x v="1"/>
    <n v="13.89"/>
    <d v="2025-07-08T00:00:00"/>
    <x v="1"/>
    <n v="0.08"/>
    <n v="26.1556"/>
    <x v="0"/>
    <s v="Breakfast"/>
    <s v="Card"/>
    <s v="Combo"/>
    <s v="OK"/>
  </r>
  <r>
    <s v="O00170"/>
    <s v="SZBIKC"/>
    <n v="1"/>
    <n v="38.06"/>
    <x v="0"/>
    <n v="19.55"/>
    <d v="2025-07-27T00:00:00"/>
    <x v="2"/>
    <n v="0.11"/>
    <n v="33.873400000000004"/>
    <x v="0"/>
    <s v="Breakfast"/>
    <s v="UPI"/>
    <s v="Single"/>
    <s v="OK"/>
  </r>
  <r>
    <s v="O00170"/>
    <s v="BHL1C3"/>
    <n v="2"/>
    <n v="22.2"/>
    <x v="1"/>
    <n v="9.3800000000000008"/>
    <d v="2025-07-27T00:00:00"/>
    <x v="2"/>
    <n v="0.11"/>
    <n v="39.515999999999998"/>
    <x v="0"/>
    <s v="Breakfast"/>
    <s v="UPI"/>
    <s v="Single"/>
    <s v="OK"/>
  </r>
  <r>
    <s v="O00170"/>
    <s v="S5NQ4F"/>
    <n v="1"/>
    <n v="50.19"/>
    <x v="0"/>
    <n v="22.61"/>
    <d v="2025-07-27T00:00:00"/>
    <x v="2"/>
    <n v="0.11"/>
    <n v="44.6691"/>
    <x v="0"/>
    <s v="Breakfast"/>
    <s v="UPI"/>
    <s v="Single"/>
    <s v="OK"/>
  </r>
  <r>
    <s v="O00170"/>
    <s v="SV30T9"/>
    <n v="1"/>
    <n v="39.950000000000003"/>
    <x v="0"/>
    <n v="15.51"/>
    <d v="2025-07-27T00:00:00"/>
    <x v="2"/>
    <n v="0.11"/>
    <n v="35.555500000000002"/>
    <x v="0"/>
    <s v="Breakfast"/>
    <s v="UPI"/>
    <s v="Single"/>
    <s v="OK"/>
  </r>
  <r>
    <s v="O00171"/>
    <s v="HUZZPQ"/>
    <n v="1"/>
    <n v="146.4"/>
    <x v="3"/>
    <n v="80.92"/>
    <d v="2025-08-27T00:00:00"/>
    <x v="0"/>
    <n v="0.1"/>
    <n v="131.76000000000002"/>
    <x v="1"/>
    <s v="Breakfast"/>
    <s v="Card"/>
    <s v="Single"/>
    <s v="HighDisc"/>
  </r>
  <r>
    <s v="O00171"/>
    <s v="SCKW5N"/>
    <n v="1"/>
    <n v="70.540000000000006"/>
    <x v="0"/>
    <n v="35.81"/>
    <d v="2025-08-27T00:00:00"/>
    <x v="0"/>
    <n v="0.1"/>
    <n v="63.486000000000004"/>
    <x v="1"/>
    <s v="Breakfast"/>
    <s v="Card"/>
    <s v="Single"/>
    <s v="HighDisc"/>
  </r>
  <r>
    <s v="O00171"/>
    <s v="H3A3ZM"/>
    <n v="2"/>
    <n v="170.83"/>
    <x v="3"/>
    <n v="74.069999999999993"/>
    <d v="2025-08-27T00:00:00"/>
    <x v="0"/>
    <n v="0.1"/>
    <n v="307.49400000000003"/>
    <x v="1"/>
    <s v="Breakfast"/>
    <s v="Card"/>
    <s v="Single"/>
    <s v="HighDisc"/>
  </r>
  <r>
    <s v="O00172"/>
    <s v="HXAJI0"/>
    <n v="2"/>
    <n v="227.61"/>
    <x v="3"/>
    <n v="96.22"/>
    <d v="2025-08-13T00:00:00"/>
    <x v="0"/>
    <n v="0.09"/>
    <n v="414.25020000000006"/>
    <x v="1"/>
    <s v="Lunch"/>
    <s v="Card"/>
    <s v="Single"/>
    <s v="HighDisc"/>
  </r>
  <r>
    <s v="O00173"/>
    <s v="HDPBHS"/>
    <n v="2"/>
    <n v="256.91000000000003"/>
    <x v="3"/>
    <n v="121.24"/>
    <d v="2025-08-23T00:00:00"/>
    <x v="0"/>
    <n v="0.05"/>
    <n v="488.12900000000002"/>
    <x v="1"/>
    <s v="Dinner"/>
    <s v="Card"/>
    <s v="Single"/>
    <s v="OK"/>
  </r>
  <r>
    <s v="O00174"/>
    <s v="BXO6QJ"/>
    <n v="2"/>
    <n v="20.11"/>
    <x v="1"/>
    <n v="8"/>
    <d v="2025-07-19T00:00:00"/>
    <x v="0"/>
    <n v="0.09"/>
    <n v="36.600200000000001"/>
    <x v="0"/>
    <s v="Lunch"/>
    <s v="UPI"/>
    <s v="Single"/>
    <s v="OK"/>
  </r>
  <r>
    <s v="O00174"/>
    <s v="DH9SDB"/>
    <n v="1"/>
    <n v="76.55"/>
    <x v="2"/>
    <n v="38.229999999999997"/>
    <d v="2025-07-19T00:00:00"/>
    <x v="0"/>
    <n v="0.09"/>
    <n v="69.660499999999999"/>
    <x v="0"/>
    <s v="Lunch"/>
    <s v="UPI"/>
    <s v="Single"/>
    <s v="OK"/>
  </r>
  <r>
    <s v="O00174"/>
    <s v="BOC6UZ"/>
    <n v="2"/>
    <n v="32.979999999999997"/>
    <x v="1"/>
    <n v="11.84"/>
    <d v="2025-07-19T00:00:00"/>
    <x v="0"/>
    <n v="0.09"/>
    <n v="60.023599999999995"/>
    <x v="0"/>
    <s v="Lunch"/>
    <s v="UPI"/>
    <s v="Single"/>
    <s v="OK"/>
  </r>
  <r>
    <s v="O00174"/>
    <s v="B0T0PV"/>
    <n v="3"/>
    <n v="28.43"/>
    <x v="1"/>
    <n v="13.89"/>
    <d v="2025-07-19T00:00:00"/>
    <x v="0"/>
    <n v="0.09"/>
    <n v="77.613900000000001"/>
    <x v="0"/>
    <s v="Lunch"/>
    <s v="UPI"/>
    <s v="Single"/>
    <s v="OK"/>
  </r>
  <r>
    <s v="O00175"/>
    <s v="S5NQ4F"/>
    <n v="2"/>
    <n v="50.19"/>
    <x v="0"/>
    <n v="22.61"/>
    <d v="2025-07-23T00:00:00"/>
    <x v="1"/>
    <n v="0.03"/>
    <n v="97.368599999999986"/>
    <x v="0"/>
    <s v="Dinner"/>
    <s v="Card"/>
    <s v="Single"/>
    <s v="OK"/>
  </r>
  <r>
    <s v="O00175"/>
    <s v="HXAJI0"/>
    <n v="1"/>
    <n v="227.61"/>
    <x v="3"/>
    <n v="96.22"/>
    <d v="2025-07-23T00:00:00"/>
    <x v="1"/>
    <n v="0.03"/>
    <n v="220.7817"/>
    <x v="0"/>
    <s v="Dinner"/>
    <s v="Card"/>
    <s v="Single"/>
    <s v="OK"/>
  </r>
  <r>
    <s v="O00176"/>
    <s v="BXO6QJ"/>
    <n v="1"/>
    <n v="20.11"/>
    <x v="1"/>
    <n v="8"/>
    <d v="2025-08-07T00:00:00"/>
    <x v="1"/>
    <n v="0.05"/>
    <n v="19.104499999999998"/>
    <x v="1"/>
    <s v="Breakfast"/>
    <s v="UPI"/>
    <s v="Combo"/>
    <s v="OK"/>
  </r>
  <r>
    <s v="O00176"/>
    <s v="HDPBHS"/>
    <n v="1"/>
    <n v="256.91000000000003"/>
    <x v="3"/>
    <n v="121.24"/>
    <d v="2025-08-07T00:00:00"/>
    <x v="1"/>
    <n v="0.05"/>
    <n v="244.06450000000001"/>
    <x v="1"/>
    <s v="Breakfast"/>
    <s v="UPI"/>
    <s v="Combo"/>
    <s v="OK"/>
  </r>
  <r>
    <s v="O00176"/>
    <s v="HXAJI0"/>
    <n v="1"/>
    <n v="227.61"/>
    <x v="3"/>
    <n v="96.22"/>
    <d v="2025-08-07T00:00:00"/>
    <x v="1"/>
    <n v="0.05"/>
    <n v="216.2295"/>
    <x v="1"/>
    <s v="Breakfast"/>
    <s v="UPI"/>
    <s v="Combo"/>
    <s v="OK"/>
  </r>
  <r>
    <s v="O00177"/>
    <s v="DYTJXE"/>
    <n v="1"/>
    <n v="57.07"/>
    <x v="2"/>
    <n v="29.14"/>
    <d v="2025-08-18T00:00:00"/>
    <x v="2"/>
    <n v="0.04"/>
    <n v="54.787199999999999"/>
    <x v="1"/>
    <s v="Breakfast"/>
    <s v="UPI"/>
    <s v="Single"/>
    <s v="OK"/>
  </r>
  <r>
    <s v="O00177"/>
    <s v="B0T0PV"/>
    <n v="2"/>
    <n v="28.43"/>
    <x v="1"/>
    <n v="13.89"/>
    <d v="2025-08-18T00:00:00"/>
    <x v="2"/>
    <n v="0.04"/>
    <n v="54.585599999999999"/>
    <x v="1"/>
    <s v="Breakfast"/>
    <s v="UPI"/>
    <s v="Single"/>
    <s v="OK"/>
  </r>
  <r>
    <s v="O00177"/>
    <s v="SZBIKC"/>
    <n v="1"/>
    <n v="38.06"/>
    <x v="0"/>
    <n v="19.55"/>
    <d v="2025-08-18T00:00:00"/>
    <x v="2"/>
    <n v="0.04"/>
    <n v="36.537599999999998"/>
    <x v="1"/>
    <s v="Breakfast"/>
    <s v="UPI"/>
    <s v="Single"/>
    <s v="OK"/>
  </r>
  <r>
    <s v="O00178"/>
    <s v="H3A3ZM"/>
    <n v="2"/>
    <n v="170.83"/>
    <x v="3"/>
    <n v="74.069999999999993"/>
    <d v="2025-07-10T00:00:00"/>
    <x v="1"/>
    <n v="0.06"/>
    <n v="321.16039999999998"/>
    <x v="0"/>
    <s v="Dinner"/>
    <s v="UPI"/>
    <s v="Single"/>
    <s v="HighDisc"/>
  </r>
  <r>
    <s v="O00178"/>
    <s v="DFFYVN"/>
    <n v="1"/>
    <n v="54.2"/>
    <x v="2"/>
    <n v="21.95"/>
    <d v="2025-07-10T00:00:00"/>
    <x v="1"/>
    <n v="0.06"/>
    <n v="50.948"/>
    <x v="0"/>
    <s v="Dinner"/>
    <s v="UPI"/>
    <s v="Single"/>
    <s v="HighDisc"/>
  </r>
  <r>
    <s v="O00178"/>
    <s v="HUZZPQ"/>
    <n v="2"/>
    <n v="146.4"/>
    <x v="3"/>
    <n v="80.92"/>
    <d v="2025-07-10T00:00:00"/>
    <x v="1"/>
    <n v="0.06"/>
    <n v="275.23199999999997"/>
    <x v="0"/>
    <s v="Dinner"/>
    <s v="UPI"/>
    <s v="Single"/>
    <s v="HighDisc"/>
  </r>
  <r>
    <s v="O00178"/>
    <s v="D9T84A"/>
    <n v="3"/>
    <n v="116.8"/>
    <x v="2"/>
    <n v="48.97"/>
    <d v="2025-07-10T00:00:00"/>
    <x v="1"/>
    <n v="0.06"/>
    <n v="329.37599999999998"/>
    <x v="0"/>
    <s v="Dinner"/>
    <s v="UPI"/>
    <s v="Single"/>
    <s v="HighDisc"/>
  </r>
  <r>
    <s v="O00179"/>
    <s v="HH1DNM"/>
    <n v="1"/>
    <n v="246.09"/>
    <x v="3"/>
    <n v="112.08"/>
    <d v="2025-07-02T00:00:00"/>
    <x v="0"/>
    <n v="0.15"/>
    <n v="209.1765"/>
    <x v="0"/>
    <s v="Dinner"/>
    <s v="Card"/>
    <s v="Single"/>
    <s v="HighDisc"/>
  </r>
  <r>
    <s v="O00179"/>
    <s v="S5NQ4F"/>
    <n v="2"/>
    <n v="50.19"/>
    <x v="0"/>
    <n v="22.61"/>
    <d v="2025-07-02T00:00:00"/>
    <x v="0"/>
    <n v="0.15"/>
    <n v="85.322999999999993"/>
    <x v="0"/>
    <s v="Dinner"/>
    <s v="Card"/>
    <s v="Single"/>
    <s v="HighDisc"/>
  </r>
  <r>
    <s v="O00179"/>
    <s v="SHJ7XV"/>
    <n v="1"/>
    <n v="52.45"/>
    <x v="0"/>
    <n v="25.8"/>
    <d v="2025-07-02T00:00:00"/>
    <x v="0"/>
    <n v="0.15"/>
    <n v="44.582500000000003"/>
    <x v="0"/>
    <s v="Dinner"/>
    <s v="Card"/>
    <s v="Single"/>
    <s v="HighDisc"/>
  </r>
  <r>
    <s v="O00180"/>
    <s v="B0T0PV"/>
    <n v="1"/>
    <n v="28.43"/>
    <x v="1"/>
    <n v="13.89"/>
    <d v="2025-07-08T00:00:00"/>
    <x v="1"/>
    <n v="0"/>
    <n v="28.43"/>
    <x v="0"/>
    <s v="Lunch"/>
    <s v="Card"/>
    <s v="Single"/>
    <s v="OK"/>
  </r>
  <r>
    <s v="O00181"/>
    <s v="HXAJI0"/>
    <n v="3"/>
    <n v="227.61"/>
    <x v="3"/>
    <n v="96.22"/>
    <d v="2025-07-09T00:00:00"/>
    <x v="1"/>
    <n v="0.09"/>
    <n v="621.37530000000004"/>
    <x v="0"/>
    <s v="Breakfast"/>
    <s v="UPI"/>
    <s v="Single"/>
    <s v="HighDisc"/>
  </r>
  <r>
    <s v="O00181"/>
    <s v="HH1DNM"/>
    <n v="1"/>
    <n v="246.09"/>
    <x v="3"/>
    <n v="112.08"/>
    <d v="2025-07-09T00:00:00"/>
    <x v="1"/>
    <n v="0.09"/>
    <n v="223.9419"/>
    <x v="0"/>
    <s v="Breakfast"/>
    <s v="UPI"/>
    <s v="Single"/>
    <s v="HighDisc"/>
  </r>
  <r>
    <s v="O00181"/>
    <s v="HDPBHS"/>
    <n v="1"/>
    <n v="256.91000000000003"/>
    <x v="3"/>
    <n v="121.24"/>
    <d v="2025-07-09T00:00:00"/>
    <x v="1"/>
    <n v="0.09"/>
    <n v="233.78810000000004"/>
    <x v="0"/>
    <s v="Breakfast"/>
    <s v="UPI"/>
    <s v="Single"/>
    <s v="HighDisc"/>
  </r>
  <r>
    <s v="O00181"/>
    <s v="DYTJXE"/>
    <n v="2"/>
    <n v="57.07"/>
    <x v="2"/>
    <n v="29.14"/>
    <d v="2025-07-09T00:00:00"/>
    <x v="1"/>
    <n v="0.09"/>
    <n v="103.8674"/>
    <x v="0"/>
    <s v="Breakfast"/>
    <s v="UPI"/>
    <s v="Single"/>
    <s v="HighDisc"/>
  </r>
  <r>
    <s v="O00182"/>
    <s v="SHJ7XV"/>
    <n v="1"/>
    <n v="52.45"/>
    <x v="0"/>
    <n v="25.8"/>
    <d v="2025-07-31T00:00:00"/>
    <x v="0"/>
    <n v="0"/>
    <n v="52.45"/>
    <x v="0"/>
    <s v="Dinner"/>
    <s v="Card"/>
    <s v="Single"/>
    <s v="OK"/>
  </r>
  <r>
    <s v="O00183"/>
    <s v="BTIQJ7"/>
    <n v="3"/>
    <n v="30.34"/>
    <x v="1"/>
    <n v="14.18"/>
    <d v="2025-07-04T00:00:00"/>
    <x v="0"/>
    <n v="0.04"/>
    <n v="87.379199999999997"/>
    <x v="0"/>
    <s v="Dinner"/>
    <s v="Cash"/>
    <s v="Single"/>
    <s v="OK"/>
  </r>
  <r>
    <s v="O00183"/>
    <s v="BOC6UZ"/>
    <n v="2"/>
    <n v="32.979999999999997"/>
    <x v="1"/>
    <n v="11.84"/>
    <d v="2025-07-04T00:00:00"/>
    <x v="0"/>
    <n v="0.04"/>
    <n v="63.321599999999989"/>
    <x v="0"/>
    <s v="Dinner"/>
    <s v="Cash"/>
    <s v="Single"/>
    <s v="OK"/>
  </r>
  <r>
    <s v="O00184"/>
    <s v="SZBIKC"/>
    <n v="1"/>
    <n v="38.06"/>
    <x v="0"/>
    <n v="19.55"/>
    <d v="2025-07-23T00:00:00"/>
    <x v="0"/>
    <n v="0.1"/>
    <n v="34.254000000000005"/>
    <x v="0"/>
    <s v="Breakfast"/>
    <s v="Card"/>
    <s v="Single"/>
    <s v="OK"/>
  </r>
  <r>
    <s v="O00184"/>
    <s v="S5NQ4F"/>
    <n v="1"/>
    <n v="50.19"/>
    <x v="0"/>
    <n v="22.61"/>
    <d v="2025-07-23T00:00:00"/>
    <x v="0"/>
    <n v="0.1"/>
    <n v="45.170999999999999"/>
    <x v="0"/>
    <s v="Breakfast"/>
    <s v="Card"/>
    <s v="Single"/>
    <s v="OK"/>
  </r>
  <r>
    <s v="O00184"/>
    <s v="DYTJXE"/>
    <n v="1"/>
    <n v="57.07"/>
    <x v="2"/>
    <n v="29.14"/>
    <d v="2025-07-23T00:00:00"/>
    <x v="0"/>
    <n v="0.1"/>
    <n v="51.363"/>
    <x v="0"/>
    <s v="Breakfast"/>
    <s v="Card"/>
    <s v="Single"/>
    <s v="OK"/>
  </r>
  <r>
    <s v="O00185"/>
    <s v="SCKW5N"/>
    <n v="1"/>
    <n v="70.540000000000006"/>
    <x v="0"/>
    <n v="35.81"/>
    <d v="2025-07-11T00:00:00"/>
    <x v="1"/>
    <n v="0.06"/>
    <n v="66.307600000000008"/>
    <x v="0"/>
    <s v="Breakfast"/>
    <s v="UPI"/>
    <s v="Single"/>
    <s v="OK"/>
  </r>
  <r>
    <s v="O00185"/>
    <s v="DYTJXE"/>
    <n v="1"/>
    <n v="57.07"/>
    <x v="2"/>
    <n v="29.14"/>
    <d v="2025-07-11T00:00:00"/>
    <x v="1"/>
    <n v="0.06"/>
    <n v="53.645799999999994"/>
    <x v="0"/>
    <s v="Breakfast"/>
    <s v="UPI"/>
    <s v="Single"/>
    <s v="OK"/>
  </r>
  <r>
    <s v="O00185"/>
    <s v="BXO6QJ"/>
    <n v="1"/>
    <n v="20.11"/>
    <x v="1"/>
    <n v="8"/>
    <d v="2025-07-11T00:00:00"/>
    <x v="1"/>
    <n v="0.06"/>
    <n v="18.903399999999998"/>
    <x v="0"/>
    <s v="Breakfast"/>
    <s v="UPI"/>
    <s v="Single"/>
    <s v="OK"/>
  </r>
  <r>
    <s v="O00186"/>
    <s v="BTIQJ7"/>
    <n v="2"/>
    <n v="30.34"/>
    <x v="1"/>
    <n v="14.18"/>
    <d v="2025-07-04T00:00:00"/>
    <x v="2"/>
    <n v="0.02"/>
    <n v="59.4664"/>
    <x v="0"/>
    <s v="Breakfast"/>
    <s v="Cash"/>
    <s v="Single"/>
    <s v="OK"/>
  </r>
  <r>
    <s v="O00187"/>
    <s v="SCKW5N"/>
    <n v="1"/>
    <n v="70.540000000000006"/>
    <x v="0"/>
    <n v="35.81"/>
    <d v="2025-08-05T00:00:00"/>
    <x v="1"/>
    <n v="0.03"/>
    <n v="68.4238"/>
    <x v="1"/>
    <s v="Breakfast"/>
    <s v="Cash"/>
    <s v="Combo"/>
    <s v="OK"/>
  </r>
  <r>
    <s v="O00187"/>
    <s v="BOC6UZ"/>
    <n v="2"/>
    <n v="32.979999999999997"/>
    <x v="1"/>
    <n v="11.84"/>
    <d v="2025-08-05T00:00:00"/>
    <x v="1"/>
    <n v="0.03"/>
    <n v="63.981199999999994"/>
    <x v="1"/>
    <s v="Breakfast"/>
    <s v="Cash"/>
    <s v="Combo"/>
    <s v="OK"/>
  </r>
  <r>
    <s v="O00187"/>
    <s v="DFFYVN"/>
    <n v="2"/>
    <n v="54.2"/>
    <x v="2"/>
    <n v="21.95"/>
    <d v="2025-08-05T00:00:00"/>
    <x v="1"/>
    <n v="0.03"/>
    <n v="105.148"/>
    <x v="1"/>
    <s v="Breakfast"/>
    <s v="Cash"/>
    <s v="Combo"/>
    <s v="OK"/>
  </r>
  <r>
    <s v="O00187"/>
    <s v="H3A3ZM"/>
    <n v="1"/>
    <n v="170.83"/>
    <x v="3"/>
    <n v="74.069999999999993"/>
    <d v="2025-08-05T00:00:00"/>
    <x v="1"/>
    <n v="0.03"/>
    <n v="165.70510000000002"/>
    <x v="1"/>
    <s v="Breakfast"/>
    <s v="Cash"/>
    <s v="Combo"/>
    <s v="OK"/>
  </r>
  <r>
    <s v="O00188"/>
    <s v="BHL1C3"/>
    <n v="2"/>
    <n v="22.2"/>
    <x v="1"/>
    <n v="9.3800000000000008"/>
    <d v="2025-08-21T00:00:00"/>
    <x v="1"/>
    <n v="0.09"/>
    <n v="40.404000000000003"/>
    <x v="1"/>
    <s v="Dinner"/>
    <s v="UPI"/>
    <s v="Single"/>
    <s v="OK"/>
  </r>
  <r>
    <s v="O00188"/>
    <s v="BXO6QJ"/>
    <n v="2"/>
    <n v="20.11"/>
    <x v="1"/>
    <n v="8"/>
    <d v="2025-08-21T00:00:00"/>
    <x v="1"/>
    <n v="0.09"/>
    <n v="36.600200000000001"/>
    <x v="1"/>
    <s v="Dinner"/>
    <s v="UPI"/>
    <s v="Single"/>
    <s v="OK"/>
  </r>
  <r>
    <s v="O00188"/>
    <s v="SCKW5N"/>
    <n v="1"/>
    <n v="70.540000000000006"/>
    <x v="0"/>
    <n v="35.81"/>
    <d v="2025-08-21T00:00:00"/>
    <x v="1"/>
    <n v="0.09"/>
    <n v="64.191400000000002"/>
    <x v="1"/>
    <s v="Dinner"/>
    <s v="UPI"/>
    <s v="Single"/>
    <s v="OK"/>
  </r>
  <r>
    <s v="O00188"/>
    <s v="S5NQ4F"/>
    <n v="1"/>
    <n v="50.19"/>
    <x v="0"/>
    <n v="22.61"/>
    <d v="2025-08-21T00:00:00"/>
    <x v="1"/>
    <n v="0.09"/>
    <n v="45.672899999999998"/>
    <x v="1"/>
    <s v="Dinner"/>
    <s v="UPI"/>
    <s v="Single"/>
    <s v="OK"/>
  </r>
  <r>
    <s v="O00189"/>
    <s v="SCKW5N"/>
    <n v="1"/>
    <n v="70.540000000000006"/>
    <x v="0"/>
    <n v="35.81"/>
    <d v="2025-07-17T00:00:00"/>
    <x v="2"/>
    <n v="0.03"/>
    <n v="68.4238"/>
    <x v="0"/>
    <s v="Dinner"/>
    <s v="UPI"/>
    <s v="Combo"/>
    <s v="OK"/>
  </r>
  <r>
    <s v="O00189"/>
    <s v="BXO6QJ"/>
    <n v="2"/>
    <n v="20.11"/>
    <x v="1"/>
    <n v="8"/>
    <d v="2025-07-17T00:00:00"/>
    <x v="2"/>
    <n v="0.03"/>
    <n v="39.013399999999997"/>
    <x v="0"/>
    <s v="Dinner"/>
    <s v="UPI"/>
    <s v="Combo"/>
    <s v="OK"/>
  </r>
  <r>
    <s v="O00189"/>
    <s v="HH1DNM"/>
    <n v="2"/>
    <n v="246.09"/>
    <x v="3"/>
    <n v="112.08"/>
    <d v="2025-07-17T00:00:00"/>
    <x v="2"/>
    <n v="0.03"/>
    <n v="477.41460000000001"/>
    <x v="0"/>
    <s v="Dinner"/>
    <s v="UPI"/>
    <s v="Combo"/>
    <s v="OK"/>
  </r>
  <r>
    <s v="O00190"/>
    <s v="HUZZPQ"/>
    <n v="1"/>
    <n v="146.4"/>
    <x v="3"/>
    <n v="80.92"/>
    <d v="2025-07-24T00:00:00"/>
    <x v="1"/>
    <n v="7.0000000000000007E-2"/>
    <n v="136.15199999999999"/>
    <x v="0"/>
    <s v="Lunch"/>
    <s v="Cash"/>
    <s v="Single"/>
    <s v="OK"/>
  </r>
  <r>
    <s v="O00191"/>
    <s v="S5NQ4F"/>
    <n v="2"/>
    <n v="50.19"/>
    <x v="0"/>
    <n v="22.61"/>
    <d v="2025-08-15T00:00:00"/>
    <x v="0"/>
    <n v="0.06"/>
    <n v="94.357199999999992"/>
    <x v="1"/>
    <s v="Breakfast"/>
    <s v="Card"/>
    <s v="Single"/>
    <s v="OK"/>
  </r>
  <r>
    <s v="O00191"/>
    <s v="DYTJXE"/>
    <n v="3"/>
    <n v="57.07"/>
    <x v="2"/>
    <n v="29.14"/>
    <d v="2025-08-15T00:00:00"/>
    <x v="0"/>
    <n v="0.06"/>
    <n v="160.9374"/>
    <x v="1"/>
    <s v="Breakfast"/>
    <s v="Card"/>
    <s v="Single"/>
    <s v="OK"/>
  </r>
  <r>
    <s v="O00192"/>
    <s v="HDPBHS"/>
    <n v="2"/>
    <n v="256.91000000000003"/>
    <x v="3"/>
    <n v="121.24"/>
    <d v="2025-07-02T00:00:00"/>
    <x v="1"/>
    <n v="0.03"/>
    <n v="498.40540000000004"/>
    <x v="0"/>
    <s v="Breakfast"/>
    <s v="UPI"/>
    <s v="Single"/>
    <s v="OK"/>
  </r>
  <r>
    <s v="O00193"/>
    <s v="BXO6QJ"/>
    <n v="1"/>
    <n v="20.11"/>
    <x v="1"/>
    <n v="8"/>
    <d v="2025-07-16T00:00:00"/>
    <x v="2"/>
    <n v="0.15"/>
    <n v="17.093499999999999"/>
    <x v="0"/>
    <s v="Lunch"/>
    <s v="Card"/>
    <s v="Single"/>
    <s v="OK"/>
  </r>
  <r>
    <s v="O00193"/>
    <s v="SCKW5N"/>
    <n v="1"/>
    <n v="70.540000000000006"/>
    <x v="0"/>
    <n v="35.81"/>
    <d v="2025-07-16T00:00:00"/>
    <x v="2"/>
    <n v="0.15"/>
    <n v="59.959000000000003"/>
    <x v="0"/>
    <s v="Lunch"/>
    <s v="Card"/>
    <s v="Single"/>
    <s v="OK"/>
  </r>
  <r>
    <s v="O00193"/>
    <s v="BOC6UZ"/>
    <n v="3"/>
    <n v="32.979999999999997"/>
    <x v="1"/>
    <n v="11.84"/>
    <d v="2025-07-16T00:00:00"/>
    <x v="2"/>
    <n v="0.15"/>
    <n v="84.09899999999999"/>
    <x v="0"/>
    <s v="Lunch"/>
    <s v="Card"/>
    <s v="Single"/>
    <s v="OK"/>
  </r>
  <r>
    <s v="O00193"/>
    <s v="DYTJXE"/>
    <n v="1"/>
    <n v="57.07"/>
    <x v="2"/>
    <n v="29.14"/>
    <d v="2025-07-16T00:00:00"/>
    <x v="2"/>
    <n v="0.15"/>
    <n v="48.509499999999996"/>
    <x v="0"/>
    <s v="Lunch"/>
    <s v="Card"/>
    <s v="Single"/>
    <s v="OK"/>
  </r>
  <r>
    <s v="O00194"/>
    <s v="BHL1C3"/>
    <n v="2"/>
    <n v="22.2"/>
    <x v="1"/>
    <n v="9.3800000000000008"/>
    <d v="2025-08-11T00:00:00"/>
    <x v="0"/>
    <n v="0.09"/>
    <n v="40.404000000000003"/>
    <x v="1"/>
    <s v="Breakfast"/>
    <s v="Card"/>
    <s v="Single"/>
    <s v="OK"/>
  </r>
  <r>
    <s v="O00194"/>
    <s v="S5NQ4F"/>
    <n v="2"/>
    <n v="50.19"/>
    <x v="0"/>
    <n v="22.61"/>
    <d v="2025-08-11T00:00:00"/>
    <x v="0"/>
    <n v="0.09"/>
    <n v="91.345799999999997"/>
    <x v="1"/>
    <s v="Breakfast"/>
    <s v="Card"/>
    <s v="Single"/>
    <s v="OK"/>
  </r>
  <r>
    <s v="O00194"/>
    <s v="SHJ7XV"/>
    <n v="2"/>
    <n v="52.45"/>
    <x v="0"/>
    <n v="25.8"/>
    <d v="2025-08-11T00:00:00"/>
    <x v="0"/>
    <n v="0.09"/>
    <n v="95.459000000000003"/>
    <x v="1"/>
    <s v="Breakfast"/>
    <s v="Card"/>
    <s v="Single"/>
    <s v="OK"/>
  </r>
  <r>
    <s v="O00195"/>
    <s v="D9T84A"/>
    <n v="1"/>
    <n v="116.8"/>
    <x v="2"/>
    <n v="48.97"/>
    <d v="2025-07-20T00:00:00"/>
    <x v="1"/>
    <n v="0"/>
    <n v="116.8"/>
    <x v="0"/>
    <s v="Lunch"/>
    <s v="Cash"/>
    <s v="Single"/>
    <s v="OK"/>
  </r>
  <r>
    <s v="O00195"/>
    <s v="S5NQ4F"/>
    <n v="2"/>
    <n v="50.19"/>
    <x v="0"/>
    <n v="22.61"/>
    <d v="2025-07-20T00:00:00"/>
    <x v="1"/>
    <n v="0"/>
    <n v="100.38"/>
    <x v="0"/>
    <s v="Lunch"/>
    <s v="Cash"/>
    <s v="Single"/>
    <s v="OK"/>
  </r>
  <r>
    <s v="O00195"/>
    <s v="HDPBHS"/>
    <n v="2"/>
    <n v="256.91000000000003"/>
    <x v="3"/>
    <n v="121.24"/>
    <d v="2025-07-20T00:00:00"/>
    <x v="1"/>
    <n v="0"/>
    <n v="513.82000000000005"/>
    <x v="0"/>
    <s v="Lunch"/>
    <s v="Cash"/>
    <s v="Single"/>
    <s v="OK"/>
  </r>
  <r>
    <s v="O00196"/>
    <s v="DH9SDB"/>
    <n v="1"/>
    <n v="76.55"/>
    <x v="2"/>
    <n v="38.229999999999997"/>
    <d v="2025-08-07T00:00:00"/>
    <x v="0"/>
    <n v="7.0000000000000007E-2"/>
    <n v="71.191499999999991"/>
    <x v="1"/>
    <s v="Breakfast"/>
    <s v="UPI"/>
    <s v="Single"/>
    <s v="OK"/>
  </r>
  <r>
    <s v="O00196"/>
    <s v="SV30T9"/>
    <n v="3"/>
    <n v="39.950000000000003"/>
    <x v="0"/>
    <n v="15.51"/>
    <d v="2025-08-07T00:00:00"/>
    <x v="0"/>
    <n v="7.0000000000000007E-2"/>
    <n v="111.4605"/>
    <x v="1"/>
    <s v="Breakfast"/>
    <s v="UPI"/>
    <s v="Single"/>
    <s v="OK"/>
  </r>
  <r>
    <s v="O00196"/>
    <s v="HUZZPQ"/>
    <n v="1"/>
    <n v="146.4"/>
    <x v="3"/>
    <n v="80.92"/>
    <d v="2025-08-07T00:00:00"/>
    <x v="0"/>
    <n v="7.0000000000000007E-2"/>
    <n v="136.15199999999999"/>
    <x v="1"/>
    <s v="Breakfast"/>
    <s v="UPI"/>
    <s v="Single"/>
    <s v="OK"/>
  </r>
  <r>
    <s v="O00197"/>
    <s v="BTIQJ7"/>
    <n v="2"/>
    <n v="30.34"/>
    <x v="1"/>
    <n v="14.18"/>
    <d v="2025-07-29T00:00:00"/>
    <x v="2"/>
    <n v="0.03"/>
    <n v="58.8596"/>
    <x v="0"/>
    <s v="Dinner"/>
    <s v="Card"/>
    <s v="Combo"/>
    <s v="OK"/>
  </r>
  <r>
    <s v="O00197"/>
    <s v="HDPBHS"/>
    <n v="1"/>
    <n v="256.91000000000003"/>
    <x v="3"/>
    <n v="121.24"/>
    <d v="2025-07-29T00:00:00"/>
    <x v="2"/>
    <n v="0.03"/>
    <n v="249.20270000000002"/>
    <x v="0"/>
    <s v="Dinner"/>
    <s v="Card"/>
    <s v="Combo"/>
    <s v="OK"/>
  </r>
  <r>
    <s v="O00198"/>
    <s v="DYTJXE"/>
    <n v="1"/>
    <n v="57.07"/>
    <x v="2"/>
    <n v="29.14"/>
    <d v="2025-07-02T00:00:00"/>
    <x v="0"/>
    <n v="0.09"/>
    <n v="51.933700000000002"/>
    <x v="0"/>
    <s v="Breakfast"/>
    <s v="UPI"/>
    <s v="Single"/>
    <s v="OK"/>
  </r>
  <r>
    <s v="O00198"/>
    <s v="BTIQJ7"/>
    <n v="2"/>
    <n v="30.34"/>
    <x v="1"/>
    <n v="14.18"/>
    <d v="2025-07-02T00:00:00"/>
    <x v="0"/>
    <n v="0.09"/>
    <n v="55.218800000000002"/>
    <x v="0"/>
    <s v="Breakfast"/>
    <s v="UPI"/>
    <s v="Single"/>
    <s v="OK"/>
  </r>
  <r>
    <s v="O00199"/>
    <s v="HH1DNM"/>
    <n v="1"/>
    <n v="246.09"/>
    <x v="3"/>
    <n v="112.08"/>
    <d v="2025-08-29T00:00:00"/>
    <x v="0"/>
    <n v="0.03"/>
    <n v="238.7073"/>
    <x v="1"/>
    <s v="Breakfast"/>
    <s v="Card"/>
    <s v="Combo"/>
    <s v="OK"/>
  </r>
  <r>
    <s v="O00199"/>
    <s v="HDPBHS"/>
    <n v="1"/>
    <n v="256.91000000000003"/>
    <x v="3"/>
    <n v="121.24"/>
    <d v="2025-08-29T00:00:00"/>
    <x v="0"/>
    <n v="0.03"/>
    <n v="249.20270000000002"/>
    <x v="1"/>
    <s v="Breakfast"/>
    <s v="Card"/>
    <s v="Combo"/>
    <s v="OK"/>
  </r>
  <r>
    <s v="O00199"/>
    <s v="H3A3ZM"/>
    <n v="2"/>
    <n v="170.83"/>
    <x v="3"/>
    <n v="74.069999999999993"/>
    <d v="2025-08-29T00:00:00"/>
    <x v="0"/>
    <n v="0.03"/>
    <n v="331.41020000000003"/>
    <x v="1"/>
    <s v="Breakfast"/>
    <s v="Card"/>
    <s v="Combo"/>
    <s v="OK"/>
  </r>
  <r>
    <s v="O00199"/>
    <s v="BOC6UZ"/>
    <n v="1"/>
    <n v="32.979999999999997"/>
    <x v="1"/>
    <n v="11.84"/>
    <d v="2025-08-29T00:00:00"/>
    <x v="0"/>
    <n v="0.03"/>
    <n v="31.990599999999997"/>
    <x v="1"/>
    <s v="Breakfast"/>
    <s v="Card"/>
    <s v="Combo"/>
    <s v="OK"/>
  </r>
  <r>
    <s v="O00200"/>
    <s v="SV30T9"/>
    <n v="1"/>
    <n v="39.950000000000003"/>
    <x v="0"/>
    <n v="15.51"/>
    <d v="2025-08-29T00:00:00"/>
    <x v="1"/>
    <n v="0.06"/>
    <n v="37.552999999999997"/>
    <x v="1"/>
    <s v="Breakfast"/>
    <s v="UPI"/>
    <s v="Single"/>
    <s v="OK"/>
  </r>
  <r>
    <s v="O00201"/>
    <s v="SZBIKC"/>
    <n v="1"/>
    <n v="38.06"/>
    <x v="0"/>
    <n v="19.55"/>
    <d v="2025-07-25T00:00:00"/>
    <x v="0"/>
    <n v="0.08"/>
    <n v="35.0152"/>
    <x v="0"/>
    <s v="Lunch"/>
    <s v="UPI"/>
    <s v="Single"/>
    <s v="OK"/>
  </r>
  <r>
    <s v="O00202"/>
    <s v="H3A3ZM"/>
    <n v="1"/>
    <n v="170.83"/>
    <x v="3"/>
    <n v="74.069999999999993"/>
    <d v="2025-07-10T00:00:00"/>
    <x v="0"/>
    <n v="0.09"/>
    <n v="155.45530000000002"/>
    <x v="0"/>
    <s v="Dinner"/>
    <s v="Cash"/>
    <s v="Single"/>
    <s v="OK"/>
  </r>
  <r>
    <s v="O00203"/>
    <s v="HUZZPQ"/>
    <n v="1"/>
    <n v="146.4"/>
    <x v="3"/>
    <n v="80.92"/>
    <d v="2025-08-13T00:00:00"/>
    <x v="2"/>
    <n v="0.01"/>
    <n v="144.93600000000001"/>
    <x v="1"/>
    <s v="Breakfast"/>
    <s v="Card"/>
    <s v="Single"/>
    <s v="OK"/>
  </r>
  <r>
    <s v="O00203"/>
    <s v="DFFYVN"/>
    <n v="2"/>
    <n v="54.2"/>
    <x v="2"/>
    <n v="21.95"/>
    <d v="2025-08-13T00:00:00"/>
    <x v="2"/>
    <n v="0.01"/>
    <n v="107.316"/>
    <x v="1"/>
    <s v="Breakfast"/>
    <s v="Card"/>
    <s v="Single"/>
    <s v="OK"/>
  </r>
  <r>
    <s v="O00204"/>
    <s v="BHL1C3"/>
    <n v="1"/>
    <n v="22.2"/>
    <x v="1"/>
    <n v="9.3800000000000008"/>
    <d v="2025-07-10T00:00:00"/>
    <x v="1"/>
    <n v="0.05"/>
    <n v="21.09"/>
    <x v="0"/>
    <s v="Breakfast"/>
    <s v="UPI"/>
    <s v="Combo"/>
    <s v="HighDisc"/>
  </r>
  <r>
    <s v="O00204"/>
    <s v="HXAJI0"/>
    <n v="3"/>
    <n v="227.61"/>
    <x v="3"/>
    <n v="96.22"/>
    <d v="2025-07-10T00:00:00"/>
    <x v="1"/>
    <n v="0.05"/>
    <n v="648.68849999999998"/>
    <x v="0"/>
    <s v="Breakfast"/>
    <s v="UPI"/>
    <s v="Combo"/>
    <s v="HighDisc"/>
  </r>
  <r>
    <s v="O00204"/>
    <s v="HH1DNM"/>
    <n v="1"/>
    <n v="246.09"/>
    <x v="3"/>
    <n v="112.08"/>
    <d v="2025-07-10T00:00:00"/>
    <x v="1"/>
    <n v="0.05"/>
    <n v="233.78549999999998"/>
    <x v="0"/>
    <s v="Breakfast"/>
    <s v="UPI"/>
    <s v="Combo"/>
    <s v="HighDisc"/>
  </r>
  <r>
    <s v="O00205"/>
    <s v="HUZZPQ"/>
    <n v="1"/>
    <n v="146.4"/>
    <x v="3"/>
    <n v="80.92"/>
    <d v="2025-07-18T00:00:00"/>
    <x v="2"/>
    <n v="0.04"/>
    <n v="140.54400000000001"/>
    <x v="0"/>
    <s v="Breakfast"/>
    <s v="UPI"/>
    <s v="Combo"/>
    <s v="OK"/>
  </r>
  <r>
    <s v="O00205"/>
    <s v="SV30T9"/>
    <n v="2"/>
    <n v="39.950000000000003"/>
    <x v="0"/>
    <n v="15.51"/>
    <d v="2025-07-18T00:00:00"/>
    <x v="2"/>
    <n v="0.04"/>
    <n v="76.704000000000008"/>
    <x v="0"/>
    <s v="Breakfast"/>
    <s v="UPI"/>
    <s v="Combo"/>
    <s v="OK"/>
  </r>
  <r>
    <s v="O00205"/>
    <s v="BTIQJ7"/>
    <n v="1"/>
    <n v="30.34"/>
    <x v="1"/>
    <n v="14.18"/>
    <d v="2025-07-18T00:00:00"/>
    <x v="2"/>
    <n v="0.04"/>
    <n v="29.1264"/>
    <x v="0"/>
    <s v="Breakfast"/>
    <s v="UPI"/>
    <s v="Combo"/>
    <s v="OK"/>
  </r>
  <r>
    <s v="O00205"/>
    <s v="SHJ7XV"/>
    <n v="1"/>
    <n v="52.45"/>
    <x v="0"/>
    <n v="25.8"/>
    <d v="2025-07-18T00:00:00"/>
    <x v="2"/>
    <n v="0.04"/>
    <n v="50.352000000000004"/>
    <x v="0"/>
    <s v="Breakfast"/>
    <s v="UPI"/>
    <s v="Combo"/>
    <s v="OK"/>
  </r>
  <r>
    <s v="O00206"/>
    <s v="B0T0PV"/>
    <n v="3"/>
    <n v="28.43"/>
    <x v="1"/>
    <n v="13.89"/>
    <d v="2025-08-21T00:00:00"/>
    <x v="0"/>
    <n v="0.03"/>
    <n v="82.73129999999999"/>
    <x v="1"/>
    <s v="Dinner"/>
    <s v="Cash"/>
    <s v="Single"/>
    <s v="OK"/>
  </r>
  <r>
    <s v="O00206"/>
    <s v="SZBIKC"/>
    <n v="1"/>
    <n v="38.06"/>
    <x v="0"/>
    <n v="19.55"/>
    <d v="2025-08-21T00:00:00"/>
    <x v="0"/>
    <n v="0.03"/>
    <n v="36.918199999999999"/>
    <x v="1"/>
    <s v="Dinner"/>
    <s v="Cash"/>
    <s v="Single"/>
    <s v="OK"/>
  </r>
  <r>
    <s v="O00206"/>
    <s v="BOC6UZ"/>
    <n v="2"/>
    <n v="32.979999999999997"/>
    <x v="1"/>
    <n v="11.84"/>
    <d v="2025-08-21T00:00:00"/>
    <x v="0"/>
    <n v="0.03"/>
    <n v="63.981199999999994"/>
    <x v="1"/>
    <s v="Dinner"/>
    <s v="Cash"/>
    <s v="Single"/>
    <s v="OK"/>
  </r>
  <r>
    <s v="O00206"/>
    <s v="BTIQJ7"/>
    <n v="1"/>
    <n v="30.34"/>
    <x v="1"/>
    <n v="14.18"/>
    <d v="2025-08-21T00:00:00"/>
    <x v="0"/>
    <n v="0.03"/>
    <n v="29.4298"/>
    <x v="1"/>
    <s v="Dinner"/>
    <s v="Cash"/>
    <s v="Single"/>
    <s v="OK"/>
  </r>
  <r>
    <s v="O00207"/>
    <s v="HH1DNM"/>
    <n v="1"/>
    <n v="246.09"/>
    <x v="3"/>
    <n v="112.08"/>
    <d v="2025-08-17T00:00:00"/>
    <x v="1"/>
    <n v="0.13"/>
    <n v="214.09829999999999"/>
    <x v="1"/>
    <s v="Breakfast"/>
    <s v="Card"/>
    <s v="Single"/>
    <s v="HighDisc"/>
  </r>
  <r>
    <s v="O00207"/>
    <s v="DYTJXE"/>
    <n v="3"/>
    <n v="57.07"/>
    <x v="2"/>
    <n v="29.14"/>
    <d v="2025-08-17T00:00:00"/>
    <x v="1"/>
    <n v="0.13"/>
    <n v="148.95269999999999"/>
    <x v="1"/>
    <s v="Breakfast"/>
    <s v="Card"/>
    <s v="Single"/>
    <s v="HighDisc"/>
  </r>
  <r>
    <s v="O00208"/>
    <s v="BHL1C3"/>
    <n v="3"/>
    <n v="22.2"/>
    <x v="1"/>
    <n v="9.3800000000000008"/>
    <d v="2025-08-15T00:00:00"/>
    <x v="2"/>
    <n v="0.08"/>
    <n v="61.271999999999998"/>
    <x v="1"/>
    <s v="Dinner"/>
    <s v="Cash"/>
    <s v="Single"/>
    <s v="OK"/>
  </r>
  <r>
    <s v="O00208"/>
    <s v="SZBIKC"/>
    <n v="2"/>
    <n v="38.06"/>
    <x v="0"/>
    <n v="19.55"/>
    <d v="2025-08-15T00:00:00"/>
    <x v="2"/>
    <n v="0.08"/>
    <n v="70.0304"/>
    <x v="1"/>
    <s v="Dinner"/>
    <s v="Cash"/>
    <s v="Single"/>
    <s v="OK"/>
  </r>
  <r>
    <s v="O00209"/>
    <s v="S5NQ4F"/>
    <n v="3"/>
    <n v="50.19"/>
    <x v="0"/>
    <n v="22.61"/>
    <d v="2025-08-24T00:00:00"/>
    <x v="1"/>
    <n v="0.01"/>
    <n v="149.0643"/>
    <x v="1"/>
    <s v="Breakfast"/>
    <s v="Card"/>
    <s v="Single"/>
    <s v="OK"/>
  </r>
  <r>
    <s v="O00209"/>
    <s v="BXO6QJ"/>
    <n v="1"/>
    <n v="20.11"/>
    <x v="1"/>
    <n v="8"/>
    <d v="2025-08-24T00:00:00"/>
    <x v="1"/>
    <n v="0.01"/>
    <n v="19.908899999999999"/>
    <x v="1"/>
    <s v="Breakfast"/>
    <s v="Card"/>
    <s v="Single"/>
    <s v="OK"/>
  </r>
  <r>
    <s v="O00209"/>
    <s v="B0T0PV"/>
    <n v="2"/>
    <n v="28.43"/>
    <x v="1"/>
    <n v="13.89"/>
    <d v="2025-08-24T00:00:00"/>
    <x v="1"/>
    <n v="0.01"/>
    <n v="56.291399999999996"/>
    <x v="1"/>
    <s v="Breakfast"/>
    <s v="Card"/>
    <s v="Single"/>
    <s v="OK"/>
  </r>
  <r>
    <s v="O00210"/>
    <s v="BXO6QJ"/>
    <n v="1"/>
    <n v="20.11"/>
    <x v="1"/>
    <n v="8"/>
    <d v="2025-07-26T00:00:00"/>
    <x v="0"/>
    <n v="0.1"/>
    <n v="18.099"/>
    <x v="0"/>
    <s v="Dinner"/>
    <s v="Card"/>
    <s v="Combo"/>
    <s v="HighDisc"/>
  </r>
  <r>
    <s v="O00210"/>
    <s v="HH1DNM"/>
    <n v="2"/>
    <n v="246.09"/>
    <x v="3"/>
    <n v="112.08"/>
    <d v="2025-07-26T00:00:00"/>
    <x v="0"/>
    <n v="0.1"/>
    <n v="442.96199999999999"/>
    <x v="0"/>
    <s v="Dinner"/>
    <s v="Card"/>
    <s v="Combo"/>
    <s v="HighDisc"/>
  </r>
  <r>
    <s v="O00210"/>
    <s v="BHL1C3"/>
    <n v="1"/>
    <n v="22.2"/>
    <x v="1"/>
    <n v="9.3800000000000008"/>
    <d v="2025-07-26T00:00:00"/>
    <x v="0"/>
    <n v="0.1"/>
    <n v="19.98"/>
    <x v="0"/>
    <s v="Dinner"/>
    <s v="Card"/>
    <s v="Combo"/>
    <s v="HighDisc"/>
  </r>
  <r>
    <s v="O00211"/>
    <s v="HDPBHS"/>
    <n v="3"/>
    <n v="256.91000000000003"/>
    <x v="3"/>
    <n v="121.24"/>
    <d v="2025-07-26T00:00:00"/>
    <x v="0"/>
    <n v="0.14000000000000001"/>
    <n v="662.82780000000002"/>
    <x v="0"/>
    <s v="Dinner"/>
    <s v="UPI"/>
    <s v="Single"/>
    <s v="HighDisc"/>
  </r>
  <r>
    <s v="O00211"/>
    <s v="SCKW5N"/>
    <n v="3"/>
    <n v="70.540000000000006"/>
    <x v="0"/>
    <n v="35.81"/>
    <d v="2025-07-26T00:00:00"/>
    <x v="0"/>
    <n v="0.14000000000000001"/>
    <n v="181.9932"/>
    <x v="0"/>
    <s v="Dinner"/>
    <s v="UPI"/>
    <s v="Single"/>
    <s v="HighDisc"/>
  </r>
  <r>
    <s v="O00212"/>
    <s v="SV30T9"/>
    <n v="1"/>
    <n v="39.950000000000003"/>
    <x v="0"/>
    <n v="15.51"/>
    <d v="2025-07-11T00:00:00"/>
    <x v="0"/>
    <n v="0.1"/>
    <n v="35.955000000000005"/>
    <x v="0"/>
    <s v="Dinner"/>
    <s v="Card"/>
    <s v="Combo"/>
    <s v="OK"/>
  </r>
  <r>
    <s v="O00212"/>
    <s v="DYTJXE"/>
    <n v="1"/>
    <n v="57.07"/>
    <x v="2"/>
    <n v="29.14"/>
    <d v="2025-07-11T00:00:00"/>
    <x v="0"/>
    <n v="0.1"/>
    <n v="51.363"/>
    <x v="0"/>
    <s v="Dinner"/>
    <s v="Card"/>
    <s v="Combo"/>
    <s v="OK"/>
  </r>
  <r>
    <s v="O00212"/>
    <s v="B0T0PV"/>
    <n v="1"/>
    <n v="28.43"/>
    <x v="1"/>
    <n v="13.89"/>
    <d v="2025-07-11T00:00:00"/>
    <x v="0"/>
    <n v="0.1"/>
    <n v="25.587"/>
    <x v="0"/>
    <s v="Dinner"/>
    <s v="Card"/>
    <s v="Combo"/>
    <s v="OK"/>
  </r>
  <r>
    <s v="O00212"/>
    <s v="HXAJI0"/>
    <n v="1"/>
    <n v="227.61"/>
    <x v="3"/>
    <n v="96.22"/>
    <d v="2025-07-11T00:00:00"/>
    <x v="0"/>
    <n v="0.1"/>
    <n v="204.84900000000002"/>
    <x v="0"/>
    <s v="Dinner"/>
    <s v="Card"/>
    <s v="Combo"/>
    <s v="OK"/>
  </r>
  <r>
    <s v="O00213"/>
    <s v="S5NQ4F"/>
    <n v="2"/>
    <n v="50.19"/>
    <x v="0"/>
    <n v="22.61"/>
    <d v="2025-08-24T00:00:00"/>
    <x v="1"/>
    <n v="0"/>
    <n v="100.38"/>
    <x v="1"/>
    <s v="Dinner"/>
    <s v="Cash"/>
    <s v="Single"/>
    <s v="OK"/>
  </r>
  <r>
    <s v="O00213"/>
    <s v="SZBIKC"/>
    <n v="3"/>
    <n v="38.06"/>
    <x v="0"/>
    <n v="19.55"/>
    <d v="2025-08-24T00:00:00"/>
    <x v="1"/>
    <n v="0"/>
    <n v="114.18"/>
    <x v="1"/>
    <s v="Dinner"/>
    <s v="Cash"/>
    <s v="Single"/>
    <s v="OK"/>
  </r>
  <r>
    <s v="O00213"/>
    <s v="HXAJI0"/>
    <n v="1"/>
    <n v="227.61"/>
    <x v="3"/>
    <n v="96.22"/>
    <d v="2025-08-24T00:00:00"/>
    <x v="1"/>
    <n v="0"/>
    <n v="227.61"/>
    <x v="1"/>
    <s v="Dinner"/>
    <s v="Cash"/>
    <s v="Single"/>
    <s v="OK"/>
  </r>
  <r>
    <s v="O00214"/>
    <s v="DYTJXE"/>
    <n v="1"/>
    <n v="57.07"/>
    <x v="2"/>
    <n v="29.14"/>
    <d v="2025-08-15T00:00:00"/>
    <x v="0"/>
    <n v="0.04"/>
    <n v="54.787199999999999"/>
    <x v="1"/>
    <s v="Breakfast"/>
    <s v="UPI"/>
    <s v="Combo"/>
    <s v="OK"/>
  </r>
  <r>
    <s v="O00214"/>
    <s v="BHL1C3"/>
    <n v="1"/>
    <n v="22.2"/>
    <x v="1"/>
    <n v="9.3800000000000008"/>
    <d v="2025-08-15T00:00:00"/>
    <x v="0"/>
    <n v="0.04"/>
    <n v="21.311999999999998"/>
    <x v="1"/>
    <s v="Breakfast"/>
    <s v="UPI"/>
    <s v="Combo"/>
    <s v="OK"/>
  </r>
  <r>
    <s v="O00214"/>
    <s v="HXAJI0"/>
    <n v="3"/>
    <n v="227.61"/>
    <x v="3"/>
    <n v="96.22"/>
    <d v="2025-08-15T00:00:00"/>
    <x v="0"/>
    <n v="0.04"/>
    <n v="655.51679999999999"/>
    <x v="1"/>
    <s v="Breakfast"/>
    <s v="UPI"/>
    <s v="Combo"/>
    <s v="OK"/>
  </r>
  <r>
    <s v="O00215"/>
    <s v="S5NQ4F"/>
    <n v="1"/>
    <n v="50.19"/>
    <x v="0"/>
    <n v="22.61"/>
    <d v="2025-07-12T00:00:00"/>
    <x v="2"/>
    <n v="0.11"/>
    <n v="44.6691"/>
    <x v="0"/>
    <s v="Lunch"/>
    <s v="Cash"/>
    <s v="Combo"/>
    <s v="HighDisc"/>
  </r>
  <r>
    <s v="O00215"/>
    <s v="HUZZPQ"/>
    <n v="1"/>
    <n v="146.4"/>
    <x v="3"/>
    <n v="80.92"/>
    <d v="2025-07-12T00:00:00"/>
    <x v="2"/>
    <n v="0.11"/>
    <n v="130.29600000000002"/>
    <x v="0"/>
    <s v="Lunch"/>
    <s v="Cash"/>
    <s v="Combo"/>
    <s v="HighDisc"/>
  </r>
  <r>
    <s v="O00215"/>
    <s v="BXO6QJ"/>
    <n v="1"/>
    <n v="20.11"/>
    <x v="1"/>
    <n v="8"/>
    <d v="2025-07-12T00:00:00"/>
    <x v="2"/>
    <n v="0.11"/>
    <n v="17.8979"/>
    <x v="0"/>
    <s v="Lunch"/>
    <s v="Cash"/>
    <s v="Combo"/>
    <s v="HighDisc"/>
  </r>
  <r>
    <s v="O00215"/>
    <s v="DH9SDB"/>
    <n v="2"/>
    <n v="76.55"/>
    <x v="2"/>
    <n v="38.229999999999997"/>
    <d v="2025-07-12T00:00:00"/>
    <x v="2"/>
    <n v="0.11"/>
    <n v="136.25899999999999"/>
    <x v="0"/>
    <s v="Lunch"/>
    <s v="Cash"/>
    <s v="Combo"/>
    <s v="HighDisc"/>
  </r>
  <r>
    <s v="O00216"/>
    <s v="BXO6QJ"/>
    <n v="2"/>
    <n v="20.11"/>
    <x v="1"/>
    <n v="8"/>
    <d v="2025-08-18T00:00:00"/>
    <x v="2"/>
    <n v="0.03"/>
    <n v="39.013399999999997"/>
    <x v="1"/>
    <s v="Breakfast"/>
    <s v="Cash"/>
    <s v="Single"/>
    <s v="OK"/>
  </r>
  <r>
    <s v="O00216"/>
    <s v="BTIQJ7"/>
    <n v="2"/>
    <n v="30.34"/>
    <x v="1"/>
    <n v="14.18"/>
    <d v="2025-08-18T00:00:00"/>
    <x v="2"/>
    <n v="0.03"/>
    <n v="58.8596"/>
    <x v="1"/>
    <s v="Breakfast"/>
    <s v="Cash"/>
    <s v="Single"/>
    <s v="OK"/>
  </r>
  <r>
    <s v="O00216"/>
    <s v="SCKW5N"/>
    <n v="1"/>
    <n v="70.540000000000006"/>
    <x v="0"/>
    <n v="35.81"/>
    <d v="2025-08-18T00:00:00"/>
    <x v="2"/>
    <n v="0.03"/>
    <n v="68.4238"/>
    <x v="1"/>
    <s v="Breakfast"/>
    <s v="Cash"/>
    <s v="Single"/>
    <s v="OK"/>
  </r>
  <r>
    <s v="O00217"/>
    <s v="H3A3ZM"/>
    <n v="1"/>
    <n v="170.83"/>
    <x v="3"/>
    <n v="74.069999999999993"/>
    <d v="2025-07-14T00:00:00"/>
    <x v="1"/>
    <n v="0.08"/>
    <n v="157.16360000000003"/>
    <x v="0"/>
    <s v="Breakfast"/>
    <s v="Card"/>
    <s v="Single"/>
    <s v="HighDisc"/>
  </r>
  <r>
    <s v="O00217"/>
    <s v="HDPBHS"/>
    <n v="1"/>
    <n v="256.91000000000003"/>
    <x v="3"/>
    <n v="121.24"/>
    <d v="2025-07-14T00:00:00"/>
    <x v="1"/>
    <n v="0.08"/>
    <n v="236.35720000000003"/>
    <x v="0"/>
    <s v="Breakfast"/>
    <s v="Card"/>
    <s v="Single"/>
    <s v="HighDisc"/>
  </r>
  <r>
    <s v="O00217"/>
    <s v="SV30T9"/>
    <n v="2"/>
    <n v="39.950000000000003"/>
    <x v="0"/>
    <n v="15.51"/>
    <d v="2025-07-14T00:00:00"/>
    <x v="1"/>
    <n v="0.08"/>
    <n v="73.50800000000001"/>
    <x v="0"/>
    <s v="Breakfast"/>
    <s v="Card"/>
    <s v="Single"/>
    <s v="HighDisc"/>
  </r>
  <r>
    <s v="O00217"/>
    <s v="SHJ7XV"/>
    <n v="3"/>
    <n v="52.45"/>
    <x v="0"/>
    <n v="25.8"/>
    <d v="2025-07-14T00:00:00"/>
    <x v="1"/>
    <n v="0.08"/>
    <n v="144.76200000000003"/>
    <x v="0"/>
    <s v="Breakfast"/>
    <s v="Card"/>
    <s v="Single"/>
    <s v="HighDisc"/>
  </r>
  <r>
    <s v="O00218"/>
    <s v="B0T0PV"/>
    <n v="1"/>
    <n v="28.43"/>
    <x v="1"/>
    <n v="13.89"/>
    <d v="2025-08-10T00:00:00"/>
    <x v="0"/>
    <n v="0.09"/>
    <n v="25.871300000000002"/>
    <x v="1"/>
    <s v="Dinner"/>
    <s v="UPI"/>
    <s v="Single"/>
    <s v="OK"/>
  </r>
  <r>
    <s v="O00219"/>
    <s v="DYTJXE"/>
    <n v="2"/>
    <n v="57.07"/>
    <x v="2"/>
    <n v="29.14"/>
    <d v="2025-08-10T00:00:00"/>
    <x v="0"/>
    <n v="0.02"/>
    <n v="111.85719999999999"/>
    <x v="1"/>
    <s v="Lunch"/>
    <s v="Card"/>
    <s v="Single"/>
    <s v="OK"/>
  </r>
  <r>
    <s v="O00219"/>
    <s v="HXAJI0"/>
    <n v="1"/>
    <n v="227.61"/>
    <x v="3"/>
    <n v="96.22"/>
    <d v="2025-08-10T00:00:00"/>
    <x v="0"/>
    <n v="0.02"/>
    <n v="223.05780000000001"/>
    <x v="1"/>
    <s v="Lunch"/>
    <s v="Card"/>
    <s v="Single"/>
    <s v="OK"/>
  </r>
  <r>
    <s v="O00219"/>
    <s v="H3A3ZM"/>
    <n v="2"/>
    <n v="170.83"/>
    <x v="3"/>
    <n v="74.069999999999993"/>
    <d v="2025-08-10T00:00:00"/>
    <x v="0"/>
    <n v="0.02"/>
    <n v="334.82679999999999"/>
    <x v="1"/>
    <s v="Lunch"/>
    <s v="Card"/>
    <s v="Single"/>
    <s v="OK"/>
  </r>
  <r>
    <s v="O00220"/>
    <s v="DH9SDB"/>
    <n v="3"/>
    <n v="76.55"/>
    <x v="2"/>
    <n v="38.229999999999997"/>
    <d v="2025-07-28T00:00:00"/>
    <x v="2"/>
    <n v="0.06"/>
    <n v="215.87099999999995"/>
    <x v="0"/>
    <s v="Breakfast"/>
    <s v="Card"/>
    <s v="Single"/>
    <s v="OK"/>
  </r>
  <r>
    <s v="O00220"/>
    <s v="HXAJI0"/>
    <n v="1"/>
    <n v="227.61"/>
    <x v="3"/>
    <n v="96.22"/>
    <d v="2025-07-28T00:00:00"/>
    <x v="2"/>
    <n v="0.06"/>
    <n v="213.95339999999999"/>
    <x v="0"/>
    <s v="Breakfast"/>
    <s v="Card"/>
    <s v="Single"/>
    <s v="OK"/>
  </r>
  <r>
    <s v="O00220"/>
    <s v="DFFYVN"/>
    <n v="3"/>
    <n v="54.2"/>
    <x v="2"/>
    <n v="21.95"/>
    <d v="2025-07-28T00:00:00"/>
    <x v="2"/>
    <n v="0.06"/>
    <n v="152.84400000000002"/>
    <x v="0"/>
    <s v="Breakfast"/>
    <s v="Card"/>
    <s v="Single"/>
    <s v="OK"/>
  </r>
  <r>
    <s v="O00221"/>
    <s v="DYTJXE"/>
    <n v="1"/>
    <n v="57.07"/>
    <x v="2"/>
    <n v="29.14"/>
    <d v="2025-08-13T00:00:00"/>
    <x v="1"/>
    <n v="0"/>
    <n v="57.07"/>
    <x v="1"/>
    <s v="Breakfast"/>
    <s v="Card"/>
    <s v="Single"/>
    <s v="OK"/>
  </r>
  <r>
    <s v="O00222"/>
    <s v="SV30T9"/>
    <n v="1"/>
    <n v="39.950000000000003"/>
    <x v="0"/>
    <n v="15.51"/>
    <d v="2025-08-05T00:00:00"/>
    <x v="0"/>
    <n v="0.02"/>
    <n v="39.151000000000003"/>
    <x v="1"/>
    <s v="Dinner"/>
    <s v="Card"/>
    <s v="Single"/>
    <s v="OK"/>
  </r>
  <r>
    <s v="O00222"/>
    <s v="BXO6QJ"/>
    <n v="2"/>
    <n v="20.11"/>
    <x v="1"/>
    <n v="8"/>
    <d v="2025-08-05T00:00:00"/>
    <x v="0"/>
    <n v="0.02"/>
    <n v="39.415599999999998"/>
    <x v="1"/>
    <s v="Dinner"/>
    <s v="Card"/>
    <s v="Single"/>
    <s v="OK"/>
  </r>
  <r>
    <s v="O00222"/>
    <s v="BTIQJ7"/>
    <n v="2"/>
    <n v="30.34"/>
    <x v="1"/>
    <n v="14.18"/>
    <d v="2025-08-05T00:00:00"/>
    <x v="0"/>
    <n v="0.02"/>
    <n v="59.4664"/>
    <x v="1"/>
    <s v="Dinner"/>
    <s v="Card"/>
    <s v="Single"/>
    <s v="OK"/>
  </r>
  <r>
    <s v="O00222"/>
    <s v="DFFYVN"/>
    <n v="3"/>
    <n v="54.2"/>
    <x v="2"/>
    <n v="21.95"/>
    <d v="2025-08-05T00:00:00"/>
    <x v="0"/>
    <n v="0.02"/>
    <n v="159.34800000000001"/>
    <x v="1"/>
    <s v="Dinner"/>
    <s v="Card"/>
    <s v="Single"/>
    <s v="OK"/>
  </r>
  <r>
    <s v="O00223"/>
    <s v="DFFYVN"/>
    <n v="2"/>
    <n v="54.2"/>
    <x v="2"/>
    <n v="21.95"/>
    <d v="2025-08-08T00:00:00"/>
    <x v="1"/>
    <n v="0.05"/>
    <n v="102.98"/>
    <x v="1"/>
    <s v="Dinner"/>
    <s v="Cash"/>
    <s v="Single"/>
    <s v="OK"/>
  </r>
  <r>
    <s v="O00223"/>
    <s v="BHL1C3"/>
    <n v="1"/>
    <n v="22.2"/>
    <x v="1"/>
    <n v="9.3800000000000008"/>
    <d v="2025-08-08T00:00:00"/>
    <x v="1"/>
    <n v="0.05"/>
    <n v="21.09"/>
    <x v="1"/>
    <s v="Dinner"/>
    <s v="Cash"/>
    <s v="Single"/>
    <s v="OK"/>
  </r>
  <r>
    <s v="O00223"/>
    <s v="B0T0PV"/>
    <n v="2"/>
    <n v="28.43"/>
    <x v="1"/>
    <n v="13.89"/>
    <d v="2025-08-08T00:00:00"/>
    <x v="1"/>
    <n v="0.05"/>
    <n v="54.016999999999996"/>
    <x v="1"/>
    <s v="Dinner"/>
    <s v="Cash"/>
    <s v="Single"/>
    <s v="OK"/>
  </r>
  <r>
    <s v="O00224"/>
    <s v="SHJ7XV"/>
    <n v="3"/>
    <n v="52.45"/>
    <x v="0"/>
    <n v="25.8"/>
    <d v="2025-07-10T00:00:00"/>
    <x v="0"/>
    <n v="0.01"/>
    <n v="155.77650000000003"/>
    <x v="0"/>
    <s v="Breakfast"/>
    <s v="UPI"/>
    <s v="Single"/>
    <s v="OK"/>
  </r>
  <r>
    <s v="O00225"/>
    <s v="SCKW5N"/>
    <n v="1"/>
    <n v="70.540000000000006"/>
    <x v="0"/>
    <n v="35.81"/>
    <d v="2025-07-06T00:00:00"/>
    <x v="1"/>
    <n v="0.13"/>
    <n v="61.369800000000005"/>
    <x v="0"/>
    <s v="Breakfast"/>
    <s v="Cash"/>
    <s v="Combo"/>
    <s v="HighDisc"/>
  </r>
  <r>
    <s v="O00225"/>
    <s v="B0T0PV"/>
    <n v="2"/>
    <n v="28.43"/>
    <x v="1"/>
    <n v="13.89"/>
    <d v="2025-07-06T00:00:00"/>
    <x v="1"/>
    <n v="0.13"/>
    <n v="49.468199999999996"/>
    <x v="0"/>
    <s v="Breakfast"/>
    <s v="Cash"/>
    <s v="Combo"/>
    <s v="HighDisc"/>
  </r>
  <r>
    <s v="O00225"/>
    <s v="HDPBHS"/>
    <n v="3"/>
    <n v="256.91000000000003"/>
    <x v="3"/>
    <n v="121.24"/>
    <d v="2025-07-06T00:00:00"/>
    <x v="1"/>
    <n v="0.13"/>
    <n v="670.53510000000006"/>
    <x v="0"/>
    <s v="Breakfast"/>
    <s v="Cash"/>
    <s v="Combo"/>
    <s v="HighDisc"/>
  </r>
  <r>
    <s v="O00225"/>
    <s v="BTIQJ7"/>
    <n v="2"/>
    <n v="30.34"/>
    <x v="1"/>
    <n v="14.18"/>
    <d v="2025-07-06T00:00:00"/>
    <x v="1"/>
    <n v="0.13"/>
    <n v="52.791600000000003"/>
    <x v="0"/>
    <s v="Breakfast"/>
    <s v="Cash"/>
    <s v="Combo"/>
    <s v="HighDisc"/>
  </r>
  <r>
    <s v="O00226"/>
    <s v="BTIQJ7"/>
    <n v="1"/>
    <n v="30.34"/>
    <x v="1"/>
    <n v="14.18"/>
    <d v="2025-07-07T00:00:00"/>
    <x v="0"/>
    <n v="0"/>
    <n v="30.34"/>
    <x v="0"/>
    <s v="Dinner"/>
    <s v="UPI"/>
    <s v="Combo"/>
    <s v="OK"/>
  </r>
  <r>
    <s v="O00226"/>
    <s v="HUZZPQ"/>
    <n v="1"/>
    <n v="146.4"/>
    <x v="3"/>
    <n v="80.92"/>
    <d v="2025-07-07T00:00:00"/>
    <x v="0"/>
    <n v="0"/>
    <n v="146.4"/>
    <x v="0"/>
    <s v="Dinner"/>
    <s v="UPI"/>
    <s v="Combo"/>
    <s v="OK"/>
  </r>
  <r>
    <s v="O00226"/>
    <s v="DH9SDB"/>
    <n v="2"/>
    <n v="76.55"/>
    <x v="2"/>
    <n v="38.229999999999997"/>
    <d v="2025-07-07T00:00:00"/>
    <x v="0"/>
    <n v="0"/>
    <n v="153.1"/>
    <x v="0"/>
    <s v="Dinner"/>
    <s v="UPI"/>
    <s v="Combo"/>
    <s v="OK"/>
  </r>
  <r>
    <s v="O00227"/>
    <s v="H3A3ZM"/>
    <n v="2"/>
    <n v="170.83"/>
    <x v="3"/>
    <n v="74.069999999999993"/>
    <d v="2025-07-23T00:00:00"/>
    <x v="1"/>
    <n v="0.04"/>
    <n v="327.99360000000001"/>
    <x v="0"/>
    <s v="Dinner"/>
    <s v="UPI"/>
    <s v="Single"/>
    <s v="OK"/>
  </r>
  <r>
    <s v="O00227"/>
    <s v="DFFYVN"/>
    <n v="1"/>
    <n v="54.2"/>
    <x v="2"/>
    <n v="21.95"/>
    <d v="2025-07-23T00:00:00"/>
    <x v="1"/>
    <n v="0.04"/>
    <n v="52.032000000000004"/>
    <x v="0"/>
    <s v="Dinner"/>
    <s v="UPI"/>
    <s v="Single"/>
    <s v="OK"/>
  </r>
  <r>
    <s v="O00228"/>
    <s v="DFFYVN"/>
    <n v="2"/>
    <n v="54.2"/>
    <x v="2"/>
    <n v="21.95"/>
    <d v="2025-07-28T00:00:00"/>
    <x v="2"/>
    <n v="7.0000000000000007E-2"/>
    <n v="100.812"/>
    <x v="0"/>
    <s v="Breakfast"/>
    <s v="UPI"/>
    <s v="Single"/>
    <s v="OK"/>
  </r>
  <r>
    <s v="O00229"/>
    <s v="HH1DNM"/>
    <n v="1"/>
    <n v="246.09"/>
    <x v="3"/>
    <n v="112.08"/>
    <d v="2025-07-18T00:00:00"/>
    <x v="2"/>
    <n v="0.12"/>
    <n v="216.5592"/>
    <x v="0"/>
    <s v="Breakfast"/>
    <s v="Cash"/>
    <s v="Single"/>
    <s v="HighDisc"/>
  </r>
  <r>
    <s v="O00229"/>
    <s v="DFFYVN"/>
    <n v="3"/>
    <n v="54.2"/>
    <x v="2"/>
    <n v="21.95"/>
    <d v="2025-07-18T00:00:00"/>
    <x v="2"/>
    <n v="0.12"/>
    <n v="143.08800000000002"/>
    <x v="0"/>
    <s v="Breakfast"/>
    <s v="Cash"/>
    <s v="Single"/>
    <s v="HighDisc"/>
  </r>
  <r>
    <s v="O00229"/>
    <s v="SCKW5N"/>
    <n v="1"/>
    <n v="70.540000000000006"/>
    <x v="0"/>
    <n v="35.81"/>
    <d v="2025-07-18T00:00:00"/>
    <x v="2"/>
    <n v="0.12"/>
    <n v="62.075200000000002"/>
    <x v="0"/>
    <s v="Breakfast"/>
    <s v="Cash"/>
    <s v="Single"/>
    <s v="HighDisc"/>
  </r>
  <r>
    <s v="O00229"/>
    <s v="SZBIKC"/>
    <n v="1"/>
    <n v="38.06"/>
    <x v="0"/>
    <n v="19.55"/>
    <d v="2025-07-18T00:00:00"/>
    <x v="2"/>
    <n v="0.12"/>
    <n v="33.492800000000003"/>
    <x v="0"/>
    <s v="Breakfast"/>
    <s v="Cash"/>
    <s v="Single"/>
    <s v="HighDisc"/>
  </r>
  <r>
    <s v="O00230"/>
    <s v="H3A3ZM"/>
    <n v="1"/>
    <n v="170.83"/>
    <x v="3"/>
    <n v="74.069999999999993"/>
    <d v="2025-07-02T00:00:00"/>
    <x v="1"/>
    <n v="0"/>
    <n v="170.83"/>
    <x v="0"/>
    <s v="Dinner"/>
    <s v="UPI"/>
    <s v="Combo"/>
    <s v="OK"/>
  </r>
  <r>
    <s v="O00230"/>
    <s v="B0T0PV"/>
    <n v="1"/>
    <n v="28.43"/>
    <x v="1"/>
    <n v="13.89"/>
    <d v="2025-07-02T00:00:00"/>
    <x v="1"/>
    <n v="0"/>
    <n v="28.43"/>
    <x v="0"/>
    <s v="Dinner"/>
    <s v="UPI"/>
    <s v="Combo"/>
    <s v="OK"/>
  </r>
  <r>
    <s v="O00231"/>
    <s v="D9T84A"/>
    <n v="1"/>
    <n v="116.8"/>
    <x v="2"/>
    <n v="48.97"/>
    <d v="2025-07-02T00:00:00"/>
    <x v="2"/>
    <n v="0.11"/>
    <n v="103.952"/>
    <x v="0"/>
    <s v="Dinner"/>
    <s v="Cash"/>
    <s v="Single"/>
    <s v="HighDisc"/>
  </r>
  <r>
    <s v="O00231"/>
    <s v="SHJ7XV"/>
    <n v="2"/>
    <n v="52.45"/>
    <x v="0"/>
    <n v="25.8"/>
    <d v="2025-07-02T00:00:00"/>
    <x v="2"/>
    <n v="0.11"/>
    <n v="93.361000000000004"/>
    <x v="0"/>
    <s v="Dinner"/>
    <s v="Cash"/>
    <s v="Single"/>
    <s v="HighDisc"/>
  </r>
  <r>
    <s v="O00231"/>
    <s v="BOC6UZ"/>
    <n v="2"/>
    <n v="32.979999999999997"/>
    <x v="1"/>
    <n v="11.84"/>
    <d v="2025-07-02T00:00:00"/>
    <x v="2"/>
    <n v="0.11"/>
    <n v="58.704399999999993"/>
    <x v="0"/>
    <s v="Dinner"/>
    <s v="Cash"/>
    <s v="Single"/>
    <s v="HighDisc"/>
  </r>
  <r>
    <s v="O00231"/>
    <s v="DH9SDB"/>
    <n v="3"/>
    <n v="76.55"/>
    <x v="2"/>
    <n v="38.229999999999997"/>
    <d v="2025-07-02T00:00:00"/>
    <x v="2"/>
    <n v="0.11"/>
    <n v="204.38849999999999"/>
    <x v="0"/>
    <s v="Dinner"/>
    <s v="Cash"/>
    <s v="Single"/>
    <s v="HighDisc"/>
  </r>
  <r>
    <s v="O00232"/>
    <s v="BHL1C3"/>
    <n v="1"/>
    <n v="22.2"/>
    <x v="1"/>
    <n v="9.3800000000000008"/>
    <d v="2025-08-11T00:00:00"/>
    <x v="0"/>
    <n v="0.06"/>
    <n v="20.867999999999999"/>
    <x v="1"/>
    <s v="Breakfast"/>
    <s v="UPI"/>
    <s v="Combo"/>
    <s v="OK"/>
  </r>
  <r>
    <s v="O00232"/>
    <s v="HH1DNM"/>
    <n v="2"/>
    <n v="246.09"/>
    <x v="3"/>
    <n v="112.08"/>
    <d v="2025-08-11T00:00:00"/>
    <x v="0"/>
    <n v="0.06"/>
    <n v="462.64920000000001"/>
    <x v="1"/>
    <s v="Breakfast"/>
    <s v="UPI"/>
    <s v="Combo"/>
    <s v="OK"/>
  </r>
  <r>
    <s v="O00233"/>
    <s v="S5NQ4F"/>
    <n v="2"/>
    <n v="50.19"/>
    <x v="0"/>
    <n v="22.61"/>
    <d v="2025-08-16T00:00:00"/>
    <x v="1"/>
    <n v="0.02"/>
    <n v="98.372399999999999"/>
    <x v="1"/>
    <s v="Lunch"/>
    <s v="UPI"/>
    <s v="Single"/>
    <s v="OK"/>
  </r>
  <r>
    <s v="O00233"/>
    <s v="BTIQJ7"/>
    <n v="1"/>
    <n v="30.34"/>
    <x v="1"/>
    <n v="14.18"/>
    <d v="2025-08-16T00:00:00"/>
    <x v="1"/>
    <n v="0.02"/>
    <n v="29.7332"/>
    <x v="1"/>
    <s v="Lunch"/>
    <s v="UPI"/>
    <s v="Single"/>
    <s v="OK"/>
  </r>
  <r>
    <s v="O00234"/>
    <s v="SV30T9"/>
    <n v="1"/>
    <n v="39.950000000000003"/>
    <x v="0"/>
    <n v="15.51"/>
    <d v="2025-08-14T00:00:00"/>
    <x v="0"/>
    <n v="0.08"/>
    <n v="36.754000000000005"/>
    <x v="1"/>
    <s v="Breakfast"/>
    <s v="UPI"/>
    <s v="Single"/>
    <s v="OK"/>
  </r>
  <r>
    <s v="O00235"/>
    <s v="HUZZPQ"/>
    <n v="1"/>
    <n v="146.4"/>
    <x v="3"/>
    <n v="80.92"/>
    <d v="2025-08-20T00:00:00"/>
    <x v="1"/>
    <n v="7.0000000000000007E-2"/>
    <n v="136.15199999999999"/>
    <x v="1"/>
    <s v="Dinner"/>
    <s v="UPI"/>
    <s v="Single"/>
    <s v="OK"/>
  </r>
  <r>
    <s v="O00236"/>
    <s v="SCKW5N"/>
    <n v="2"/>
    <n v="70.540000000000006"/>
    <x v="0"/>
    <n v="35.81"/>
    <d v="2025-07-07T00:00:00"/>
    <x v="1"/>
    <n v="0.04"/>
    <n v="135.43680000000001"/>
    <x v="0"/>
    <s v="Breakfast"/>
    <s v="Card"/>
    <s v="Single"/>
    <s v="OK"/>
  </r>
  <r>
    <s v="O00236"/>
    <s v="DYTJXE"/>
    <n v="1"/>
    <n v="57.07"/>
    <x v="2"/>
    <n v="29.14"/>
    <d v="2025-07-07T00:00:00"/>
    <x v="1"/>
    <n v="0.04"/>
    <n v="54.787199999999999"/>
    <x v="0"/>
    <s v="Breakfast"/>
    <s v="Card"/>
    <s v="Single"/>
    <s v="OK"/>
  </r>
  <r>
    <s v="O00237"/>
    <s v="SV30T9"/>
    <n v="2"/>
    <n v="39.950000000000003"/>
    <x v="0"/>
    <n v="15.51"/>
    <d v="2025-08-17T00:00:00"/>
    <x v="0"/>
    <n v="0.06"/>
    <n v="75.105999999999995"/>
    <x v="1"/>
    <s v="Dinner"/>
    <s v="Cash"/>
    <s v="Single"/>
    <s v="OK"/>
  </r>
  <r>
    <s v="O00238"/>
    <s v="DH9SDB"/>
    <n v="2"/>
    <n v="76.55"/>
    <x v="2"/>
    <n v="38.229999999999997"/>
    <d v="2025-08-01T00:00:00"/>
    <x v="0"/>
    <n v="0.04"/>
    <n v="146.976"/>
    <x v="1"/>
    <s v="Lunch"/>
    <s v="Cash"/>
    <s v="Single"/>
    <s v="OK"/>
  </r>
  <r>
    <s v="O00238"/>
    <s v="BHL1C3"/>
    <n v="1"/>
    <n v="22.2"/>
    <x v="1"/>
    <n v="9.3800000000000008"/>
    <d v="2025-08-01T00:00:00"/>
    <x v="0"/>
    <n v="0.04"/>
    <n v="21.311999999999998"/>
    <x v="1"/>
    <s v="Lunch"/>
    <s v="Cash"/>
    <s v="Single"/>
    <s v="OK"/>
  </r>
  <r>
    <s v="O00238"/>
    <s v="SCKW5N"/>
    <n v="2"/>
    <n v="70.540000000000006"/>
    <x v="0"/>
    <n v="35.81"/>
    <d v="2025-08-01T00:00:00"/>
    <x v="0"/>
    <n v="0.04"/>
    <n v="135.43680000000001"/>
    <x v="1"/>
    <s v="Lunch"/>
    <s v="Cash"/>
    <s v="Single"/>
    <s v="OK"/>
  </r>
  <r>
    <s v="O00238"/>
    <s v="B0T0PV"/>
    <n v="2"/>
    <n v="28.43"/>
    <x v="1"/>
    <n v="13.89"/>
    <d v="2025-08-01T00:00:00"/>
    <x v="0"/>
    <n v="0.04"/>
    <n v="54.585599999999999"/>
    <x v="1"/>
    <s v="Lunch"/>
    <s v="Cash"/>
    <s v="Single"/>
    <s v="OK"/>
  </r>
  <r>
    <s v="O00239"/>
    <s v="BXO6QJ"/>
    <n v="3"/>
    <n v="20.11"/>
    <x v="1"/>
    <n v="8"/>
    <d v="2025-07-27T00:00:00"/>
    <x v="0"/>
    <n v="0.06"/>
    <n v="56.710199999999993"/>
    <x v="0"/>
    <s v="Dinner"/>
    <s v="UPI"/>
    <s v="Combo"/>
    <s v="OK"/>
  </r>
  <r>
    <s v="O00239"/>
    <s v="DH9SDB"/>
    <n v="1"/>
    <n v="76.55"/>
    <x v="2"/>
    <n v="38.229999999999997"/>
    <d v="2025-07-27T00:00:00"/>
    <x v="0"/>
    <n v="0.06"/>
    <n v="71.956999999999994"/>
    <x v="0"/>
    <s v="Dinner"/>
    <s v="UPI"/>
    <s v="Combo"/>
    <s v="OK"/>
  </r>
  <r>
    <s v="O00239"/>
    <s v="HUZZPQ"/>
    <n v="2"/>
    <n v="146.4"/>
    <x v="3"/>
    <n v="80.92"/>
    <d v="2025-07-27T00:00:00"/>
    <x v="0"/>
    <n v="0.06"/>
    <n v="275.23199999999997"/>
    <x v="0"/>
    <s v="Dinner"/>
    <s v="UPI"/>
    <s v="Combo"/>
    <s v="OK"/>
  </r>
  <r>
    <s v="O00240"/>
    <s v="SCKW5N"/>
    <n v="3"/>
    <n v="70.540000000000006"/>
    <x v="0"/>
    <n v="35.81"/>
    <d v="2025-08-01T00:00:00"/>
    <x v="1"/>
    <n v="0.09"/>
    <n v="192.57420000000002"/>
    <x v="1"/>
    <s v="Dinner"/>
    <s v="UPI"/>
    <s v="Single"/>
    <s v="HighDisc"/>
  </r>
  <r>
    <s v="O00240"/>
    <s v="H3A3ZM"/>
    <n v="2"/>
    <n v="170.83"/>
    <x v="3"/>
    <n v="74.069999999999993"/>
    <d v="2025-08-01T00:00:00"/>
    <x v="1"/>
    <n v="0.09"/>
    <n v="310.91060000000004"/>
    <x v="1"/>
    <s v="Dinner"/>
    <s v="UPI"/>
    <s v="Single"/>
    <s v="HighDisc"/>
  </r>
  <r>
    <s v="O00240"/>
    <s v="DH9SDB"/>
    <n v="3"/>
    <n v="76.55"/>
    <x v="2"/>
    <n v="38.229999999999997"/>
    <d v="2025-08-01T00:00:00"/>
    <x v="1"/>
    <n v="0.09"/>
    <n v="208.98149999999998"/>
    <x v="1"/>
    <s v="Dinner"/>
    <s v="UPI"/>
    <s v="Single"/>
    <s v="HighDisc"/>
  </r>
  <r>
    <s v="O00240"/>
    <s v="HDPBHS"/>
    <n v="2"/>
    <n v="256.91000000000003"/>
    <x v="3"/>
    <n v="121.24"/>
    <d v="2025-08-01T00:00:00"/>
    <x v="1"/>
    <n v="0.09"/>
    <n v="467.57620000000009"/>
    <x v="1"/>
    <s v="Dinner"/>
    <s v="UPI"/>
    <s v="Single"/>
    <s v="HighDisc"/>
  </r>
  <r>
    <s v="O00241"/>
    <s v="BTIQJ7"/>
    <n v="1"/>
    <n v="30.34"/>
    <x v="1"/>
    <n v="14.18"/>
    <d v="2025-08-14T00:00:00"/>
    <x v="0"/>
    <n v="0.12"/>
    <n v="26.699200000000001"/>
    <x v="1"/>
    <s v="Breakfast"/>
    <s v="Card"/>
    <s v="Single"/>
    <s v="OK"/>
  </r>
  <r>
    <s v="O00241"/>
    <s v="D9T84A"/>
    <n v="1"/>
    <n v="116.8"/>
    <x v="2"/>
    <n v="48.97"/>
    <d v="2025-08-14T00:00:00"/>
    <x v="0"/>
    <n v="0.12"/>
    <n v="102.78399999999999"/>
    <x v="1"/>
    <s v="Breakfast"/>
    <s v="Card"/>
    <s v="Single"/>
    <s v="OK"/>
  </r>
  <r>
    <s v="O00242"/>
    <s v="SZBIKC"/>
    <n v="1"/>
    <n v="38.06"/>
    <x v="0"/>
    <n v="19.55"/>
    <d v="2025-07-12T00:00:00"/>
    <x v="0"/>
    <n v="0.01"/>
    <n v="37.679400000000001"/>
    <x v="0"/>
    <s v="Breakfast"/>
    <s v="UPI"/>
    <s v="Single"/>
    <s v="OK"/>
  </r>
  <r>
    <s v="O00242"/>
    <s v="HDPBHS"/>
    <n v="2"/>
    <n v="256.91000000000003"/>
    <x v="3"/>
    <n v="121.24"/>
    <d v="2025-07-12T00:00:00"/>
    <x v="0"/>
    <n v="0.01"/>
    <n v="508.68180000000007"/>
    <x v="0"/>
    <s v="Breakfast"/>
    <s v="UPI"/>
    <s v="Single"/>
    <s v="OK"/>
  </r>
  <r>
    <s v="O00242"/>
    <s v="SV30T9"/>
    <n v="2"/>
    <n v="39.950000000000003"/>
    <x v="0"/>
    <n v="15.51"/>
    <d v="2025-07-12T00:00:00"/>
    <x v="0"/>
    <n v="0.01"/>
    <n v="79.100999999999999"/>
    <x v="0"/>
    <s v="Breakfast"/>
    <s v="UPI"/>
    <s v="Single"/>
    <s v="OK"/>
  </r>
  <r>
    <s v="O00242"/>
    <s v="HH1DNM"/>
    <n v="2"/>
    <n v="246.09"/>
    <x v="3"/>
    <n v="112.08"/>
    <d v="2025-07-12T00:00:00"/>
    <x v="0"/>
    <n v="0.01"/>
    <n v="487.25819999999999"/>
    <x v="0"/>
    <s v="Breakfast"/>
    <s v="UPI"/>
    <s v="Single"/>
    <s v="OK"/>
  </r>
  <r>
    <s v="O00243"/>
    <s v="DYTJXE"/>
    <n v="2"/>
    <n v="57.07"/>
    <x v="2"/>
    <n v="29.14"/>
    <d v="2025-08-12T00:00:00"/>
    <x v="1"/>
    <n v="0.15"/>
    <n v="97.018999999999991"/>
    <x v="1"/>
    <s v="Breakfast"/>
    <s v="Card"/>
    <s v="Single"/>
    <s v="OK"/>
  </r>
  <r>
    <s v="O00243"/>
    <s v="D9T84A"/>
    <n v="1"/>
    <n v="116.8"/>
    <x v="2"/>
    <n v="48.97"/>
    <d v="2025-08-12T00:00:00"/>
    <x v="1"/>
    <n v="0.15"/>
    <n v="99.28"/>
    <x v="1"/>
    <s v="Breakfast"/>
    <s v="Card"/>
    <s v="Single"/>
    <s v="OK"/>
  </r>
  <r>
    <s v="O00244"/>
    <s v="BXO6QJ"/>
    <n v="1"/>
    <n v="20.11"/>
    <x v="1"/>
    <n v="8"/>
    <d v="2025-08-14T00:00:00"/>
    <x v="1"/>
    <n v="0"/>
    <n v="20.11"/>
    <x v="1"/>
    <s v="Breakfast"/>
    <s v="UPI"/>
    <s v="Combo"/>
    <s v="OK"/>
  </r>
  <r>
    <s v="O00244"/>
    <s v="SV30T9"/>
    <n v="3"/>
    <n v="39.950000000000003"/>
    <x v="0"/>
    <n v="15.51"/>
    <d v="2025-08-14T00:00:00"/>
    <x v="1"/>
    <n v="0"/>
    <n v="119.85000000000001"/>
    <x v="1"/>
    <s v="Breakfast"/>
    <s v="UPI"/>
    <s v="Combo"/>
    <s v="OK"/>
  </r>
  <r>
    <s v="O00244"/>
    <s v="SHJ7XV"/>
    <n v="1"/>
    <n v="52.45"/>
    <x v="0"/>
    <n v="25.8"/>
    <d v="2025-08-14T00:00:00"/>
    <x v="1"/>
    <n v="0"/>
    <n v="52.45"/>
    <x v="1"/>
    <s v="Breakfast"/>
    <s v="UPI"/>
    <s v="Combo"/>
    <s v="OK"/>
  </r>
  <r>
    <s v="O00244"/>
    <s v="HXAJI0"/>
    <n v="1"/>
    <n v="227.61"/>
    <x v="3"/>
    <n v="96.22"/>
    <d v="2025-08-14T00:00:00"/>
    <x v="1"/>
    <n v="0"/>
    <n v="227.61"/>
    <x v="1"/>
    <s v="Breakfast"/>
    <s v="UPI"/>
    <s v="Combo"/>
    <s v="OK"/>
  </r>
  <r>
    <s v="O00245"/>
    <s v="HXAJI0"/>
    <n v="1"/>
    <n v="227.61"/>
    <x v="3"/>
    <n v="96.22"/>
    <d v="2025-07-31T00:00:00"/>
    <x v="1"/>
    <n v="0.05"/>
    <n v="216.2295"/>
    <x v="0"/>
    <s v="Lunch"/>
    <s v="UPI"/>
    <s v="Single"/>
    <s v="OK"/>
  </r>
  <r>
    <s v="O00245"/>
    <s v="S5NQ4F"/>
    <n v="1"/>
    <n v="50.19"/>
    <x v="0"/>
    <n v="22.61"/>
    <d v="2025-07-31T00:00:00"/>
    <x v="1"/>
    <n v="0.05"/>
    <n v="47.680499999999995"/>
    <x v="0"/>
    <s v="Lunch"/>
    <s v="UPI"/>
    <s v="Single"/>
    <s v="OK"/>
  </r>
  <r>
    <s v="O00245"/>
    <s v="HUZZPQ"/>
    <n v="2"/>
    <n v="146.4"/>
    <x v="3"/>
    <n v="80.92"/>
    <d v="2025-07-31T00:00:00"/>
    <x v="1"/>
    <n v="0.05"/>
    <n v="278.16000000000003"/>
    <x v="0"/>
    <s v="Lunch"/>
    <s v="UPI"/>
    <s v="Single"/>
    <s v="OK"/>
  </r>
  <r>
    <s v="O00245"/>
    <s v="SHJ7XV"/>
    <n v="1"/>
    <n v="52.45"/>
    <x v="0"/>
    <n v="25.8"/>
    <d v="2025-07-31T00:00:00"/>
    <x v="1"/>
    <n v="0.05"/>
    <n v="49.827500000000001"/>
    <x v="0"/>
    <s v="Lunch"/>
    <s v="UPI"/>
    <s v="Single"/>
    <s v="OK"/>
  </r>
  <r>
    <s v="O00246"/>
    <s v="SCKW5N"/>
    <n v="3"/>
    <n v="70.540000000000006"/>
    <x v="0"/>
    <n v="35.81"/>
    <d v="2025-08-06T00:00:00"/>
    <x v="2"/>
    <n v="0.08"/>
    <n v="194.69040000000001"/>
    <x v="1"/>
    <s v="Lunch"/>
    <s v="Card"/>
    <s v="Single"/>
    <s v="OK"/>
  </r>
  <r>
    <s v="O00247"/>
    <s v="H3A3ZM"/>
    <n v="2"/>
    <n v="170.83"/>
    <x v="3"/>
    <n v="74.069999999999993"/>
    <d v="2025-07-10T00:00:00"/>
    <x v="2"/>
    <n v="7.0000000000000007E-2"/>
    <n v="317.74380000000002"/>
    <x v="0"/>
    <s v="Breakfast"/>
    <s v="Card"/>
    <s v="Single"/>
    <s v="HighDisc"/>
  </r>
  <r>
    <s v="O00247"/>
    <s v="HH1DNM"/>
    <n v="2"/>
    <n v="246.09"/>
    <x v="3"/>
    <n v="112.08"/>
    <d v="2025-07-10T00:00:00"/>
    <x v="2"/>
    <n v="7.0000000000000007E-2"/>
    <n v="457.72739999999999"/>
    <x v="0"/>
    <s v="Breakfast"/>
    <s v="Card"/>
    <s v="Single"/>
    <s v="HighDisc"/>
  </r>
  <r>
    <s v="O00248"/>
    <s v="SV30T9"/>
    <n v="1"/>
    <n v="39.950000000000003"/>
    <x v="0"/>
    <n v="15.51"/>
    <d v="2025-08-06T00:00:00"/>
    <x v="2"/>
    <n v="0.04"/>
    <n v="38.352000000000004"/>
    <x v="1"/>
    <s v="Breakfast"/>
    <s v="Cash"/>
    <s v="Single"/>
    <s v="OK"/>
  </r>
  <r>
    <s v="O00248"/>
    <s v="HH1DNM"/>
    <n v="1"/>
    <n v="246.09"/>
    <x v="3"/>
    <n v="112.08"/>
    <d v="2025-08-06T00:00:00"/>
    <x v="2"/>
    <n v="0.04"/>
    <n v="236.24639999999999"/>
    <x v="1"/>
    <s v="Breakfast"/>
    <s v="Cash"/>
    <s v="Single"/>
    <s v="OK"/>
  </r>
  <r>
    <s v="O00249"/>
    <s v="H3A3ZM"/>
    <n v="2"/>
    <n v="170.83"/>
    <x v="3"/>
    <n v="74.069999999999993"/>
    <d v="2025-08-24T00:00:00"/>
    <x v="1"/>
    <n v="0.05"/>
    <n v="324.577"/>
    <x v="1"/>
    <s v="Dinner"/>
    <s v="Cash"/>
    <s v="Single"/>
    <s v="OK"/>
  </r>
  <r>
    <s v="O00249"/>
    <s v="HH1DNM"/>
    <n v="1"/>
    <n v="246.09"/>
    <x v="3"/>
    <n v="112.08"/>
    <d v="2025-08-24T00:00:00"/>
    <x v="1"/>
    <n v="0.05"/>
    <n v="233.78549999999998"/>
    <x v="1"/>
    <s v="Dinner"/>
    <s v="Cash"/>
    <s v="Single"/>
    <s v="OK"/>
  </r>
  <r>
    <s v="O00249"/>
    <s v="DYTJXE"/>
    <n v="1"/>
    <n v="57.07"/>
    <x v="2"/>
    <n v="29.14"/>
    <d v="2025-08-24T00:00:00"/>
    <x v="1"/>
    <n v="0.05"/>
    <n v="54.216499999999996"/>
    <x v="1"/>
    <s v="Dinner"/>
    <s v="Cash"/>
    <s v="Single"/>
    <s v="OK"/>
  </r>
  <r>
    <s v="O00250"/>
    <s v="BXO6QJ"/>
    <n v="3"/>
    <n v="20.11"/>
    <x v="1"/>
    <n v="8"/>
    <d v="2025-08-04T00:00:00"/>
    <x v="0"/>
    <n v="0.04"/>
    <n v="57.916799999999995"/>
    <x v="1"/>
    <s v="Lunch"/>
    <s v="UPI"/>
    <s v="Combo"/>
    <s v="HighDisc"/>
  </r>
  <r>
    <s v="O00250"/>
    <s v="HXAJI0"/>
    <n v="2"/>
    <n v="227.61"/>
    <x v="3"/>
    <n v="96.22"/>
    <d v="2025-08-04T00:00:00"/>
    <x v="0"/>
    <n v="0.04"/>
    <n v="437.01120000000003"/>
    <x v="1"/>
    <s v="Lunch"/>
    <s v="UPI"/>
    <s v="Combo"/>
    <s v="HighDisc"/>
  </r>
  <r>
    <s v="O00250"/>
    <s v="DYTJXE"/>
    <n v="2"/>
    <n v="57.07"/>
    <x v="2"/>
    <n v="29.14"/>
    <d v="2025-08-04T00:00:00"/>
    <x v="0"/>
    <n v="0.04"/>
    <n v="109.5744"/>
    <x v="1"/>
    <s v="Lunch"/>
    <s v="UPI"/>
    <s v="Combo"/>
    <s v="HighDisc"/>
  </r>
  <r>
    <s v="O00250"/>
    <s v="HH1DNM"/>
    <n v="2"/>
    <n v="246.09"/>
    <x v="3"/>
    <n v="112.08"/>
    <d v="2025-08-04T00:00:00"/>
    <x v="0"/>
    <n v="0.04"/>
    <n v="472.49279999999999"/>
    <x v="1"/>
    <s v="Lunch"/>
    <s v="UPI"/>
    <s v="Combo"/>
    <s v="HighDisc"/>
  </r>
  <r>
    <s v="O00251"/>
    <s v="HXAJI0"/>
    <n v="3"/>
    <n v="227.61"/>
    <x v="3"/>
    <n v="96.22"/>
    <d v="2025-07-29T00:00:00"/>
    <x v="0"/>
    <n v="0.04"/>
    <n v="655.51679999999999"/>
    <x v="0"/>
    <s v="Breakfast"/>
    <s v="Card"/>
    <s v="Single"/>
    <s v="HighDisc"/>
  </r>
  <r>
    <s v="O00251"/>
    <s v="S5NQ4F"/>
    <n v="1"/>
    <n v="50.19"/>
    <x v="0"/>
    <n v="22.61"/>
    <d v="2025-07-29T00:00:00"/>
    <x v="0"/>
    <n v="0.04"/>
    <n v="48.182399999999994"/>
    <x v="0"/>
    <s v="Breakfast"/>
    <s v="Card"/>
    <s v="Single"/>
    <s v="HighDisc"/>
  </r>
  <r>
    <s v="O00251"/>
    <s v="HUZZPQ"/>
    <n v="2"/>
    <n v="146.4"/>
    <x v="3"/>
    <n v="80.92"/>
    <d v="2025-07-29T00:00:00"/>
    <x v="0"/>
    <n v="0.04"/>
    <n v="281.08800000000002"/>
    <x v="0"/>
    <s v="Breakfast"/>
    <s v="Card"/>
    <s v="Single"/>
    <s v="HighDisc"/>
  </r>
  <r>
    <s v="O00251"/>
    <s v="HDPBHS"/>
    <n v="2"/>
    <n v="256.91000000000003"/>
    <x v="3"/>
    <n v="121.24"/>
    <d v="2025-07-29T00:00:00"/>
    <x v="0"/>
    <n v="0.04"/>
    <n v="493.2672"/>
    <x v="0"/>
    <s v="Breakfast"/>
    <s v="Card"/>
    <s v="Single"/>
    <s v="HighDisc"/>
  </r>
  <r>
    <s v="O00252"/>
    <s v="SZBIKC"/>
    <n v="2"/>
    <n v="38.06"/>
    <x v="0"/>
    <n v="19.55"/>
    <d v="2025-08-26T00:00:00"/>
    <x v="0"/>
    <n v="0.09"/>
    <n v="69.269200000000012"/>
    <x v="1"/>
    <s v="Breakfast"/>
    <s v="Cash"/>
    <s v="Single"/>
    <s v="HighDisc"/>
  </r>
  <r>
    <s v="O00252"/>
    <s v="HDPBHS"/>
    <n v="1"/>
    <n v="256.91000000000003"/>
    <x v="3"/>
    <n v="121.24"/>
    <d v="2025-08-26T00:00:00"/>
    <x v="0"/>
    <n v="0.09"/>
    <n v="233.78810000000004"/>
    <x v="1"/>
    <s v="Breakfast"/>
    <s v="Cash"/>
    <s v="Single"/>
    <s v="HighDisc"/>
  </r>
  <r>
    <s v="O00252"/>
    <s v="HXAJI0"/>
    <n v="3"/>
    <n v="227.61"/>
    <x v="3"/>
    <n v="96.22"/>
    <d v="2025-08-26T00:00:00"/>
    <x v="0"/>
    <n v="0.09"/>
    <n v="621.37530000000004"/>
    <x v="1"/>
    <s v="Breakfast"/>
    <s v="Cash"/>
    <s v="Single"/>
    <s v="HighDisc"/>
  </r>
  <r>
    <s v="O00253"/>
    <s v="HXAJI0"/>
    <n v="1"/>
    <n v="227.61"/>
    <x v="3"/>
    <n v="96.22"/>
    <d v="2025-07-23T00:00:00"/>
    <x v="2"/>
    <n v="7.0000000000000007E-2"/>
    <n v="211.6773"/>
    <x v="0"/>
    <s v="Breakfast"/>
    <s v="UPI"/>
    <s v="Single"/>
    <s v="OK"/>
  </r>
  <r>
    <s v="O00253"/>
    <s v="SHJ7XV"/>
    <n v="1"/>
    <n v="52.45"/>
    <x v="0"/>
    <n v="25.8"/>
    <d v="2025-07-23T00:00:00"/>
    <x v="2"/>
    <n v="7.0000000000000007E-2"/>
    <n v="48.778500000000001"/>
    <x v="0"/>
    <s v="Breakfast"/>
    <s v="UPI"/>
    <s v="Single"/>
    <s v="OK"/>
  </r>
  <r>
    <s v="O00254"/>
    <s v="SCKW5N"/>
    <n v="2"/>
    <n v="70.540000000000006"/>
    <x v="0"/>
    <n v="35.81"/>
    <d v="2025-07-12T00:00:00"/>
    <x v="1"/>
    <n v="0.03"/>
    <n v="136.8476"/>
    <x v="0"/>
    <s v="Breakfast"/>
    <s v="Cash"/>
    <s v="Combo"/>
    <s v="OK"/>
  </r>
  <r>
    <s v="O00254"/>
    <s v="SZBIKC"/>
    <n v="2"/>
    <n v="38.06"/>
    <x v="0"/>
    <n v="19.55"/>
    <d v="2025-07-12T00:00:00"/>
    <x v="1"/>
    <n v="0.03"/>
    <n v="73.836399999999998"/>
    <x v="0"/>
    <s v="Breakfast"/>
    <s v="Cash"/>
    <s v="Combo"/>
    <s v="OK"/>
  </r>
  <r>
    <s v="O00254"/>
    <s v="BHL1C3"/>
    <n v="2"/>
    <n v="22.2"/>
    <x v="1"/>
    <n v="9.3800000000000008"/>
    <d v="2025-07-12T00:00:00"/>
    <x v="1"/>
    <n v="0.03"/>
    <n v="43.067999999999998"/>
    <x v="0"/>
    <s v="Breakfast"/>
    <s v="Cash"/>
    <s v="Combo"/>
    <s v="OK"/>
  </r>
  <r>
    <s v="O00254"/>
    <s v="HXAJI0"/>
    <n v="1"/>
    <n v="227.61"/>
    <x v="3"/>
    <n v="96.22"/>
    <d v="2025-07-12T00:00:00"/>
    <x v="1"/>
    <n v="0.03"/>
    <n v="220.7817"/>
    <x v="0"/>
    <s v="Breakfast"/>
    <s v="Cash"/>
    <s v="Combo"/>
    <s v="OK"/>
  </r>
  <r>
    <s v="O00255"/>
    <s v="SV30T9"/>
    <n v="2"/>
    <n v="39.950000000000003"/>
    <x v="0"/>
    <n v="15.51"/>
    <d v="2025-08-24T00:00:00"/>
    <x v="0"/>
    <n v="0.1"/>
    <n v="71.910000000000011"/>
    <x v="1"/>
    <s v="Dinner"/>
    <s v="UPI"/>
    <s v="Single"/>
    <s v="HighDisc"/>
  </r>
  <r>
    <s v="O00255"/>
    <s v="HXAJI0"/>
    <n v="1"/>
    <n v="227.61"/>
    <x v="3"/>
    <n v="96.22"/>
    <d v="2025-08-24T00:00:00"/>
    <x v="0"/>
    <n v="0.1"/>
    <n v="204.84900000000002"/>
    <x v="1"/>
    <s v="Dinner"/>
    <s v="UPI"/>
    <s v="Single"/>
    <s v="HighDisc"/>
  </r>
  <r>
    <s v="O00255"/>
    <s v="HDPBHS"/>
    <n v="1"/>
    <n v="256.91000000000003"/>
    <x v="3"/>
    <n v="121.24"/>
    <d v="2025-08-24T00:00:00"/>
    <x v="0"/>
    <n v="0.1"/>
    <n v="231.21900000000002"/>
    <x v="1"/>
    <s v="Dinner"/>
    <s v="UPI"/>
    <s v="Single"/>
    <s v="HighDisc"/>
  </r>
  <r>
    <s v="O00256"/>
    <s v="BHL1C3"/>
    <n v="1"/>
    <n v="22.2"/>
    <x v="1"/>
    <n v="9.3800000000000008"/>
    <d v="2025-07-03T00:00:00"/>
    <x v="0"/>
    <n v="7.0000000000000007E-2"/>
    <n v="20.645999999999997"/>
    <x v="0"/>
    <s v="Dinner"/>
    <s v="UPI"/>
    <s v="Combo"/>
    <s v="OK"/>
  </r>
  <r>
    <s v="O00256"/>
    <s v="SHJ7XV"/>
    <n v="1"/>
    <n v="52.45"/>
    <x v="0"/>
    <n v="25.8"/>
    <d v="2025-07-03T00:00:00"/>
    <x v="0"/>
    <n v="7.0000000000000007E-2"/>
    <n v="48.778500000000001"/>
    <x v="0"/>
    <s v="Dinner"/>
    <s v="UPI"/>
    <s v="Combo"/>
    <s v="OK"/>
  </r>
  <r>
    <s v="O00256"/>
    <s v="HUZZPQ"/>
    <n v="2"/>
    <n v="146.4"/>
    <x v="3"/>
    <n v="80.92"/>
    <d v="2025-07-03T00:00:00"/>
    <x v="0"/>
    <n v="7.0000000000000007E-2"/>
    <n v="272.30399999999997"/>
    <x v="0"/>
    <s v="Dinner"/>
    <s v="UPI"/>
    <s v="Combo"/>
    <s v="OK"/>
  </r>
  <r>
    <s v="O00257"/>
    <s v="DYTJXE"/>
    <n v="1"/>
    <n v="57.07"/>
    <x v="2"/>
    <n v="29.14"/>
    <d v="2025-07-04T00:00:00"/>
    <x v="2"/>
    <n v="0.09"/>
    <n v="51.933700000000002"/>
    <x v="0"/>
    <s v="Breakfast"/>
    <s v="UPI"/>
    <s v="Single"/>
    <s v="OK"/>
  </r>
  <r>
    <s v="O00257"/>
    <s v="S5NQ4F"/>
    <n v="1"/>
    <n v="50.19"/>
    <x v="0"/>
    <n v="22.61"/>
    <d v="2025-07-04T00:00:00"/>
    <x v="2"/>
    <n v="0.09"/>
    <n v="45.672899999999998"/>
    <x v="0"/>
    <s v="Breakfast"/>
    <s v="UPI"/>
    <s v="Single"/>
    <s v="OK"/>
  </r>
  <r>
    <s v="O00257"/>
    <s v="BHL1C3"/>
    <n v="3"/>
    <n v="22.2"/>
    <x v="1"/>
    <n v="9.3800000000000008"/>
    <d v="2025-07-04T00:00:00"/>
    <x v="2"/>
    <n v="0.09"/>
    <n v="60.605999999999995"/>
    <x v="0"/>
    <s v="Breakfast"/>
    <s v="UPI"/>
    <s v="Single"/>
    <s v="OK"/>
  </r>
  <r>
    <s v="O00258"/>
    <s v="BOC6UZ"/>
    <n v="2"/>
    <n v="32.979999999999997"/>
    <x v="1"/>
    <n v="11.84"/>
    <d v="2025-08-03T00:00:00"/>
    <x v="1"/>
    <n v="0.09"/>
    <n v="60.023599999999995"/>
    <x v="1"/>
    <s v="Breakfast"/>
    <s v="Cash"/>
    <s v="Combo"/>
    <s v="HighDisc"/>
  </r>
  <r>
    <s v="O00258"/>
    <s v="SCKW5N"/>
    <n v="3"/>
    <n v="70.540000000000006"/>
    <x v="0"/>
    <n v="35.81"/>
    <d v="2025-08-03T00:00:00"/>
    <x v="1"/>
    <n v="0.09"/>
    <n v="192.57420000000002"/>
    <x v="1"/>
    <s v="Breakfast"/>
    <s v="Cash"/>
    <s v="Combo"/>
    <s v="HighDisc"/>
  </r>
  <r>
    <s v="O00258"/>
    <s v="B0T0PV"/>
    <n v="1"/>
    <n v="28.43"/>
    <x v="1"/>
    <n v="13.89"/>
    <d v="2025-08-03T00:00:00"/>
    <x v="1"/>
    <n v="0.09"/>
    <n v="25.871300000000002"/>
    <x v="1"/>
    <s v="Breakfast"/>
    <s v="Cash"/>
    <s v="Combo"/>
    <s v="HighDisc"/>
  </r>
  <r>
    <s v="O00258"/>
    <s v="HUZZPQ"/>
    <n v="2"/>
    <n v="146.4"/>
    <x v="3"/>
    <n v="80.92"/>
    <d v="2025-08-03T00:00:00"/>
    <x v="1"/>
    <n v="0.09"/>
    <n v="266.44800000000004"/>
    <x v="1"/>
    <s v="Breakfast"/>
    <s v="Cash"/>
    <s v="Combo"/>
    <s v="HighDisc"/>
  </r>
  <r>
    <s v="O00259"/>
    <s v="HH1DNM"/>
    <n v="1"/>
    <n v="246.09"/>
    <x v="3"/>
    <n v="112.08"/>
    <d v="2025-08-25T00:00:00"/>
    <x v="0"/>
    <n v="0.03"/>
    <n v="238.7073"/>
    <x v="1"/>
    <s v="Breakfast"/>
    <s v="Cash"/>
    <s v="Single"/>
    <s v="OK"/>
  </r>
  <r>
    <s v="O00259"/>
    <s v="SCKW5N"/>
    <n v="2"/>
    <n v="70.540000000000006"/>
    <x v="0"/>
    <n v="35.81"/>
    <d v="2025-08-25T00:00:00"/>
    <x v="0"/>
    <n v="0.03"/>
    <n v="136.8476"/>
    <x v="1"/>
    <s v="Breakfast"/>
    <s v="Cash"/>
    <s v="Single"/>
    <s v="OK"/>
  </r>
  <r>
    <s v="O00260"/>
    <s v="HXAJI0"/>
    <n v="1"/>
    <n v="227.61"/>
    <x v="3"/>
    <n v="96.22"/>
    <d v="2025-07-04T00:00:00"/>
    <x v="2"/>
    <n v="0.04"/>
    <n v="218.50560000000002"/>
    <x v="0"/>
    <s v="Breakfast"/>
    <s v="UPI"/>
    <s v="Single"/>
    <s v="OK"/>
  </r>
  <r>
    <s v="O00260"/>
    <s v="HUZZPQ"/>
    <n v="2"/>
    <n v="146.4"/>
    <x v="3"/>
    <n v="80.92"/>
    <d v="2025-07-04T00:00:00"/>
    <x v="2"/>
    <n v="0.04"/>
    <n v="281.08800000000002"/>
    <x v="0"/>
    <s v="Breakfast"/>
    <s v="UPI"/>
    <s v="Single"/>
    <s v="OK"/>
  </r>
  <r>
    <s v="O00261"/>
    <s v="B0T0PV"/>
    <n v="2"/>
    <n v="28.43"/>
    <x v="1"/>
    <n v="13.89"/>
    <d v="2025-08-06T00:00:00"/>
    <x v="1"/>
    <n v="0.09"/>
    <n v="51.742600000000003"/>
    <x v="1"/>
    <s v="Dinner"/>
    <s v="Card"/>
    <s v="Combo"/>
    <s v="OK"/>
  </r>
  <r>
    <s v="O00261"/>
    <s v="SHJ7XV"/>
    <n v="1"/>
    <n v="52.45"/>
    <x v="0"/>
    <n v="25.8"/>
    <d v="2025-08-06T00:00:00"/>
    <x v="1"/>
    <n v="0.09"/>
    <n v="47.729500000000002"/>
    <x v="1"/>
    <s v="Dinner"/>
    <s v="Card"/>
    <s v="Combo"/>
    <s v="OK"/>
  </r>
  <r>
    <s v="O00261"/>
    <s v="HUZZPQ"/>
    <n v="1"/>
    <n v="146.4"/>
    <x v="3"/>
    <n v="80.92"/>
    <d v="2025-08-06T00:00:00"/>
    <x v="1"/>
    <n v="0.09"/>
    <n v="133.22400000000002"/>
    <x v="1"/>
    <s v="Dinner"/>
    <s v="Card"/>
    <s v="Combo"/>
    <s v="OK"/>
  </r>
  <r>
    <s v="O00262"/>
    <s v="DH9SDB"/>
    <n v="2"/>
    <n v="76.55"/>
    <x v="2"/>
    <n v="38.229999999999997"/>
    <d v="2025-08-06T00:00:00"/>
    <x v="1"/>
    <n v="0.08"/>
    <n v="140.852"/>
    <x v="1"/>
    <s v="Breakfast"/>
    <s v="Card"/>
    <s v="Single"/>
    <s v="HighDisc"/>
  </r>
  <r>
    <s v="O00262"/>
    <s v="DFFYVN"/>
    <n v="1"/>
    <n v="54.2"/>
    <x v="2"/>
    <n v="21.95"/>
    <d v="2025-08-06T00:00:00"/>
    <x v="1"/>
    <n v="0.08"/>
    <n v="49.864000000000004"/>
    <x v="1"/>
    <s v="Breakfast"/>
    <s v="Card"/>
    <s v="Single"/>
    <s v="HighDisc"/>
  </r>
  <r>
    <s v="O00262"/>
    <s v="HDPBHS"/>
    <n v="2"/>
    <n v="256.91000000000003"/>
    <x v="3"/>
    <n v="121.24"/>
    <d v="2025-08-06T00:00:00"/>
    <x v="1"/>
    <n v="0.08"/>
    <n v="472.71440000000007"/>
    <x v="1"/>
    <s v="Breakfast"/>
    <s v="Card"/>
    <s v="Single"/>
    <s v="HighDisc"/>
  </r>
  <r>
    <s v="O00263"/>
    <s v="HDPBHS"/>
    <n v="1"/>
    <n v="256.91000000000003"/>
    <x v="3"/>
    <n v="121.24"/>
    <d v="2025-07-06T00:00:00"/>
    <x v="2"/>
    <n v="0.06"/>
    <n v="241.49540000000002"/>
    <x v="0"/>
    <s v="Breakfast"/>
    <s v="UPI"/>
    <s v="Single"/>
    <s v="OK"/>
  </r>
  <r>
    <s v="O00263"/>
    <s v="DH9SDB"/>
    <n v="2"/>
    <n v="76.55"/>
    <x v="2"/>
    <n v="38.229999999999997"/>
    <d v="2025-07-06T00:00:00"/>
    <x v="2"/>
    <n v="0.06"/>
    <n v="143.91399999999999"/>
    <x v="0"/>
    <s v="Breakfast"/>
    <s v="UPI"/>
    <s v="Single"/>
    <s v="OK"/>
  </r>
  <r>
    <s v="O00264"/>
    <s v="B0T0PV"/>
    <n v="1"/>
    <n v="28.43"/>
    <x v="1"/>
    <n v="13.89"/>
    <d v="2025-07-09T00:00:00"/>
    <x v="1"/>
    <n v="0.06"/>
    <n v="26.7242"/>
    <x v="0"/>
    <s v="Breakfast"/>
    <s v="UPI"/>
    <s v="Single"/>
    <s v="OK"/>
  </r>
  <r>
    <s v="O00264"/>
    <s v="DH9SDB"/>
    <n v="2"/>
    <n v="76.55"/>
    <x v="2"/>
    <n v="38.229999999999997"/>
    <d v="2025-07-09T00:00:00"/>
    <x v="1"/>
    <n v="0.06"/>
    <n v="143.91399999999999"/>
    <x v="0"/>
    <s v="Breakfast"/>
    <s v="UPI"/>
    <s v="Single"/>
    <s v="OK"/>
  </r>
  <r>
    <s v="O00264"/>
    <s v="D9T84A"/>
    <n v="3"/>
    <n v="116.8"/>
    <x v="2"/>
    <n v="48.97"/>
    <d v="2025-07-09T00:00:00"/>
    <x v="1"/>
    <n v="0.06"/>
    <n v="329.37599999999998"/>
    <x v="0"/>
    <s v="Breakfast"/>
    <s v="UPI"/>
    <s v="Single"/>
    <s v="OK"/>
  </r>
  <r>
    <s v="O00265"/>
    <s v="BTIQJ7"/>
    <n v="2"/>
    <n v="30.34"/>
    <x v="1"/>
    <n v="14.18"/>
    <d v="2025-08-17T00:00:00"/>
    <x v="0"/>
    <n v="0.11"/>
    <n v="54.005200000000002"/>
    <x v="1"/>
    <s v="Breakfast"/>
    <s v="Card"/>
    <s v="Combo"/>
    <s v="HighDisc"/>
  </r>
  <r>
    <s v="O00265"/>
    <s v="BXO6QJ"/>
    <n v="2"/>
    <n v="20.11"/>
    <x v="1"/>
    <n v="8"/>
    <d v="2025-08-17T00:00:00"/>
    <x v="0"/>
    <n v="0.11"/>
    <n v="35.7958"/>
    <x v="1"/>
    <s v="Breakfast"/>
    <s v="Card"/>
    <s v="Combo"/>
    <s v="HighDisc"/>
  </r>
  <r>
    <s v="O00265"/>
    <s v="HH1DNM"/>
    <n v="2"/>
    <n v="246.09"/>
    <x v="3"/>
    <n v="112.08"/>
    <d v="2025-08-17T00:00:00"/>
    <x v="0"/>
    <n v="0.11"/>
    <n v="438.04020000000003"/>
    <x v="1"/>
    <s v="Breakfast"/>
    <s v="Card"/>
    <s v="Combo"/>
    <s v="HighDisc"/>
  </r>
  <r>
    <s v="O00266"/>
    <s v="D9T84A"/>
    <n v="2"/>
    <n v="116.8"/>
    <x v="2"/>
    <n v="48.97"/>
    <d v="2025-07-22T00:00:00"/>
    <x v="0"/>
    <n v="0.04"/>
    <n v="224.256"/>
    <x v="0"/>
    <s v="Breakfast"/>
    <s v="Card"/>
    <s v="Single"/>
    <s v="OK"/>
  </r>
  <r>
    <s v="O00266"/>
    <s v="HXAJI0"/>
    <n v="1"/>
    <n v="227.61"/>
    <x v="3"/>
    <n v="96.22"/>
    <d v="2025-07-22T00:00:00"/>
    <x v="0"/>
    <n v="0.04"/>
    <n v="218.50560000000002"/>
    <x v="0"/>
    <s v="Breakfast"/>
    <s v="Card"/>
    <s v="Single"/>
    <s v="OK"/>
  </r>
  <r>
    <s v="O00267"/>
    <s v="HXAJI0"/>
    <n v="1"/>
    <n v="227.61"/>
    <x v="3"/>
    <n v="96.22"/>
    <d v="2025-07-12T00:00:00"/>
    <x v="1"/>
    <n v="0.08"/>
    <n v="209.40120000000002"/>
    <x v="0"/>
    <s v="Breakfast"/>
    <s v="UPI"/>
    <s v="Combo"/>
    <s v="HighDisc"/>
  </r>
  <r>
    <s v="O00267"/>
    <s v="HH1DNM"/>
    <n v="1"/>
    <n v="246.09"/>
    <x v="3"/>
    <n v="112.08"/>
    <d v="2025-07-12T00:00:00"/>
    <x v="1"/>
    <n v="0.08"/>
    <n v="226.40280000000001"/>
    <x v="0"/>
    <s v="Breakfast"/>
    <s v="UPI"/>
    <s v="Combo"/>
    <s v="HighDisc"/>
  </r>
  <r>
    <s v="O00267"/>
    <s v="BXO6QJ"/>
    <n v="1"/>
    <n v="20.11"/>
    <x v="1"/>
    <n v="8"/>
    <d v="2025-07-12T00:00:00"/>
    <x v="1"/>
    <n v="0.08"/>
    <n v="18.501200000000001"/>
    <x v="0"/>
    <s v="Breakfast"/>
    <s v="UPI"/>
    <s v="Combo"/>
    <s v="HighDisc"/>
  </r>
  <r>
    <s v="O00267"/>
    <s v="B0T0PV"/>
    <n v="3"/>
    <n v="28.43"/>
    <x v="1"/>
    <n v="13.89"/>
    <d v="2025-07-12T00:00:00"/>
    <x v="1"/>
    <n v="0.08"/>
    <n v="78.466799999999992"/>
    <x v="0"/>
    <s v="Breakfast"/>
    <s v="UPI"/>
    <s v="Combo"/>
    <s v="HighDisc"/>
  </r>
  <r>
    <s v="O00268"/>
    <s v="S5NQ4F"/>
    <n v="1"/>
    <n v="50.19"/>
    <x v="0"/>
    <n v="22.61"/>
    <d v="2025-08-21T00:00:00"/>
    <x v="0"/>
    <n v="0.05"/>
    <n v="47.680499999999995"/>
    <x v="1"/>
    <s v="Breakfast"/>
    <s v="Cash"/>
    <s v="Single"/>
    <s v="HighDisc"/>
  </r>
  <r>
    <s v="O00268"/>
    <s v="HDPBHS"/>
    <n v="3"/>
    <n v="256.91000000000003"/>
    <x v="3"/>
    <n v="121.24"/>
    <d v="2025-08-21T00:00:00"/>
    <x v="0"/>
    <n v="0.05"/>
    <n v="732.19349999999997"/>
    <x v="1"/>
    <s v="Breakfast"/>
    <s v="Cash"/>
    <s v="Single"/>
    <s v="HighDisc"/>
  </r>
  <r>
    <s v="O00268"/>
    <s v="DYTJXE"/>
    <n v="3"/>
    <n v="57.07"/>
    <x v="2"/>
    <n v="29.14"/>
    <d v="2025-08-21T00:00:00"/>
    <x v="0"/>
    <n v="0.05"/>
    <n v="162.64949999999999"/>
    <x v="1"/>
    <s v="Breakfast"/>
    <s v="Cash"/>
    <s v="Single"/>
    <s v="HighDisc"/>
  </r>
  <r>
    <s v="O00269"/>
    <s v="HDPBHS"/>
    <n v="3"/>
    <n v="256.91000000000003"/>
    <x v="3"/>
    <n v="121.24"/>
    <d v="2025-08-08T00:00:00"/>
    <x v="0"/>
    <n v="0.05"/>
    <n v="732.19349999999997"/>
    <x v="1"/>
    <s v="Lunch"/>
    <s v="Cash"/>
    <s v="Combo"/>
    <s v="HighDisc"/>
  </r>
  <r>
    <s v="O00269"/>
    <s v="B0T0PV"/>
    <n v="1"/>
    <n v="28.43"/>
    <x v="1"/>
    <n v="13.89"/>
    <d v="2025-08-08T00:00:00"/>
    <x v="0"/>
    <n v="0.05"/>
    <n v="27.008499999999998"/>
    <x v="1"/>
    <s v="Lunch"/>
    <s v="Cash"/>
    <s v="Combo"/>
    <s v="HighDisc"/>
  </r>
  <r>
    <s v="O00269"/>
    <s v="HXAJI0"/>
    <n v="1"/>
    <n v="227.61"/>
    <x v="3"/>
    <n v="96.22"/>
    <d v="2025-08-08T00:00:00"/>
    <x v="0"/>
    <n v="0.05"/>
    <n v="216.2295"/>
    <x v="1"/>
    <s v="Lunch"/>
    <s v="Cash"/>
    <s v="Combo"/>
    <s v="HighDisc"/>
  </r>
  <r>
    <s v="O00269"/>
    <s v="SCKW5N"/>
    <n v="2"/>
    <n v="70.540000000000006"/>
    <x v="0"/>
    <n v="35.81"/>
    <d v="2025-08-08T00:00:00"/>
    <x v="0"/>
    <n v="0.05"/>
    <n v="134.02600000000001"/>
    <x v="1"/>
    <s v="Lunch"/>
    <s v="Cash"/>
    <s v="Combo"/>
    <s v="HighDisc"/>
  </r>
  <r>
    <s v="O00270"/>
    <s v="HH1DNM"/>
    <n v="3"/>
    <n v="246.09"/>
    <x v="3"/>
    <n v="112.08"/>
    <d v="2025-07-30T00:00:00"/>
    <x v="2"/>
    <n v="0.1"/>
    <n v="664.44299999999998"/>
    <x v="0"/>
    <s v="Lunch"/>
    <s v="Card"/>
    <s v="Single"/>
    <s v="HighDisc"/>
  </r>
  <r>
    <s v="O00270"/>
    <s v="HDPBHS"/>
    <n v="3"/>
    <n v="256.91000000000003"/>
    <x v="3"/>
    <n v="121.24"/>
    <d v="2025-07-30T00:00:00"/>
    <x v="2"/>
    <n v="0.1"/>
    <n v="693.65700000000004"/>
    <x v="0"/>
    <s v="Lunch"/>
    <s v="Card"/>
    <s v="Single"/>
    <s v="HighDisc"/>
  </r>
  <r>
    <s v="O00270"/>
    <s v="SCKW5N"/>
    <n v="2"/>
    <n v="70.540000000000006"/>
    <x v="0"/>
    <n v="35.81"/>
    <d v="2025-07-30T00:00:00"/>
    <x v="2"/>
    <n v="0.1"/>
    <n v="126.97200000000001"/>
    <x v="0"/>
    <s v="Lunch"/>
    <s v="Card"/>
    <s v="Single"/>
    <s v="HighDisc"/>
  </r>
  <r>
    <s v="O00271"/>
    <s v="BHL1C3"/>
    <n v="1"/>
    <n v="22.2"/>
    <x v="1"/>
    <n v="9.3800000000000008"/>
    <d v="2025-08-02T00:00:00"/>
    <x v="2"/>
    <n v="0.09"/>
    <n v="20.202000000000002"/>
    <x v="1"/>
    <s v="Breakfast"/>
    <s v="Card"/>
    <s v="Single"/>
    <s v="OK"/>
  </r>
  <r>
    <s v="O00271"/>
    <s v="DH9SDB"/>
    <n v="1"/>
    <n v="76.55"/>
    <x v="2"/>
    <n v="38.229999999999997"/>
    <d v="2025-08-02T00:00:00"/>
    <x v="2"/>
    <n v="0.09"/>
    <n v="69.660499999999999"/>
    <x v="1"/>
    <s v="Breakfast"/>
    <s v="Card"/>
    <s v="Single"/>
    <s v="OK"/>
  </r>
  <r>
    <s v="O00271"/>
    <s v="DFFYVN"/>
    <n v="1"/>
    <n v="54.2"/>
    <x v="2"/>
    <n v="21.95"/>
    <d v="2025-08-02T00:00:00"/>
    <x v="2"/>
    <n v="0.09"/>
    <n v="49.322000000000003"/>
    <x v="1"/>
    <s v="Breakfast"/>
    <s v="Card"/>
    <s v="Single"/>
    <s v="OK"/>
  </r>
  <r>
    <s v="O00272"/>
    <s v="HUZZPQ"/>
    <n v="1"/>
    <n v="146.4"/>
    <x v="3"/>
    <n v="80.92"/>
    <d v="2025-07-18T00:00:00"/>
    <x v="2"/>
    <n v="0.09"/>
    <n v="133.22400000000002"/>
    <x v="0"/>
    <s v="Breakfast"/>
    <s v="UPI"/>
    <s v="Combo"/>
    <s v="OK"/>
  </r>
  <r>
    <s v="O00272"/>
    <s v="BHL1C3"/>
    <n v="3"/>
    <n v="22.2"/>
    <x v="1"/>
    <n v="9.3800000000000008"/>
    <d v="2025-07-18T00:00:00"/>
    <x v="2"/>
    <n v="0.09"/>
    <n v="60.605999999999995"/>
    <x v="0"/>
    <s v="Breakfast"/>
    <s v="UPI"/>
    <s v="Combo"/>
    <s v="OK"/>
  </r>
  <r>
    <s v="O00272"/>
    <s v="SZBIKC"/>
    <n v="1"/>
    <n v="38.06"/>
    <x v="0"/>
    <n v="19.55"/>
    <d v="2025-07-18T00:00:00"/>
    <x v="2"/>
    <n v="0.09"/>
    <n v="34.634600000000006"/>
    <x v="0"/>
    <s v="Breakfast"/>
    <s v="UPI"/>
    <s v="Combo"/>
    <s v="OK"/>
  </r>
  <r>
    <s v="O00273"/>
    <s v="D9T84A"/>
    <n v="3"/>
    <n v="116.8"/>
    <x v="2"/>
    <n v="48.97"/>
    <d v="2025-08-18T00:00:00"/>
    <x v="0"/>
    <n v="0.11"/>
    <n v="311.85599999999999"/>
    <x v="1"/>
    <s v="Dinner"/>
    <s v="Card"/>
    <s v="Single"/>
    <s v="OK"/>
  </r>
  <r>
    <s v="O00274"/>
    <s v="SZBIKC"/>
    <n v="1"/>
    <n v="38.06"/>
    <x v="0"/>
    <n v="19.55"/>
    <d v="2025-08-08T00:00:00"/>
    <x v="0"/>
    <n v="0.06"/>
    <n v="35.776400000000002"/>
    <x v="1"/>
    <s v="Dinner"/>
    <s v="Card"/>
    <s v="Combo"/>
    <s v="HighDisc"/>
  </r>
  <r>
    <s v="O00274"/>
    <s v="BHL1C3"/>
    <n v="1"/>
    <n v="22.2"/>
    <x v="1"/>
    <n v="9.3800000000000008"/>
    <d v="2025-08-08T00:00:00"/>
    <x v="0"/>
    <n v="0.06"/>
    <n v="20.867999999999999"/>
    <x v="1"/>
    <s v="Dinner"/>
    <s v="Card"/>
    <s v="Combo"/>
    <s v="HighDisc"/>
  </r>
  <r>
    <s v="O00274"/>
    <s v="S5NQ4F"/>
    <n v="2"/>
    <n v="50.19"/>
    <x v="0"/>
    <n v="22.61"/>
    <d v="2025-08-08T00:00:00"/>
    <x v="0"/>
    <n v="0.06"/>
    <n v="94.357199999999992"/>
    <x v="1"/>
    <s v="Dinner"/>
    <s v="Card"/>
    <s v="Combo"/>
    <s v="HighDisc"/>
  </r>
  <r>
    <s v="O00274"/>
    <s v="HDPBHS"/>
    <n v="2"/>
    <n v="256.91000000000003"/>
    <x v="3"/>
    <n v="121.24"/>
    <d v="2025-08-08T00:00:00"/>
    <x v="0"/>
    <n v="0.06"/>
    <n v="482.99080000000004"/>
    <x v="1"/>
    <s v="Dinner"/>
    <s v="Card"/>
    <s v="Combo"/>
    <s v="HighDisc"/>
  </r>
  <r>
    <s v="O00275"/>
    <s v="BTIQJ7"/>
    <n v="2"/>
    <n v="30.34"/>
    <x v="1"/>
    <n v="14.18"/>
    <d v="2025-08-14T00:00:00"/>
    <x v="2"/>
    <n v="0.09"/>
    <n v="55.218800000000002"/>
    <x v="1"/>
    <s v="Dinner"/>
    <s v="UPI"/>
    <s v="Combo"/>
    <s v="HighDisc"/>
  </r>
  <r>
    <s v="O00275"/>
    <s v="H3A3ZM"/>
    <n v="2"/>
    <n v="170.83"/>
    <x v="3"/>
    <n v="74.069999999999993"/>
    <d v="2025-08-14T00:00:00"/>
    <x v="2"/>
    <n v="0.09"/>
    <n v="310.91060000000004"/>
    <x v="1"/>
    <s v="Dinner"/>
    <s v="UPI"/>
    <s v="Combo"/>
    <s v="HighDisc"/>
  </r>
  <r>
    <s v="O00275"/>
    <s v="D9T84A"/>
    <n v="3"/>
    <n v="116.8"/>
    <x v="2"/>
    <n v="48.97"/>
    <d v="2025-08-14T00:00:00"/>
    <x v="2"/>
    <n v="0.09"/>
    <n v="318.86399999999998"/>
    <x v="1"/>
    <s v="Dinner"/>
    <s v="UPI"/>
    <s v="Combo"/>
    <s v="HighDisc"/>
  </r>
  <r>
    <s v="O00275"/>
    <s v="S5NQ4F"/>
    <n v="3"/>
    <n v="50.19"/>
    <x v="0"/>
    <n v="22.61"/>
    <d v="2025-08-14T00:00:00"/>
    <x v="2"/>
    <n v="0.09"/>
    <n v="137.0187"/>
    <x v="1"/>
    <s v="Dinner"/>
    <s v="UPI"/>
    <s v="Combo"/>
    <s v="HighDisc"/>
  </r>
  <r>
    <s v="O00276"/>
    <s v="SZBIKC"/>
    <n v="1"/>
    <n v="38.06"/>
    <x v="0"/>
    <n v="19.55"/>
    <d v="2025-08-25T00:00:00"/>
    <x v="1"/>
    <n v="0.05"/>
    <n v="36.157000000000004"/>
    <x v="1"/>
    <s v="Dinner"/>
    <s v="UPI"/>
    <s v="Single"/>
    <s v="OK"/>
  </r>
  <r>
    <s v="O00276"/>
    <s v="BXO6QJ"/>
    <n v="2"/>
    <n v="20.11"/>
    <x v="1"/>
    <n v="8"/>
    <d v="2025-08-25T00:00:00"/>
    <x v="1"/>
    <n v="0.05"/>
    <n v="38.208999999999996"/>
    <x v="1"/>
    <s v="Dinner"/>
    <s v="UPI"/>
    <s v="Single"/>
    <s v="OK"/>
  </r>
  <r>
    <s v="O00276"/>
    <s v="D9T84A"/>
    <n v="3"/>
    <n v="116.8"/>
    <x v="2"/>
    <n v="48.97"/>
    <d v="2025-08-25T00:00:00"/>
    <x v="1"/>
    <n v="0.05"/>
    <n v="332.87999999999994"/>
    <x v="1"/>
    <s v="Dinner"/>
    <s v="UPI"/>
    <s v="Single"/>
    <s v="OK"/>
  </r>
  <r>
    <s v="O00277"/>
    <s v="SZBIKC"/>
    <n v="1"/>
    <n v="38.06"/>
    <x v="0"/>
    <n v="19.55"/>
    <d v="2025-07-29T00:00:00"/>
    <x v="2"/>
    <n v="7.0000000000000007E-2"/>
    <n v="35.395800000000001"/>
    <x v="0"/>
    <s v="Breakfast"/>
    <s v="Cash"/>
    <s v="Single"/>
    <s v="OK"/>
  </r>
  <r>
    <s v="O00277"/>
    <s v="SV30T9"/>
    <n v="1"/>
    <n v="39.950000000000003"/>
    <x v="0"/>
    <n v="15.51"/>
    <d v="2025-07-29T00:00:00"/>
    <x v="2"/>
    <n v="7.0000000000000007E-2"/>
    <n v="37.153500000000001"/>
    <x v="0"/>
    <s v="Breakfast"/>
    <s v="Cash"/>
    <s v="Single"/>
    <s v="OK"/>
  </r>
  <r>
    <s v="O00278"/>
    <s v="H3A3ZM"/>
    <n v="1"/>
    <n v="170.83"/>
    <x v="3"/>
    <n v="74.069999999999993"/>
    <d v="2025-07-17T00:00:00"/>
    <x v="0"/>
    <n v="0.05"/>
    <n v="162.2885"/>
    <x v="0"/>
    <s v="Dinner"/>
    <s v="UPI"/>
    <s v="Combo"/>
    <s v="OK"/>
  </r>
  <r>
    <s v="O00278"/>
    <s v="BTIQJ7"/>
    <n v="1"/>
    <n v="30.34"/>
    <x v="1"/>
    <n v="14.18"/>
    <d v="2025-07-17T00:00:00"/>
    <x v="0"/>
    <n v="0.05"/>
    <n v="28.822999999999997"/>
    <x v="0"/>
    <s v="Dinner"/>
    <s v="UPI"/>
    <s v="Combo"/>
    <s v="OK"/>
  </r>
  <r>
    <s v="O00278"/>
    <s v="D9T84A"/>
    <n v="2"/>
    <n v="116.8"/>
    <x v="2"/>
    <n v="48.97"/>
    <d v="2025-07-17T00:00:00"/>
    <x v="0"/>
    <n v="0.05"/>
    <n v="221.92"/>
    <x v="0"/>
    <s v="Dinner"/>
    <s v="UPI"/>
    <s v="Combo"/>
    <s v="OK"/>
  </r>
  <r>
    <s v="O00279"/>
    <s v="BTIQJ7"/>
    <n v="1"/>
    <n v="30.34"/>
    <x v="1"/>
    <n v="14.18"/>
    <d v="2025-07-09T00:00:00"/>
    <x v="1"/>
    <n v="0.06"/>
    <n v="28.519599999999997"/>
    <x v="0"/>
    <s v="Dinner"/>
    <s v="Cash"/>
    <s v="Single"/>
    <s v="OK"/>
  </r>
  <r>
    <s v="O00280"/>
    <s v="B0T0PV"/>
    <n v="1"/>
    <n v="28.43"/>
    <x v="1"/>
    <n v="13.89"/>
    <d v="2025-08-27T00:00:00"/>
    <x v="1"/>
    <n v="0.08"/>
    <n v="26.1556"/>
    <x v="1"/>
    <s v="Breakfast"/>
    <s v="Cash"/>
    <s v="Combo"/>
    <s v="OK"/>
  </r>
  <r>
    <s v="O00280"/>
    <s v="BTIQJ7"/>
    <n v="3"/>
    <n v="30.34"/>
    <x v="1"/>
    <n v="14.18"/>
    <d v="2025-08-27T00:00:00"/>
    <x v="1"/>
    <n v="0.08"/>
    <n v="83.738399999999999"/>
    <x v="1"/>
    <s v="Breakfast"/>
    <s v="Cash"/>
    <s v="Combo"/>
    <s v="OK"/>
  </r>
  <r>
    <s v="O00280"/>
    <s v="H3A3ZM"/>
    <n v="1"/>
    <n v="170.83"/>
    <x v="3"/>
    <n v="74.069999999999993"/>
    <d v="2025-08-27T00:00:00"/>
    <x v="1"/>
    <n v="0.08"/>
    <n v="157.16360000000003"/>
    <x v="1"/>
    <s v="Breakfast"/>
    <s v="Cash"/>
    <s v="Combo"/>
    <s v="OK"/>
  </r>
  <r>
    <s v="O00281"/>
    <s v="BTIQJ7"/>
    <n v="1"/>
    <n v="30.34"/>
    <x v="1"/>
    <n v="14.18"/>
    <d v="2025-07-31T00:00:00"/>
    <x v="0"/>
    <n v="0.03"/>
    <n v="29.4298"/>
    <x v="0"/>
    <s v="Breakfast"/>
    <s v="Cash"/>
    <s v="Single"/>
    <s v="OK"/>
  </r>
  <r>
    <s v="O00282"/>
    <s v="SV30T9"/>
    <n v="2"/>
    <n v="39.950000000000003"/>
    <x v="0"/>
    <n v="15.51"/>
    <d v="2025-07-17T00:00:00"/>
    <x v="2"/>
    <n v="0.14000000000000001"/>
    <n v="68.713999999999999"/>
    <x v="0"/>
    <s v="Lunch"/>
    <s v="UPI"/>
    <s v="Single"/>
    <s v="HighDisc"/>
  </r>
  <r>
    <s v="O00282"/>
    <s v="SCKW5N"/>
    <n v="3"/>
    <n v="70.540000000000006"/>
    <x v="0"/>
    <n v="35.81"/>
    <d v="2025-07-17T00:00:00"/>
    <x v="2"/>
    <n v="0.14000000000000001"/>
    <n v="181.9932"/>
    <x v="0"/>
    <s v="Lunch"/>
    <s v="UPI"/>
    <s v="Single"/>
    <s v="HighDisc"/>
  </r>
  <r>
    <s v="O00282"/>
    <s v="BTIQJ7"/>
    <n v="1"/>
    <n v="30.34"/>
    <x v="1"/>
    <n v="14.18"/>
    <d v="2025-07-17T00:00:00"/>
    <x v="2"/>
    <n v="0.14000000000000001"/>
    <n v="26.092399999999998"/>
    <x v="0"/>
    <s v="Lunch"/>
    <s v="UPI"/>
    <s v="Single"/>
    <s v="HighDisc"/>
  </r>
  <r>
    <s v="O00283"/>
    <s v="HXAJI0"/>
    <n v="3"/>
    <n v="227.61"/>
    <x v="3"/>
    <n v="96.22"/>
    <d v="2025-08-21T00:00:00"/>
    <x v="0"/>
    <n v="0.02"/>
    <n v="669.17340000000002"/>
    <x v="1"/>
    <s v="Dinner"/>
    <s v="Card"/>
    <s v="Combo"/>
    <s v="OK"/>
  </r>
  <r>
    <s v="O00283"/>
    <s v="SV30T9"/>
    <n v="2"/>
    <n v="39.950000000000003"/>
    <x v="0"/>
    <n v="15.51"/>
    <d v="2025-08-21T00:00:00"/>
    <x v="0"/>
    <n v="0.02"/>
    <n v="78.302000000000007"/>
    <x v="1"/>
    <s v="Dinner"/>
    <s v="Card"/>
    <s v="Combo"/>
    <s v="OK"/>
  </r>
  <r>
    <s v="O00283"/>
    <s v="H3A3ZM"/>
    <n v="2"/>
    <n v="170.83"/>
    <x v="3"/>
    <n v="74.069999999999993"/>
    <d v="2025-08-21T00:00:00"/>
    <x v="0"/>
    <n v="0.02"/>
    <n v="334.82679999999999"/>
    <x v="1"/>
    <s v="Dinner"/>
    <s v="Card"/>
    <s v="Combo"/>
    <s v="OK"/>
  </r>
  <r>
    <s v="O00283"/>
    <s v="BTIQJ7"/>
    <n v="1"/>
    <n v="30.34"/>
    <x v="1"/>
    <n v="14.18"/>
    <d v="2025-08-21T00:00:00"/>
    <x v="0"/>
    <n v="0.02"/>
    <n v="29.7332"/>
    <x v="1"/>
    <s v="Dinner"/>
    <s v="Card"/>
    <s v="Combo"/>
    <s v="OK"/>
  </r>
  <r>
    <s v="O00284"/>
    <s v="DH9SDB"/>
    <n v="1"/>
    <n v="76.55"/>
    <x v="2"/>
    <n v="38.229999999999997"/>
    <d v="2025-07-15T00:00:00"/>
    <x v="2"/>
    <n v="0.01"/>
    <n v="75.784499999999994"/>
    <x v="0"/>
    <s v="Lunch"/>
    <s v="Cash"/>
    <s v="Single"/>
    <s v="OK"/>
  </r>
  <r>
    <s v="O00284"/>
    <s v="S5NQ4F"/>
    <n v="3"/>
    <n v="50.19"/>
    <x v="0"/>
    <n v="22.61"/>
    <d v="2025-07-15T00:00:00"/>
    <x v="2"/>
    <n v="0.01"/>
    <n v="149.0643"/>
    <x v="0"/>
    <s v="Lunch"/>
    <s v="Cash"/>
    <s v="Single"/>
    <s v="OK"/>
  </r>
  <r>
    <s v="O00284"/>
    <s v="SHJ7XV"/>
    <n v="2"/>
    <n v="52.45"/>
    <x v="0"/>
    <n v="25.8"/>
    <d v="2025-07-15T00:00:00"/>
    <x v="2"/>
    <n v="0.01"/>
    <n v="103.851"/>
    <x v="0"/>
    <s v="Lunch"/>
    <s v="Cash"/>
    <s v="Single"/>
    <s v="OK"/>
  </r>
  <r>
    <s v="O00285"/>
    <s v="DFFYVN"/>
    <n v="1"/>
    <n v="54.2"/>
    <x v="2"/>
    <n v="21.95"/>
    <d v="2025-07-20T00:00:00"/>
    <x v="2"/>
    <n v="0.11"/>
    <n v="48.238000000000007"/>
    <x v="0"/>
    <s v="Breakfast"/>
    <s v="Cash"/>
    <s v="Single"/>
    <s v="HighDisc"/>
  </r>
  <r>
    <s v="O00285"/>
    <s v="SHJ7XV"/>
    <n v="1"/>
    <n v="52.45"/>
    <x v="0"/>
    <n v="25.8"/>
    <d v="2025-07-20T00:00:00"/>
    <x v="2"/>
    <n v="0.11"/>
    <n v="46.680500000000002"/>
    <x v="0"/>
    <s v="Breakfast"/>
    <s v="Cash"/>
    <s v="Single"/>
    <s v="HighDisc"/>
  </r>
  <r>
    <s v="O00285"/>
    <s v="H3A3ZM"/>
    <n v="1"/>
    <n v="170.83"/>
    <x v="3"/>
    <n v="74.069999999999993"/>
    <d v="2025-07-20T00:00:00"/>
    <x v="2"/>
    <n v="0.11"/>
    <n v="152.03870000000001"/>
    <x v="0"/>
    <s v="Breakfast"/>
    <s v="Cash"/>
    <s v="Single"/>
    <s v="HighDisc"/>
  </r>
  <r>
    <s v="O00285"/>
    <s v="S5NQ4F"/>
    <n v="3"/>
    <n v="50.19"/>
    <x v="0"/>
    <n v="22.61"/>
    <d v="2025-07-20T00:00:00"/>
    <x v="2"/>
    <n v="0.11"/>
    <n v="134.00729999999999"/>
    <x v="0"/>
    <s v="Breakfast"/>
    <s v="Cash"/>
    <s v="Single"/>
    <s v="HighDisc"/>
  </r>
  <r>
    <s v="O00286"/>
    <s v="DH9SDB"/>
    <n v="2"/>
    <n v="76.55"/>
    <x v="2"/>
    <n v="38.229999999999997"/>
    <d v="2025-07-18T00:00:00"/>
    <x v="0"/>
    <n v="0.09"/>
    <n v="139.321"/>
    <x v="0"/>
    <s v="Breakfast"/>
    <s v="Card"/>
    <s v="Single"/>
    <s v="OK"/>
  </r>
  <r>
    <s v="O00286"/>
    <s v="H3A3ZM"/>
    <n v="1"/>
    <n v="170.83"/>
    <x v="3"/>
    <n v="74.069999999999993"/>
    <d v="2025-07-18T00:00:00"/>
    <x v="0"/>
    <n v="0.09"/>
    <n v="155.45530000000002"/>
    <x v="0"/>
    <s v="Breakfast"/>
    <s v="Card"/>
    <s v="Single"/>
    <s v="OK"/>
  </r>
  <r>
    <s v="O00287"/>
    <s v="HUZZPQ"/>
    <n v="1"/>
    <n v="146.4"/>
    <x v="3"/>
    <n v="80.92"/>
    <d v="2025-08-25T00:00:00"/>
    <x v="0"/>
    <n v="0.08"/>
    <n v="134.68800000000002"/>
    <x v="1"/>
    <s v="Breakfast"/>
    <s v="UPI"/>
    <s v="Single"/>
    <s v="OK"/>
  </r>
  <r>
    <s v="O00287"/>
    <s v="HDPBHS"/>
    <n v="1"/>
    <n v="256.91000000000003"/>
    <x v="3"/>
    <n v="121.24"/>
    <d v="2025-08-25T00:00:00"/>
    <x v="0"/>
    <n v="0.08"/>
    <n v="236.35720000000003"/>
    <x v="1"/>
    <s v="Breakfast"/>
    <s v="UPI"/>
    <s v="Single"/>
    <s v="OK"/>
  </r>
  <r>
    <s v="O00288"/>
    <s v="H3A3ZM"/>
    <n v="1"/>
    <n v="170.83"/>
    <x v="3"/>
    <n v="74.069999999999993"/>
    <d v="2025-07-31T00:00:00"/>
    <x v="2"/>
    <n v="0.09"/>
    <n v="155.45530000000002"/>
    <x v="0"/>
    <s v="Dinner"/>
    <s v="Cash"/>
    <s v="Combo"/>
    <s v="OK"/>
  </r>
  <r>
    <s v="O00288"/>
    <s v="SHJ7XV"/>
    <n v="2"/>
    <n v="52.45"/>
    <x v="0"/>
    <n v="25.8"/>
    <d v="2025-07-31T00:00:00"/>
    <x v="2"/>
    <n v="0.09"/>
    <n v="95.459000000000003"/>
    <x v="0"/>
    <s v="Dinner"/>
    <s v="Cash"/>
    <s v="Combo"/>
    <s v="OK"/>
  </r>
  <r>
    <s v="O00288"/>
    <s v="BHL1C3"/>
    <n v="2"/>
    <n v="22.2"/>
    <x v="1"/>
    <n v="9.3800000000000008"/>
    <d v="2025-07-31T00:00:00"/>
    <x v="2"/>
    <n v="0.09"/>
    <n v="40.404000000000003"/>
    <x v="0"/>
    <s v="Dinner"/>
    <s v="Cash"/>
    <s v="Combo"/>
    <s v="OK"/>
  </r>
  <r>
    <s v="O00289"/>
    <s v="SCKW5N"/>
    <n v="3"/>
    <n v="70.540000000000006"/>
    <x v="0"/>
    <n v="35.81"/>
    <d v="2025-08-13T00:00:00"/>
    <x v="0"/>
    <n v="0.06"/>
    <n v="198.9228"/>
    <x v="1"/>
    <s v="Breakfast"/>
    <s v="Card"/>
    <s v="Single"/>
    <s v="OK"/>
  </r>
  <r>
    <s v="O00289"/>
    <s v="BXO6QJ"/>
    <n v="1"/>
    <n v="20.11"/>
    <x v="1"/>
    <n v="8"/>
    <d v="2025-08-13T00:00:00"/>
    <x v="0"/>
    <n v="0.06"/>
    <n v="18.903399999999998"/>
    <x v="1"/>
    <s v="Breakfast"/>
    <s v="Card"/>
    <s v="Single"/>
    <s v="OK"/>
  </r>
  <r>
    <s v="O00289"/>
    <s v="DH9SDB"/>
    <n v="1"/>
    <n v="76.55"/>
    <x v="2"/>
    <n v="38.229999999999997"/>
    <d v="2025-08-13T00:00:00"/>
    <x v="0"/>
    <n v="0.06"/>
    <n v="71.956999999999994"/>
    <x v="1"/>
    <s v="Breakfast"/>
    <s v="Card"/>
    <s v="Single"/>
    <s v="OK"/>
  </r>
  <r>
    <s v="O00290"/>
    <s v="BOC6UZ"/>
    <n v="1"/>
    <n v="32.979999999999997"/>
    <x v="1"/>
    <n v="11.84"/>
    <d v="2025-08-04T00:00:00"/>
    <x v="0"/>
    <n v="0.02"/>
    <n v="32.320399999999999"/>
    <x v="1"/>
    <s v="Breakfast"/>
    <s v="Card"/>
    <s v="Single"/>
    <s v="OK"/>
  </r>
  <r>
    <s v="O00290"/>
    <s v="BXO6QJ"/>
    <n v="1"/>
    <n v="20.11"/>
    <x v="1"/>
    <n v="8"/>
    <d v="2025-08-04T00:00:00"/>
    <x v="0"/>
    <n v="0.02"/>
    <n v="19.707799999999999"/>
    <x v="1"/>
    <s v="Breakfast"/>
    <s v="Card"/>
    <s v="Single"/>
    <s v="OK"/>
  </r>
  <r>
    <s v="O00291"/>
    <s v="HDPBHS"/>
    <n v="2"/>
    <n v="256.91000000000003"/>
    <x v="3"/>
    <n v="121.24"/>
    <d v="2025-08-14T00:00:00"/>
    <x v="2"/>
    <n v="0.06"/>
    <n v="482.99080000000004"/>
    <x v="1"/>
    <s v="Breakfast"/>
    <s v="Card"/>
    <s v="Single"/>
    <s v="OK"/>
  </r>
  <r>
    <s v="O00292"/>
    <s v="BXO6QJ"/>
    <n v="1"/>
    <n v="20.11"/>
    <x v="1"/>
    <n v="8"/>
    <d v="2025-07-08T00:00:00"/>
    <x v="0"/>
    <n v="0.03"/>
    <n v="19.506699999999999"/>
    <x v="0"/>
    <s v="Dinner"/>
    <s v="UPI"/>
    <s v="Single"/>
    <s v="OK"/>
  </r>
  <r>
    <s v="O00292"/>
    <s v="BTIQJ7"/>
    <n v="2"/>
    <n v="30.34"/>
    <x v="1"/>
    <n v="14.18"/>
    <d v="2025-07-08T00:00:00"/>
    <x v="0"/>
    <n v="0.03"/>
    <n v="58.8596"/>
    <x v="0"/>
    <s v="Dinner"/>
    <s v="UPI"/>
    <s v="Single"/>
    <s v="OK"/>
  </r>
  <r>
    <s v="O00293"/>
    <s v="HXAJI0"/>
    <n v="2"/>
    <n v="227.61"/>
    <x v="3"/>
    <n v="96.22"/>
    <d v="2025-08-07T00:00:00"/>
    <x v="1"/>
    <n v="0.1"/>
    <n v="409.69800000000004"/>
    <x v="1"/>
    <s v="Lunch"/>
    <s v="UPI"/>
    <s v="Combo"/>
    <s v="HighDisc"/>
  </r>
  <r>
    <s v="O00293"/>
    <s v="BTIQJ7"/>
    <n v="2"/>
    <n v="30.34"/>
    <x v="1"/>
    <n v="14.18"/>
    <d v="2025-08-07T00:00:00"/>
    <x v="1"/>
    <n v="0.1"/>
    <n v="54.612000000000002"/>
    <x v="1"/>
    <s v="Lunch"/>
    <s v="UPI"/>
    <s v="Combo"/>
    <s v="HighDisc"/>
  </r>
  <r>
    <s v="O00294"/>
    <s v="B0T0PV"/>
    <n v="2"/>
    <n v="28.43"/>
    <x v="1"/>
    <n v="13.89"/>
    <d v="2025-08-13T00:00:00"/>
    <x v="0"/>
    <n v="0.05"/>
    <n v="54.016999999999996"/>
    <x v="1"/>
    <s v="Dinner"/>
    <s v="Cash"/>
    <s v="Single"/>
    <s v="OK"/>
  </r>
  <r>
    <s v="O00295"/>
    <s v="DYTJXE"/>
    <n v="1"/>
    <n v="57.07"/>
    <x v="2"/>
    <n v="29.14"/>
    <d v="2025-08-28T00:00:00"/>
    <x v="1"/>
    <n v="0.03"/>
    <n v="55.357900000000001"/>
    <x v="1"/>
    <s v="Dinner"/>
    <s v="Cash"/>
    <s v="Single"/>
    <s v="OK"/>
  </r>
  <r>
    <s v="O00295"/>
    <s v="BHL1C3"/>
    <n v="1"/>
    <n v="22.2"/>
    <x v="1"/>
    <n v="9.3800000000000008"/>
    <d v="2025-08-28T00:00:00"/>
    <x v="1"/>
    <n v="0.03"/>
    <n v="21.533999999999999"/>
    <x v="1"/>
    <s v="Dinner"/>
    <s v="Cash"/>
    <s v="Single"/>
    <s v="OK"/>
  </r>
  <r>
    <s v="O00296"/>
    <s v="S5NQ4F"/>
    <n v="1"/>
    <n v="50.19"/>
    <x v="0"/>
    <n v="22.61"/>
    <d v="2025-08-13T00:00:00"/>
    <x v="2"/>
    <n v="0.05"/>
    <n v="47.680499999999995"/>
    <x v="1"/>
    <s v="Dinner"/>
    <s v="UPI"/>
    <s v="Single"/>
    <s v="OK"/>
  </r>
  <r>
    <s v="O00296"/>
    <s v="SV30T9"/>
    <n v="3"/>
    <n v="39.950000000000003"/>
    <x v="0"/>
    <n v="15.51"/>
    <d v="2025-08-13T00:00:00"/>
    <x v="2"/>
    <n v="0.05"/>
    <n v="113.8575"/>
    <x v="1"/>
    <s v="Dinner"/>
    <s v="UPI"/>
    <s v="Single"/>
    <s v="OK"/>
  </r>
  <r>
    <s v="O00297"/>
    <s v="SCKW5N"/>
    <n v="3"/>
    <n v="70.540000000000006"/>
    <x v="0"/>
    <n v="35.81"/>
    <d v="2025-08-19T00:00:00"/>
    <x v="0"/>
    <n v="0.08"/>
    <n v="194.69040000000001"/>
    <x v="1"/>
    <s v="Breakfast"/>
    <s v="Cash"/>
    <s v="Single"/>
    <s v="OK"/>
  </r>
  <r>
    <s v="O00298"/>
    <s v="HDPBHS"/>
    <n v="1"/>
    <n v="256.91000000000003"/>
    <x v="3"/>
    <n v="121.24"/>
    <d v="2025-08-12T00:00:00"/>
    <x v="1"/>
    <n v="0.04"/>
    <n v="246.6336"/>
    <x v="1"/>
    <s v="Dinner"/>
    <s v="UPI"/>
    <s v="Single"/>
    <s v="OK"/>
  </r>
  <r>
    <s v="O00299"/>
    <s v="SZBIKC"/>
    <n v="1"/>
    <n v="38.06"/>
    <x v="0"/>
    <n v="19.55"/>
    <d v="2025-08-05T00:00:00"/>
    <x v="1"/>
    <n v="0.03"/>
    <n v="36.918199999999999"/>
    <x v="1"/>
    <s v="Lunch"/>
    <s v="Card"/>
    <s v="Combo"/>
    <s v="OK"/>
  </r>
  <r>
    <s v="O00299"/>
    <s v="D9T84A"/>
    <n v="1"/>
    <n v="116.8"/>
    <x v="2"/>
    <n v="48.97"/>
    <d v="2025-08-05T00:00:00"/>
    <x v="1"/>
    <n v="0.03"/>
    <n v="113.29599999999999"/>
    <x v="1"/>
    <s v="Lunch"/>
    <s v="Card"/>
    <s v="Combo"/>
    <s v="OK"/>
  </r>
  <r>
    <s v="O00299"/>
    <s v="HUZZPQ"/>
    <n v="2"/>
    <n v="146.4"/>
    <x v="3"/>
    <n v="80.92"/>
    <d v="2025-08-05T00:00:00"/>
    <x v="1"/>
    <n v="0.03"/>
    <n v="284.01600000000002"/>
    <x v="1"/>
    <s v="Lunch"/>
    <s v="Card"/>
    <s v="Combo"/>
    <s v="OK"/>
  </r>
  <r>
    <s v="O00299"/>
    <s v="BXO6QJ"/>
    <n v="1"/>
    <n v="20.11"/>
    <x v="1"/>
    <n v="8"/>
    <d v="2025-08-05T00:00:00"/>
    <x v="1"/>
    <n v="0.03"/>
    <n v="19.506699999999999"/>
    <x v="1"/>
    <s v="Lunch"/>
    <s v="Card"/>
    <s v="Combo"/>
    <s v="OK"/>
  </r>
  <r>
    <s v="O00300"/>
    <s v="DFFYVN"/>
    <n v="1"/>
    <n v="54.2"/>
    <x v="2"/>
    <n v="21.95"/>
    <d v="2025-08-03T00:00:00"/>
    <x v="0"/>
    <n v="7.0000000000000007E-2"/>
    <n v="50.405999999999999"/>
    <x v="1"/>
    <s v="Breakfast"/>
    <s v="Cash"/>
    <s v="Single"/>
    <s v="OK"/>
  </r>
  <r>
    <s v="O00300"/>
    <s v="HH1DNM"/>
    <n v="1"/>
    <n v="246.09"/>
    <x v="3"/>
    <n v="112.08"/>
    <d v="2025-08-03T00:00:00"/>
    <x v="0"/>
    <n v="7.0000000000000007E-2"/>
    <n v="228.86369999999999"/>
    <x v="1"/>
    <s v="Breakfast"/>
    <s v="Cash"/>
    <s v="Single"/>
    <s v="OK"/>
  </r>
  <r>
    <s v="O00300"/>
    <s v="SHJ7XV"/>
    <n v="2"/>
    <n v="52.45"/>
    <x v="0"/>
    <n v="25.8"/>
    <d v="2025-08-03T00:00:00"/>
    <x v="0"/>
    <n v="7.0000000000000007E-2"/>
    <n v="97.557000000000002"/>
    <x v="1"/>
    <s v="Breakfast"/>
    <s v="Cash"/>
    <s v="Single"/>
    <s v="OK"/>
  </r>
  <r>
    <s v="O00301"/>
    <s v="SV30T9"/>
    <n v="3"/>
    <n v="39.950000000000003"/>
    <x v="0"/>
    <n v="15.51"/>
    <d v="2025-07-07T00:00:00"/>
    <x v="1"/>
    <n v="7.0000000000000007E-2"/>
    <n v="111.4605"/>
    <x v="0"/>
    <s v="Lunch"/>
    <s v="UPI"/>
    <s v="Single"/>
    <s v="OK"/>
  </r>
  <r>
    <s v="O00301"/>
    <s v="DH9SDB"/>
    <n v="1"/>
    <n v="76.55"/>
    <x v="2"/>
    <n v="38.229999999999997"/>
    <d v="2025-07-07T00:00:00"/>
    <x v="1"/>
    <n v="7.0000000000000007E-2"/>
    <n v="71.191499999999991"/>
    <x v="0"/>
    <s v="Lunch"/>
    <s v="UPI"/>
    <s v="Single"/>
    <s v="OK"/>
  </r>
  <r>
    <s v="O00301"/>
    <s v="DFFYVN"/>
    <n v="2"/>
    <n v="54.2"/>
    <x v="2"/>
    <n v="21.95"/>
    <d v="2025-07-07T00:00:00"/>
    <x v="1"/>
    <n v="7.0000000000000007E-2"/>
    <n v="100.812"/>
    <x v="0"/>
    <s v="Lunch"/>
    <s v="UPI"/>
    <s v="Single"/>
    <s v="OK"/>
  </r>
  <r>
    <s v="O00301"/>
    <s v="SCKW5N"/>
    <n v="1"/>
    <n v="70.540000000000006"/>
    <x v="0"/>
    <n v="35.81"/>
    <d v="2025-07-07T00:00:00"/>
    <x v="1"/>
    <n v="7.0000000000000007E-2"/>
    <n v="65.602199999999996"/>
    <x v="0"/>
    <s v="Lunch"/>
    <s v="UPI"/>
    <s v="Single"/>
    <s v="OK"/>
  </r>
  <r>
    <s v="O00302"/>
    <s v="BHL1C3"/>
    <n v="3"/>
    <n v="22.2"/>
    <x v="1"/>
    <n v="9.3800000000000008"/>
    <d v="2025-07-28T00:00:00"/>
    <x v="1"/>
    <n v="0.04"/>
    <n v="63.935999999999993"/>
    <x v="0"/>
    <s v="Dinner"/>
    <s v="UPI"/>
    <s v="Single"/>
    <s v="OK"/>
  </r>
  <r>
    <s v="O00303"/>
    <s v="SV30T9"/>
    <n v="2"/>
    <n v="39.950000000000003"/>
    <x v="0"/>
    <n v="15.51"/>
    <d v="2025-08-02T00:00:00"/>
    <x v="2"/>
    <n v="0.04"/>
    <n v="76.704000000000008"/>
    <x v="1"/>
    <s v="Lunch"/>
    <s v="UPI"/>
    <s v="Single"/>
    <s v="OK"/>
  </r>
  <r>
    <s v="O00303"/>
    <s v="SZBIKC"/>
    <n v="2"/>
    <n v="38.06"/>
    <x v="0"/>
    <n v="19.55"/>
    <d v="2025-08-02T00:00:00"/>
    <x v="2"/>
    <n v="0.04"/>
    <n v="73.075199999999995"/>
    <x v="1"/>
    <s v="Lunch"/>
    <s v="UPI"/>
    <s v="Single"/>
    <s v="OK"/>
  </r>
  <r>
    <s v="O00304"/>
    <s v="BOC6UZ"/>
    <n v="1"/>
    <n v="32.979999999999997"/>
    <x v="1"/>
    <n v="11.84"/>
    <d v="2025-08-04T00:00:00"/>
    <x v="1"/>
    <n v="7.0000000000000007E-2"/>
    <n v="30.671399999999995"/>
    <x v="1"/>
    <s v="Breakfast"/>
    <s v="UPI"/>
    <s v="Single"/>
    <s v="OK"/>
  </r>
  <r>
    <s v="O00305"/>
    <s v="SV30T9"/>
    <n v="2"/>
    <n v="39.950000000000003"/>
    <x v="0"/>
    <n v="15.51"/>
    <d v="2025-07-13T00:00:00"/>
    <x v="0"/>
    <n v="0"/>
    <n v="79.900000000000006"/>
    <x v="0"/>
    <s v="Dinner"/>
    <s v="Cash"/>
    <s v="Single"/>
    <s v="OK"/>
  </r>
  <r>
    <s v="O00305"/>
    <s v="HH1DNM"/>
    <n v="2"/>
    <n v="246.09"/>
    <x v="3"/>
    <n v="112.08"/>
    <d v="2025-07-13T00:00:00"/>
    <x v="0"/>
    <n v="0"/>
    <n v="492.18"/>
    <x v="0"/>
    <s v="Dinner"/>
    <s v="Cash"/>
    <s v="Single"/>
    <s v="OK"/>
  </r>
  <r>
    <s v="O00306"/>
    <s v="S5NQ4F"/>
    <n v="1"/>
    <n v="50.19"/>
    <x v="0"/>
    <n v="22.61"/>
    <d v="2025-08-24T00:00:00"/>
    <x v="1"/>
    <n v="0"/>
    <n v="50.19"/>
    <x v="1"/>
    <s v="Lunch"/>
    <s v="Card"/>
    <s v="Combo"/>
    <s v="OK"/>
  </r>
  <r>
    <s v="O00306"/>
    <s v="BXO6QJ"/>
    <n v="1"/>
    <n v="20.11"/>
    <x v="1"/>
    <n v="8"/>
    <d v="2025-08-24T00:00:00"/>
    <x v="1"/>
    <n v="0"/>
    <n v="20.11"/>
    <x v="1"/>
    <s v="Lunch"/>
    <s v="Card"/>
    <s v="Combo"/>
    <s v="OK"/>
  </r>
  <r>
    <s v="O00306"/>
    <s v="H3A3ZM"/>
    <n v="1"/>
    <n v="170.83"/>
    <x v="3"/>
    <n v="74.069999999999993"/>
    <d v="2025-08-24T00:00:00"/>
    <x v="1"/>
    <n v="0"/>
    <n v="170.83"/>
    <x v="1"/>
    <s v="Lunch"/>
    <s v="Card"/>
    <s v="Combo"/>
    <s v="OK"/>
  </r>
  <r>
    <s v="O00306"/>
    <s v="HUZZPQ"/>
    <n v="3"/>
    <n v="146.4"/>
    <x v="3"/>
    <n v="80.92"/>
    <d v="2025-08-24T00:00:00"/>
    <x v="1"/>
    <n v="0"/>
    <n v="439.20000000000005"/>
    <x v="1"/>
    <s v="Lunch"/>
    <s v="Card"/>
    <s v="Combo"/>
    <s v="OK"/>
  </r>
  <r>
    <s v="O00307"/>
    <s v="DH9SDB"/>
    <n v="1"/>
    <n v="76.55"/>
    <x v="2"/>
    <n v="38.229999999999997"/>
    <d v="2025-08-21T00:00:00"/>
    <x v="2"/>
    <n v="0.03"/>
    <n v="74.253499999999988"/>
    <x v="1"/>
    <s v="Breakfast"/>
    <s v="UPI"/>
    <s v="Combo"/>
    <s v="OK"/>
  </r>
  <r>
    <s v="O00307"/>
    <s v="HH1DNM"/>
    <n v="1"/>
    <n v="246.09"/>
    <x v="3"/>
    <n v="112.08"/>
    <d v="2025-08-21T00:00:00"/>
    <x v="2"/>
    <n v="0.03"/>
    <n v="238.7073"/>
    <x v="1"/>
    <s v="Breakfast"/>
    <s v="UPI"/>
    <s v="Combo"/>
    <s v="OK"/>
  </r>
  <r>
    <s v="O00307"/>
    <s v="BHL1C3"/>
    <n v="2"/>
    <n v="22.2"/>
    <x v="1"/>
    <n v="9.3800000000000008"/>
    <d v="2025-08-21T00:00:00"/>
    <x v="2"/>
    <n v="0.03"/>
    <n v="43.067999999999998"/>
    <x v="1"/>
    <s v="Breakfast"/>
    <s v="UPI"/>
    <s v="Combo"/>
    <s v="OK"/>
  </r>
  <r>
    <s v="O00307"/>
    <s v="BTIQJ7"/>
    <n v="2"/>
    <n v="30.34"/>
    <x v="1"/>
    <n v="14.18"/>
    <d v="2025-08-21T00:00:00"/>
    <x v="2"/>
    <n v="0.03"/>
    <n v="58.8596"/>
    <x v="1"/>
    <s v="Breakfast"/>
    <s v="UPI"/>
    <s v="Combo"/>
    <s v="OK"/>
  </r>
  <r>
    <s v="O00308"/>
    <s v="HDPBHS"/>
    <n v="1"/>
    <n v="256.91000000000003"/>
    <x v="3"/>
    <n v="121.24"/>
    <d v="2025-08-19T00:00:00"/>
    <x v="1"/>
    <n v="0.05"/>
    <n v="244.06450000000001"/>
    <x v="1"/>
    <s v="Lunch"/>
    <s v="Card"/>
    <s v="Single"/>
    <s v="HighDisc"/>
  </r>
  <r>
    <s v="O00308"/>
    <s v="DFFYVN"/>
    <n v="3"/>
    <n v="54.2"/>
    <x v="2"/>
    <n v="21.95"/>
    <d v="2025-08-19T00:00:00"/>
    <x v="1"/>
    <n v="0.05"/>
    <n v="154.47000000000003"/>
    <x v="1"/>
    <s v="Lunch"/>
    <s v="Card"/>
    <s v="Single"/>
    <s v="HighDisc"/>
  </r>
  <r>
    <s v="O00308"/>
    <s v="D9T84A"/>
    <n v="1"/>
    <n v="116.8"/>
    <x v="2"/>
    <n v="48.97"/>
    <d v="2025-08-19T00:00:00"/>
    <x v="1"/>
    <n v="0.05"/>
    <n v="110.96"/>
    <x v="1"/>
    <s v="Lunch"/>
    <s v="Card"/>
    <s v="Single"/>
    <s v="HighDisc"/>
  </r>
  <r>
    <s v="O00308"/>
    <s v="HH1DNM"/>
    <n v="2"/>
    <n v="246.09"/>
    <x v="3"/>
    <n v="112.08"/>
    <d v="2025-08-19T00:00:00"/>
    <x v="1"/>
    <n v="0.05"/>
    <n v="467.57099999999997"/>
    <x v="1"/>
    <s v="Lunch"/>
    <s v="Card"/>
    <s v="Single"/>
    <s v="HighDisc"/>
  </r>
  <r>
    <s v="O00309"/>
    <s v="BOC6UZ"/>
    <n v="1"/>
    <n v="32.979999999999997"/>
    <x v="1"/>
    <n v="11.84"/>
    <d v="2025-07-18T00:00:00"/>
    <x v="2"/>
    <n v="7.0000000000000007E-2"/>
    <n v="30.671399999999995"/>
    <x v="0"/>
    <s v="Dinner"/>
    <s v="Card"/>
    <s v="Single"/>
    <s v="OK"/>
  </r>
  <r>
    <s v="O00309"/>
    <s v="SZBIKC"/>
    <n v="2"/>
    <n v="38.06"/>
    <x v="0"/>
    <n v="19.55"/>
    <d v="2025-07-18T00:00:00"/>
    <x v="2"/>
    <n v="7.0000000000000007E-2"/>
    <n v="70.791600000000003"/>
    <x v="0"/>
    <s v="Dinner"/>
    <s v="Card"/>
    <s v="Single"/>
    <s v="OK"/>
  </r>
  <r>
    <s v="O00310"/>
    <s v="BXO6QJ"/>
    <n v="1"/>
    <n v="20.11"/>
    <x v="1"/>
    <n v="8"/>
    <d v="2025-07-23T00:00:00"/>
    <x v="2"/>
    <n v="0.12"/>
    <n v="17.6968"/>
    <x v="0"/>
    <s v="Breakfast"/>
    <s v="Cash"/>
    <s v="Single"/>
    <s v="OK"/>
  </r>
  <r>
    <s v="O00310"/>
    <s v="DYTJXE"/>
    <n v="2"/>
    <n v="57.07"/>
    <x v="2"/>
    <n v="29.14"/>
    <d v="2025-07-23T00:00:00"/>
    <x v="2"/>
    <n v="0.12"/>
    <n v="100.4432"/>
    <x v="0"/>
    <s v="Breakfast"/>
    <s v="Cash"/>
    <s v="Single"/>
    <s v="OK"/>
  </r>
  <r>
    <s v="O00310"/>
    <s v="S5NQ4F"/>
    <n v="1"/>
    <n v="50.19"/>
    <x v="0"/>
    <n v="22.61"/>
    <d v="2025-07-23T00:00:00"/>
    <x v="2"/>
    <n v="0.12"/>
    <n v="44.167200000000001"/>
    <x v="0"/>
    <s v="Breakfast"/>
    <s v="Cash"/>
    <s v="Single"/>
    <s v="OK"/>
  </r>
  <r>
    <s v="O00311"/>
    <s v="DH9SDB"/>
    <n v="2"/>
    <n v="76.55"/>
    <x v="2"/>
    <n v="38.229999999999997"/>
    <d v="2025-07-11T00:00:00"/>
    <x v="0"/>
    <n v="0.09"/>
    <n v="139.321"/>
    <x v="0"/>
    <s v="Breakfast"/>
    <s v="UPI"/>
    <s v="Single"/>
    <s v="OK"/>
  </r>
  <r>
    <s v="O00311"/>
    <s v="D9T84A"/>
    <n v="1"/>
    <n v="116.8"/>
    <x v="2"/>
    <n v="48.97"/>
    <d v="2025-07-11T00:00:00"/>
    <x v="0"/>
    <n v="0.09"/>
    <n v="106.288"/>
    <x v="0"/>
    <s v="Breakfast"/>
    <s v="UPI"/>
    <s v="Single"/>
    <s v="OK"/>
  </r>
  <r>
    <s v="O00311"/>
    <s v="SZBIKC"/>
    <n v="2"/>
    <n v="38.06"/>
    <x v="0"/>
    <n v="19.55"/>
    <d v="2025-07-11T00:00:00"/>
    <x v="0"/>
    <n v="0.09"/>
    <n v="69.269200000000012"/>
    <x v="0"/>
    <s v="Breakfast"/>
    <s v="UPI"/>
    <s v="Single"/>
    <s v="OK"/>
  </r>
  <r>
    <s v="O00312"/>
    <s v="SCKW5N"/>
    <n v="2"/>
    <n v="70.540000000000006"/>
    <x v="0"/>
    <n v="35.81"/>
    <d v="2025-07-04T00:00:00"/>
    <x v="0"/>
    <n v="0.05"/>
    <n v="134.02600000000001"/>
    <x v="0"/>
    <s v="Dinner"/>
    <s v="UPI"/>
    <s v="Single"/>
    <s v="OK"/>
  </r>
  <r>
    <s v="O00312"/>
    <s v="DH9SDB"/>
    <n v="1"/>
    <n v="76.55"/>
    <x v="2"/>
    <n v="38.229999999999997"/>
    <d v="2025-07-04T00:00:00"/>
    <x v="0"/>
    <n v="0.05"/>
    <n v="72.722499999999997"/>
    <x v="0"/>
    <s v="Dinner"/>
    <s v="UPI"/>
    <s v="Single"/>
    <s v="OK"/>
  </r>
  <r>
    <s v="O00312"/>
    <s v="DYTJXE"/>
    <n v="1"/>
    <n v="57.07"/>
    <x v="2"/>
    <n v="29.14"/>
    <d v="2025-07-04T00:00:00"/>
    <x v="0"/>
    <n v="0.05"/>
    <n v="54.216499999999996"/>
    <x v="0"/>
    <s v="Dinner"/>
    <s v="UPI"/>
    <s v="Single"/>
    <s v="OK"/>
  </r>
  <r>
    <s v="O00313"/>
    <s v="DFFYVN"/>
    <n v="1"/>
    <n v="54.2"/>
    <x v="2"/>
    <n v="21.95"/>
    <d v="2025-08-28T00:00:00"/>
    <x v="1"/>
    <n v="0.06"/>
    <n v="50.948"/>
    <x v="1"/>
    <s v="Breakfast"/>
    <s v="Cash"/>
    <s v="Single"/>
    <s v="OK"/>
  </r>
  <r>
    <s v="O00314"/>
    <s v="BOC6UZ"/>
    <n v="1"/>
    <n v="32.979999999999997"/>
    <x v="1"/>
    <n v="11.84"/>
    <d v="2025-07-17T00:00:00"/>
    <x v="0"/>
    <n v="0.02"/>
    <n v="32.320399999999999"/>
    <x v="0"/>
    <s v="Breakfast"/>
    <s v="Cash"/>
    <s v="Single"/>
    <s v="OK"/>
  </r>
  <r>
    <s v="O00315"/>
    <s v="DH9SDB"/>
    <n v="3"/>
    <n v="76.55"/>
    <x v="2"/>
    <n v="38.229999999999997"/>
    <d v="2025-08-05T00:00:00"/>
    <x v="0"/>
    <n v="0.06"/>
    <n v="215.87099999999995"/>
    <x v="1"/>
    <s v="Lunch"/>
    <s v="Cash"/>
    <s v="Single"/>
    <s v="OK"/>
  </r>
  <r>
    <s v="O00315"/>
    <s v="D9T84A"/>
    <n v="1"/>
    <n v="116.8"/>
    <x v="2"/>
    <n v="48.97"/>
    <d v="2025-08-05T00:00:00"/>
    <x v="0"/>
    <n v="0.06"/>
    <n v="109.79199999999999"/>
    <x v="1"/>
    <s v="Lunch"/>
    <s v="Cash"/>
    <s v="Single"/>
    <s v="OK"/>
  </r>
  <r>
    <s v="O00316"/>
    <s v="BHL1C3"/>
    <n v="3"/>
    <n v="22.2"/>
    <x v="1"/>
    <n v="9.3800000000000008"/>
    <d v="2025-08-29T00:00:00"/>
    <x v="1"/>
    <n v="0.05"/>
    <n v="63.269999999999989"/>
    <x v="1"/>
    <s v="Lunch"/>
    <s v="Card"/>
    <s v="Single"/>
    <s v="OK"/>
  </r>
  <r>
    <s v="O00317"/>
    <s v="SHJ7XV"/>
    <n v="2"/>
    <n v="52.45"/>
    <x v="0"/>
    <n v="25.8"/>
    <d v="2025-08-22T00:00:00"/>
    <x v="2"/>
    <n v="7.0000000000000007E-2"/>
    <n v="97.557000000000002"/>
    <x v="1"/>
    <s v="Breakfast"/>
    <s v="Card"/>
    <s v="Single"/>
    <s v="OK"/>
  </r>
  <r>
    <s v="O00317"/>
    <s v="HUZZPQ"/>
    <n v="1"/>
    <n v="146.4"/>
    <x v="3"/>
    <n v="80.92"/>
    <d v="2025-08-22T00:00:00"/>
    <x v="2"/>
    <n v="7.0000000000000007E-2"/>
    <n v="136.15199999999999"/>
    <x v="1"/>
    <s v="Breakfast"/>
    <s v="Card"/>
    <s v="Single"/>
    <s v="OK"/>
  </r>
  <r>
    <s v="O00318"/>
    <s v="BOC6UZ"/>
    <n v="3"/>
    <n v="32.979999999999997"/>
    <x v="1"/>
    <n v="11.84"/>
    <d v="2025-08-05T00:00:00"/>
    <x v="0"/>
    <n v="0.03"/>
    <n v="95.971800000000002"/>
    <x v="1"/>
    <s v="Dinner"/>
    <s v="Card"/>
    <s v="Combo"/>
    <s v="OK"/>
  </r>
  <r>
    <s v="O00318"/>
    <s v="HUZZPQ"/>
    <n v="1"/>
    <n v="146.4"/>
    <x v="3"/>
    <n v="80.92"/>
    <d v="2025-08-05T00:00:00"/>
    <x v="0"/>
    <n v="0.03"/>
    <n v="142.00800000000001"/>
    <x v="1"/>
    <s v="Dinner"/>
    <s v="Card"/>
    <s v="Combo"/>
    <s v="OK"/>
  </r>
  <r>
    <s v="O00318"/>
    <s v="DFFYVN"/>
    <n v="2"/>
    <n v="54.2"/>
    <x v="2"/>
    <n v="21.95"/>
    <d v="2025-08-05T00:00:00"/>
    <x v="0"/>
    <n v="0.03"/>
    <n v="105.148"/>
    <x v="1"/>
    <s v="Dinner"/>
    <s v="Card"/>
    <s v="Combo"/>
    <s v="OK"/>
  </r>
  <r>
    <s v="O00318"/>
    <s v="BHL1C3"/>
    <n v="2"/>
    <n v="22.2"/>
    <x v="1"/>
    <n v="9.3800000000000008"/>
    <d v="2025-08-05T00:00:00"/>
    <x v="0"/>
    <n v="0.03"/>
    <n v="43.067999999999998"/>
    <x v="1"/>
    <s v="Dinner"/>
    <s v="Card"/>
    <s v="Combo"/>
    <s v="OK"/>
  </r>
  <r>
    <s v="O00319"/>
    <s v="BXO6QJ"/>
    <n v="2"/>
    <n v="20.11"/>
    <x v="1"/>
    <n v="8"/>
    <d v="2025-07-28T00:00:00"/>
    <x v="1"/>
    <n v="0.08"/>
    <n v="37.002400000000002"/>
    <x v="0"/>
    <s v="Lunch"/>
    <s v="UPI"/>
    <s v="Single"/>
    <s v="OK"/>
  </r>
  <r>
    <s v="O00319"/>
    <s v="DYTJXE"/>
    <n v="1"/>
    <n v="57.07"/>
    <x v="2"/>
    <n v="29.14"/>
    <d v="2025-07-28T00:00:00"/>
    <x v="1"/>
    <n v="0.08"/>
    <n v="52.504400000000004"/>
    <x v="0"/>
    <s v="Lunch"/>
    <s v="UPI"/>
    <s v="Single"/>
    <s v="OK"/>
  </r>
  <r>
    <s v="O00320"/>
    <s v="H3A3ZM"/>
    <n v="2"/>
    <n v="170.83"/>
    <x v="3"/>
    <n v="74.069999999999993"/>
    <d v="2025-07-16T00:00:00"/>
    <x v="2"/>
    <n v="0.12"/>
    <n v="300.66080000000005"/>
    <x v="0"/>
    <s v="Dinner"/>
    <s v="Cash"/>
    <s v="Single"/>
    <s v="HighDisc"/>
  </r>
  <r>
    <s v="O00321"/>
    <s v="SHJ7XV"/>
    <n v="2"/>
    <n v="52.45"/>
    <x v="0"/>
    <n v="25.8"/>
    <d v="2025-07-06T00:00:00"/>
    <x v="0"/>
    <n v="0.06"/>
    <n v="98.605999999999995"/>
    <x v="0"/>
    <s v="Breakfast"/>
    <s v="Card"/>
    <s v="Combo"/>
    <s v="OK"/>
  </r>
  <r>
    <s v="O00321"/>
    <s v="B0T0PV"/>
    <n v="1"/>
    <n v="28.43"/>
    <x v="1"/>
    <n v="13.89"/>
    <d v="2025-07-06T00:00:00"/>
    <x v="0"/>
    <n v="0.06"/>
    <n v="26.7242"/>
    <x v="0"/>
    <s v="Breakfast"/>
    <s v="Card"/>
    <s v="Combo"/>
    <s v="OK"/>
  </r>
  <r>
    <s v="O00321"/>
    <s v="D9T84A"/>
    <n v="3"/>
    <n v="116.8"/>
    <x v="2"/>
    <n v="48.97"/>
    <d v="2025-07-06T00:00:00"/>
    <x v="0"/>
    <n v="0.06"/>
    <n v="329.37599999999998"/>
    <x v="0"/>
    <s v="Breakfast"/>
    <s v="Card"/>
    <s v="Combo"/>
    <s v="OK"/>
  </r>
  <r>
    <s v="O00321"/>
    <s v="HUZZPQ"/>
    <n v="1"/>
    <n v="146.4"/>
    <x v="3"/>
    <n v="80.92"/>
    <d v="2025-07-06T00:00:00"/>
    <x v="0"/>
    <n v="0.06"/>
    <n v="137.61599999999999"/>
    <x v="0"/>
    <s v="Breakfast"/>
    <s v="Card"/>
    <s v="Combo"/>
    <s v="OK"/>
  </r>
  <r>
    <s v="O00322"/>
    <s v="HH1DNM"/>
    <n v="1"/>
    <n v="246.09"/>
    <x v="3"/>
    <n v="112.08"/>
    <d v="2025-07-11T00:00:00"/>
    <x v="0"/>
    <n v="0.08"/>
    <n v="226.40280000000001"/>
    <x v="0"/>
    <s v="Breakfast"/>
    <s v="Cash"/>
    <s v="Combo"/>
    <s v="HighDisc"/>
  </r>
  <r>
    <s v="O00322"/>
    <s v="BHL1C3"/>
    <n v="2"/>
    <n v="22.2"/>
    <x v="1"/>
    <n v="9.3800000000000008"/>
    <d v="2025-07-11T00:00:00"/>
    <x v="0"/>
    <n v="0.08"/>
    <n v="40.847999999999999"/>
    <x v="0"/>
    <s v="Breakfast"/>
    <s v="Cash"/>
    <s v="Combo"/>
    <s v="HighDisc"/>
  </r>
  <r>
    <s v="O00322"/>
    <s v="B0T0PV"/>
    <n v="3"/>
    <n v="28.43"/>
    <x v="1"/>
    <n v="13.89"/>
    <d v="2025-07-11T00:00:00"/>
    <x v="0"/>
    <n v="0.08"/>
    <n v="78.466799999999992"/>
    <x v="0"/>
    <s v="Breakfast"/>
    <s v="Cash"/>
    <s v="Combo"/>
    <s v="HighDisc"/>
  </r>
  <r>
    <s v="O00322"/>
    <s v="D9T84A"/>
    <n v="3"/>
    <n v="116.8"/>
    <x v="2"/>
    <n v="48.97"/>
    <d v="2025-07-11T00:00:00"/>
    <x v="0"/>
    <n v="0.08"/>
    <n v="322.36799999999999"/>
    <x v="0"/>
    <s v="Breakfast"/>
    <s v="Cash"/>
    <s v="Combo"/>
    <s v="HighDisc"/>
  </r>
  <r>
    <s v="O00323"/>
    <s v="D9T84A"/>
    <n v="1"/>
    <n v="116.8"/>
    <x v="2"/>
    <n v="48.97"/>
    <d v="2025-07-09T00:00:00"/>
    <x v="2"/>
    <n v="0.09"/>
    <n v="106.288"/>
    <x v="0"/>
    <s v="Breakfast"/>
    <s v="Card"/>
    <s v="Single"/>
    <s v="OK"/>
  </r>
  <r>
    <s v="O00323"/>
    <s v="B0T0PV"/>
    <n v="2"/>
    <n v="28.43"/>
    <x v="1"/>
    <n v="13.89"/>
    <d v="2025-07-09T00:00:00"/>
    <x v="2"/>
    <n v="0.09"/>
    <n v="51.742600000000003"/>
    <x v="0"/>
    <s v="Breakfast"/>
    <s v="Card"/>
    <s v="Single"/>
    <s v="OK"/>
  </r>
  <r>
    <s v="O00324"/>
    <s v="HXAJI0"/>
    <n v="1"/>
    <n v="227.61"/>
    <x v="3"/>
    <n v="96.22"/>
    <d v="2025-07-15T00:00:00"/>
    <x v="1"/>
    <n v="0.04"/>
    <n v="218.50560000000002"/>
    <x v="0"/>
    <s v="Lunch"/>
    <s v="Cash"/>
    <s v="Single"/>
    <s v="OK"/>
  </r>
  <r>
    <s v="O00324"/>
    <s v="S5NQ4F"/>
    <n v="3"/>
    <n v="50.19"/>
    <x v="0"/>
    <n v="22.61"/>
    <d v="2025-07-15T00:00:00"/>
    <x v="1"/>
    <n v="0.04"/>
    <n v="144.54719999999998"/>
    <x v="0"/>
    <s v="Lunch"/>
    <s v="Cash"/>
    <s v="Single"/>
    <s v="OK"/>
  </r>
  <r>
    <s v="O00324"/>
    <s v="SCKW5N"/>
    <n v="2"/>
    <n v="70.540000000000006"/>
    <x v="0"/>
    <n v="35.81"/>
    <d v="2025-07-15T00:00:00"/>
    <x v="1"/>
    <n v="0.04"/>
    <n v="135.43680000000001"/>
    <x v="0"/>
    <s v="Lunch"/>
    <s v="Cash"/>
    <s v="Single"/>
    <s v="OK"/>
  </r>
  <r>
    <s v="O00325"/>
    <s v="S5NQ4F"/>
    <n v="1"/>
    <n v="50.19"/>
    <x v="0"/>
    <n v="22.61"/>
    <d v="2025-08-04T00:00:00"/>
    <x v="2"/>
    <n v="7.0000000000000007E-2"/>
    <n v="46.676699999999997"/>
    <x v="1"/>
    <s v="Breakfast"/>
    <s v="Cash"/>
    <s v="Single"/>
    <s v="OK"/>
  </r>
  <r>
    <s v="O00326"/>
    <s v="BXO6QJ"/>
    <n v="1"/>
    <n v="20.11"/>
    <x v="1"/>
    <n v="8"/>
    <d v="2025-08-18T00:00:00"/>
    <x v="1"/>
    <n v="0.06"/>
    <n v="18.903399999999998"/>
    <x v="1"/>
    <s v="Dinner"/>
    <s v="Card"/>
    <s v="Single"/>
    <s v="OK"/>
  </r>
  <r>
    <s v="O00327"/>
    <s v="SZBIKC"/>
    <n v="1"/>
    <n v="38.06"/>
    <x v="0"/>
    <n v="19.55"/>
    <d v="2025-08-06T00:00:00"/>
    <x v="2"/>
    <n v="0.06"/>
    <n v="35.776400000000002"/>
    <x v="1"/>
    <s v="Lunch"/>
    <s v="Card"/>
    <s v="Single"/>
    <s v="OK"/>
  </r>
  <r>
    <s v="O00327"/>
    <s v="B0T0PV"/>
    <n v="1"/>
    <n v="28.43"/>
    <x v="1"/>
    <n v="13.89"/>
    <d v="2025-08-06T00:00:00"/>
    <x v="2"/>
    <n v="0.06"/>
    <n v="26.7242"/>
    <x v="1"/>
    <s v="Lunch"/>
    <s v="Card"/>
    <s v="Single"/>
    <s v="OK"/>
  </r>
  <r>
    <s v="O00327"/>
    <s v="S5NQ4F"/>
    <n v="1"/>
    <n v="50.19"/>
    <x v="0"/>
    <n v="22.61"/>
    <d v="2025-08-06T00:00:00"/>
    <x v="2"/>
    <n v="0.06"/>
    <n v="47.178599999999996"/>
    <x v="1"/>
    <s v="Lunch"/>
    <s v="Card"/>
    <s v="Single"/>
    <s v="OK"/>
  </r>
  <r>
    <s v="O00328"/>
    <s v="HUZZPQ"/>
    <n v="2"/>
    <n v="146.4"/>
    <x v="3"/>
    <n v="80.92"/>
    <d v="2025-08-02T00:00:00"/>
    <x v="2"/>
    <n v="0.03"/>
    <n v="284.01600000000002"/>
    <x v="1"/>
    <s v="Dinner"/>
    <s v="Cash"/>
    <s v="Single"/>
    <s v="OK"/>
  </r>
  <r>
    <s v="O00329"/>
    <s v="DFFYVN"/>
    <n v="1"/>
    <n v="54.2"/>
    <x v="2"/>
    <n v="21.95"/>
    <d v="2025-08-16T00:00:00"/>
    <x v="0"/>
    <n v="0.06"/>
    <n v="50.948"/>
    <x v="1"/>
    <s v="Breakfast"/>
    <s v="UPI"/>
    <s v="Single"/>
    <s v="OK"/>
  </r>
  <r>
    <s v="O00329"/>
    <s v="HUZZPQ"/>
    <n v="3"/>
    <n v="146.4"/>
    <x v="3"/>
    <n v="80.92"/>
    <d v="2025-08-16T00:00:00"/>
    <x v="0"/>
    <n v="0.06"/>
    <n v="412.84800000000001"/>
    <x v="1"/>
    <s v="Breakfast"/>
    <s v="UPI"/>
    <s v="Single"/>
    <s v="OK"/>
  </r>
  <r>
    <s v="O00329"/>
    <s v="SHJ7XV"/>
    <n v="1"/>
    <n v="52.45"/>
    <x v="0"/>
    <n v="25.8"/>
    <d v="2025-08-16T00:00:00"/>
    <x v="0"/>
    <n v="0.06"/>
    <n v="49.302999999999997"/>
    <x v="1"/>
    <s v="Breakfast"/>
    <s v="UPI"/>
    <s v="Single"/>
    <s v="OK"/>
  </r>
  <r>
    <s v="O00330"/>
    <s v="BXO6QJ"/>
    <n v="2"/>
    <n v="20.11"/>
    <x v="1"/>
    <n v="8"/>
    <d v="2025-08-13T00:00:00"/>
    <x v="0"/>
    <n v="0.08"/>
    <n v="37.002400000000002"/>
    <x v="1"/>
    <s v="Dinner"/>
    <s v="Cash"/>
    <s v="Combo"/>
    <s v="HighDisc"/>
  </r>
  <r>
    <s v="O00330"/>
    <s v="H3A3ZM"/>
    <n v="1"/>
    <n v="170.83"/>
    <x v="3"/>
    <n v="74.069999999999993"/>
    <d v="2025-08-13T00:00:00"/>
    <x v="0"/>
    <n v="0.08"/>
    <n v="157.16360000000003"/>
    <x v="1"/>
    <s v="Dinner"/>
    <s v="Cash"/>
    <s v="Combo"/>
    <s v="HighDisc"/>
  </r>
  <r>
    <s v="O00330"/>
    <s v="HDPBHS"/>
    <n v="2"/>
    <n v="256.91000000000003"/>
    <x v="3"/>
    <n v="121.24"/>
    <d v="2025-08-13T00:00:00"/>
    <x v="0"/>
    <n v="0.08"/>
    <n v="472.71440000000007"/>
    <x v="1"/>
    <s v="Dinner"/>
    <s v="Cash"/>
    <s v="Combo"/>
    <s v="HighDisc"/>
  </r>
  <r>
    <s v="O00331"/>
    <s v="SZBIKC"/>
    <n v="2"/>
    <n v="38.06"/>
    <x v="0"/>
    <n v="19.55"/>
    <d v="2025-07-26T00:00:00"/>
    <x v="2"/>
    <n v="0.12"/>
    <n v="66.985600000000005"/>
    <x v="0"/>
    <s v="Breakfast"/>
    <s v="UPI"/>
    <s v="Single"/>
    <s v="HighDisc"/>
  </r>
  <r>
    <s v="O00331"/>
    <s v="HH1DNM"/>
    <n v="1"/>
    <n v="246.09"/>
    <x v="3"/>
    <n v="112.08"/>
    <d v="2025-07-26T00:00:00"/>
    <x v="2"/>
    <n v="0.12"/>
    <n v="216.5592"/>
    <x v="0"/>
    <s v="Breakfast"/>
    <s v="UPI"/>
    <s v="Single"/>
    <s v="HighDisc"/>
  </r>
  <r>
    <s v="O00331"/>
    <s v="SV30T9"/>
    <n v="2"/>
    <n v="39.950000000000003"/>
    <x v="0"/>
    <n v="15.51"/>
    <d v="2025-07-26T00:00:00"/>
    <x v="2"/>
    <n v="0.12"/>
    <n v="70.312000000000012"/>
    <x v="0"/>
    <s v="Breakfast"/>
    <s v="UPI"/>
    <s v="Single"/>
    <s v="HighDisc"/>
  </r>
  <r>
    <s v="O00331"/>
    <s v="DYTJXE"/>
    <n v="1"/>
    <n v="57.07"/>
    <x v="2"/>
    <n v="29.14"/>
    <d v="2025-07-26T00:00:00"/>
    <x v="2"/>
    <n v="0.12"/>
    <n v="50.221600000000002"/>
    <x v="0"/>
    <s v="Breakfast"/>
    <s v="UPI"/>
    <s v="Single"/>
    <s v="HighDisc"/>
  </r>
  <r>
    <s v="O00332"/>
    <s v="BHL1C3"/>
    <n v="2"/>
    <n v="22.2"/>
    <x v="1"/>
    <n v="9.3800000000000008"/>
    <d v="2025-08-11T00:00:00"/>
    <x v="2"/>
    <n v="0.1"/>
    <n v="39.96"/>
    <x v="1"/>
    <s v="Breakfast"/>
    <s v="Cash"/>
    <s v="Single"/>
    <s v="OK"/>
  </r>
  <r>
    <s v="O00332"/>
    <s v="SCKW5N"/>
    <n v="1"/>
    <n v="70.540000000000006"/>
    <x v="0"/>
    <n v="35.81"/>
    <d v="2025-08-11T00:00:00"/>
    <x v="2"/>
    <n v="0.1"/>
    <n v="63.486000000000004"/>
    <x v="1"/>
    <s v="Breakfast"/>
    <s v="Cash"/>
    <s v="Single"/>
    <s v="OK"/>
  </r>
  <r>
    <s v="O00332"/>
    <s v="S5NQ4F"/>
    <n v="1"/>
    <n v="50.19"/>
    <x v="0"/>
    <n v="22.61"/>
    <d v="2025-08-11T00:00:00"/>
    <x v="2"/>
    <n v="0.1"/>
    <n v="45.170999999999999"/>
    <x v="1"/>
    <s v="Breakfast"/>
    <s v="Cash"/>
    <s v="Single"/>
    <s v="OK"/>
  </r>
  <r>
    <s v="O00332"/>
    <s v="DFFYVN"/>
    <n v="1"/>
    <n v="54.2"/>
    <x v="2"/>
    <n v="21.95"/>
    <d v="2025-08-11T00:00:00"/>
    <x v="2"/>
    <n v="0.1"/>
    <n v="48.78"/>
    <x v="1"/>
    <s v="Breakfast"/>
    <s v="Cash"/>
    <s v="Single"/>
    <s v="OK"/>
  </r>
  <r>
    <s v="O00333"/>
    <s v="BXO6QJ"/>
    <n v="1"/>
    <n v="20.11"/>
    <x v="1"/>
    <n v="8"/>
    <d v="2025-07-13T00:00:00"/>
    <x v="2"/>
    <n v="0.15"/>
    <n v="17.093499999999999"/>
    <x v="0"/>
    <s v="Breakfast"/>
    <s v="Card"/>
    <s v="Single"/>
    <s v="OK"/>
  </r>
  <r>
    <s v="O00333"/>
    <s v="DH9SDB"/>
    <n v="2"/>
    <n v="76.55"/>
    <x v="2"/>
    <n v="38.229999999999997"/>
    <d v="2025-07-13T00:00:00"/>
    <x v="2"/>
    <n v="0.15"/>
    <n v="130.13499999999999"/>
    <x v="0"/>
    <s v="Breakfast"/>
    <s v="Card"/>
    <s v="Single"/>
    <s v="OK"/>
  </r>
  <r>
    <s v="O00334"/>
    <s v="HXAJI0"/>
    <n v="2"/>
    <n v="227.61"/>
    <x v="3"/>
    <n v="96.22"/>
    <d v="2025-07-07T00:00:00"/>
    <x v="2"/>
    <n v="0.03"/>
    <n v="441.5634"/>
    <x v="0"/>
    <s v="Breakfast"/>
    <s v="UPI"/>
    <s v="Combo"/>
    <s v="OK"/>
  </r>
  <r>
    <s v="O00334"/>
    <s v="DFFYVN"/>
    <n v="1"/>
    <n v="54.2"/>
    <x v="2"/>
    <n v="21.95"/>
    <d v="2025-07-07T00:00:00"/>
    <x v="2"/>
    <n v="0.03"/>
    <n v="52.573999999999998"/>
    <x v="0"/>
    <s v="Breakfast"/>
    <s v="UPI"/>
    <s v="Combo"/>
    <s v="OK"/>
  </r>
  <r>
    <s v="O00334"/>
    <s v="S5NQ4F"/>
    <n v="2"/>
    <n v="50.19"/>
    <x v="0"/>
    <n v="22.61"/>
    <d v="2025-07-07T00:00:00"/>
    <x v="2"/>
    <n v="0.03"/>
    <n v="97.368599999999986"/>
    <x v="0"/>
    <s v="Breakfast"/>
    <s v="UPI"/>
    <s v="Combo"/>
    <s v="OK"/>
  </r>
  <r>
    <s v="O00334"/>
    <s v="BOC6UZ"/>
    <n v="2"/>
    <n v="32.979999999999997"/>
    <x v="1"/>
    <n v="11.84"/>
    <d v="2025-07-07T00:00:00"/>
    <x v="2"/>
    <n v="0.03"/>
    <n v="63.981199999999994"/>
    <x v="0"/>
    <s v="Breakfast"/>
    <s v="UPI"/>
    <s v="Combo"/>
    <s v="OK"/>
  </r>
  <r>
    <s v="O00335"/>
    <s v="H3A3ZM"/>
    <n v="2"/>
    <n v="170.83"/>
    <x v="3"/>
    <n v="74.069999999999993"/>
    <d v="2025-07-02T00:00:00"/>
    <x v="0"/>
    <n v="0.09"/>
    <n v="310.91060000000004"/>
    <x v="0"/>
    <s v="Dinner"/>
    <s v="UPI"/>
    <s v="Single"/>
    <s v="HighDisc"/>
  </r>
  <r>
    <s v="O00335"/>
    <s v="D9T84A"/>
    <n v="2"/>
    <n v="116.8"/>
    <x v="2"/>
    <n v="48.97"/>
    <d v="2025-07-02T00:00:00"/>
    <x v="0"/>
    <n v="0.09"/>
    <n v="212.57599999999999"/>
    <x v="0"/>
    <s v="Dinner"/>
    <s v="UPI"/>
    <s v="Single"/>
    <s v="HighDisc"/>
  </r>
  <r>
    <s v="O00335"/>
    <s v="HUZZPQ"/>
    <n v="1"/>
    <n v="146.4"/>
    <x v="3"/>
    <n v="80.92"/>
    <d v="2025-07-02T00:00:00"/>
    <x v="0"/>
    <n v="0.09"/>
    <n v="133.22400000000002"/>
    <x v="0"/>
    <s v="Dinner"/>
    <s v="UPI"/>
    <s v="Single"/>
    <s v="HighDisc"/>
  </r>
  <r>
    <s v="O00336"/>
    <s v="S5NQ4F"/>
    <n v="2"/>
    <n v="50.19"/>
    <x v="0"/>
    <n v="22.61"/>
    <d v="2025-07-15T00:00:00"/>
    <x v="1"/>
    <n v="7.0000000000000007E-2"/>
    <n v="93.353399999999993"/>
    <x v="0"/>
    <s v="Breakfast"/>
    <s v="Cash"/>
    <s v="Single"/>
    <s v="OK"/>
  </r>
  <r>
    <s v="O00336"/>
    <s v="DYTJXE"/>
    <n v="2"/>
    <n v="57.07"/>
    <x v="2"/>
    <n v="29.14"/>
    <d v="2025-07-15T00:00:00"/>
    <x v="1"/>
    <n v="7.0000000000000007E-2"/>
    <n v="106.1502"/>
    <x v="0"/>
    <s v="Breakfast"/>
    <s v="Cash"/>
    <s v="Single"/>
    <s v="OK"/>
  </r>
  <r>
    <s v="O00337"/>
    <s v="HUZZPQ"/>
    <n v="1"/>
    <n v="146.4"/>
    <x v="3"/>
    <n v="80.92"/>
    <d v="2025-07-24T00:00:00"/>
    <x v="0"/>
    <n v="0.15"/>
    <n v="124.44"/>
    <x v="0"/>
    <s v="Lunch"/>
    <s v="Cash"/>
    <s v="Single"/>
    <s v="OK"/>
  </r>
  <r>
    <s v="O00338"/>
    <s v="B0T0PV"/>
    <n v="1"/>
    <n v="28.43"/>
    <x v="1"/>
    <n v="13.89"/>
    <d v="2025-08-21T00:00:00"/>
    <x v="1"/>
    <n v="0.03"/>
    <n v="27.577099999999998"/>
    <x v="1"/>
    <s v="Breakfast"/>
    <s v="UPI"/>
    <s v="Single"/>
    <s v="OK"/>
  </r>
  <r>
    <s v="O00338"/>
    <s v="BTIQJ7"/>
    <n v="1"/>
    <n v="30.34"/>
    <x v="1"/>
    <n v="14.18"/>
    <d v="2025-08-21T00:00:00"/>
    <x v="1"/>
    <n v="0.03"/>
    <n v="29.4298"/>
    <x v="1"/>
    <s v="Breakfast"/>
    <s v="UPI"/>
    <s v="Single"/>
    <s v="OK"/>
  </r>
  <r>
    <s v="O00338"/>
    <s v="BOC6UZ"/>
    <n v="3"/>
    <n v="32.979999999999997"/>
    <x v="1"/>
    <n v="11.84"/>
    <d v="2025-08-21T00:00:00"/>
    <x v="1"/>
    <n v="0.03"/>
    <n v="95.971800000000002"/>
    <x v="1"/>
    <s v="Breakfast"/>
    <s v="UPI"/>
    <s v="Single"/>
    <s v="OK"/>
  </r>
  <r>
    <s v="O00339"/>
    <s v="D9T84A"/>
    <n v="2"/>
    <n v="116.8"/>
    <x v="2"/>
    <n v="48.97"/>
    <d v="2025-08-19T00:00:00"/>
    <x v="0"/>
    <n v="0.03"/>
    <n v="226.59199999999998"/>
    <x v="1"/>
    <s v="Lunch"/>
    <s v="Cash"/>
    <s v="Single"/>
    <s v="OK"/>
  </r>
  <r>
    <s v="O00339"/>
    <s v="DYTJXE"/>
    <n v="3"/>
    <n v="57.07"/>
    <x v="2"/>
    <n v="29.14"/>
    <d v="2025-08-19T00:00:00"/>
    <x v="0"/>
    <n v="0.03"/>
    <n v="166.0737"/>
    <x v="1"/>
    <s v="Lunch"/>
    <s v="Cash"/>
    <s v="Single"/>
    <s v="OK"/>
  </r>
  <r>
    <s v="O00340"/>
    <s v="SHJ7XV"/>
    <n v="3"/>
    <n v="52.45"/>
    <x v="0"/>
    <n v="25.8"/>
    <d v="2025-08-15T00:00:00"/>
    <x v="2"/>
    <n v="0.04"/>
    <n v="151.05600000000001"/>
    <x v="1"/>
    <s v="Dinner"/>
    <s v="Card"/>
    <s v="Single"/>
    <s v="OK"/>
  </r>
  <r>
    <s v="O00340"/>
    <s v="BOC6UZ"/>
    <n v="1"/>
    <n v="32.979999999999997"/>
    <x v="1"/>
    <n v="11.84"/>
    <d v="2025-08-15T00:00:00"/>
    <x v="2"/>
    <n v="0.04"/>
    <n v="31.660799999999995"/>
    <x v="1"/>
    <s v="Dinner"/>
    <s v="Card"/>
    <s v="Single"/>
    <s v="OK"/>
  </r>
  <r>
    <s v="O00340"/>
    <s v="DFFYVN"/>
    <n v="1"/>
    <n v="54.2"/>
    <x v="2"/>
    <n v="21.95"/>
    <d v="2025-08-15T00:00:00"/>
    <x v="2"/>
    <n v="0.04"/>
    <n v="52.032000000000004"/>
    <x v="1"/>
    <s v="Dinner"/>
    <s v="Card"/>
    <s v="Single"/>
    <s v="OK"/>
  </r>
  <r>
    <s v="O00340"/>
    <s v="BTIQJ7"/>
    <n v="1"/>
    <n v="30.34"/>
    <x v="1"/>
    <n v="14.18"/>
    <d v="2025-08-15T00:00:00"/>
    <x v="2"/>
    <n v="0.04"/>
    <n v="29.1264"/>
    <x v="1"/>
    <s v="Dinner"/>
    <s v="Card"/>
    <s v="Single"/>
    <s v="OK"/>
  </r>
  <r>
    <s v="O00341"/>
    <s v="SV30T9"/>
    <n v="1"/>
    <n v="39.950000000000003"/>
    <x v="0"/>
    <n v="15.51"/>
    <d v="2025-07-25T00:00:00"/>
    <x v="0"/>
    <n v="0"/>
    <n v="39.950000000000003"/>
    <x v="0"/>
    <s v="Dinner"/>
    <s v="Card"/>
    <s v="Single"/>
    <s v="OK"/>
  </r>
  <r>
    <s v="O00341"/>
    <s v="DH9SDB"/>
    <n v="3"/>
    <n v="76.55"/>
    <x v="2"/>
    <n v="38.229999999999997"/>
    <d v="2025-07-25T00:00:00"/>
    <x v="0"/>
    <n v="0"/>
    <n v="229.64999999999998"/>
    <x v="0"/>
    <s v="Dinner"/>
    <s v="Card"/>
    <s v="Single"/>
    <s v="OK"/>
  </r>
  <r>
    <s v="O00341"/>
    <s v="HUZZPQ"/>
    <n v="1"/>
    <n v="146.4"/>
    <x v="3"/>
    <n v="80.92"/>
    <d v="2025-07-25T00:00:00"/>
    <x v="0"/>
    <n v="0"/>
    <n v="146.4"/>
    <x v="0"/>
    <s v="Dinner"/>
    <s v="Card"/>
    <s v="Single"/>
    <s v="OK"/>
  </r>
  <r>
    <s v="O00342"/>
    <s v="SHJ7XV"/>
    <n v="1"/>
    <n v="52.45"/>
    <x v="0"/>
    <n v="25.8"/>
    <d v="2025-08-03T00:00:00"/>
    <x v="2"/>
    <n v="0.04"/>
    <n v="50.352000000000004"/>
    <x v="1"/>
    <s v="Dinner"/>
    <s v="UPI"/>
    <s v="Single"/>
    <s v="OK"/>
  </r>
  <r>
    <s v="O00342"/>
    <s v="B0T0PV"/>
    <n v="2"/>
    <n v="28.43"/>
    <x v="1"/>
    <n v="13.89"/>
    <d v="2025-08-03T00:00:00"/>
    <x v="2"/>
    <n v="0.04"/>
    <n v="54.585599999999999"/>
    <x v="1"/>
    <s v="Dinner"/>
    <s v="UPI"/>
    <s v="Single"/>
    <s v="OK"/>
  </r>
  <r>
    <s v="O00343"/>
    <s v="DFFYVN"/>
    <n v="2"/>
    <n v="54.2"/>
    <x v="2"/>
    <n v="21.95"/>
    <d v="2025-08-26T00:00:00"/>
    <x v="0"/>
    <n v="0.03"/>
    <n v="105.148"/>
    <x v="1"/>
    <s v="Dinner"/>
    <s v="Cash"/>
    <s v="Single"/>
    <s v="OK"/>
  </r>
  <r>
    <s v="O00344"/>
    <s v="SZBIKC"/>
    <n v="2"/>
    <n v="38.06"/>
    <x v="0"/>
    <n v="19.55"/>
    <d v="2025-08-04T00:00:00"/>
    <x v="0"/>
    <n v="7.0000000000000007E-2"/>
    <n v="70.791600000000003"/>
    <x v="1"/>
    <s v="Breakfast"/>
    <s v="UPI"/>
    <s v="Single"/>
    <s v="OK"/>
  </r>
  <r>
    <s v="O00344"/>
    <s v="DFFYVN"/>
    <n v="1"/>
    <n v="54.2"/>
    <x v="2"/>
    <n v="21.95"/>
    <d v="2025-08-04T00:00:00"/>
    <x v="0"/>
    <n v="7.0000000000000007E-2"/>
    <n v="50.405999999999999"/>
    <x v="1"/>
    <s v="Breakfast"/>
    <s v="UPI"/>
    <s v="Single"/>
    <s v="OK"/>
  </r>
  <r>
    <s v="O00344"/>
    <s v="S5NQ4F"/>
    <n v="2"/>
    <n v="50.19"/>
    <x v="0"/>
    <n v="22.61"/>
    <d v="2025-08-04T00:00:00"/>
    <x v="0"/>
    <n v="7.0000000000000007E-2"/>
    <n v="93.353399999999993"/>
    <x v="1"/>
    <s v="Breakfast"/>
    <s v="UPI"/>
    <s v="Single"/>
    <s v="OK"/>
  </r>
  <r>
    <s v="O00345"/>
    <s v="BHL1C3"/>
    <n v="1"/>
    <n v="22.2"/>
    <x v="1"/>
    <n v="9.3800000000000008"/>
    <d v="2025-08-15T00:00:00"/>
    <x v="0"/>
    <n v="7.0000000000000007E-2"/>
    <n v="20.645999999999997"/>
    <x v="1"/>
    <s v="Breakfast"/>
    <s v="UPI"/>
    <s v="Combo"/>
    <s v="HighDisc"/>
  </r>
  <r>
    <s v="O00345"/>
    <s v="DFFYVN"/>
    <n v="3"/>
    <n v="54.2"/>
    <x v="2"/>
    <n v="21.95"/>
    <d v="2025-08-15T00:00:00"/>
    <x v="0"/>
    <n v="7.0000000000000007E-2"/>
    <n v="151.21800000000002"/>
    <x v="1"/>
    <s v="Breakfast"/>
    <s v="UPI"/>
    <s v="Combo"/>
    <s v="HighDisc"/>
  </r>
  <r>
    <s v="O00345"/>
    <s v="HXAJI0"/>
    <n v="2"/>
    <n v="227.61"/>
    <x v="3"/>
    <n v="96.22"/>
    <d v="2025-08-15T00:00:00"/>
    <x v="0"/>
    <n v="7.0000000000000007E-2"/>
    <n v="423.3546"/>
    <x v="1"/>
    <s v="Breakfast"/>
    <s v="UPI"/>
    <s v="Combo"/>
    <s v="HighDisc"/>
  </r>
  <r>
    <s v="O00346"/>
    <s v="BXO6QJ"/>
    <n v="1"/>
    <n v="20.11"/>
    <x v="1"/>
    <n v="8"/>
    <d v="2025-07-14T00:00:00"/>
    <x v="2"/>
    <n v="0.14000000000000001"/>
    <n v="17.294599999999999"/>
    <x v="0"/>
    <s v="Breakfast"/>
    <s v="Card"/>
    <s v="Single"/>
    <s v="OK"/>
  </r>
  <r>
    <s v="O00346"/>
    <s v="B0T0PV"/>
    <n v="2"/>
    <n v="28.43"/>
    <x v="1"/>
    <n v="13.89"/>
    <d v="2025-07-14T00:00:00"/>
    <x v="2"/>
    <n v="0.14000000000000001"/>
    <n v="48.8996"/>
    <x v="0"/>
    <s v="Breakfast"/>
    <s v="Card"/>
    <s v="Single"/>
    <s v="OK"/>
  </r>
  <r>
    <s v="O00347"/>
    <s v="HUZZPQ"/>
    <n v="2"/>
    <n v="146.4"/>
    <x v="3"/>
    <n v="80.92"/>
    <d v="2025-07-29T00:00:00"/>
    <x v="2"/>
    <n v="0.1"/>
    <n v="263.52000000000004"/>
    <x v="0"/>
    <s v="Dinner"/>
    <s v="Cash"/>
    <s v="Single"/>
    <s v="HighDisc"/>
  </r>
  <r>
    <s v="O00347"/>
    <s v="HDPBHS"/>
    <n v="1"/>
    <n v="256.91000000000003"/>
    <x v="3"/>
    <n v="121.24"/>
    <d v="2025-07-29T00:00:00"/>
    <x v="2"/>
    <n v="0.1"/>
    <n v="231.21900000000002"/>
    <x v="0"/>
    <s v="Dinner"/>
    <s v="Cash"/>
    <s v="Single"/>
    <s v="HighDisc"/>
  </r>
  <r>
    <s v="O00348"/>
    <s v="H3A3ZM"/>
    <n v="2"/>
    <n v="170.83"/>
    <x v="3"/>
    <n v="74.069999999999993"/>
    <d v="2025-07-31T00:00:00"/>
    <x v="1"/>
    <n v="0.04"/>
    <n v="327.99360000000001"/>
    <x v="0"/>
    <s v="Dinner"/>
    <s v="Card"/>
    <s v="Single"/>
    <s v="HighDisc"/>
  </r>
  <r>
    <s v="O00348"/>
    <s v="HDPBHS"/>
    <n v="3"/>
    <n v="256.91000000000003"/>
    <x v="3"/>
    <n v="121.24"/>
    <d v="2025-07-31T00:00:00"/>
    <x v="1"/>
    <n v="0.04"/>
    <n v="739.9008"/>
    <x v="0"/>
    <s v="Dinner"/>
    <s v="Card"/>
    <s v="Single"/>
    <s v="HighDisc"/>
  </r>
  <r>
    <s v="O00348"/>
    <s v="SCKW5N"/>
    <n v="1"/>
    <n v="70.540000000000006"/>
    <x v="0"/>
    <n v="35.81"/>
    <d v="2025-07-31T00:00:00"/>
    <x v="1"/>
    <n v="0.04"/>
    <n v="67.718400000000003"/>
    <x v="0"/>
    <s v="Dinner"/>
    <s v="Card"/>
    <s v="Single"/>
    <s v="HighDisc"/>
  </r>
  <r>
    <s v="O00348"/>
    <s v="DYTJXE"/>
    <n v="2"/>
    <n v="57.07"/>
    <x v="2"/>
    <n v="29.14"/>
    <d v="2025-07-31T00:00:00"/>
    <x v="1"/>
    <n v="0.04"/>
    <n v="109.5744"/>
    <x v="0"/>
    <s v="Dinner"/>
    <s v="Card"/>
    <s v="Single"/>
    <s v="HighDisc"/>
  </r>
  <r>
    <s v="O00349"/>
    <s v="D9T84A"/>
    <n v="1"/>
    <n v="116.8"/>
    <x v="2"/>
    <n v="48.97"/>
    <d v="2025-08-16T00:00:00"/>
    <x v="1"/>
    <n v="0.02"/>
    <n v="114.464"/>
    <x v="1"/>
    <s v="Breakfast"/>
    <s v="UPI"/>
    <s v="Single"/>
    <s v="OK"/>
  </r>
  <r>
    <s v="O00349"/>
    <s v="HH1DNM"/>
    <n v="1"/>
    <n v="246.09"/>
    <x v="3"/>
    <n v="112.08"/>
    <d v="2025-08-16T00:00:00"/>
    <x v="1"/>
    <n v="0.02"/>
    <n v="241.16820000000001"/>
    <x v="1"/>
    <s v="Breakfast"/>
    <s v="UPI"/>
    <s v="Single"/>
    <s v="OK"/>
  </r>
  <r>
    <s v="O00349"/>
    <s v="DH9SDB"/>
    <n v="3"/>
    <n v="76.55"/>
    <x v="2"/>
    <n v="38.229999999999997"/>
    <d v="2025-08-16T00:00:00"/>
    <x v="1"/>
    <n v="0.02"/>
    <n v="225.05699999999996"/>
    <x v="1"/>
    <s v="Breakfast"/>
    <s v="UPI"/>
    <s v="Single"/>
    <s v="OK"/>
  </r>
  <r>
    <s v="O00349"/>
    <s v="H3A3ZM"/>
    <n v="2"/>
    <n v="170.83"/>
    <x v="3"/>
    <n v="74.069999999999993"/>
    <d v="2025-08-16T00:00:00"/>
    <x v="1"/>
    <n v="0.02"/>
    <n v="334.82679999999999"/>
    <x v="1"/>
    <s v="Breakfast"/>
    <s v="UPI"/>
    <s v="Single"/>
    <s v="OK"/>
  </r>
  <r>
    <s v="O00350"/>
    <s v="BOC6UZ"/>
    <n v="2"/>
    <n v="32.979999999999997"/>
    <x v="1"/>
    <n v="11.84"/>
    <d v="2025-07-29T00:00:00"/>
    <x v="1"/>
    <n v="0.08"/>
    <n v="60.683199999999999"/>
    <x v="0"/>
    <s v="Breakfast"/>
    <s v="UPI"/>
    <s v="Combo"/>
    <s v="OK"/>
  </r>
  <r>
    <s v="O00350"/>
    <s v="HUZZPQ"/>
    <n v="2"/>
    <n v="146.4"/>
    <x v="3"/>
    <n v="80.92"/>
    <d v="2025-07-29T00:00:00"/>
    <x v="1"/>
    <n v="0.08"/>
    <n v="269.37600000000003"/>
    <x v="0"/>
    <s v="Breakfast"/>
    <s v="UPI"/>
    <s v="Combo"/>
    <s v="OK"/>
  </r>
  <r>
    <s v="O00350"/>
    <s v="B0T0PV"/>
    <n v="1"/>
    <n v="28.43"/>
    <x v="1"/>
    <n v="13.89"/>
    <d v="2025-07-29T00:00:00"/>
    <x v="1"/>
    <n v="0.08"/>
    <n v="26.1556"/>
    <x v="0"/>
    <s v="Breakfast"/>
    <s v="UPI"/>
    <s v="Combo"/>
    <s v="OK"/>
  </r>
  <r>
    <s v="O00351"/>
    <s v="BTIQJ7"/>
    <n v="2"/>
    <n v="30.34"/>
    <x v="1"/>
    <n v="14.18"/>
    <d v="2025-07-27T00:00:00"/>
    <x v="2"/>
    <n v="0.01"/>
    <n v="60.0732"/>
    <x v="0"/>
    <s v="Dinner"/>
    <s v="Card"/>
    <s v="Single"/>
    <s v="OK"/>
  </r>
  <r>
    <s v="O00352"/>
    <s v="BXO6QJ"/>
    <n v="1"/>
    <n v="20.11"/>
    <x v="1"/>
    <n v="8"/>
    <d v="2025-08-12T00:00:00"/>
    <x v="1"/>
    <n v="0.13"/>
    <n v="17.495699999999999"/>
    <x v="1"/>
    <s v="Dinner"/>
    <s v="Cash"/>
    <s v="Single"/>
    <s v="OK"/>
  </r>
  <r>
    <s v="O00352"/>
    <s v="DFFYVN"/>
    <n v="2"/>
    <n v="54.2"/>
    <x v="2"/>
    <n v="21.95"/>
    <d v="2025-08-12T00:00:00"/>
    <x v="1"/>
    <n v="0.13"/>
    <n v="94.308000000000007"/>
    <x v="1"/>
    <s v="Dinner"/>
    <s v="Cash"/>
    <s v="Single"/>
    <s v="OK"/>
  </r>
  <r>
    <s v="O00352"/>
    <s v="BTIQJ7"/>
    <n v="1"/>
    <n v="30.34"/>
    <x v="1"/>
    <n v="14.18"/>
    <d v="2025-08-12T00:00:00"/>
    <x v="1"/>
    <n v="0.13"/>
    <n v="26.395800000000001"/>
    <x v="1"/>
    <s v="Dinner"/>
    <s v="Cash"/>
    <s v="Single"/>
    <s v="OK"/>
  </r>
  <r>
    <s v="O00352"/>
    <s v="SZBIKC"/>
    <n v="2"/>
    <n v="38.06"/>
    <x v="0"/>
    <n v="19.55"/>
    <d v="2025-08-12T00:00:00"/>
    <x v="1"/>
    <n v="0.13"/>
    <n v="66.224400000000003"/>
    <x v="1"/>
    <s v="Dinner"/>
    <s v="Cash"/>
    <s v="Single"/>
    <s v="OK"/>
  </r>
  <r>
    <s v="O00353"/>
    <s v="DH9SDB"/>
    <n v="3"/>
    <n v="76.55"/>
    <x v="2"/>
    <n v="38.229999999999997"/>
    <d v="2025-08-18T00:00:00"/>
    <x v="1"/>
    <n v="0.11"/>
    <n v="204.38849999999999"/>
    <x v="1"/>
    <s v="Lunch"/>
    <s v="Card"/>
    <s v="Single"/>
    <s v="OK"/>
  </r>
  <r>
    <s v="O00354"/>
    <s v="DH9SDB"/>
    <n v="2"/>
    <n v="76.55"/>
    <x v="2"/>
    <n v="38.229999999999997"/>
    <d v="2025-08-11T00:00:00"/>
    <x v="2"/>
    <n v="0.04"/>
    <n v="146.976"/>
    <x v="1"/>
    <s v="Lunch"/>
    <s v="UPI"/>
    <s v="Single"/>
    <s v="OK"/>
  </r>
  <r>
    <s v="O00354"/>
    <s v="SZBIKC"/>
    <n v="1"/>
    <n v="38.06"/>
    <x v="0"/>
    <n v="19.55"/>
    <d v="2025-08-11T00:00:00"/>
    <x v="2"/>
    <n v="0.04"/>
    <n v="36.537599999999998"/>
    <x v="1"/>
    <s v="Lunch"/>
    <s v="UPI"/>
    <s v="Single"/>
    <s v="OK"/>
  </r>
  <r>
    <s v="O00355"/>
    <s v="DYTJXE"/>
    <n v="1"/>
    <n v="57.07"/>
    <x v="2"/>
    <n v="29.14"/>
    <d v="2025-08-23T00:00:00"/>
    <x v="1"/>
    <n v="0"/>
    <n v="57.07"/>
    <x v="1"/>
    <s v="Breakfast"/>
    <s v="Cash"/>
    <s v="Single"/>
    <s v="OK"/>
  </r>
  <r>
    <s v="O00355"/>
    <s v="BTIQJ7"/>
    <n v="1"/>
    <n v="30.34"/>
    <x v="1"/>
    <n v="14.18"/>
    <d v="2025-08-23T00:00:00"/>
    <x v="1"/>
    <n v="0"/>
    <n v="30.34"/>
    <x v="1"/>
    <s v="Breakfast"/>
    <s v="Cash"/>
    <s v="Single"/>
    <s v="OK"/>
  </r>
  <r>
    <s v="O00356"/>
    <s v="S5NQ4F"/>
    <n v="2"/>
    <n v="50.19"/>
    <x v="0"/>
    <n v="22.61"/>
    <d v="2025-08-02T00:00:00"/>
    <x v="0"/>
    <n v="0.11"/>
    <n v="89.338200000000001"/>
    <x v="1"/>
    <s v="Breakfast"/>
    <s v="Card"/>
    <s v="Combo"/>
    <s v="HighDisc"/>
  </r>
  <r>
    <s v="O00356"/>
    <s v="HXAJI0"/>
    <n v="2"/>
    <n v="227.61"/>
    <x v="3"/>
    <n v="96.22"/>
    <d v="2025-08-02T00:00:00"/>
    <x v="0"/>
    <n v="0.11"/>
    <n v="405.14580000000001"/>
    <x v="1"/>
    <s v="Breakfast"/>
    <s v="Card"/>
    <s v="Combo"/>
    <s v="HighDisc"/>
  </r>
  <r>
    <s v="O00356"/>
    <s v="H3A3ZM"/>
    <n v="1"/>
    <n v="170.83"/>
    <x v="3"/>
    <n v="74.069999999999993"/>
    <d v="2025-08-02T00:00:00"/>
    <x v="0"/>
    <n v="0.11"/>
    <n v="152.03870000000001"/>
    <x v="1"/>
    <s v="Breakfast"/>
    <s v="Card"/>
    <s v="Combo"/>
    <s v="HighDisc"/>
  </r>
  <r>
    <s v="O00356"/>
    <s v="BTIQJ7"/>
    <n v="2"/>
    <n v="30.34"/>
    <x v="1"/>
    <n v="14.18"/>
    <d v="2025-08-02T00:00:00"/>
    <x v="0"/>
    <n v="0.11"/>
    <n v="54.005200000000002"/>
    <x v="1"/>
    <s v="Breakfast"/>
    <s v="Card"/>
    <s v="Combo"/>
    <s v="HighDisc"/>
  </r>
  <r>
    <s v="O00357"/>
    <s v="BXO6QJ"/>
    <n v="1"/>
    <n v="20.11"/>
    <x v="1"/>
    <n v="8"/>
    <d v="2025-08-28T00:00:00"/>
    <x v="0"/>
    <n v="0.06"/>
    <n v="18.903399999999998"/>
    <x v="1"/>
    <s v="Dinner"/>
    <s v="Cash"/>
    <s v="Single"/>
    <s v="OK"/>
  </r>
  <r>
    <s v="O00357"/>
    <s v="BHL1C3"/>
    <n v="1"/>
    <n v="22.2"/>
    <x v="1"/>
    <n v="9.3800000000000008"/>
    <d v="2025-08-28T00:00:00"/>
    <x v="0"/>
    <n v="0.06"/>
    <n v="20.867999999999999"/>
    <x v="1"/>
    <s v="Dinner"/>
    <s v="Cash"/>
    <s v="Single"/>
    <s v="OK"/>
  </r>
  <r>
    <s v="O00357"/>
    <s v="DYTJXE"/>
    <n v="1"/>
    <n v="57.07"/>
    <x v="2"/>
    <n v="29.14"/>
    <d v="2025-08-28T00:00:00"/>
    <x v="0"/>
    <n v="0.06"/>
    <n v="53.645799999999994"/>
    <x v="1"/>
    <s v="Dinner"/>
    <s v="Cash"/>
    <s v="Single"/>
    <s v="OK"/>
  </r>
  <r>
    <s v="O00358"/>
    <s v="SCKW5N"/>
    <n v="1"/>
    <n v="70.540000000000006"/>
    <x v="0"/>
    <n v="35.81"/>
    <d v="2025-08-04T00:00:00"/>
    <x v="1"/>
    <n v="0.11"/>
    <n v="62.780600000000007"/>
    <x v="1"/>
    <s v="Breakfast"/>
    <s v="UPI"/>
    <s v="Single"/>
    <s v="OK"/>
  </r>
  <r>
    <s v="O00358"/>
    <s v="BTIQJ7"/>
    <n v="1"/>
    <n v="30.34"/>
    <x v="1"/>
    <n v="14.18"/>
    <d v="2025-08-04T00:00:00"/>
    <x v="1"/>
    <n v="0.11"/>
    <n v="27.002600000000001"/>
    <x v="1"/>
    <s v="Breakfast"/>
    <s v="UPI"/>
    <s v="Single"/>
    <s v="OK"/>
  </r>
  <r>
    <s v="O00359"/>
    <s v="HXAJI0"/>
    <n v="2"/>
    <n v="227.61"/>
    <x v="3"/>
    <n v="96.22"/>
    <d v="2025-08-12T00:00:00"/>
    <x v="1"/>
    <n v="0"/>
    <n v="455.22"/>
    <x v="1"/>
    <s v="Lunch"/>
    <s v="Cash"/>
    <s v="Single"/>
    <s v="OK"/>
  </r>
  <r>
    <s v="O00360"/>
    <s v="H3A3ZM"/>
    <n v="1"/>
    <n v="170.83"/>
    <x v="3"/>
    <n v="74.069999999999993"/>
    <d v="2025-08-09T00:00:00"/>
    <x v="1"/>
    <n v="0.04"/>
    <n v="163.99680000000001"/>
    <x v="1"/>
    <s v="Dinner"/>
    <s v="UPI"/>
    <s v="Combo"/>
    <s v="HighDisc"/>
  </r>
  <r>
    <s v="O00360"/>
    <s v="HDPBHS"/>
    <n v="3"/>
    <n v="256.91000000000003"/>
    <x v="3"/>
    <n v="121.24"/>
    <d v="2025-08-09T00:00:00"/>
    <x v="1"/>
    <n v="0.04"/>
    <n v="739.9008"/>
    <x v="1"/>
    <s v="Dinner"/>
    <s v="UPI"/>
    <s v="Combo"/>
    <s v="HighDisc"/>
  </r>
  <r>
    <s v="O00360"/>
    <s v="BTIQJ7"/>
    <n v="2"/>
    <n v="30.34"/>
    <x v="1"/>
    <n v="14.18"/>
    <d v="2025-08-09T00:00:00"/>
    <x v="1"/>
    <n v="0.04"/>
    <n v="58.252800000000001"/>
    <x v="1"/>
    <s v="Dinner"/>
    <s v="UPI"/>
    <s v="Combo"/>
    <s v="HighDisc"/>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4">
  <r>
    <s v="O00001"/>
    <s v="SHJ7XV"/>
    <n v="3"/>
    <n v="52.45"/>
    <s v="Snack"/>
    <n v="25.8"/>
    <d v="2025-07-14T00:00:00"/>
    <x v="0"/>
    <n v="0.06"/>
    <n v="147.90900000000002"/>
    <s v="July"/>
    <x v="0"/>
    <s v="UPI"/>
    <x v="0"/>
    <s v="OK"/>
    <n v="77.400000000000006"/>
    <n v="70.509000000000015"/>
    <s v="Poha"/>
    <s v="Poha"/>
    <n v="0.47670527148449388"/>
  </r>
  <r>
    <s v="O00002"/>
    <s v="BTIQJ7"/>
    <n v="1"/>
    <n v="30.34"/>
    <s v="Beverage"/>
    <n v="14.18"/>
    <d v="2025-07-24T00:00:00"/>
    <x v="1"/>
    <n v="0.05"/>
    <n v="28.822999999999997"/>
    <s v="July"/>
    <x v="1"/>
    <s v="Cash"/>
    <x v="0"/>
    <s v="OK"/>
    <n v="14.18"/>
    <n v="14.642999999999997"/>
    <s v="Tea"/>
    <s v="Tea+Gulab Jamun (2 pc)"/>
    <n v="0.50803178017555417"/>
  </r>
  <r>
    <s v="O00002"/>
    <s v="DH9SDB"/>
    <n v="1"/>
    <n v="76.55"/>
    <s v="Dessert"/>
    <n v="38.229999999999997"/>
    <d v="2025-07-24T00:00:00"/>
    <x v="1"/>
    <n v="0.05"/>
    <n v="72.722499999999997"/>
    <s v="July"/>
    <x v="1"/>
    <s v="Cash"/>
    <x v="0"/>
    <s v="OK"/>
    <n v="38.229999999999997"/>
    <n v="34.4925"/>
    <s v="Gulab Jamun (2 pc)"/>
    <s v="Tea+Gulab Jamun (2 pc)"/>
    <n v="0.47430300113444945"/>
  </r>
  <r>
    <s v="O00003"/>
    <s v="BOC6UZ"/>
    <n v="2"/>
    <n v="32.979999999999997"/>
    <s v="Beverage"/>
    <n v="11.84"/>
    <d v="2025-07-10T00:00:00"/>
    <x v="0"/>
    <n v="0"/>
    <n v="65.959999999999994"/>
    <s v="July"/>
    <x v="2"/>
    <s v="Card"/>
    <x v="1"/>
    <s v="OK"/>
    <n v="23.68"/>
    <n v="42.279999999999994"/>
    <s v="Masala Chaas"/>
    <s v="Masala Chaas+Poha+Paneer Butter Masala + Naan+Paneer Roll"/>
    <n v="0.64099454214675555"/>
  </r>
  <r>
    <s v="O00003"/>
    <s v="SHJ7XV"/>
    <n v="1"/>
    <n v="52.45"/>
    <s v="Snack"/>
    <n v="25.8"/>
    <d v="2025-07-10T00:00:00"/>
    <x v="0"/>
    <n v="0"/>
    <n v="52.45"/>
    <s v="July"/>
    <x v="2"/>
    <s v="Card"/>
    <x v="1"/>
    <s v="OK"/>
    <n v="25.8"/>
    <n v="26.650000000000002"/>
    <s v="Poha"/>
    <s v="Masala Chaas+Poha+Paneer Butter Masala + Naan+Paneer Roll"/>
    <n v="0.50810295519542426"/>
  </r>
  <r>
    <s v="O00003"/>
    <s v="H3A3ZM"/>
    <n v="3"/>
    <n v="170.83"/>
    <s v="Hot Meal"/>
    <n v="74.069999999999993"/>
    <d v="2025-07-10T00:00:00"/>
    <x v="0"/>
    <n v="0"/>
    <n v="512.49"/>
    <s v="July"/>
    <x v="2"/>
    <s v="Card"/>
    <x v="1"/>
    <s v="OK"/>
    <n v="222.20999999999998"/>
    <n v="290.28000000000003"/>
    <s v="Paneer Butter Masala + Naan"/>
    <s v="Masala Chaas+Poha+Paneer Butter Masala + Naan+Paneer Roll"/>
    <n v="0.56641105192296437"/>
  </r>
  <r>
    <s v="O00003"/>
    <s v="SZBIKC"/>
    <n v="1"/>
    <n v="38.06"/>
    <s v="Snack"/>
    <n v="19.55"/>
    <d v="2025-07-10T00:00:00"/>
    <x v="0"/>
    <n v="0"/>
    <n v="38.06"/>
    <s v="July"/>
    <x v="2"/>
    <s v="Card"/>
    <x v="1"/>
    <s v="OK"/>
    <n v="19.55"/>
    <n v="18.510000000000002"/>
    <s v="Paneer Roll"/>
    <s v="Masala Chaas+Poha+Paneer Butter Masala + Naan+Paneer Roll"/>
    <n v="0.48633736205990541"/>
  </r>
  <r>
    <s v="O00004"/>
    <s v="HH1DNM"/>
    <n v="2"/>
    <n v="246.09"/>
    <s v="Hot Meal"/>
    <n v="112.08"/>
    <d v="2025-08-10T00:00:00"/>
    <x v="1"/>
    <n v="0.03"/>
    <n v="477.41460000000001"/>
    <s v="August"/>
    <x v="0"/>
    <s v="Cash"/>
    <x v="0"/>
    <s v="OK"/>
    <n v="224.16"/>
    <n v="253.25460000000001"/>
    <s v="Egg Curry + Rice"/>
    <s v="Egg Curry + Rice"/>
    <n v="0.53047099942062936"/>
  </r>
  <r>
    <s v="O00005"/>
    <s v="SCKW5N"/>
    <n v="1"/>
    <n v="70.540000000000006"/>
    <s v="Snack"/>
    <n v="35.81"/>
    <d v="2025-07-07T00:00:00"/>
    <x v="1"/>
    <n v="0.04"/>
    <n v="67.718400000000003"/>
    <s v="July"/>
    <x v="0"/>
    <s v="Card"/>
    <x v="0"/>
    <s v="OK"/>
    <n v="35.81"/>
    <n v="31.9084"/>
    <s v="Veg Sandwich"/>
    <s v="Veg Sandwich+Bottled Water"/>
    <n v="0.4711924676306587"/>
  </r>
  <r>
    <s v="O00005"/>
    <s v="B0T0PV"/>
    <n v="1"/>
    <n v="28.43"/>
    <s v="Beverage"/>
    <n v="13.89"/>
    <d v="2025-07-07T00:00:00"/>
    <x v="1"/>
    <n v="0.04"/>
    <n v="27.2928"/>
    <s v="July"/>
    <x v="0"/>
    <s v="Card"/>
    <x v="0"/>
    <s v="OK"/>
    <n v="13.89"/>
    <n v="13.402799999999999"/>
    <s v="Bottled Water"/>
    <s v="Veg Sandwich+Bottled Water"/>
    <n v="0.49107456911712977"/>
  </r>
  <r>
    <s v="O00006"/>
    <s v="BXO6QJ"/>
    <n v="3"/>
    <n v="20.11"/>
    <s v="Beverage"/>
    <n v="8"/>
    <d v="2025-07-25T00:00:00"/>
    <x v="2"/>
    <n v="0.1"/>
    <n v="54.296999999999997"/>
    <s v="July"/>
    <x v="0"/>
    <s v="UPI"/>
    <x v="0"/>
    <s v="OK"/>
    <n v="24"/>
    <n v="30.296999999999997"/>
    <s v="Nimbu Pani"/>
    <s v="Nimbu Pani"/>
    <n v="0.5579866290955301"/>
  </r>
  <r>
    <s v="O00007"/>
    <s v="BOC6UZ"/>
    <n v="1"/>
    <n v="32.979999999999997"/>
    <s v="Beverage"/>
    <n v="11.84"/>
    <d v="2025-07-14T00:00:00"/>
    <x v="1"/>
    <n v="7.0000000000000007E-2"/>
    <n v="30.671399999999995"/>
    <s v="July"/>
    <x v="1"/>
    <s v="Card"/>
    <x v="1"/>
    <s v="OK"/>
    <n v="11.84"/>
    <n v="18.831399999999995"/>
    <s v="Masala Chaas"/>
    <s v="Masala Chaas+Paneer Butter Masala + Naan"/>
    <n v="0.61397262596425328"/>
  </r>
  <r>
    <s v="O00007"/>
    <s v="H3A3ZM"/>
    <n v="2"/>
    <n v="170.83"/>
    <s v="Hot Meal"/>
    <n v="74.069999999999993"/>
    <d v="2025-07-14T00:00:00"/>
    <x v="1"/>
    <n v="7.0000000000000007E-2"/>
    <n v="317.74380000000002"/>
    <s v="July"/>
    <x v="1"/>
    <s v="Card"/>
    <x v="1"/>
    <s v="OK"/>
    <n v="148.13999999999999"/>
    <n v="169.60380000000004"/>
    <s v="Paneer Butter Masala + Naan"/>
    <s v="Masala Chaas+Paneer Butter Masala + Naan"/>
    <n v="0.53377532464834887"/>
  </r>
  <r>
    <s v="O00008"/>
    <s v="BHL1C3"/>
    <n v="1"/>
    <n v="22.2"/>
    <s v="Beverage"/>
    <n v="9.3800000000000008"/>
    <d v="2025-07-25T00:00:00"/>
    <x v="2"/>
    <n v="0"/>
    <n v="22.2"/>
    <s v="July"/>
    <x v="2"/>
    <s v="UPI"/>
    <x v="0"/>
    <s v="OK"/>
    <n v="9.3800000000000008"/>
    <n v="12.819999999999999"/>
    <s v="Coffee"/>
    <s v="Coffee+Fruit Cup+Tea"/>
    <n v="0.57747747747747746"/>
  </r>
  <r>
    <s v="O00008"/>
    <s v="DYTJXE"/>
    <n v="3"/>
    <n v="57.07"/>
    <s v="Dessert"/>
    <n v="29.14"/>
    <d v="2025-07-25T00:00:00"/>
    <x v="2"/>
    <n v="0"/>
    <n v="171.21"/>
    <s v="July"/>
    <x v="2"/>
    <s v="UPI"/>
    <x v="0"/>
    <s v="OK"/>
    <n v="87.42"/>
    <n v="83.79"/>
    <s v="Fruit Cup"/>
    <s v="Coffee+Fruit Cup+Tea"/>
    <n v="0.48939898370422291"/>
  </r>
  <r>
    <s v="O00008"/>
    <s v="BTIQJ7"/>
    <n v="1"/>
    <n v="30.34"/>
    <s v="Beverage"/>
    <n v="14.18"/>
    <d v="2025-07-25T00:00:00"/>
    <x v="2"/>
    <n v="0"/>
    <n v="30.34"/>
    <s v="July"/>
    <x v="2"/>
    <s v="UPI"/>
    <x v="0"/>
    <s v="OK"/>
    <n v="14.18"/>
    <n v="16.16"/>
    <s v="Tea"/>
    <s v="Coffee+Fruit Cup+Tea"/>
    <n v="0.53263019116677657"/>
  </r>
  <r>
    <s v="O00009"/>
    <s v="H3A3ZM"/>
    <n v="2"/>
    <n v="170.83"/>
    <s v="Hot Meal"/>
    <n v="74.069999999999993"/>
    <d v="2025-07-06T00:00:00"/>
    <x v="0"/>
    <n v="7.0000000000000007E-2"/>
    <n v="317.74380000000002"/>
    <s v="July"/>
    <x v="0"/>
    <s v="Cash"/>
    <x v="0"/>
    <s v="OK"/>
    <n v="148.13999999999999"/>
    <n v="169.60380000000004"/>
    <s v="Paneer Butter Masala + Naan"/>
    <s v="Paneer Butter Masala + Naan+Fruit Cup+Paneer Roll"/>
    <n v="0.53377532464834887"/>
  </r>
  <r>
    <s v="O00009"/>
    <s v="DYTJXE"/>
    <n v="2"/>
    <n v="57.07"/>
    <s v="Dessert"/>
    <n v="29.14"/>
    <d v="2025-07-06T00:00:00"/>
    <x v="0"/>
    <n v="7.0000000000000007E-2"/>
    <n v="106.1502"/>
    <s v="July"/>
    <x v="0"/>
    <s v="Cash"/>
    <x v="0"/>
    <s v="OK"/>
    <n v="58.28"/>
    <n v="47.870199999999997"/>
    <s v="Fruit Cup"/>
    <s v="Paneer Butter Masala + Naan+Fruit Cup+Paneer Roll"/>
    <n v="0.45096664914432566"/>
  </r>
  <r>
    <s v="O00009"/>
    <s v="SZBIKC"/>
    <n v="1"/>
    <n v="38.06"/>
    <s v="Snack"/>
    <n v="19.55"/>
    <d v="2025-07-06T00:00:00"/>
    <x v="0"/>
    <n v="7.0000000000000007E-2"/>
    <n v="35.395800000000001"/>
    <s v="July"/>
    <x v="0"/>
    <s v="Cash"/>
    <x v="0"/>
    <s v="OK"/>
    <n v="19.55"/>
    <n v="15.845800000000001"/>
    <s v="Paneer Roll"/>
    <s v="Paneer Butter Masala + Naan+Fruit Cup+Paneer Roll"/>
    <n v="0.44767458286011336"/>
  </r>
  <r>
    <s v="O00010"/>
    <s v="BHL1C3"/>
    <n v="2"/>
    <n v="22.2"/>
    <s v="Beverage"/>
    <n v="9.3800000000000008"/>
    <d v="2025-07-24T00:00:00"/>
    <x v="2"/>
    <n v="0.04"/>
    <n v="42.623999999999995"/>
    <s v="July"/>
    <x v="0"/>
    <s v="Card"/>
    <x v="1"/>
    <s v="OK"/>
    <n v="18.760000000000002"/>
    <n v="23.863999999999994"/>
    <s v="Coffee"/>
    <s v="Coffee+Egg Curry + Rice+Veg Sandwich+Gulab Jamun (2 pc)"/>
    <n v="0.55987237237237231"/>
  </r>
  <r>
    <s v="O00010"/>
    <s v="HH1DNM"/>
    <n v="1"/>
    <n v="246.09"/>
    <s v="Hot Meal"/>
    <n v="112.08"/>
    <d v="2025-07-24T00:00:00"/>
    <x v="2"/>
    <n v="0.04"/>
    <n v="236.24639999999999"/>
    <s v="July"/>
    <x v="0"/>
    <s v="Card"/>
    <x v="1"/>
    <s v="OK"/>
    <n v="112.08"/>
    <n v="124.1664"/>
    <s v="Egg Curry + Rice"/>
    <s v="Coffee+Egg Curry + Rice+Veg Sandwich+Gulab Jamun (2 pc)"/>
    <n v="0.52558007233126092"/>
  </r>
  <r>
    <s v="O00010"/>
    <s v="SCKW5N"/>
    <n v="1"/>
    <n v="70.540000000000006"/>
    <s v="Snack"/>
    <n v="35.81"/>
    <d v="2025-07-24T00:00:00"/>
    <x v="2"/>
    <n v="0.04"/>
    <n v="67.718400000000003"/>
    <s v="July"/>
    <x v="0"/>
    <s v="Card"/>
    <x v="1"/>
    <s v="OK"/>
    <n v="35.81"/>
    <n v="31.9084"/>
    <s v="Veg Sandwich"/>
    <s v="Coffee+Egg Curry + Rice+Veg Sandwich+Gulab Jamun (2 pc)"/>
    <n v="0.4711924676306587"/>
  </r>
  <r>
    <s v="O00010"/>
    <s v="DH9SDB"/>
    <n v="1"/>
    <n v="76.55"/>
    <s v="Dessert"/>
    <n v="38.229999999999997"/>
    <d v="2025-07-24T00:00:00"/>
    <x v="2"/>
    <n v="0.04"/>
    <n v="73.488"/>
    <s v="July"/>
    <x v="0"/>
    <s v="Card"/>
    <x v="1"/>
    <s v="OK"/>
    <n v="38.229999999999997"/>
    <n v="35.258000000000003"/>
    <s v="Gulab Jamun (2 pc)"/>
    <s v="Coffee+Egg Curry + Rice+Veg Sandwich+Gulab Jamun (2 pc)"/>
    <n v="0.47977901153929897"/>
  </r>
  <r>
    <s v="O00011"/>
    <s v="B0T0PV"/>
    <n v="1"/>
    <n v="28.43"/>
    <s v="Beverage"/>
    <n v="13.89"/>
    <d v="2025-07-22T00:00:00"/>
    <x v="1"/>
    <n v="0.03"/>
    <n v="27.577099999999998"/>
    <s v="July"/>
    <x v="0"/>
    <s v="Cash"/>
    <x v="0"/>
    <s v="OK"/>
    <n v="13.89"/>
    <n v="13.687099999999997"/>
    <s v="Bottled Water"/>
    <s v="Bottled Water"/>
    <n v="0.49632122304375725"/>
  </r>
  <r>
    <s v="O00012"/>
    <s v="DFFYVN"/>
    <n v="1"/>
    <n v="54.2"/>
    <s v="Dessert"/>
    <n v="21.95"/>
    <d v="2025-07-01T00:00:00"/>
    <x v="1"/>
    <n v="0.08"/>
    <n v="49.864000000000004"/>
    <s v="July"/>
    <x v="2"/>
    <s v="Card"/>
    <x v="0"/>
    <s v="OK"/>
    <n v="21.95"/>
    <n v="27.914000000000005"/>
    <s v="Kheer Cup"/>
    <s v="Kheer Cup+Poha"/>
    <n v="0.55980266324402383"/>
  </r>
  <r>
    <s v="O00012"/>
    <s v="SHJ7XV"/>
    <n v="1"/>
    <n v="52.45"/>
    <s v="Snack"/>
    <n v="25.8"/>
    <d v="2025-07-01T00:00:00"/>
    <x v="1"/>
    <n v="0.08"/>
    <n v="48.254000000000005"/>
    <s v="July"/>
    <x v="2"/>
    <s v="Card"/>
    <x v="0"/>
    <s v="OK"/>
    <n v="25.8"/>
    <n v="22.454000000000004"/>
    <s v="Poha"/>
    <s v="Kheer Cup+Poha"/>
    <n v="0.46532929912546112"/>
  </r>
  <r>
    <s v="O00013"/>
    <s v="DH9SDB"/>
    <n v="3"/>
    <n v="76.55"/>
    <s v="Dessert"/>
    <n v="38.229999999999997"/>
    <d v="2025-08-11T00:00:00"/>
    <x v="0"/>
    <n v="0.1"/>
    <n v="206.68499999999997"/>
    <s v="August"/>
    <x v="0"/>
    <s v="UPI"/>
    <x v="1"/>
    <s v="HighDisc"/>
    <n v="114.69"/>
    <n v="91.994999999999976"/>
    <s v="Gulab Jamun (2 pc)"/>
    <s v="Gulab Jamun (2 pc)+Tea+Brownie+Chicken Thali"/>
    <n v="0.44509761230858547"/>
  </r>
  <r>
    <s v="O00013"/>
    <s v="BTIQJ7"/>
    <n v="2"/>
    <n v="30.34"/>
    <s v="Beverage"/>
    <n v="14.18"/>
    <d v="2025-08-11T00:00:00"/>
    <x v="0"/>
    <n v="0.1"/>
    <n v="54.612000000000002"/>
    <s v="August"/>
    <x v="0"/>
    <s v="UPI"/>
    <x v="1"/>
    <s v="HighDisc"/>
    <n v="28.36"/>
    <n v="26.252000000000002"/>
    <s v="Tea"/>
    <s v="Gulab Jamun (2 pc)+Tea+Brownie+Chicken Thali"/>
    <n v="0.48070021240752953"/>
  </r>
  <r>
    <s v="O00013"/>
    <s v="D9T84A"/>
    <n v="3"/>
    <n v="116.8"/>
    <s v="Dessert"/>
    <n v="48.97"/>
    <d v="2025-08-11T00:00:00"/>
    <x v="0"/>
    <n v="0.1"/>
    <n v="315.36"/>
    <s v="August"/>
    <x v="0"/>
    <s v="UPI"/>
    <x v="1"/>
    <s v="HighDisc"/>
    <n v="146.91"/>
    <n v="168.45000000000002"/>
    <s v="Brownie"/>
    <s v="Gulab Jamun (2 pc)+Tea+Brownie+Chicken Thali"/>
    <n v="0.53415144596651454"/>
  </r>
  <r>
    <s v="O00013"/>
    <s v="HDPBHS"/>
    <n v="1"/>
    <n v="256.91000000000003"/>
    <s v="Hot Meal"/>
    <n v="121.24"/>
    <d v="2025-08-11T00:00:00"/>
    <x v="0"/>
    <n v="0.1"/>
    <n v="231.21900000000002"/>
    <s v="August"/>
    <x v="0"/>
    <s v="UPI"/>
    <x v="1"/>
    <s v="HighDisc"/>
    <n v="121.24"/>
    <n v="109.97900000000003"/>
    <s v="Chicken Thali"/>
    <s v="Gulab Jamun (2 pc)+Tea+Brownie+Chicken Thali"/>
    <n v="0.47564862749168546"/>
  </r>
  <r>
    <s v="O00014"/>
    <s v="B0T0PV"/>
    <n v="1"/>
    <n v="28.43"/>
    <s v="Beverage"/>
    <n v="13.89"/>
    <d v="2025-07-16T00:00:00"/>
    <x v="2"/>
    <n v="0.1"/>
    <n v="25.587"/>
    <s v="July"/>
    <x v="0"/>
    <s v="Cash"/>
    <x v="0"/>
    <s v="OK"/>
    <n v="13.89"/>
    <n v="11.696999999999999"/>
    <s v="Bottled Water"/>
    <s v="Bottled Water+Gulab Jamun (2 pc)+Nimbu Pani"/>
    <n v="0.45714620705827175"/>
  </r>
  <r>
    <s v="O00014"/>
    <s v="DH9SDB"/>
    <n v="2"/>
    <n v="76.55"/>
    <s v="Dessert"/>
    <n v="38.229999999999997"/>
    <d v="2025-07-16T00:00:00"/>
    <x v="2"/>
    <n v="0.1"/>
    <n v="137.79"/>
    <s v="July"/>
    <x v="0"/>
    <s v="Cash"/>
    <x v="0"/>
    <s v="OK"/>
    <n v="76.459999999999994"/>
    <n v="61.33"/>
    <s v="Gulab Jamun (2 pc)"/>
    <s v="Bottled Water+Gulab Jamun (2 pc)+Nimbu Pani"/>
    <n v="0.44509761230858552"/>
  </r>
  <r>
    <s v="O00014"/>
    <s v="BXO6QJ"/>
    <n v="1"/>
    <n v="20.11"/>
    <s v="Beverage"/>
    <n v="8"/>
    <d v="2025-07-16T00:00:00"/>
    <x v="2"/>
    <n v="0.1"/>
    <n v="18.099"/>
    <s v="July"/>
    <x v="0"/>
    <s v="Cash"/>
    <x v="0"/>
    <s v="OK"/>
    <n v="8"/>
    <n v="10.099"/>
    <s v="Nimbu Pani"/>
    <s v="Bottled Water+Gulab Jamun (2 pc)+Nimbu Pani"/>
    <n v="0.5579866290955301"/>
  </r>
  <r>
    <s v="O00015"/>
    <s v="H3A3ZM"/>
    <n v="1"/>
    <n v="170.83"/>
    <s v="Hot Meal"/>
    <n v="74.069999999999993"/>
    <d v="2025-08-26T00:00:00"/>
    <x v="0"/>
    <n v="0.03"/>
    <n v="165.70510000000002"/>
    <s v="August"/>
    <x v="2"/>
    <s v="Cash"/>
    <x v="1"/>
    <s v="OK"/>
    <n v="74.069999999999993"/>
    <n v="91.635100000000023"/>
    <s v="Paneer Butter Masala + Naan"/>
    <s v="Paneer Butter Masala + Naan+Masala Chaas+Gulab Jamun (2 pc)"/>
    <n v="0.5530010844566644"/>
  </r>
  <r>
    <s v="O00015"/>
    <s v="BOC6UZ"/>
    <n v="3"/>
    <n v="32.979999999999997"/>
    <s v="Beverage"/>
    <n v="11.84"/>
    <d v="2025-08-26T00:00:00"/>
    <x v="0"/>
    <n v="0.03"/>
    <n v="95.971800000000002"/>
    <s v="August"/>
    <x v="2"/>
    <s v="Cash"/>
    <x v="1"/>
    <s v="OK"/>
    <n v="35.519999999999996"/>
    <n v="60.451800000000006"/>
    <s v="Masala Chaas"/>
    <s v="Paneer Butter Masala + Naan+Masala Chaas+Gulab Jamun (2 pc)"/>
    <n v="0.62989128056366561"/>
  </r>
  <r>
    <s v="O00015"/>
    <s v="DH9SDB"/>
    <n v="2"/>
    <n v="76.55"/>
    <s v="Dessert"/>
    <n v="38.229999999999997"/>
    <d v="2025-08-26T00:00:00"/>
    <x v="0"/>
    <n v="0.03"/>
    <n v="148.50699999999998"/>
    <s v="August"/>
    <x v="2"/>
    <s v="Cash"/>
    <x v="1"/>
    <s v="OK"/>
    <n v="76.459999999999994"/>
    <n v="72.046999999999983"/>
    <s v="Gulab Jamun (2 pc)"/>
    <s v="Paneer Butter Masala + Naan+Masala Chaas+Gulab Jamun (2 pc)"/>
    <n v="0.48514211451312056"/>
  </r>
  <r>
    <s v="O00016"/>
    <s v="DYTJXE"/>
    <n v="1"/>
    <n v="57.07"/>
    <s v="Dessert"/>
    <n v="29.14"/>
    <d v="2025-07-06T00:00:00"/>
    <x v="2"/>
    <n v="0.05"/>
    <n v="54.216499999999996"/>
    <s v="July"/>
    <x v="1"/>
    <s v="Card"/>
    <x v="0"/>
    <s v="OK"/>
    <n v="29.14"/>
    <n v="25.076499999999996"/>
    <s v="Fruit Cup"/>
    <s v="Fruit Cup+Veg Sandwich+Poha+Veg Thali"/>
    <n v="0.46252524600444511"/>
  </r>
  <r>
    <s v="O00016"/>
    <s v="SCKW5N"/>
    <n v="1"/>
    <n v="70.540000000000006"/>
    <s v="Snack"/>
    <n v="35.81"/>
    <d v="2025-07-06T00:00:00"/>
    <x v="2"/>
    <n v="0.05"/>
    <n v="67.013000000000005"/>
    <s v="July"/>
    <x v="1"/>
    <s v="Card"/>
    <x v="0"/>
    <s v="OK"/>
    <n v="35.81"/>
    <n v="31.203000000000003"/>
    <s v="Veg Sandwich"/>
    <s v="Fruit Cup+Veg Sandwich+Poha+Veg Thali"/>
    <n v="0.46562607255308675"/>
  </r>
  <r>
    <s v="O00016"/>
    <s v="SHJ7XV"/>
    <n v="3"/>
    <n v="52.45"/>
    <s v="Snack"/>
    <n v="25.8"/>
    <d v="2025-07-06T00:00:00"/>
    <x v="2"/>
    <n v="0.05"/>
    <n v="149.48250000000002"/>
    <s v="July"/>
    <x v="1"/>
    <s v="Card"/>
    <x v="0"/>
    <s v="OK"/>
    <n v="77.400000000000006"/>
    <n v="72.08250000000001"/>
    <s v="Poha"/>
    <s v="Fruit Cup+Veg Sandwich+Poha+Veg Thali"/>
    <n v="0.482213637047815"/>
  </r>
  <r>
    <s v="O00016"/>
    <s v="HXAJI0"/>
    <n v="1"/>
    <n v="227.61"/>
    <s v="Hot Meal"/>
    <n v="96.22"/>
    <d v="2025-07-06T00:00:00"/>
    <x v="2"/>
    <n v="0.05"/>
    <n v="216.2295"/>
    <s v="July"/>
    <x v="1"/>
    <s v="Card"/>
    <x v="0"/>
    <s v="OK"/>
    <n v="96.22"/>
    <n v="120.0095"/>
    <s v="Veg Thali"/>
    <s v="Fruit Cup+Veg Sandwich+Poha+Veg Thali"/>
    <n v="0.55500983908301138"/>
  </r>
  <r>
    <s v="O00017"/>
    <s v="BOC6UZ"/>
    <n v="1"/>
    <n v="32.979999999999997"/>
    <s v="Beverage"/>
    <n v="11.84"/>
    <d v="2025-08-21T00:00:00"/>
    <x v="2"/>
    <n v="7.0000000000000007E-2"/>
    <n v="30.671399999999995"/>
    <s v="August"/>
    <x v="1"/>
    <s v="UPI"/>
    <x v="0"/>
    <s v="OK"/>
    <n v="11.84"/>
    <n v="18.831399999999995"/>
    <s v="Masala Chaas"/>
    <s v="Masala Chaas"/>
    <n v="0.61397262596425328"/>
  </r>
  <r>
    <s v="O00018"/>
    <s v="D9T84A"/>
    <n v="1"/>
    <n v="116.8"/>
    <s v="Dessert"/>
    <n v="48.97"/>
    <d v="2025-07-19T00:00:00"/>
    <x v="2"/>
    <n v="0.1"/>
    <n v="105.12"/>
    <s v="July"/>
    <x v="0"/>
    <s v="Cash"/>
    <x v="0"/>
    <s v="OK"/>
    <n v="48.97"/>
    <n v="56.150000000000006"/>
    <s v="Brownie"/>
    <s v="Brownie+Masala Chaas"/>
    <n v="0.53415144596651454"/>
  </r>
  <r>
    <s v="O00018"/>
    <s v="BOC6UZ"/>
    <n v="2"/>
    <n v="32.979999999999997"/>
    <s v="Beverage"/>
    <n v="11.84"/>
    <d v="2025-07-19T00:00:00"/>
    <x v="2"/>
    <n v="0.1"/>
    <n v="59.363999999999997"/>
    <s v="July"/>
    <x v="0"/>
    <s v="Cash"/>
    <x v="0"/>
    <s v="OK"/>
    <n v="23.68"/>
    <n v="35.683999999999997"/>
    <s v="Masala Chaas"/>
    <s v="Brownie+Masala Chaas"/>
    <n v="0.60110504682972843"/>
  </r>
  <r>
    <s v="O00019"/>
    <s v="HUZZPQ"/>
    <n v="1"/>
    <n v="146.4"/>
    <s v="Hot Meal"/>
    <n v="80.92"/>
    <d v="2025-08-09T00:00:00"/>
    <x v="2"/>
    <n v="0.04"/>
    <n v="140.54400000000001"/>
    <s v="August"/>
    <x v="0"/>
    <s v="Cash"/>
    <x v="0"/>
    <s v="OK"/>
    <n v="80.92"/>
    <n v="59.624000000000009"/>
    <s v="Rajma Chawal"/>
    <s v="Rajma Chawal+Veg Sandwich+Chicken Thali"/>
    <n v="0.4242372495446266"/>
  </r>
  <r>
    <s v="O00019"/>
    <s v="SCKW5N"/>
    <n v="1"/>
    <n v="70.540000000000006"/>
    <s v="Snack"/>
    <n v="35.81"/>
    <d v="2025-08-09T00:00:00"/>
    <x v="2"/>
    <n v="0.04"/>
    <n v="67.718400000000003"/>
    <s v="August"/>
    <x v="0"/>
    <s v="Cash"/>
    <x v="0"/>
    <s v="OK"/>
    <n v="35.81"/>
    <n v="31.9084"/>
    <s v="Veg Sandwich"/>
    <s v="Rajma Chawal+Veg Sandwich+Chicken Thali"/>
    <n v="0.4711924676306587"/>
  </r>
  <r>
    <s v="O00019"/>
    <s v="HDPBHS"/>
    <n v="2"/>
    <n v="256.91000000000003"/>
    <s v="Hot Meal"/>
    <n v="121.24"/>
    <d v="2025-08-09T00:00:00"/>
    <x v="2"/>
    <n v="0.04"/>
    <n v="493.2672"/>
    <s v="August"/>
    <x v="0"/>
    <s v="Cash"/>
    <x v="0"/>
    <s v="OK"/>
    <n v="242.48"/>
    <n v="250.78720000000001"/>
    <s v="Chicken Thali"/>
    <s v="Rajma Chawal+Veg Sandwich+Chicken Thali"/>
    <n v="0.50842058827345504"/>
  </r>
  <r>
    <s v="O00020"/>
    <s v="DFFYVN"/>
    <n v="3"/>
    <n v="54.2"/>
    <s v="Dessert"/>
    <n v="21.95"/>
    <d v="2025-07-09T00:00:00"/>
    <x v="1"/>
    <n v="0.05"/>
    <n v="154.47000000000003"/>
    <s v="July"/>
    <x v="0"/>
    <s v="UPI"/>
    <x v="1"/>
    <s v="OK"/>
    <n v="65.849999999999994"/>
    <n v="88.620000000000033"/>
    <s v="Kheer Cup"/>
    <s v="Kheer Cup+Veg Thali+Masala Chaas+Gulab Jamun (2 pc)"/>
    <n v="0.57370363177315997"/>
  </r>
  <r>
    <s v="O00020"/>
    <s v="HXAJI0"/>
    <n v="1"/>
    <n v="227.61"/>
    <s v="Hot Meal"/>
    <n v="96.22"/>
    <d v="2025-07-09T00:00:00"/>
    <x v="1"/>
    <n v="0.05"/>
    <n v="216.2295"/>
    <s v="July"/>
    <x v="0"/>
    <s v="UPI"/>
    <x v="1"/>
    <s v="OK"/>
    <n v="96.22"/>
    <n v="120.0095"/>
    <s v="Veg Thali"/>
    <s v="Kheer Cup+Veg Thali+Masala Chaas+Gulab Jamun (2 pc)"/>
    <n v="0.55500983908301138"/>
  </r>
  <r>
    <s v="O00020"/>
    <s v="BOC6UZ"/>
    <n v="1"/>
    <n v="32.979999999999997"/>
    <s v="Beverage"/>
    <n v="11.84"/>
    <d v="2025-07-09T00:00:00"/>
    <x v="1"/>
    <n v="0.05"/>
    <n v="31.330999999999996"/>
    <s v="July"/>
    <x v="0"/>
    <s v="UPI"/>
    <x v="1"/>
    <s v="OK"/>
    <n v="11.84"/>
    <n v="19.490999999999996"/>
    <s v="Masala Chaas"/>
    <s v="Kheer Cup+Veg Thali+Masala Chaas+Gulab Jamun (2 pc)"/>
    <n v="0.62209951804921637"/>
  </r>
  <r>
    <s v="O00020"/>
    <s v="DH9SDB"/>
    <n v="1"/>
    <n v="76.55"/>
    <s v="Dessert"/>
    <n v="38.229999999999997"/>
    <d v="2025-07-09T00:00:00"/>
    <x v="1"/>
    <n v="0.05"/>
    <n v="72.722499999999997"/>
    <s v="July"/>
    <x v="0"/>
    <s v="UPI"/>
    <x v="1"/>
    <s v="OK"/>
    <n v="38.229999999999997"/>
    <n v="34.4925"/>
    <s v="Gulab Jamun (2 pc)"/>
    <s v="Kheer Cup+Veg Thali+Masala Chaas+Gulab Jamun (2 pc)"/>
    <n v="0.47430300113444945"/>
  </r>
  <r>
    <s v="O00021"/>
    <s v="SHJ7XV"/>
    <n v="3"/>
    <n v="52.45"/>
    <s v="Snack"/>
    <n v="25.8"/>
    <d v="2025-07-31T00:00:00"/>
    <x v="1"/>
    <n v="0.02"/>
    <n v="154.20300000000003"/>
    <s v="July"/>
    <x v="1"/>
    <s v="UPI"/>
    <x v="0"/>
    <s v="OK"/>
    <n v="77.400000000000006"/>
    <n v="76.803000000000026"/>
    <s v="Poha"/>
    <s v="Poha+Samosa+Masala Puff"/>
    <n v="0.49806423999533089"/>
  </r>
  <r>
    <s v="O00021"/>
    <s v="SV30T9"/>
    <n v="1"/>
    <n v="39.950000000000003"/>
    <s v="Snack"/>
    <n v="15.51"/>
    <d v="2025-07-31T00:00:00"/>
    <x v="1"/>
    <n v="0.02"/>
    <n v="39.151000000000003"/>
    <s v="July"/>
    <x v="1"/>
    <s v="UPI"/>
    <x v="0"/>
    <s v="OK"/>
    <n v="15.51"/>
    <n v="23.641000000000005"/>
    <s v="Samosa"/>
    <s v="Poha+Samosa+Masala Puff"/>
    <n v="0.6038415366146459"/>
  </r>
  <r>
    <s v="O00021"/>
    <s v="S5NQ4F"/>
    <n v="2"/>
    <n v="50.19"/>
    <s v="Snack"/>
    <n v="22.61"/>
    <d v="2025-07-31T00:00:00"/>
    <x v="1"/>
    <n v="0.02"/>
    <n v="98.372399999999999"/>
    <s v="July"/>
    <x v="1"/>
    <s v="UPI"/>
    <x v="0"/>
    <s v="OK"/>
    <n v="45.22"/>
    <n v="53.1524"/>
    <s v="Masala Puff"/>
    <s v="Poha+Samosa+Masala Puff"/>
    <n v="0.54031821933794444"/>
  </r>
  <r>
    <s v="O00022"/>
    <s v="DFFYVN"/>
    <n v="1"/>
    <n v="54.2"/>
    <s v="Dessert"/>
    <n v="21.95"/>
    <d v="2025-07-24T00:00:00"/>
    <x v="1"/>
    <n v="0.01"/>
    <n v="53.658000000000001"/>
    <s v="July"/>
    <x v="0"/>
    <s v="Cash"/>
    <x v="1"/>
    <s v="OK"/>
    <n v="21.95"/>
    <n v="31.708000000000002"/>
    <s v="Kheer Cup"/>
    <s v="Kheer Cup+Bottled Water+Chicken Thali"/>
    <n v="0.59092772745909283"/>
  </r>
  <r>
    <s v="O00022"/>
    <s v="B0T0PV"/>
    <n v="2"/>
    <n v="28.43"/>
    <s v="Beverage"/>
    <n v="13.89"/>
    <d v="2025-07-24T00:00:00"/>
    <x v="1"/>
    <n v="0.01"/>
    <n v="56.291399999999996"/>
    <s v="July"/>
    <x v="0"/>
    <s v="Cash"/>
    <x v="1"/>
    <s v="OK"/>
    <n v="27.78"/>
    <n v="28.511399999999995"/>
    <s v="Bottled Water"/>
    <s v="Kheer Cup+Bottled Water+Chicken Thali"/>
    <n v="0.50649655187115605"/>
  </r>
  <r>
    <s v="O00022"/>
    <s v="HDPBHS"/>
    <n v="1"/>
    <n v="256.91000000000003"/>
    <s v="Hot Meal"/>
    <n v="121.24"/>
    <d v="2025-07-24T00:00:00"/>
    <x v="1"/>
    <n v="0.01"/>
    <n v="254.34090000000003"/>
    <s v="July"/>
    <x v="0"/>
    <s v="Cash"/>
    <x v="1"/>
    <s v="OK"/>
    <n v="121.24"/>
    <n v="133.10090000000002"/>
    <s v="Chicken Thali"/>
    <s v="Kheer Cup+Bottled Water+Chicken Thali"/>
    <n v="0.52331693408335034"/>
  </r>
  <r>
    <s v="O00023"/>
    <s v="BXO6QJ"/>
    <n v="1"/>
    <n v="20.11"/>
    <s v="Beverage"/>
    <n v="8"/>
    <d v="2025-08-14T00:00:00"/>
    <x v="1"/>
    <n v="0.09"/>
    <n v="18.3001"/>
    <s v="August"/>
    <x v="2"/>
    <s v="Cash"/>
    <x v="1"/>
    <s v="OK"/>
    <n v="8"/>
    <n v="10.3001"/>
    <s v="Nimbu Pani"/>
    <s v="Nimbu Pani+Egg Curry + Rice"/>
    <n v="0.56284391888568919"/>
  </r>
  <r>
    <s v="O00023"/>
    <s v="HH1DNM"/>
    <n v="1"/>
    <n v="246.09"/>
    <s v="Hot Meal"/>
    <n v="112.08"/>
    <d v="2025-08-14T00:00:00"/>
    <x v="1"/>
    <n v="0.09"/>
    <n v="223.9419"/>
    <s v="August"/>
    <x v="2"/>
    <s v="Cash"/>
    <x v="1"/>
    <s v="OK"/>
    <n v="112.08"/>
    <n v="111.86190000000001"/>
    <s v="Egg Curry + Rice"/>
    <s v="Nimbu Pani+Egg Curry + Rice"/>
    <n v="0.49951304333847307"/>
  </r>
  <r>
    <s v="O00024"/>
    <s v="HUZZPQ"/>
    <n v="3"/>
    <n v="146.4"/>
    <s v="Hot Meal"/>
    <n v="80.92"/>
    <d v="2025-08-24T00:00:00"/>
    <x v="2"/>
    <n v="0.11"/>
    <n v="390.88800000000003"/>
    <s v="August"/>
    <x v="1"/>
    <s v="UPI"/>
    <x v="0"/>
    <s v="HighDisc"/>
    <n v="242.76"/>
    <n v="148.12800000000004"/>
    <s v="Rajma Chawal"/>
    <s v="Rajma Chawal"/>
    <n v="0.37895253883465346"/>
  </r>
  <r>
    <s v="O00025"/>
    <s v="S5NQ4F"/>
    <n v="1"/>
    <n v="50.19"/>
    <s v="Snack"/>
    <n v="22.61"/>
    <d v="2025-08-19T00:00:00"/>
    <x v="1"/>
    <n v="0.06"/>
    <n v="47.178599999999996"/>
    <s v="August"/>
    <x v="0"/>
    <s v="Card"/>
    <x v="0"/>
    <s v="OK"/>
    <n v="22.61"/>
    <n v="24.568599999999996"/>
    <s v="Masala Puff"/>
    <s v="Masala Puff"/>
    <n v="0.52075729250126113"/>
  </r>
  <r>
    <s v="O00026"/>
    <s v="SHJ7XV"/>
    <n v="1"/>
    <n v="52.45"/>
    <s v="Snack"/>
    <n v="25.8"/>
    <d v="2025-07-24T00:00:00"/>
    <x v="1"/>
    <n v="0.1"/>
    <n v="47.205000000000005"/>
    <s v="July"/>
    <x v="1"/>
    <s v="Cash"/>
    <x v="0"/>
    <s v="OK"/>
    <n v="25.8"/>
    <n v="21.405000000000005"/>
    <s v="Poha"/>
    <s v="Poha+Paneer Roll"/>
    <n v="0.45344772799491584"/>
  </r>
  <r>
    <s v="O00026"/>
    <s v="SZBIKC"/>
    <n v="1"/>
    <n v="38.06"/>
    <s v="Snack"/>
    <n v="19.55"/>
    <d v="2025-07-24T00:00:00"/>
    <x v="1"/>
    <n v="0.1"/>
    <n v="34.254000000000005"/>
    <s v="July"/>
    <x v="1"/>
    <s v="Cash"/>
    <x v="0"/>
    <s v="OK"/>
    <n v="19.55"/>
    <n v="14.704000000000004"/>
    <s v="Paneer Roll"/>
    <s v="Poha+Paneer Roll"/>
    <n v="0.42926373562211717"/>
  </r>
  <r>
    <s v="O00027"/>
    <s v="H3A3ZM"/>
    <n v="3"/>
    <n v="170.83"/>
    <s v="Hot Meal"/>
    <n v="74.069999999999993"/>
    <d v="2025-08-22T00:00:00"/>
    <x v="0"/>
    <n v="7.0000000000000007E-2"/>
    <n v="476.6157"/>
    <s v="August"/>
    <x v="1"/>
    <s v="UPI"/>
    <x v="1"/>
    <s v="HighDisc"/>
    <n v="222.20999999999998"/>
    <n v="254.40570000000002"/>
    <s v="Paneer Butter Masala + Naan"/>
    <s v="Paneer Butter Masala + Naan+Tea+Fruit Cup+Egg Curry + Rice"/>
    <n v="0.53377532464834876"/>
  </r>
  <r>
    <s v="O00027"/>
    <s v="BTIQJ7"/>
    <n v="1"/>
    <n v="30.34"/>
    <s v="Beverage"/>
    <n v="14.18"/>
    <d v="2025-08-22T00:00:00"/>
    <x v="0"/>
    <n v="7.0000000000000007E-2"/>
    <n v="28.216199999999997"/>
    <s v="August"/>
    <x v="1"/>
    <s v="UPI"/>
    <x v="1"/>
    <s v="HighDisc"/>
    <n v="14.18"/>
    <n v="14.036199999999997"/>
    <s v="Tea"/>
    <s v="Paneer Butter Masala + Naan+Tea+Fruit Cup+Egg Curry + Rice"/>
    <n v="0.49745181845889946"/>
  </r>
  <r>
    <s v="O00027"/>
    <s v="DYTJXE"/>
    <n v="2"/>
    <n v="57.07"/>
    <s v="Dessert"/>
    <n v="29.14"/>
    <d v="2025-08-22T00:00:00"/>
    <x v="0"/>
    <n v="7.0000000000000007E-2"/>
    <n v="106.1502"/>
    <s v="August"/>
    <x v="1"/>
    <s v="UPI"/>
    <x v="1"/>
    <s v="HighDisc"/>
    <n v="58.28"/>
    <n v="47.870199999999997"/>
    <s v="Fruit Cup"/>
    <s v="Paneer Butter Masala + Naan+Tea+Fruit Cup+Egg Curry + Rice"/>
    <n v="0.45096664914432566"/>
  </r>
  <r>
    <s v="O00027"/>
    <s v="HH1DNM"/>
    <n v="1"/>
    <n v="246.09"/>
    <s v="Hot Meal"/>
    <n v="112.08"/>
    <d v="2025-08-22T00:00:00"/>
    <x v="0"/>
    <n v="7.0000000000000007E-2"/>
    <n v="228.86369999999999"/>
    <s v="August"/>
    <x v="1"/>
    <s v="UPI"/>
    <x v="1"/>
    <s v="HighDisc"/>
    <n v="112.08"/>
    <n v="116.7837"/>
    <s v="Egg Curry + Rice"/>
    <s v="Paneer Butter Masala + Naan+Tea+Fruit Cup+Egg Curry + Rice"/>
    <n v="0.5102762036967855"/>
  </r>
  <r>
    <s v="O00028"/>
    <s v="S5NQ4F"/>
    <n v="1"/>
    <n v="50.19"/>
    <s v="Snack"/>
    <n v="22.61"/>
    <d v="2025-07-02T00:00:00"/>
    <x v="0"/>
    <n v="0.03"/>
    <n v="48.684299999999993"/>
    <s v="July"/>
    <x v="0"/>
    <s v="Card"/>
    <x v="0"/>
    <s v="OK"/>
    <n v="22.61"/>
    <n v="26.074299999999994"/>
    <s v="Masala Puff"/>
    <s v="Masala Puff+Brownie+Veg Sandwich+Nimbu Pani"/>
    <n v="0.53557923190843859"/>
  </r>
  <r>
    <s v="O00028"/>
    <s v="D9T84A"/>
    <n v="2"/>
    <n v="116.8"/>
    <s v="Dessert"/>
    <n v="48.97"/>
    <d v="2025-07-02T00:00:00"/>
    <x v="0"/>
    <n v="0.03"/>
    <n v="226.59199999999998"/>
    <s v="July"/>
    <x v="0"/>
    <s v="Card"/>
    <x v="0"/>
    <s v="OK"/>
    <n v="97.94"/>
    <n v="128.65199999999999"/>
    <s v="Brownie"/>
    <s v="Masala Puff+Brownie+Veg Sandwich+Nimbu Pani"/>
    <n v="0.56776938285552891"/>
  </r>
  <r>
    <s v="O00028"/>
    <s v="SCKW5N"/>
    <n v="1"/>
    <n v="70.540000000000006"/>
    <s v="Snack"/>
    <n v="35.81"/>
    <d v="2025-07-02T00:00:00"/>
    <x v="0"/>
    <n v="0.03"/>
    <n v="68.4238"/>
    <s v="July"/>
    <x v="0"/>
    <s v="Card"/>
    <x v="0"/>
    <s v="OK"/>
    <n v="35.81"/>
    <n v="32.613799999999998"/>
    <s v="Veg Sandwich"/>
    <s v="Masala Puff+Brownie+Veg Sandwich+Nimbu Pani"/>
    <n v="0.47664409167570343"/>
  </r>
  <r>
    <s v="O00028"/>
    <s v="BXO6QJ"/>
    <n v="2"/>
    <n v="20.11"/>
    <s v="Beverage"/>
    <n v="8"/>
    <d v="2025-07-02T00:00:00"/>
    <x v="0"/>
    <n v="0.03"/>
    <n v="39.013399999999997"/>
    <s v="July"/>
    <x v="0"/>
    <s v="Card"/>
    <x v="0"/>
    <s v="OK"/>
    <n v="16"/>
    <n v="23.013399999999997"/>
    <s v="Nimbu Pani"/>
    <s v="Masala Puff+Brownie+Veg Sandwich+Nimbu Pani"/>
    <n v="0.58988450122265679"/>
  </r>
  <r>
    <s v="O00029"/>
    <s v="S5NQ4F"/>
    <n v="3"/>
    <n v="50.19"/>
    <s v="Snack"/>
    <n v="22.61"/>
    <d v="2025-07-14T00:00:00"/>
    <x v="1"/>
    <n v="7.0000000000000007E-2"/>
    <n v="140.03009999999998"/>
    <s v="July"/>
    <x v="0"/>
    <s v="Cash"/>
    <x v="0"/>
    <s v="OK"/>
    <n v="67.83"/>
    <n v="72.200099999999978"/>
    <s v="Masala Puff"/>
    <s v="Masala Puff"/>
    <n v="0.51560414510880148"/>
  </r>
  <r>
    <s v="O00030"/>
    <s v="B0T0PV"/>
    <n v="1"/>
    <n v="28.43"/>
    <s v="Beverage"/>
    <n v="13.89"/>
    <d v="2025-07-16T00:00:00"/>
    <x v="1"/>
    <n v="0.12"/>
    <n v="25.0184"/>
    <s v="July"/>
    <x v="0"/>
    <s v="UPI"/>
    <x v="1"/>
    <s v="HighDisc"/>
    <n v="13.89"/>
    <n v="11.128399999999999"/>
    <s v="Bottled Water"/>
    <s v="Bottled Water+Egg Curry + Rice+Veg Sandwich"/>
    <n v="0.44480862085505063"/>
  </r>
  <r>
    <s v="O00030"/>
    <s v="HH1DNM"/>
    <n v="1"/>
    <n v="246.09"/>
    <s v="Hot Meal"/>
    <n v="112.08"/>
    <d v="2025-07-16T00:00:00"/>
    <x v="1"/>
    <n v="0.12"/>
    <n v="216.5592"/>
    <s v="July"/>
    <x v="0"/>
    <s v="UPI"/>
    <x v="1"/>
    <s v="HighDisc"/>
    <n v="112.08"/>
    <n v="104.47920000000001"/>
    <s v="Egg Curry + Rice"/>
    <s v="Bottled Water+Egg Curry + Rice+Veg Sandwich"/>
    <n v="0.48245098799773922"/>
  </r>
  <r>
    <s v="O00030"/>
    <s v="SCKW5N"/>
    <n v="2"/>
    <n v="70.540000000000006"/>
    <s v="Snack"/>
    <n v="35.81"/>
    <d v="2025-07-16T00:00:00"/>
    <x v="1"/>
    <n v="0.12"/>
    <n v="124.1504"/>
    <s v="July"/>
    <x v="0"/>
    <s v="UPI"/>
    <x v="1"/>
    <s v="HighDisc"/>
    <n v="71.62"/>
    <n v="52.5304"/>
    <s v="Veg Sandwich"/>
    <s v="Bottled Water+Egg Curry + Rice+Veg Sandwich"/>
    <n v="0.42311905559708224"/>
  </r>
  <r>
    <s v="O00031"/>
    <s v="DFFYVN"/>
    <n v="1"/>
    <n v="54.2"/>
    <s v="Dessert"/>
    <n v="21.95"/>
    <d v="2025-08-03T00:00:00"/>
    <x v="2"/>
    <n v="0.06"/>
    <n v="50.948"/>
    <s v="August"/>
    <x v="2"/>
    <s v="UPI"/>
    <x v="0"/>
    <s v="OK"/>
    <n v="21.95"/>
    <n v="28.998000000000001"/>
    <s v="Kheer Cup"/>
    <s v="Kheer Cup+Rajma Chawal+Brownie"/>
    <n v="0.56916856402606586"/>
  </r>
  <r>
    <s v="O00031"/>
    <s v="HUZZPQ"/>
    <n v="2"/>
    <n v="146.4"/>
    <s v="Hot Meal"/>
    <n v="80.92"/>
    <d v="2025-08-03T00:00:00"/>
    <x v="2"/>
    <n v="0.06"/>
    <n v="275.23199999999997"/>
    <s v="August"/>
    <x v="2"/>
    <s v="UPI"/>
    <x v="0"/>
    <s v="OK"/>
    <n v="161.84"/>
    <n v="113.39199999999997"/>
    <s v="Rajma Chawal"/>
    <s v="Kheer Cup+Rajma Chawal+Brownie"/>
    <n v="0.41198697825834196"/>
  </r>
  <r>
    <s v="O00031"/>
    <s v="D9T84A"/>
    <n v="1"/>
    <n v="116.8"/>
    <s v="Dessert"/>
    <n v="48.97"/>
    <d v="2025-08-03T00:00:00"/>
    <x v="2"/>
    <n v="0.06"/>
    <n v="109.79199999999999"/>
    <s v="August"/>
    <x v="2"/>
    <s v="UPI"/>
    <x v="0"/>
    <s v="OK"/>
    <n v="48.97"/>
    <n v="60.821999999999989"/>
    <s v="Brownie"/>
    <s v="Kheer Cup+Rajma Chawal+Brownie"/>
    <n v="0.55397478869134364"/>
  </r>
  <r>
    <s v="O00032"/>
    <s v="DFFYVN"/>
    <n v="1"/>
    <n v="54.2"/>
    <s v="Dessert"/>
    <n v="21.95"/>
    <d v="2025-08-19T00:00:00"/>
    <x v="1"/>
    <n v="0.12"/>
    <n v="47.696000000000005"/>
    <s v="August"/>
    <x v="0"/>
    <s v="Cash"/>
    <x v="1"/>
    <s v="HighDisc"/>
    <n v="21.95"/>
    <n v="25.746000000000006"/>
    <s v="Kheer Cup"/>
    <s v="Kheer Cup+Brownie+Masala Chaas+Rajma Chawal"/>
    <n v="0.53979369339147942"/>
  </r>
  <r>
    <s v="O00032"/>
    <s v="D9T84A"/>
    <n v="1"/>
    <n v="116.8"/>
    <s v="Dessert"/>
    <n v="48.97"/>
    <d v="2025-08-19T00:00:00"/>
    <x v="1"/>
    <n v="0.12"/>
    <n v="102.78399999999999"/>
    <s v="August"/>
    <x v="0"/>
    <s v="Cash"/>
    <x v="1"/>
    <s v="HighDisc"/>
    <n v="48.97"/>
    <n v="53.813999999999993"/>
    <s v="Brownie"/>
    <s v="Kheer Cup+Brownie+Masala Chaas+Rajma Chawal"/>
    <n v="0.52356397882938976"/>
  </r>
  <r>
    <s v="O00032"/>
    <s v="BOC6UZ"/>
    <n v="2"/>
    <n v="32.979999999999997"/>
    <s v="Beverage"/>
    <n v="11.84"/>
    <d v="2025-08-19T00:00:00"/>
    <x v="1"/>
    <n v="0.12"/>
    <n v="58.044799999999995"/>
    <s v="August"/>
    <x v="0"/>
    <s v="Cash"/>
    <x v="1"/>
    <s v="HighDisc"/>
    <n v="23.68"/>
    <n v="34.364799999999995"/>
    <s v="Masala Chaas"/>
    <s v="Kheer Cup+Brownie+Masala Chaas+Rajma Chawal"/>
    <n v="0.59203925243949496"/>
  </r>
  <r>
    <s v="O00032"/>
    <s v="HUZZPQ"/>
    <n v="2"/>
    <n v="146.4"/>
    <s v="Hot Meal"/>
    <n v="80.92"/>
    <d v="2025-08-19T00:00:00"/>
    <x v="1"/>
    <n v="0.12"/>
    <n v="257.66399999999999"/>
    <s v="August"/>
    <x v="0"/>
    <s v="Cash"/>
    <x v="1"/>
    <s v="HighDisc"/>
    <n v="161.84"/>
    <n v="95.823999999999984"/>
    <s v="Rajma Chawal"/>
    <s v="Kheer Cup+Brownie+Masala Chaas+Rajma Chawal"/>
    <n v="0.37189518132141081"/>
  </r>
  <r>
    <s v="O00033"/>
    <s v="SV30T9"/>
    <n v="1"/>
    <n v="39.950000000000003"/>
    <s v="Snack"/>
    <n v="15.51"/>
    <d v="2025-08-11T00:00:00"/>
    <x v="1"/>
    <n v="0"/>
    <n v="39.950000000000003"/>
    <s v="August"/>
    <x v="0"/>
    <s v="Cash"/>
    <x v="0"/>
    <s v="OK"/>
    <n v="15.51"/>
    <n v="24.440000000000005"/>
    <s v="Samosa"/>
    <s v="Samosa+Brownie"/>
    <n v="0.61176470588235299"/>
  </r>
  <r>
    <s v="O00033"/>
    <s v="D9T84A"/>
    <n v="3"/>
    <n v="116.8"/>
    <s v="Dessert"/>
    <n v="48.97"/>
    <d v="2025-08-11T00:00:00"/>
    <x v="1"/>
    <n v="0"/>
    <n v="350.4"/>
    <s v="August"/>
    <x v="0"/>
    <s v="Cash"/>
    <x v="0"/>
    <s v="OK"/>
    <n v="146.91"/>
    <n v="203.48999999999998"/>
    <s v="Brownie"/>
    <s v="Samosa+Brownie"/>
    <n v="0.58073630136986298"/>
  </r>
  <r>
    <s v="O00034"/>
    <s v="BOC6UZ"/>
    <n v="1"/>
    <n v="32.979999999999997"/>
    <s v="Beverage"/>
    <n v="11.84"/>
    <d v="2025-07-13T00:00:00"/>
    <x v="0"/>
    <n v="0.09"/>
    <n v="30.011799999999997"/>
    <s v="July"/>
    <x v="1"/>
    <s v="Cash"/>
    <x v="0"/>
    <s v="OK"/>
    <n v="11.84"/>
    <n v="18.171799999999998"/>
    <s v="Masala Chaas"/>
    <s v="Masala Chaas+Samosa+Coffee"/>
    <n v="0.60548850785357755"/>
  </r>
  <r>
    <s v="O00034"/>
    <s v="SV30T9"/>
    <n v="1"/>
    <n v="39.950000000000003"/>
    <s v="Snack"/>
    <n v="15.51"/>
    <d v="2025-07-13T00:00:00"/>
    <x v="0"/>
    <n v="0.09"/>
    <n v="36.354500000000002"/>
    <s v="July"/>
    <x v="1"/>
    <s v="Cash"/>
    <x v="0"/>
    <s v="OK"/>
    <n v="15.51"/>
    <n v="20.844500000000004"/>
    <s v="Samosa"/>
    <s v="Masala Chaas+Samosa+Coffee"/>
    <n v="0.57336780866192638"/>
  </r>
  <r>
    <s v="O00034"/>
    <s v="BHL1C3"/>
    <n v="1"/>
    <n v="22.2"/>
    <s v="Beverage"/>
    <n v="9.3800000000000008"/>
    <d v="2025-07-13T00:00:00"/>
    <x v="0"/>
    <n v="0.09"/>
    <n v="20.202000000000002"/>
    <s v="July"/>
    <x v="1"/>
    <s v="Cash"/>
    <x v="0"/>
    <s v="OK"/>
    <n v="9.3800000000000008"/>
    <n v="10.822000000000001"/>
    <s v="Coffee"/>
    <s v="Masala Chaas+Samosa+Coffee"/>
    <n v="0.5356895356895357"/>
  </r>
  <r>
    <s v="O00035"/>
    <s v="D9T84A"/>
    <n v="1"/>
    <n v="116.8"/>
    <s v="Dessert"/>
    <n v="48.97"/>
    <d v="2025-08-23T00:00:00"/>
    <x v="0"/>
    <n v="0.06"/>
    <n v="109.79199999999999"/>
    <s v="August"/>
    <x v="1"/>
    <s v="UPI"/>
    <x v="1"/>
    <s v="HighDisc"/>
    <n v="48.97"/>
    <n v="60.821999999999989"/>
    <s v="Brownie"/>
    <s v="Brownie+Veg Thali+Gulab Jamun (2 pc)+Bottled Water"/>
    <n v="0.55397478869134364"/>
  </r>
  <r>
    <s v="O00035"/>
    <s v="HXAJI0"/>
    <n v="2"/>
    <n v="227.61"/>
    <s v="Hot Meal"/>
    <n v="96.22"/>
    <d v="2025-08-23T00:00:00"/>
    <x v="0"/>
    <n v="0.06"/>
    <n v="427.90679999999998"/>
    <s v="August"/>
    <x v="1"/>
    <s v="UPI"/>
    <x v="1"/>
    <s v="HighDisc"/>
    <n v="192.44"/>
    <n v="235.46679999999998"/>
    <s v="Veg Thali"/>
    <s v="Brownie+Veg Thali+Gulab Jamun (2 pc)+Bottled Water"/>
    <n v="0.55027590120091574"/>
  </r>
  <r>
    <s v="O00035"/>
    <s v="DH9SDB"/>
    <n v="1"/>
    <n v="76.55"/>
    <s v="Dessert"/>
    <n v="38.229999999999997"/>
    <d v="2025-08-23T00:00:00"/>
    <x v="0"/>
    <n v="0.06"/>
    <n v="71.956999999999994"/>
    <s v="August"/>
    <x v="1"/>
    <s v="UPI"/>
    <x v="1"/>
    <s v="HighDisc"/>
    <n v="38.229999999999997"/>
    <n v="33.726999999999997"/>
    <s v="Gulab Jamun (2 pc)"/>
    <s v="Brownie+Veg Thali+Gulab Jamun (2 pc)+Bottled Water"/>
    <n v="0.46871047986992231"/>
  </r>
  <r>
    <s v="O00035"/>
    <s v="B0T0PV"/>
    <n v="1"/>
    <n v="28.43"/>
    <s v="Beverage"/>
    <n v="13.89"/>
    <d v="2025-08-23T00:00:00"/>
    <x v="0"/>
    <n v="0.06"/>
    <n v="26.7242"/>
    <s v="August"/>
    <x v="1"/>
    <s v="UPI"/>
    <x v="1"/>
    <s v="HighDisc"/>
    <n v="13.89"/>
    <n v="12.834199999999999"/>
    <s v="Bottled Water"/>
    <s v="Brownie+Veg Thali+Gulab Jamun (2 pc)+Bottled Water"/>
    <n v="0.48024636846004742"/>
  </r>
  <r>
    <s v="O00036"/>
    <s v="S5NQ4F"/>
    <n v="1"/>
    <n v="50.19"/>
    <s v="Snack"/>
    <n v="22.61"/>
    <d v="2025-07-12T00:00:00"/>
    <x v="2"/>
    <n v="0.05"/>
    <n v="47.680499999999995"/>
    <s v="July"/>
    <x v="0"/>
    <s v="Cash"/>
    <x v="0"/>
    <s v="OK"/>
    <n v="22.61"/>
    <n v="25.070499999999996"/>
    <s v="Masala Puff"/>
    <s v="Masala Puff+Paneer Butter Masala + Naan"/>
    <n v="0.52580195258019524"/>
  </r>
  <r>
    <s v="O00036"/>
    <s v="H3A3ZM"/>
    <n v="1"/>
    <n v="170.83"/>
    <s v="Hot Meal"/>
    <n v="74.069999999999993"/>
    <d v="2025-07-12T00:00:00"/>
    <x v="2"/>
    <n v="0.05"/>
    <n v="162.2885"/>
    <s v="July"/>
    <x v="0"/>
    <s v="Cash"/>
    <x v="0"/>
    <s v="OK"/>
    <n v="74.069999999999993"/>
    <n v="88.218500000000006"/>
    <s v="Paneer Butter Masala + Naan"/>
    <s v="Masala Puff+Paneer Butter Masala + Naan"/>
    <n v="0.54359058097154145"/>
  </r>
  <r>
    <s v="O00037"/>
    <s v="H3A3ZM"/>
    <n v="2"/>
    <n v="170.83"/>
    <s v="Hot Meal"/>
    <n v="74.069999999999993"/>
    <d v="2025-07-04T00:00:00"/>
    <x v="1"/>
    <n v="0.06"/>
    <n v="321.16039999999998"/>
    <s v="July"/>
    <x v="1"/>
    <s v="UPI"/>
    <x v="0"/>
    <s v="OK"/>
    <n v="148.13999999999999"/>
    <n v="173.0204"/>
    <s v="Paneer Butter Masala + Naan"/>
    <s v="Paneer Butter Masala + Naan"/>
    <n v="0.53873516162017487"/>
  </r>
  <r>
    <s v="O00038"/>
    <s v="BHL1C3"/>
    <n v="1"/>
    <n v="22.2"/>
    <s v="Beverage"/>
    <n v="9.3800000000000008"/>
    <d v="2025-08-11T00:00:00"/>
    <x v="2"/>
    <n v="0"/>
    <n v="22.2"/>
    <s v="August"/>
    <x v="1"/>
    <s v="Card"/>
    <x v="0"/>
    <s v="OK"/>
    <n v="9.3800000000000008"/>
    <n v="12.819999999999999"/>
    <s v="Coffee"/>
    <s v="Coffee+Masala Chaas"/>
    <n v="0.57747747747747746"/>
  </r>
  <r>
    <s v="O00038"/>
    <s v="BOC6UZ"/>
    <n v="2"/>
    <n v="32.979999999999997"/>
    <s v="Beverage"/>
    <n v="11.84"/>
    <d v="2025-08-11T00:00:00"/>
    <x v="2"/>
    <n v="0"/>
    <n v="65.959999999999994"/>
    <s v="August"/>
    <x v="1"/>
    <s v="Card"/>
    <x v="0"/>
    <s v="OK"/>
    <n v="23.68"/>
    <n v="42.279999999999994"/>
    <s v="Masala Chaas"/>
    <s v="Coffee+Masala Chaas"/>
    <n v="0.64099454214675555"/>
  </r>
  <r>
    <s v="O00039"/>
    <s v="H3A3ZM"/>
    <n v="3"/>
    <n v="170.83"/>
    <s v="Hot Meal"/>
    <n v="74.069999999999993"/>
    <d v="2025-07-05T00:00:00"/>
    <x v="1"/>
    <n v="0.05"/>
    <n v="486.8655"/>
    <s v="July"/>
    <x v="0"/>
    <s v="UPI"/>
    <x v="0"/>
    <s v="OK"/>
    <n v="222.20999999999998"/>
    <n v="264.65550000000002"/>
    <s v="Paneer Butter Masala + Naan"/>
    <s v="Paneer Butter Masala + Naan"/>
    <n v="0.54359058097154145"/>
  </r>
  <r>
    <s v="O00040"/>
    <s v="BOC6UZ"/>
    <n v="3"/>
    <n v="32.979999999999997"/>
    <s v="Beverage"/>
    <n v="11.84"/>
    <d v="2025-07-11T00:00:00"/>
    <x v="1"/>
    <n v="7.0000000000000007E-2"/>
    <n v="92.014199999999988"/>
    <s v="July"/>
    <x v="0"/>
    <s v="Card"/>
    <x v="1"/>
    <s v="HighDisc"/>
    <n v="35.519999999999996"/>
    <n v="56.494199999999992"/>
    <s v="Masala Chaas"/>
    <s v="Masala Chaas+Bottled Water+Chicken Thali+Tea"/>
    <n v="0.61397262596425328"/>
  </r>
  <r>
    <s v="O00040"/>
    <s v="B0T0PV"/>
    <n v="1"/>
    <n v="28.43"/>
    <s v="Beverage"/>
    <n v="13.89"/>
    <d v="2025-07-11T00:00:00"/>
    <x v="1"/>
    <n v="7.0000000000000007E-2"/>
    <n v="26.439899999999998"/>
    <s v="July"/>
    <x v="0"/>
    <s v="Card"/>
    <x v="1"/>
    <s v="HighDisc"/>
    <n v="13.89"/>
    <n v="12.549899999999997"/>
    <s v="Bottled Water"/>
    <s v="Masala Chaas+Bottled Water+Chicken Thali+Tea"/>
    <n v="0.47465761973381132"/>
  </r>
  <r>
    <s v="O00040"/>
    <s v="HDPBHS"/>
    <n v="2"/>
    <n v="256.91000000000003"/>
    <s v="Hot Meal"/>
    <n v="121.24"/>
    <d v="2025-07-11T00:00:00"/>
    <x v="1"/>
    <n v="7.0000000000000007E-2"/>
    <n v="477.8526"/>
    <s v="July"/>
    <x v="0"/>
    <s v="Card"/>
    <x v="1"/>
    <s v="HighDisc"/>
    <n v="242.48"/>
    <n v="235.37260000000001"/>
    <s v="Chicken Thali"/>
    <s v="Masala Chaas+Bottled Water+Chicken Thali+Tea"/>
    <n v="0.49256318789517939"/>
  </r>
  <r>
    <s v="O00040"/>
    <s v="BTIQJ7"/>
    <n v="1"/>
    <n v="30.34"/>
    <s v="Beverage"/>
    <n v="14.18"/>
    <d v="2025-07-11T00:00:00"/>
    <x v="1"/>
    <n v="7.0000000000000007E-2"/>
    <n v="28.216199999999997"/>
    <s v="July"/>
    <x v="0"/>
    <s v="Card"/>
    <x v="1"/>
    <s v="HighDisc"/>
    <n v="14.18"/>
    <n v="14.036199999999997"/>
    <s v="Tea"/>
    <s v="Masala Chaas+Bottled Water+Chicken Thali+Tea"/>
    <n v="0.49745181845889946"/>
  </r>
  <r>
    <s v="O00041"/>
    <s v="BOC6UZ"/>
    <n v="3"/>
    <n v="32.979999999999997"/>
    <s v="Beverage"/>
    <n v="11.84"/>
    <d v="2025-07-24T00:00:00"/>
    <x v="2"/>
    <n v="0.12"/>
    <n v="87.0672"/>
    <s v="July"/>
    <x v="0"/>
    <s v="Card"/>
    <x v="0"/>
    <s v="OK"/>
    <n v="35.519999999999996"/>
    <n v="51.547200000000004"/>
    <s v="Masala Chaas"/>
    <s v="Masala Chaas+Veg Sandwich"/>
    <n v="0.59203925243949507"/>
  </r>
  <r>
    <s v="O00041"/>
    <s v="SCKW5N"/>
    <n v="1"/>
    <n v="70.540000000000006"/>
    <s v="Snack"/>
    <n v="35.81"/>
    <d v="2025-07-24T00:00:00"/>
    <x v="2"/>
    <n v="0.12"/>
    <n v="62.075200000000002"/>
    <s v="July"/>
    <x v="0"/>
    <s v="Card"/>
    <x v="0"/>
    <s v="OK"/>
    <n v="35.81"/>
    <n v="26.2652"/>
    <s v="Veg Sandwich"/>
    <s v="Masala Chaas+Veg Sandwich"/>
    <n v="0.42311905559708224"/>
  </r>
  <r>
    <s v="O00042"/>
    <s v="DYTJXE"/>
    <n v="1"/>
    <n v="57.07"/>
    <s v="Dessert"/>
    <n v="29.14"/>
    <d v="2025-07-18T00:00:00"/>
    <x v="0"/>
    <n v="0.04"/>
    <n v="54.787199999999999"/>
    <s v="July"/>
    <x v="2"/>
    <s v="Card"/>
    <x v="1"/>
    <s v="OK"/>
    <n v="29.14"/>
    <n v="25.647199999999998"/>
    <s v="Fruit Cup"/>
    <s v="Fruit Cup+Coffee+Veg Thali+Kheer Cup"/>
    <n v="0.4681239413585655"/>
  </r>
  <r>
    <s v="O00042"/>
    <s v="BHL1C3"/>
    <n v="1"/>
    <n v="22.2"/>
    <s v="Beverage"/>
    <n v="9.3800000000000008"/>
    <d v="2025-07-18T00:00:00"/>
    <x v="0"/>
    <n v="0.04"/>
    <n v="21.311999999999998"/>
    <s v="July"/>
    <x v="2"/>
    <s v="Card"/>
    <x v="1"/>
    <s v="OK"/>
    <n v="9.3800000000000008"/>
    <n v="11.931999999999997"/>
    <s v="Coffee"/>
    <s v="Fruit Cup+Coffee+Veg Thali+Kheer Cup"/>
    <n v="0.55987237237237231"/>
  </r>
  <r>
    <s v="O00042"/>
    <s v="HXAJI0"/>
    <n v="1"/>
    <n v="227.61"/>
    <s v="Hot Meal"/>
    <n v="96.22"/>
    <d v="2025-07-18T00:00:00"/>
    <x v="0"/>
    <n v="0.04"/>
    <n v="218.50560000000002"/>
    <s v="July"/>
    <x v="2"/>
    <s v="Card"/>
    <x v="1"/>
    <s v="OK"/>
    <n v="96.22"/>
    <n v="122.28560000000002"/>
    <s v="Veg Thali"/>
    <s v="Fruit Cup+Coffee+Veg Thali+Kheer Cup"/>
    <n v="0.55964515325923003"/>
  </r>
  <r>
    <s v="O00042"/>
    <s v="DFFYVN"/>
    <n v="1"/>
    <n v="54.2"/>
    <s v="Dessert"/>
    <n v="21.95"/>
    <d v="2025-07-18T00:00:00"/>
    <x v="0"/>
    <n v="0.04"/>
    <n v="52.032000000000004"/>
    <s v="July"/>
    <x v="2"/>
    <s v="Card"/>
    <x v="1"/>
    <s v="OK"/>
    <n v="21.95"/>
    <n v="30.082000000000004"/>
    <s v="Kheer Cup"/>
    <s v="Fruit Cup+Coffee+Veg Thali+Kheer Cup"/>
    <n v="0.57814421894218948"/>
  </r>
  <r>
    <s v="O00043"/>
    <s v="BHL1C3"/>
    <n v="1"/>
    <n v="22.2"/>
    <s v="Beverage"/>
    <n v="9.3800000000000008"/>
    <d v="2025-07-27T00:00:00"/>
    <x v="2"/>
    <n v="0.03"/>
    <n v="21.533999999999999"/>
    <s v="July"/>
    <x v="0"/>
    <s v="Cash"/>
    <x v="0"/>
    <s v="OK"/>
    <n v="9.3800000000000008"/>
    <n v="12.153999999999998"/>
    <s v="Coffee"/>
    <s v="Coffee"/>
    <n v="0.56440977059533759"/>
  </r>
  <r>
    <s v="O00044"/>
    <s v="BHL1C3"/>
    <n v="1"/>
    <n v="22.2"/>
    <s v="Beverage"/>
    <n v="9.3800000000000008"/>
    <d v="2025-07-05T00:00:00"/>
    <x v="1"/>
    <n v="0.04"/>
    <n v="21.311999999999998"/>
    <s v="July"/>
    <x v="0"/>
    <s v="Cash"/>
    <x v="0"/>
    <s v="OK"/>
    <n v="9.3800000000000008"/>
    <n v="11.931999999999997"/>
    <s v="Coffee"/>
    <s v="Coffee+Poha+Veg Sandwich"/>
    <n v="0.55987237237237231"/>
  </r>
  <r>
    <s v="O00044"/>
    <s v="SHJ7XV"/>
    <n v="1"/>
    <n v="52.45"/>
    <s v="Snack"/>
    <n v="25.8"/>
    <d v="2025-07-05T00:00:00"/>
    <x v="1"/>
    <n v="0.04"/>
    <n v="50.352000000000004"/>
    <s v="July"/>
    <x v="0"/>
    <s v="Cash"/>
    <x v="0"/>
    <s v="OK"/>
    <n v="25.8"/>
    <n v="24.552000000000003"/>
    <s v="Poha"/>
    <s v="Coffee+Poha+Veg Sandwich"/>
    <n v="0.48760724499523356"/>
  </r>
  <r>
    <s v="O00044"/>
    <s v="SCKW5N"/>
    <n v="1"/>
    <n v="70.540000000000006"/>
    <s v="Snack"/>
    <n v="35.81"/>
    <d v="2025-07-05T00:00:00"/>
    <x v="1"/>
    <n v="0.04"/>
    <n v="67.718400000000003"/>
    <s v="July"/>
    <x v="0"/>
    <s v="Cash"/>
    <x v="0"/>
    <s v="OK"/>
    <n v="35.81"/>
    <n v="31.9084"/>
    <s v="Veg Sandwich"/>
    <s v="Coffee+Poha+Veg Sandwich"/>
    <n v="0.4711924676306587"/>
  </r>
  <r>
    <s v="O00045"/>
    <s v="BXO6QJ"/>
    <n v="3"/>
    <n v="20.11"/>
    <s v="Beverage"/>
    <n v="8"/>
    <d v="2025-08-04T00:00:00"/>
    <x v="1"/>
    <n v="0.1"/>
    <n v="54.296999999999997"/>
    <s v="August"/>
    <x v="0"/>
    <s v="Cash"/>
    <x v="0"/>
    <s v="OK"/>
    <n v="24"/>
    <n v="30.296999999999997"/>
    <s v="Nimbu Pani"/>
    <s v="Nimbu Pani+Masala Chaas+Brownie"/>
    <n v="0.5579866290955301"/>
  </r>
  <r>
    <s v="O00045"/>
    <s v="BOC6UZ"/>
    <n v="2"/>
    <n v="32.979999999999997"/>
    <s v="Beverage"/>
    <n v="11.84"/>
    <d v="2025-08-04T00:00:00"/>
    <x v="1"/>
    <n v="0.1"/>
    <n v="59.363999999999997"/>
    <s v="August"/>
    <x v="0"/>
    <s v="Cash"/>
    <x v="0"/>
    <s v="OK"/>
    <n v="23.68"/>
    <n v="35.683999999999997"/>
    <s v="Masala Chaas"/>
    <s v="Nimbu Pani+Masala Chaas+Brownie"/>
    <n v="0.60110504682972843"/>
  </r>
  <r>
    <s v="O00045"/>
    <s v="D9T84A"/>
    <n v="2"/>
    <n v="116.8"/>
    <s v="Dessert"/>
    <n v="48.97"/>
    <d v="2025-08-04T00:00:00"/>
    <x v="1"/>
    <n v="0.1"/>
    <n v="210.24"/>
    <s v="August"/>
    <x v="0"/>
    <s v="Cash"/>
    <x v="0"/>
    <s v="OK"/>
    <n v="97.94"/>
    <n v="112.30000000000001"/>
    <s v="Brownie"/>
    <s v="Nimbu Pani+Masala Chaas+Brownie"/>
    <n v="0.53415144596651454"/>
  </r>
  <r>
    <s v="O00046"/>
    <s v="SV30T9"/>
    <n v="1"/>
    <n v="39.950000000000003"/>
    <s v="Snack"/>
    <n v="15.51"/>
    <d v="2025-07-20T00:00:00"/>
    <x v="1"/>
    <n v="7.0000000000000007E-2"/>
    <n v="37.153500000000001"/>
    <s v="July"/>
    <x v="0"/>
    <s v="Card"/>
    <x v="0"/>
    <s v="OK"/>
    <n v="15.51"/>
    <n v="21.643500000000003"/>
    <s v="Samosa"/>
    <s v="Samosa"/>
    <n v="0.58254269449715379"/>
  </r>
  <r>
    <s v="O00047"/>
    <s v="HDPBHS"/>
    <n v="2"/>
    <n v="256.91000000000003"/>
    <s v="Hot Meal"/>
    <n v="121.24"/>
    <d v="2025-07-28T00:00:00"/>
    <x v="1"/>
    <n v="0.04"/>
    <n v="493.2672"/>
    <s v="July"/>
    <x v="0"/>
    <s v="UPI"/>
    <x v="0"/>
    <s v="OK"/>
    <n v="242.48"/>
    <n v="250.78720000000001"/>
    <s v="Chicken Thali"/>
    <s v="Chicken Thali+Poha+Kheer Cup"/>
    <n v="0.50842058827345504"/>
  </r>
  <r>
    <s v="O00047"/>
    <s v="SHJ7XV"/>
    <n v="1"/>
    <n v="52.45"/>
    <s v="Snack"/>
    <n v="25.8"/>
    <d v="2025-07-28T00:00:00"/>
    <x v="1"/>
    <n v="0.04"/>
    <n v="50.352000000000004"/>
    <s v="July"/>
    <x v="0"/>
    <s v="UPI"/>
    <x v="0"/>
    <s v="OK"/>
    <n v="25.8"/>
    <n v="24.552000000000003"/>
    <s v="Poha"/>
    <s v="Chicken Thali+Poha+Kheer Cup"/>
    <n v="0.48760724499523356"/>
  </r>
  <r>
    <s v="O00047"/>
    <s v="DFFYVN"/>
    <n v="1"/>
    <n v="54.2"/>
    <s v="Dessert"/>
    <n v="21.95"/>
    <d v="2025-07-28T00:00:00"/>
    <x v="1"/>
    <n v="0.04"/>
    <n v="52.032000000000004"/>
    <s v="July"/>
    <x v="0"/>
    <s v="UPI"/>
    <x v="0"/>
    <s v="OK"/>
    <n v="21.95"/>
    <n v="30.082000000000004"/>
    <s v="Kheer Cup"/>
    <s v="Chicken Thali+Poha+Kheer Cup"/>
    <n v="0.57814421894218948"/>
  </r>
  <r>
    <s v="O00048"/>
    <s v="SZBIKC"/>
    <n v="1"/>
    <n v="38.06"/>
    <s v="Snack"/>
    <n v="19.55"/>
    <d v="2025-08-22T00:00:00"/>
    <x v="1"/>
    <n v="0.08"/>
    <n v="35.0152"/>
    <s v="August"/>
    <x v="0"/>
    <s v="Cash"/>
    <x v="0"/>
    <s v="OK"/>
    <n v="19.55"/>
    <n v="15.465199999999999"/>
    <s v="Paneer Roll"/>
    <s v="Paneer Roll+Masala Puff+Bottled Water"/>
    <n v="0.44167104571728849"/>
  </r>
  <r>
    <s v="O00048"/>
    <s v="S5NQ4F"/>
    <n v="2"/>
    <n v="50.19"/>
    <s v="Snack"/>
    <n v="22.61"/>
    <d v="2025-08-22T00:00:00"/>
    <x v="1"/>
    <n v="0.08"/>
    <n v="92.349599999999995"/>
    <s v="August"/>
    <x v="0"/>
    <s v="Cash"/>
    <x v="0"/>
    <s v="OK"/>
    <n v="45.22"/>
    <n v="47.129599999999996"/>
    <s v="Masala Puff"/>
    <s v="Paneer Roll+Masala Puff+Bottled Water"/>
    <n v="0.51033897277302764"/>
  </r>
  <r>
    <s v="O00048"/>
    <s v="B0T0PV"/>
    <n v="2"/>
    <n v="28.43"/>
    <s v="Beverage"/>
    <n v="13.89"/>
    <d v="2025-08-22T00:00:00"/>
    <x v="1"/>
    <n v="0.08"/>
    <n v="52.311199999999999"/>
    <s v="August"/>
    <x v="0"/>
    <s v="Cash"/>
    <x v="0"/>
    <s v="OK"/>
    <n v="27.78"/>
    <n v="24.531199999999998"/>
    <s v="Bottled Water"/>
    <s v="Paneer Roll+Masala Puff+Bottled Water"/>
    <n v="0.46894737647004847"/>
  </r>
  <r>
    <s v="O00049"/>
    <s v="HXAJI0"/>
    <n v="1"/>
    <n v="227.61"/>
    <s v="Hot Meal"/>
    <n v="96.22"/>
    <d v="2025-07-18T00:00:00"/>
    <x v="0"/>
    <n v="0.06"/>
    <n v="213.95339999999999"/>
    <s v="July"/>
    <x v="2"/>
    <s v="Cash"/>
    <x v="1"/>
    <s v="OK"/>
    <n v="96.22"/>
    <n v="117.73339999999999"/>
    <s v="Veg Thali"/>
    <s v="Veg Thali+Masala Chaas"/>
    <n v="0.55027590120091574"/>
  </r>
  <r>
    <s v="O00049"/>
    <s v="BOC6UZ"/>
    <n v="2"/>
    <n v="32.979999999999997"/>
    <s v="Beverage"/>
    <n v="11.84"/>
    <d v="2025-07-18T00:00:00"/>
    <x v="0"/>
    <n v="0.06"/>
    <n v="62.002399999999987"/>
    <s v="July"/>
    <x v="2"/>
    <s v="Cash"/>
    <x v="1"/>
    <s v="OK"/>
    <n v="23.68"/>
    <n v="38.322399999999988"/>
    <s v="Masala Chaas"/>
    <s v="Veg Thali+Masala Chaas"/>
    <n v="0.61807930015612289"/>
  </r>
  <r>
    <s v="O00050"/>
    <s v="DH9SDB"/>
    <n v="1"/>
    <n v="76.55"/>
    <s v="Dessert"/>
    <n v="38.229999999999997"/>
    <d v="2025-08-28T00:00:00"/>
    <x v="1"/>
    <n v="0.1"/>
    <n v="68.894999999999996"/>
    <s v="August"/>
    <x v="0"/>
    <s v="UPI"/>
    <x v="0"/>
    <s v="OK"/>
    <n v="38.229999999999997"/>
    <n v="30.664999999999999"/>
    <s v="Gulab Jamun (2 pc)"/>
    <s v="Gulab Jamun (2 pc)+Masala Chaas"/>
    <n v="0.44509761230858552"/>
  </r>
  <r>
    <s v="O00050"/>
    <s v="BOC6UZ"/>
    <n v="1"/>
    <n v="32.979999999999997"/>
    <s v="Beverage"/>
    <n v="11.84"/>
    <d v="2025-08-28T00:00:00"/>
    <x v="1"/>
    <n v="0.1"/>
    <n v="29.681999999999999"/>
    <s v="August"/>
    <x v="0"/>
    <s v="UPI"/>
    <x v="0"/>
    <s v="OK"/>
    <n v="11.84"/>
    <n v="17.841999999999999"/>
    <s v="Masala Chaas"/>
    <s v="Gulab Jamun (2 pc)+Masala Chaas"/>
    <n v="0.60110504682972843"/>
  </r>
  <r>
    <s v="O00051"/>
    <s v="HH1DNM"/>
    <n v="1"/>
    <n v="246.09"/>
    <s v="Hot Meal"/>
    <n v="112.08"/>
    <d v="2025-08-12T00:00:00"/>
    <x v="0"/>
    <n v="0.03"/>
    <n v="238.7073"/>
    <s v="August"/>
    <x v="2"/>
    <s v="Cash"/>
    <x v="0"/>
    <s v="OK"/>
    <n v="112.08"/>
    <n v="126.62730000000001"/>
    <s v="Egg Curry + Rice"/>
    <s v="Egg Curry + Rice+Brownie+Gulab Jamun (2 pc)"/>
    <n v="0.53047099942062936"/>
  </r>
  <r>
    <s v="O00051"/>
    <s v="D9T84A"/>
    <n v="1"/>
    <n v="116.8"/>
    <s v="Dessert"/>
    <n v="48.97"/>
    <d v="2025-08-12T00:00:00"/>
    <x v="0"/>
    <n v="0.03"/>
    <n v="113.29599999999999"/>
    <s v="August"/>
    <x v="2"/>
    <s v="Cash"/>
    <x v="0"/>
    <s v="OK"/>
    <n v="48.97"/>
    <n v="64.325999999999993"/>
    <s v="Brownie"/>
    <s v="Egg Curry + Rice+Brownie+Gulab Jamun (2 pc)"/>
    <n v="0.56776938285552891"/>
  </r>
  <r>
    <s v="O00051"/>
    <s v="DH9SDB"/>
    <n v="3"/>
    <n v="76.55"/>
    <s v="Dessert"/>
    <n v="38.229999999999997"/>
    <d v="2025-08-12T00:00:00"/>
    <x v="0"/>
    <n v="0.03"/>
    <n v="222.76049999999998"/>
    <s v="August"/>
    <x v="2"/>
    <s v="Cash"/>
    <x v="0"/>
    <s v="OK"/>
    <n v="114.69"/>
    <n v="108.07049999999998"/>
    <s v="Gulab Jamun (2 pc)"/>
    <s v="Egg Curry + Rice+Brownie+Gulab Jamun (2 pc)"/>
    <n v="0.48514211451312056"/>
  </r>
  <r>
    <s v="O00052"/>
    <s v="SCKW5N"/>
    <n v="2"/>
    <n v="70.540000000000006"/>
    <s v="Snack"/>
    <n v="35.81"/>
    <d v="2025-08-26T00:00:00"/>
    <x v="2"/>
    <n v="0.05"/>
    <n v="134.02600000000001"/>
    <s v="August"/>
    <x v="0"/>
    <s v="Cash"/>
    <x v="0"/>
    <s v="OK"/>
    <n v="71.62"/>
    <n v="62.406000000000006"/>
    <s v="Veg Sandwich"/>
    <s v="Veg Sandwich+Poha"/>
    <n v="0.46562607255308675"/>
  </r>
  <r>
    <s v="O00052"/>
    <s v="SHJ7XV"/>
    <n v="1"/>
    <n v="52.45"/>
    <s v="Snack"/>
    <n v="25.8"/>
    <d v="2025-08-26T00:00:00"/>
    <x v="2"/>
    <n v="0.05"/>
    <n v="49.827500000000001"/>
    <s v="August"/>
    <x v="0"/>
    <s v="Cash"/>
    <x v="0"/>
    <s v="OK"/>
    <n v="25.8"/>
    <n v="24.0275"/>
    <s v="Poha"/>
    <s v="Veg Sandwich+Poha"/>
    <n v="0.48221363704781495"/>
  </r>
  <r>
    <s v="O00053"/>
    <s v="SHJ7XV"/>
    <n v="2"/>
    <n v="52.45"/>
    <s v="Snack"/>
    <n v="25.8"/>
    <d v="2025-07-01T00:00:00"/>
    <x v="0"/>
    <n v="0.04"/>
    <n v="100.70400000000001"/>
    <s v="July"/>
    <x v="0"/>
    <s v="UPI"/>
    <x v="0"/>
    <s v="OK"/>
    <n v="51.6"/>
    <n v="49.104000000000006"/>
    <s v="Poha"/>
    <s v="Poha"/>
    <n v="0.48760724499523356"/>
  </r>
  <r>
    <s v="O00054"/>
    <s v="SZBIKC"/>
    <n v="1"/>
    <n v="38.06"/>
    <s v="Snack"/>
    <n v="19.55"/>
    <d v="2025-08-05T00:00:00"/>
    <x v="1"/>
    <n v="0"/>
    <n v="38.06"/>
    <s v="August"/>
    <x v="2"/>
    <s v="UPI"/>
    <x v="0"/>
    <s v="OK"/>
    <n v="19.55"/>
    <n v="18.510000000000002"/>
    <s v="Paneer Roll"/>
    <s v="Paneer Roll+Brownie"/>
    <n v="0.48633736205990541"/>
  </r>
  <r>
    <s v="O00054"/>
    <s v="D9T84A"/>
    <n v="2"/>
    <n v="116.8"/>
    <s v="Dessert"/>
    <n v="48.97"/>
    <d v="2025-08-05T00:00:00"/>
    <x v="1"/>
    <n v="0"/>
    <n v="233.6"/>
    <s v="August"/>
    <x v="2"/>
    <s v="UPI"/>
    <x v="0"/>
    <s v="OK"/>
    <n v="97.94"/>
    <n v="135.66"/>
    <s v="Brownie"/>
    <s v="Paneer Roll+Brownie"/>
    <n v="0.58073630136986298"/>
  </r>
  <r>
    <s v="O00055"/>
    <s v="HDPBHS"/>
    <n v="2"/>
    <n v="256.91000000000003"/>
    <s v="Hot Meal"/>
    <n v="121.24"/>
    <d v="2025-07-31T00:00:00"/>
    <x v="0"/>
    <n v="7.0000000000000007E-2"/>
    <n v="477.8526"/>
    <s v="July"/>
    <x v="1"/>
    <s v="UPI"/>
    <x v="0"/>
    <s v="HighDisc"/>
    <n v="242.48"/>
    <n v="235.37260000000001"/>
    <s v="Chicken Thali"/>
    <s v="Chicken Thali+Egg Curry + Rice"/>
    <n v="0.49256318789517939"/>
  </r>
  <r>
    <s v="O00055"/>
    <s v="HH1DNM"/>
    <n v="1"/>
    <n v="246.09"/>
    <s v="Hot Meal"/>
    <n v="112.08"/>
    <d v="2025-07-31T00:00:00"/>
    <x v="0"/>
    <n v="7.0000000000000007E-2"/>
    <n v="228.86369999999999"/>
    <s v="July"/>
    <x v="1"/>
    <s v="UPI"/>
    <x v="0"/>
    <s v="HighDisc"/>
    <n v="112.08"/>
    <n v="116.7837"/>
    <s v="Egg Curry + Rice"/>
    <s v="Chicken Thali+Egg Curry + Rice"/>
    <n v="0.5102762036967855"/>
  </r>
  <r>
    <s v="O00056"/>
    <s v="D9T84A"/>
    <n v="3"/>
    <n v="116.8"/>
    <s v="Dessert"/>
    <n v="48.97"/>
    <d v="2025-08-19T00:00:00"/>
    <x v="1"/>
    <n v="7.0000000000000007E-2"/>
    <n v="325.87199999999996"/>
    <s v="August"/>
    <x v="2"/>
    <s v="Card"/>
    <x v="0"/>
    <s v="OK"/>
    <n v="146.91"/>
    <n v="178.96199999999996"/>
    <s v="Brownie"/>
    <s v="Brownie+Rajma Chawal"/>
    <n v="0.54917881867727203"/>
  </r>
  <r>
    <s v="O00056"/>
    <s v="HUZZPQ"/>
    <n v="1"/>
    <n v="146.4"/>
    <s v="Hot Meal"/>
    <n v="80.92"/>
    <d v="2025-08-19T00:00:00"/>
    <x v="1"/>
    <n v="7.0000000000000007E-2"/>
    <n v="136.15199999999999"/>
    <s v="August"/>
    <x v="2"/>
    <s v="Card"/>
    <x v="0"/>
    <s v="OK"/>
    <n v="80.92"/>
    <n v="55.231999999999985"/>
    <s v="Rajma Chawal"/>
    <s v="Brownie+Rajma Chawal"/>
    <n v="0.40566425759445318"/>
  </r>
  <r>
    <s v="O00057"/>
    <s v="S5NQ4F"/>
    <n v="1"/>
    <n v="50.19"/>
    <s v="Snack"/>
    <n v="22.61"/>
    <d v="2025-08-09T00:00:00"/>
    <x v="0"/>
    <n v="0.06"/>
    <n v="47.178599999999996"/>
    <s v="August"/>
    <x v="0"/>
    <s v="UPI"/>
    <x v="0"/>
    <s v="OK"/>
    <n v="22.61"/>
    <n v="24.568599999999996"/>
    <s v="Masala Puff"/>
    <s v="Masala Puff+Tea+Paneer Roll+Gulab Jamun (2 pc)"/>
    <n v="0.52075729250126113"/>
  </r>
  <r>
    <s v="O00057"/>
    <s v="BTIQJ7"/>
    <n v="3"/>
    <n v="30.34"/>
    <s v="Beverage"/>
    <n v="14.18"/>
    <d v="2025-08-09T00:00:00"/>
    <x v="0"/>
    <n v="0.06"/>
    <n v="85.558799999999991"/>
    <s v="August"/>
    <x v="0"/>
    <s v="UPI"/>
    <x v="0"/>
    <s v="OK"/>
    <n v="42.54"/>
    <n v="43.018799999999992"/>
    <s v="Tea"/>
    <s v="Masala Puff+Tea+Paneer Roll+Gulab Jamun (2 pc)"/>
    <n v="0.50279807570933666"/>
  </r>
  <r>
    <s v="O00057"/>
    <s v="SZBIKC"/>
    <n v="1"/>
    <n v="38.06"/>
    <s v="Snack"/>
    <n v="19.55"/>
    <d v="2025-08-09T00:00:00"/>
    <x v="0"/>
    <n v="0.06"/>
    <n v="35.776400000000002"/>
    <s v="August"/>
    <x v="0"/>
    <s v="UPI"/>
    <x v="0"/>
    <s v="OK"/>
    <n v="19.55"/>
    <n v="16.226400000000002"/>
    <s v="Paneer Roll"/>
    <s v="Masala Puff+Tea+Paneer Roll+Gulab Jamun (2 pc)"/>
    <n v="0.45355038517011215"/>
  </r>
  <r>
    <s v="O00057"/>
    <s v="DH9SDB"/>
    <n v="1"/>
    <n v="76.55"/>
    <s v="Dessert"/>
    <n v="38.229999999999997"/>
    <d v="2025-08-09T00:00:00"/>
    <x v="0"/>
    <n v="0.06"/>
    <n v="71.956999999999994"/>
    <s v="August"/>
    <x v="0"/>
    <s v="UPI"/>
    <x v="0"/>
    <s v="OK"/>
    <n v="38.229999999999997"/>
    <n v="33.726999999999997"/>
    <s v="Gulab Jamun (2 pc)"/>
    <s v="Masala Puff+Tea+Paneer Roll+Gulab Jamun (2 pc)"/>
    <n v="0.46871047986992231"/>
  </r>
  <r>
    <s v="O00058"/>
    <s v="HH1DNM"/>
    <n v="1"/>
    <n v="246.09"/>
    <s v="Hot Meal"/>
    <n v="112.08"/>
    <d v="2025-07-19T00:00:00"/>
    <x v="1"/>
    <n v="0.05"/>
    <n v="233.78549999999998"/>
    <s v="July"/>
    <x v="1"/>
    <s v="Card"/>
    <x v="0"/>
    <s v="OK"/>
    <n v="112.08"/>
    <n v="121.70549999999999"/>
    <s v="Egg Curry + Rice"/>
    <s v="Egg Curry + Rice"/>
    <n v="0.52058617835580046"/>
  </r>
  <r>
    <s v="O00059"/>
    <s v="DH9SDB"/>
    <n v="2"/>
    <n v="76.55"/>
    <s v="Dessert"/>
    <n v="38.229999999999997"/>
    <d v="2025-08-25T00:00:00"/>
    <x v="1"/>
    <n v="0"/>
    <n v="153.1"/>
    <s v="August"/>
    <x v="2"/>
    <s v="UPI"/>
    <x v="0"/>
    <s v="OK"/>
    <n v="76.459999999999994"/>
    <n v="76.64"/>
    <s v="Gulab Jamun (2 pc)"/>
    <s v="Gulab Jamun (2 pc)+Kheer Cup+Veg Thali"/>
    <n v="0.50058785107772696"/>
  </r>
  <r>
    <s v="O00059"/>
    <s v="DFFYVN"/>
    <n v="1"/>
    <n v="54.2"/>
    <s v="Dessert"/>
    <n v="21.95"/>
    <d v="2025-08-25T00:00:00"/>
    <x v="1"/>
    <n v="0"/>
    <n v="54.2"/>
    <s v="August"/>
    <x v="2"/>
    <s v="UPI"/>
    <x v="0"/>
    <s v="OK"/>
    <n v="21.95"/>
    <n v="32.25"/>
    <s v="Kheer Cup"/>
    <s v="Gulab Jamun (2 pc)+Kheer Cup+Veg Thali"/>
    <n v="0.59501845018450183"/>
  </r>
  <r>
    <s v="O00059"/>
    <s v="HXAJI0"/>
    <n v="2"/>
    <n v="227.61"/>
    <s v="Hot Meal"/>
    <n v="96.22"/>
    <d v="2025-08-25T00:00:00"/>
    <x v="1"/>
    <n v="0"/>
    <n v="455.22"/>
    <s v="August"/>
    <x v="2"/>
    <s v="UPI"/>
    <x v="0"/>
    <s v="OK"/>
    <n v="192.44"/>
    <n v="262.78000000000003"/>
    <s v="Veg Thali"/>
    <s v="Gulab Jamun (2 pc)+Kheer Cup+Veg Thali"/>
    <n v="0.57725934712886084"/>
  </r>
  <r>
    <s v="O00060"/>
    <s v="H3A3ZM"/>
    <n v="2"/>
    <n v="170.83"/>
    <s v="Hot Meal"/>
    <n v="74.069999999999993"/>
    <d v="2025-07-30T00:00:00"/>
    <x v="1"/>
    <n v="0.04"/>
    <n v="327.99360000000001"/>
    <s v="July"/>
    <x v="1"/>
    <s v="Card"/>
    <x v="0"/>
    <s v="OK"/>
    <n v="148.13999999999999"/>
    <n v="179.85360000000003"/>
    <s v="Paneer Butter Masala + Naan"/>
    <s v="Paneer Butter Masala + Naan+Chicken Thali+Veg Sandwich"/>
    <n v="0.54834484575308795"/>
  </r>
  <r>
    <s v="O00060"/>
    <s v="HDPBHS"/>
    <n v="1"/>
    <n v="256.91000000000003"/>
    <s v="Hot Meal"/>
    <n v="121.24"/>
    <d v="2025-07-30T00:00:00"/>
    <x v="1"/>
    <n v="0.04"/>
    <n v="246.6336"/>
    <s v="July"/>
    <x v="1"/>
    <s v="Card"/>
    <x v="0"/>
    <s v="OK"/>
    <n v="121.24"/>
    <n v="125.39360000000001"/>
    <s v="Chicken Thali"/>
    <s v="Paneer Butter Masala + Naan+Chicken Thali+Veg Sandwich"/>
    <n v="0.50842058827345504"/>
  </r>
  <r>
    <s v="O00060"/>
    <s v="SCKW5N"/>
    <n v="2"/>
    <n v="70.540000000000006"/>
    <s v="Snack"/>
    <n v="35.81"/>
    <d v="2025-07-30T00:00:00"/>
    <x v="1"/>
    <n v="0.04"/>
    <n v="135.43680000000001"/>
    <s v="July"/>
    <x v="1"/>
    <s v="Card"/>
    <x v="0"/>
    <s v="OK"/>
    <n v="71.62"/>
    <n v="63.816800000000001"/>
    <s v="Veg Sandwich"/>
    <s v="Paneer Butter Masala + Naan+Chicken Thali+Veg Sandwich"/>
    <n v="0.4711924676306587"/>
  </r>
  <r>
    <s v="O00061"/>
    <s v="SHJ7XV"/>
    <n v="1"/>
    <n v="52.45"/>
    <s v="Snack"/>
    <n v="25.8"/>
    <d v="2025-08-15T00:00:00"/>
    <x v="1"/>
    <n v="0.05"/>
    <n v="49.827500000000001"/>
    <s v="August"/>
    <x v="0"/>
    <s v="UPI"/>
    <x v="0"/>
    <s v="OK"/>
    <n v="25.8"/>
    <n v="24.0275"/>
    <s v="Poha"/>
    <s v="Poha+Tea+Samosa+Masala Chaas"/>
    <n v="0.48221363704781495"/>
  </r>
  <r>
    <s v="O00061"/>
    <s v="BTIQJ7"/>
    <n v="2"/>
    <n v="30.34"/>
    <s v="Beverage"/>
    <n v="14.18"/>
    <d v="2025-08-15T00:00:00"/>
    <x v="1"/>
    <n v="0.05"/>
    <n v="57.645999999999994"/>
    <s v="August"/>
    <x v="0"/>
    <s v="UPI"/>
    <x v="0"/>
    <s v="OK"/>
    <n v="28.36"/>
    <n v="29.285999999999994"/>
    <s v="Tea"/>
    <s v="Poha+Tea+Samosa+Masala Chaas"/>
    <n v="0.50803178017555417"/>
  </r>
  <r>
    <s v="O00061"/>
    <s v="SV30T9"/>
    <n v="3"/>
    <n v="39.950000000000003"/>
    <s v="Snack"/>
    <n v="15.51"/>
    <d v="2025-08-15T00:00:00"/>
    <x v="1"/>
    <n v="0.05"/>
    <n v="113.8575"/>
    <s v="August"/>
    <x v="0"/>
    <s v="UPI"/>
    <x v="0"/>
    <s v="OK"/>
    <n v="46.53"/>
    <n v="67.327500000000001"/>
    <s v="Samosa"/>
    <s v="Poha+Tea+Samosa+Masala Chaas"/>
    <n v="0.59133126934984515"/>
  </r>
  <r>
    <s v="O00061"/>
    <s v="BOC6UZ"/>
    <n v="1"/>
    <n v="32.979999999999997"/>
    <s v="Beverage"/>
    <n v="11.84"/>
    <d v="2025-08-15T00:00:00"/>
    <x v="1"/>
    <n v="0.05"/>
    <n v="31.330999999999996"/>
    <s v="August"/>
    <x v="0"/>
    <s v="UPI"/>
    <x v="0"/>
    <s v="OK"/>
    <n v="11.84"/>
    <n v="19.490999999999996"/>
    <s v="Masala Chaas"/>
    <s v="Poha+Tea+Samosa+Masala Chaas"/>
    <n v="0.62209951804921637"/>
  </r>
  <r>
    <s v="O00062"/>
    <s v="D9T84A"/>
    <n v="2"/>
    <n v="116.8"/>
    <s v="Dessert"/>
    <n v="48.97"/>
    <d v="2025-08-19T00:00:00"/>
    <x v="1"/>
    <n v="0.03"/>
    <n v="226.59199999999998"/>
    <s v="August"/>
    <x v="1"/>
    <s v="Cash"/>
    <x v="0"/>
    <s v="OK"/>
    <n v="97.94"/>
    <n v="128.65199999999999"/>
    <s v="Brownie"/>
    <s v="Brownie+Tea"/>
    <n v="0.56776938285552891"/>
  </r>
  <r>
    <s v="O00062"/>
    <s v="BTIQJ7"/>
    <n v="2"/>
    <n v="30.34"/>
    <s v="Beverage"/>
    <n v="14.18"/>
    <d v="2025-08-19T00:00:00"/>
    <x v="1"/>
    <n v="0.03"/>
    <n v="58.8596"/>
    <s v="August"/>
    <x v="1"/>
    <s v="Cash"/>
    <x v="0"/>
    <s v="OK"/>
    <n v="28.36"/>
    <n v="30.499600000000001"/>
    <s v="Tea"/>
    <s v="Brownie+Tea"/>
    <n v="0.51817545481110983"/>
  </r>
  <r>
    <s v="O00063"/>
    <s v="DH9SDB"/>
    <n v="2"/>
    <n v="76.55"/>
    <s v="Dessert"/>
    <n v="38.229999999999997"/>
    <d v="2025-07-28T00:00:00"/>
    <x v="0"/>
    <n v="0.05"/>
    <n v="145.44499999999999"/>
    <s v="July"/>
    <x v="1"/>
    <s v="UPI"/>
    <x v="0"/>
    <s v="OK"/>
    <n v="76.459999999999994"/>
    <n v="68.984999999999999"/>
    <s v="Gulab Jamun (2 pc)"/>
    <s v="Gulab Jamun (2 pc)"/>
    <n v="0.47430300113444945"/>
  </r>
  <r>
    <s v="O00064"/>
    <s v="BXO6QJ"/>
    <n v="1"/>
    <n v="20.11"/>
    <s v="Beverage"/>
    <n v="8"/>
    <d v="2025-07-10T00:00:00"/>
    <x v="2"/>
    <n v="0.08"/>
    <n v="18.501200000000001"/>
    <s v="July"/>
    <x v="0"/>
    <s v="Card"/>
    <x v="0"/>
    <s v="OK"/>
    <n v="8"/>
    <n v="10.501200000000001"/>
    <s v="Nimbu Pani"/>
    <s v="Nimbu Pani"/>
    <n v="0.5675956154195404"/>
  </r>
  <r>
    <s v="O00065"/>
    <s v="HDPBHS"/>
    <n v="2"/>
    <n v="256.91000000000003"/>
    <s v="Hot Meal"/>
    <n v="121.24"/>
    <d v="2025-07-20T00:00:00"/>
    <x v="2"/>
    <n v="0.14000000000000001"/>
    <n v="441.88520000000005"/>
    <s v="July"/>
    <x v="2"/>
    <s v="Cash"/>
    <x v="1"/>
    <s v="HighDisc"/>
    <n v="242.48"/>
    <n v="199.40520000000006"/>
    <s v="Chicken Thali"/>
    <s v="Chicken Thali+Veg Sandwich+Bottled Water"/>
    <n v="0.45126019156106617"/>
  </r>
  <r>
    <s v="O00065"/>
    <s v="SCKW5N"/>
    <n v="2"/>
    <n v="70.540000000000006"/>
    <s v="Snack"/>
    <n v="35.81"/>
    <d v="2025-07-20T00:00:00"/>
    <x v="2"/>
    <n v="0.14000000000000001"/>
    <n v="121.32880000000002"/>
    <s v="July"/>
    <x v="2"/>
    <s v="Cash"/>
    <x v="1"/>
    <s v="HighDisc"/>
    <n v="71.62"/>
    <n v="49.708800000000011"/>
    <s v="Veg Sandwich"/>
    <s v="Chicken Thali+Veg Sandwich+Bottled Water"/>
    <n v="0.40970321968073536"/>
  </r>
  <r>
    <s v="O00065"/>
    <s v="B0T0PV"/>
    <n v="1"/>
    <n v="28.43"/>
    <s v="Beverage"/>
    <n v="13.89"/>
    <d v="2025-07-20T00:00:00"/>
    <x v="2"/>
    <n v="0.14000000000000001"/>
    <n v="24.4498"/>
    <s v="July"/>
    <x v="2"/>
    <s v="Cash"/>
    <x v="1"/>
    <s v="HighDisc"/>
    <n v="13.89"/>
    <n v="10.559799999999999"/>
    <s v="Bottled Water"/>
    <s v="Chicken Thali+Veg Sandwich+Bottled Water"/>
    <n v="0.43189719343307509"/>
  </r>
  <r>
    <s v="O00066"/>
    <s v="SZBIKC"/>
    <n v="1"/>
    <n v="38.06"/>
    <s v="Snack"/>
    <n v="19.55"/>
    <d v="2025-08-16T00:00:00"/>
    <x v="0"/>
    <n v="7.0000000000000007E-2"/>
    <n v="35.395800000000001"/>
    <s v="August"/>
    <x v="0"/>
    <s v="Card"/>
    <x v="0"/>
    <s v="HighDisc"/>
    <n v="19.55"/>
    <n v="15.845800000000001"/>
    <s v="Paneer Roll"/>
    <s v="Paneer Roll+Rajma Chawal+Gulab Jamun (2 pc)+Veg Thali"/>
    <n v="0.44767458286011336"/>
  </r>
  <r>
    <s v="O00066"/>
    <s v="HUZZPQ"/>
    <n v="3"/>
    <n v="146.4"/>
    <s v="Hot Meal"/>
    <n v="80.92"/>
    <d v="2025-08-16T00:00:00"/>
    <x v="0"/>
    <n v="7.0000000000000007E-2"/>
    <n v="408.45600000000002"/>
    <s v="August"/>
    <x v="0"/>
    <s v="Card"/>
    <x v="0"/>
    <s v="HighDisc"/>
    <n v="242.76"/>
    <n v="165.69600000000003"/>
    <s v="Rajma Chawal"/>
    <s v="Paneer Roll+Rajma Chawal+Gulab Jamun (2 pc)+Veg Thali"/>
    <n v="0.40566425759445329"/>
  </r>
  <r>
    <s v="O00066"/>
    <s v="DH9SDB"/>
    <n v="2"/>
    <n v="76.55"/>
    <s v="Dessert"/>
    <n v="38.229999999999997"/>
    <d v="2025-08-16T00:00:00"/>
    <x v="0"/>
    <n v="7.0000000000000007E-2"/>
    <n v="142.38299999999998"/>
    <s v="August"/>
    <x v="0"/>
    <s v="Card"/>
    <x v="0"/>
    <s v="HighDisc"/>
    <n v="76.459999999999994"/>
    <n v="65.922999999999988"/>
    <s v="Gulab Jamun (2 pc)"/>
    <s v="Paneer Roll+Rajma Chawal+Gulab Jamun (2 pc)+Veg Thali"/>
    <n v="0.46299768933088919"/>
  </r>
  <r>
    <s v="O00066"/>
    <s v="HXAJI0"/>
    <n v="2"/>
    <n v="227.61"/>
    <s v="Hot Meal"/>
    <n v="96.22"/>
    <d v="2025-08-16T00:00:00"/>
    <x v="0"/>
    <n v="7.0000000000000007E-2"/>
    <n v="423.3546"/>
    <s v="August"/>
    <x v="0"/>
    <s v="Card"/>
    <x v="0"/>
    <s v="HighDisc"/>
    <n v="192.44"/>
    <n v="230.91460000000001"/>
    <s v="Veg Thali"/>
    <s v="Paneer Roll+Rajma Chawal+Gulab Jamun (2 pc)+Veg Thali"/>
    <n v="0.54544015820307612"/>
  </r>
  <r>
    <s v="O00067"/>
    <s v="SCKW5N"/>
    <n v="1"/>
    <n v="70.540000000000006"/>
    <s v="Snack"/>
    <n v="35.81"/>
    <d v="2025-08-26T00:00:00"/>
    <x v="2"/>
    <n v="7.0000000000000007E-2"/>
    <n v="65.602199999999996"/>
    <s v="August"/>
    <x v="0"/>
    <s v="UPI"/>
    <x v="0"/>
    <s v="OK"/>
    <n v="35.81"/>
    <n v="29.792199999999994"/>
    <s v="Veg Sandwich"/>
    <s v="Veg Sandwich+Bottled Water+Tea+Brownie"/>
    <n v="0.45413416013487345"/>
  </r>
  <r>
    <s v="O00067"/>
    <s v="B0T0PV"/>
    <n v="1"/>
    <n v="28.43"/>
    <s v="Beverage"/>
    <n v="13.89"/>
    <d v="2025-08-26T00:00:00"/>
    <x v="2"/>
    <n v="7.0000000000000007E-2"/>
    <n v="26.439899999999998"/>
    <s v="August"/>
    <x v="0"/>
    <s v="UPI"/>
    <x v="0"/>
    <s v="OK"/>
    <n v="13.89"/>
    <n v="12.549899999999997"/>
    <s v="Bottled Water"/>
    <s v="Veg Sandwich+Bottled Water+Tea+Brownie"/>
    <n v="0.47465761973381132"/>
  </r>
  <r>
    <s v="O00067"/>
    <s v="BTIQJ7"/>
    <n v="1"/>
    <n v="30.34"/>
    <s v="Beverage"/>
    <n v="14.18"/>
    <d v="2025-08-26T00:00:00"/>
    <x v="2"/>
    <n v="7.0000000000000007E-2"/>
    <n v="28.216199999999997"/>
    <s v="August"/>
    <x v="0"/>
    <s v="UPI"/>
    <x v="0"/>
    <s v="OK"/>
    <n v="14.18"/>
    <n v="14.036199999999997"/>
    <s v="Tea"/>
    <s v="Veg Sandwich+Bottled Water+Tea+Brownie"/>
    <n v="0.49745181845889946"/>
  </r>
  <r>
    <s v="O00067"/>
    <s v="D9T84A"/>
    <n v="2"/>
    <n v="116.8"/>
    <s v="Dessert"/>
    <n v="48.97"/>
    <d v="2025-08-26T00:00:00"/>
    <x v="2"/>
    <n v="7.0000000000000007E-2"/>
    <n v="217.24799999999999"/>
    <s v="August"/>
    <x v="0"/>
    <s v="UPI"/>
    <x v="0"/>
    <s v="OK"/>
    <n v="97.94"/>
    <n v="119.30799999999999"/>
    <s v="Brownie"/>
    <s v="Veg Sandwich+Bottled Water+Tea+Brownie"/>
    <n v="0.54917881867727203"/>
  </r>
  <r>
    <s v="O00068"/>
    <s v="H3A3ZM"/>
    <n v="1"/>
    <n v="170.83"/>
    <s v="Hot Meal"/>
    <n v="74.069999999999993"/>
    <d v="2025-08-18T00:00:00"/>
    <x v="1"/>
    <n v="0.06"/>
    <n v="160.58019999999999"/>
    <s v="August"/>
    <x v="0"/>
    <s v="Cash"/>
    <x v="1"/>
    <s v="OK"/>
    <n v="74.069999999999993"/>
    <n v="86.510199999999998"/>
    <s v="Paneer Butter Masala + Naan"/>
    <s v="Paneer Butter Masala + Naan+Masala Puff+Tea+Rajma Chawal"/>
    <n v="0.53873516162017487"/>
  </r>
  <r>
    <s v="O00068"/>
    <s v="S5NQ4F"/>
    <n v="1"/>
    <n v="50.19"/>
    <s v="Snack"/>
    <n v="22.61"/>
    <d v="2025-08-18T00:00:00"/>
    <x v="1"/>
    <n v="0.06"/>
    <n v="47.178599999999996"/>
    <s v="August"/>
    <x v="0"/>
    <s v="Cash"/>
    <x v="1"/>
    <s v="OK"/>
    <n v="22.61"/>
    <n v="24.568599999999996"/>
    <s v="Masala Puff"/>
    <s v="Paneer Butter Masala + Naan+Masala Puff+Tea+Rajma Chawal"/>
    <n v="0.52075729250126113"/>
  </r>
  <r>
    <s v="O00068"/>
    <s v="BTIQJ7"/>
    <n v="1"/>
    <n v="30.34"/>
    <s v="Beverage"/>
    <n v="14.18"/>
    <d v="2025-08-18T00:00:00"/>
    <x v="1"/>
    <n v="0.06"/>
    <n v="28.519599999999997"/>
    <s v="August"/>
    <x v="0"/>
    <s v="Cash"/>
    <x v="1"/>
    <s v="OK"/>
    <n v="14.18"/>
    <n v="14.339599999999997"/>
    <s v="Tea"/>
    <s v="Paneer Butter Masala + Naan+Masala Puff+Tea+Rajma Chawal"/>
    <n v="0.50279807570933666"/>
  </r>
  <r>
    <s v="O00068"/>
    <s v="HUZZPQ"/>
    <n v="1"/>
    <n v="146.4"/>
    <s v="Hot Meal"/>
    <n v="80.92"/>
    <d v="2025-08-18T00:00:00"/>
    <x v="1"/>
    <n v="0.06"/>
    <n v="137.61599999999999"/>
    <s v="August"/>
    <x v="0"/>
    <s v="Cash"/>
    <x v="1"/>
    <s v="OK"/>
    <n v="80.92"/>
    <n v="56.695999999999984"/>
    <s v="Rajma Chawal"/>
    <s v="Paneer Butter Masala + Naan+Masala Puff+Tea+Rajma Chawal"/>
    <n v="0.41198697825834196"/>
  </r>
  <r>
    <s v="O00069"/>
    <s v="HH1DNM"/>
    <n v="3"/>
    <n v="246.09"/>
    <s v="Hot Meal"/>
    <n v="112.08"/>
    <d v="2025-07-11T00:00:00"/>
    <x v="1"/>
    <n v="0"/>
    <n v="738.27"/>
    <s v="July"/>
    <x v="2"/>
    <s v="Cash"/>
    <x v="0"/>
    <s v="OK"/>
    <n v="336.24"/>
    <n v="402.03"/>
    <s v="Egg Curry + Rice"/>
    <s v="Egg Curry + Rice+Chicken Thali+Veg Sandwich+Rajma Chawal"/>
    <n v="0.54455686943801052"/>
  </r>
  <r>
    <s v="O00069"/>
    <s v="HDPBHS"/>
    <n v="2"/>
    <n v="256.91000000000003"/>
    <s v="Hot Meal"/>
    <n v="121.24"/>
    <d v="2025-07-11T00:00:00"/>
    <x v="1"/>
    <n v="0"/>
    <n v="513.82000000000005"/>
    <s v="July"/>
    <x v="2"/>
    <s v="Cash"/>
    <x v="0"/>
    <s v="OK"/>
    <n v="242.48"/>
    <n v="271.34000000000003"/>
    <s v="Chicken Thali"/>
    <s v="Egg Curry + Rice+Chicken Thali+Veg Sandwich+Rajma Chawal"/>
    <n v="0.52808376474251684"/>
  </r>
  <r>
    <s v="O00069"/>
    <s v="SCKW5N"/>
    <n v="2"/>
    <n v="70.540000000000006"/>
    <s v="Snack"/>
    <n v="35.81"/>
    <d v="2025-07-11T00:00:00"/>
    <x v="1"/>
    <n v="0"/>
    <n v="141.08000000000001"/>
    <s v="July"/>
    <x v="2"/>
    <s v="Cash"/>
    <x v="0"/>
    <s v="OK"/>
    <n v="71.62"/>
    <n v="69.460000000000008"/>
    <s v="Veg Sandwich"/>
    <s v="Egg Curry + Rice+Chicken Thali+Veg Sandwich+Rajma Chawal"/>
    <n v="0.49234476892543239"/>
  </r>
  <r>
    <s v="O00069"/>
    <s v="HUZZPQ"/>
    <n v="1"/>
    <n v="146.4"/>
    <s v="Hot Meal"/>
    <n v="80.92"/>
    <d v="2025-07-11T00:00:00"/>
    <x v="1"/>
    <n v="0"/>
    <n v="146.4"/>
    <s v="July"/>
    <x v="2"/>
    <s v="Cash"/>
    <x v="0"/>
    <s v="OK"/>
    <n v="80.92"/>
    <n v="65.48"/>
    <s v="Rajma Chawal"/>
    <s v="Egg Curry + Rice+Chicken Thali+Veg Sandwich+Rajma Chawal"/>
    <n v="0.44726775956284154"/>
  </r>
  <r>
    <s v="O00070"/>
    <s v="BXO6QJ"/>
    <n v="3"/>
    <n v="20.11"/>
    <s v="Beverage"/>
    <n v="8"/>
    <d v="2025-08-15T00:00:00"/>
    <x v="2"/>
    <n v="0.06"/>
    <n v="56.710199999999993"/>
    <s v="August"/>
    <x v="0"/>
    <s v="Cash"/>
    <x v="0"/>
    <s v="OK"/>
    <n v="24"/>
    <n v="32.710199999999993"/>
    <s v="Nimbu Pani"/>
    <s v="Nimbu Pani"/>
    <n v="0.57679570870848629"/>
  </r>
  <r>
    <s v="O00071"/>
    <s v="H3A3ZM"/>
    <n v="1"/>
    <n v="170.83"/>
    <s v="Hot Meal"/>
    <n v="74.069999999999993"/>
    <d v="2025-08-14T00:00:00"/>
    <x v="2"/>
    <n v="0.06"/>
    <n v="160.58019999999999"/>
    <s v="August"/>
    <x v="2"/>
    <s v="UPI"/>
    <x v="0"/>
    <s v="OK"/>
    <n v="74.069999999999993"/>
    <n v="86.510199999999998"/>
    <s v="Paneer Butter Masala + Naan"/>
    <s v="Paneer Butter Masala + Naan+Gulab Jamun (2 pc)"/>
    <n v="0.53873516162017487"/>
  </r>
  <r>
    <s v="O00071"/>
    <s v="DH9SDB"/>
    <n v="2"/>
    <n v="76.55"/>
    <s v="Dessert"/>
    <n v="38.229999999999997"/>
    <d v="2025-08-14T00:00:00"/>
    <x v="2"/>
    <n v="0.06"/>
    <n v="143.91399999999999"/>
    <s v="August"/>
    <x v="2"/>
    <s v="UPI"/>
    <x v="0"/>
    <s v="OK"/>
    <n v="76.459999999999994"/>
    <n v="67.453999999999994"/>
    <s v="Gulab Jamun (2 pc)"/>
    <s v="Paneer Butter Masala + Naan+Gulab Jamun (2 pc)"/>
    <n v="0.46871047986992231"/>
  </r>
  <r>
    <s v="O00072"/>
    <s v="H3A3ZM"/>
    <n v="2"/>
    <n v="170.83"/>
    <s v="Hot Meal"/>
    <n v="74.069999999999993"/>
    <d v="2025-08-24T00:00:00"/>
    <x v="0"/>
    <n v="0.16"/>
    <n v="286.99439999999998"/>
    <s v="August"/>
    <x v="2"/>
    <s v="Card"/>
    <x v="1"/>
    <s v="HighDisc"/>
    <n v="148.13999999999999"/>
    <n v="138.8544"/>
    <s v="Paneer Butter Masala + Naan"/>
    <s v="Paneer Butter Masala + Naan+Tea+Bottled Water"/>
    <n v="0.48382268086067187"/>
  </r>
  <r>
    <s v="O00072"/>
    <s v="BTIQJ7"/>
    <n v="1"/>
    <n v="30.34"/>
    <s v="Beverage"/>
    <n v="14.18"/>
    <d v="2025-08-24T00:00:00"/>
    <x v="0"/>
    <n v="0.16"/>
    <n v="25.485599999999998"/>
    <s v="August"/>
    <x v="2"/>
    <s v="Card"/>
    <x v="1"/>
    <s v="HighDisc"/>
    <n v="14.18"/>
    <n v="11.305599999999998"/>
    <s v="Tea"/>
    <s v="Paneer Butter Masala + Naan+Tea+Bottled Water"/>
    <n v="0.44360737043663867"/>
  </r>
  <r>
    <s v="O00072"/>
    <s v="B0T0PV"/>
    <n v="1"/>
    <n v="28.43"/>
    <s v="Beverage"/>
    <n v="13.89"/>
    <d v="2025-08-24T00:00:00"/>
    <x v="0"/>
    <n v="0.16"/>
    <n v="23.8812"/>
    <s v="August"/>
    <x v="2"/>
    <s v="Card"/>
    <x v="1"/>
    <s v="HighDisc"/>
    <n v="13.89"/>
    <n v="9.9911999999999992"/>
    <s v="Bottled Water"/>
    <s v="Paneer Butter Masala + Naan+Tea+Bottled Water"/>
    <n v="0.41837093613386261"/>
  </r>
  <r>
    <s v="O00073"/>
    <s v="S5NQ4F"/>
    <n v="2"/>
    <n v="50.19"/>
    <s v="Snack"/>
    <n v="22.61"/>
    <d v="2025-08-11T00:00:00"/>
    <x v="0"/>
    <n v="0.05"/>
    <n v="95.36099999999999"/>
    <s v="August"/>
    <x v="1"/>
    <s v="Cash"/>
    <x v="0"/>
    <s v="OK"/>
    <n v="45.22"/>
    <n v="50.140999999999991"/>
    <s v="Masala Puff"/>
    <s v="Masala Puff"/>
    <n v="0.52580195258019524"/>
  </r>
  <r>
    <s v="O00074"/>
    <s v="BHL1C3"/>
    <n v="1"/>
    <n v="22.2"/>
    <s v="Beverage"/>
    <n v="9.3800000000000008"/>
    <d v="2025-08-13T00:00:00"/>
    <x v="1"/>
    <n v="7.0000000000000007E-2"/>
    <n v="20.645999999999997"/>
    <s v="August"/>
    <x v="1"/>
    <s v="UPI"/>
    <x v="1"/>
    <s v="HighDisc"/>
    <n v="9.3800000000000008"/>
    <n v="11.265999999999996"/>
    <s v="Coffee"/>
    <s v="Coffee+Poha+Veg Sandwich+Veg Thali"/>
    <n v="0.5456747069650294"/>
  </r>
  <r>
    <s v="O00074"/>
    <s v="SHJ7XV"/>
    <n v="1"/>
    <n v="52.45"/>
    <s v="Snack"/>
    <n v="25.8"/>
    <d v="2025-08-13T00:00:00"/>
    <x v="1"/>
    <n v="7.0000000000000007E-2"/>
    <n v="48.778500000000001"/>
    <s v="August"/>
    <x v="1"/>
    <s v="UPI"/>
    <x v="1"/>
    <s v="HighDisc"/>
    <n v="25.8"/>
    <n v="22.9785"/>
    <s v="Poha"/>
    <s v="Coffee+Poha+Veg Sandwich+Veg Thali"/>
    <n v="0.47107844644669272"/>
  </r>
  <r>
    <s v="O00074"/>
    <s v="SCKW5N"/>
    <n v="2"/>
    <n v="70.540000000000006"/>
    <s v="Snack"/>
    <n v="35.81"/>
    <d v="2025-08-13T00:00:00"/>
    <x v="1"/>
    <n v="7.0000000000000007E-2"/>
    <n v="131.20439999999999"/>
    <s v="August"/>
    <x v="1"/>
    <s v="UPI"/>
    <x v="1"/>
    <s v="HighDisc"/>
    <n v="71.62"/>
    <n v="59.584399999999988"/>
    <s v="Veg Sandwich"/>
    <s v="Coffee+Poha+Veg Sandwich+Veg Thali"/>
    <n v="0.45413416013487345"/>
  </r>
  <r>
    <s v="O00074"/>
    <s v="HXAJI0"/>
    <n v="3"/>
    <n v="227.61"/>
    <s v="Hot Meal"/>
    <n v="96.22"/>
    <d v="2025-08-13T00:00:00"/>
    <x v="1"/>
    <n v="7.0000000000000007E-2"/>
    <n v="635.03189999999995"/>
    <s v="August"/>
    <x v="1"/>
    <s v="UPI"/>
    <x v="1"/>
    <s v="HighDisc"/>
    <n v="288.65999999999997"/>
    <n v="346.37189999999998"/>
    <s v="Veg Thali"/>
    <s v="Coffee+Poha+Veg Sandwich+Veg Thali"/>
    <n v="0.54544015820307612"/>
  </r>
  <r>
    <s v="O00075"/>
    <s v="B0T0PV"/>
    <n v="2"/>
    <n v="28.43"/>
    <s v="Beverage"/>
    <n v="13.89"/>
    <d v="2025-08-20T00:00:00"/>
    <x v="1"/>
    <n v="0.06"/>
    <n v="53.448399999999999"/>
    <s v="August"/>
    <x v="1"/>
    <s v="Cash"/>
    <x v="1"/>
    <s v="OK"/>
    <n v="27.78"/>
    <n v="25.668399999999998"/>
    <s v="Bottled Water"/>
    <s v="Bottled Water+Rajma Chawal+Paneer Roll+Samosa"/>
    <n v="0.48024636846004742"/>
  </r>
  <r>
    <s v="O00075"/>
    <s v="HUZZPQ"/>
    <n v="2"/>
    <n v="146.4"/>
    <s v="Hot Meal"/>
    <n v="80.92"/>
    <d v="2025-08-20T00:00:00"/>
    <x v="1"/>
    <n v="0.06"/>
    <n v="275.23199999999997"/>
    <s v="August"/>
    <x v="1"/>
    <s v="Cash"/>
    <x v="1"/>
    <s v="OK"/>
    <n v="161.84"/>
    <n v="113.39199999999997"/>
    <s v="Rajma Chawal"/>
    <s v="Bottled Water+Rajma Chawal+Paneer Roll+Samosa"/>
    <n v="0.41198697825834196"/>
  </r>
  <r>
    <s v="O00075"/>
    <s v="SZBIKC"/>
    <n v="2"/>
    <n v="38.06"/>
    <s v="Snack"/>
    <n v="19.55"/>
    <d v="2025-08-20T00:00:00"/>
    <x v="1"/>
    <n v="0.06"/>
    <n v="71.552800000000005"/>
    <s v="August"/>
    <x v="1"/>
    <s v="Cash"/>
    <x v="1"/>
    <s v="OK"/>
    <n v="39.1"/>
    <n v="32.452800000000003"/>
    <s v="Paneer Roll"/>
    <s v="Bottled Water+Rajma Chawal+Paneer Roll+Samosa"/>
    <n v="0.45355038517011215"/>
  </r>
  <r>
    <s v="O00075"/>
    <s v="SV30T9"/>
    <n v="3"/>
    <n v="39.950000000000003"/>
    <s v="Snack"/>
    <n v="15.51"/>
    <d v="2025-08-20T00:00:00"/>
    <x v="1"/>
    <n v="0.06"/>
    <n v="112.65900000000001"/>
    <s v="August"/>
    <x v="1"/>
    <s v="Cash"/>
    <x v="1"/>
    <s v="OK"/>
    <n v="46.53"/>
    <n v="66.129000000000005"/>
    <s v="Samosa"/>
    <s v="Bottled Water+Rajma Chawal+Paneer Roll+Samosa"/>
    <n v="0.58698372966207757"/>
  </r>
  <r>
    <s v="O00076"/>
    <s v="DFFYVN"/>
    <n v="1"/>
    <n v="54.2"/>
    <s v="Dessert"/>
    <n v="21.95"/>
    <d v="2025-08-12T00:00:00"/>
    <x v="2"/>
    <n v="0.01"/>
    <n v="53.658000000000001"/>
    <s v="August"/>
    <x v="1"/>
    <s v="Card"/>
    <x v="0"/>
    <s v="OK"/>
    <n v="21.95"/>
    <n v="31.708000000000002"/>
    <s v="Kheer Cup"/>
    <s v="Kheer Cup+Masala Puff+Rajma Chawal"/>
    <n v="0.59092772745909283"/>
  </r>
  <r>
    <s v="O00076"/>
    <s v="S5NQ4F"/>
    <n v="1"/>
    <n v="50.19"/>
    <s v="Snack"/>
    <n v="22.61"/>
    <d v="2025-08-12T00:00:00"/>
    <x v="2"/>
    <n v="0.01"/>
    <n v="49.688099999999999"/>
    <s v="August"/>
    <x v="1"/>
    <s v="Card"/>
    <x v="0"/>
    <s v="OK"/>
    <n v="22.61"/>
    <n v="27.078099999999999"/>
    <s v="Masala Puff"/>
    <s v="Kheer Cup+Masala Puff+Rajma Chawal"/>
    <n v="0.54496146964766212"/>
  </r>
  <r>
    <s v="O00076"/>
    <s v="HUZZPQ"/>
    <n v="2"/>
    <n v="146.4"/>
    <s v="Hot Meal"/>
    <n v="80.92"/>
    <d v="2025-08-12T00:00:00"/>
    <x v="2"/>
    <n v="0.01"/>
    <n v="289.87200000000001"/>
    <s v="August"/>
    <x v="1"/>
    <s v="Card"/>
    <x v="0"/>
    <s v="OK"/>
    <n v="161.84"/>
    <n v="128.03200000000001"/>
    <s v="Rajma Chawal"/>
    <s v="Kheer Cup+Masala Puff+Rajma Chawal"/>
    <n v="0.44168460561903189"/>
  </r>
  <r>
    <s v="O00077"/>
    <s v="BOC6UZ"/>
    <n v="1"/>
    <n v="32.979999999999997"/>
    <s v="Beverage"/>
    <n v="11.84"/>
    <d v="2025-07-27T00:00:00"/>
    <x v="1"/>
    <n v="0.11"/>
    <n v="29.352199999999996"/>
    <s v="July"/>
    <x v="2"/>
    <s v="UPI"/>
    <x v="0"/>
    <s v="OK"/>
    <n v="11.84"/>
    <n v="17.512199999999996"/>
    <s v="Masala Chaas"/>
    <s v="Masala Chaas+Veg Sandwich"/>
    <n v="0.59662308106377027"/>
  </r>
  <r>
    <s v="O00077"/>
    <s v="SCKW5N"/>
    <n v="1"/>
    <n v="70.540000000000006"/>
    <s v="Snack"/>
    <n v="35.81"/>
    <d v="2025-07-27T00:00:00"/>
    <x v="1"/>
    <n v="0.11"/>
    <n v="62.780600000000007"/>
    <s v="July"/>
    <x v="2"/>
    <s v="UPI"/>
    <x v="0"/>
    <s v="OK"/>
    <n v="35.81"/>
    <n v="26.970600000000005"/>
    <s v="Veg Sandwich"/>
    <s v="Masala Chaas+Veg Sandwich"/>
    <n v="0.42960086396115998"/>
  </r>
  <r>
    <s v="O00078"/>
    <s v="S5NQ4F"/>
    <n v="1"/>
    <n v="50.19"/>
    <s v="Snack"/>
    <n v="22.61"/>
    <d v="2025-07-14T00:00:00"/>
    <x v="2"/>
    <n v="0.09"/>
    <n v="45.672899999999998"/>
    <s v="July"/>
    <x v="1"/>
    <s v="Card"/>
    <x v="0"/>
    <s v="OK"/>
    <n v="22.61"/>
    <n v="23.062899999999999"/>
    <s v="Masala Puff"/>
    <s v="Masala Puff+Masala Chaas"/>
    <n v="0.50495808236394013"/>
  </r>
  <r>
    <s v="O00078"/>
    <s v="BOC6UZ"/>
    <n v="3"/>
    <n v="32.979999999999997"/>
    <s v="Beverage"/>
    <n v="11.84"/>
    <d v="2025-07-14T00:00:00"/>
    <x v="2"/>
    <n v="0.09"/>
    <n v="90.035399999999996"/>
    <s v="July"/>
    <x v="1"/>
    <s v="Card"/>
    <x v="0"/>
    <s v="OK"/>
    <n v="35.519999999999996"/>
    <n v="54.5154"/>
    <s v="Masala Chaas"/>
    <s v="Masala Puff+Masala Chaas"/>
    <n v="0.60548850785357766"/>
  </r>
  <r>
    <s v="O00079"/>
    <s v="SZBIKC"/>
    <n v="1"/>
    <n v="38.06"/>
    <s v="Snack"/>
    <n v="19.55"/>
    <d v="2025-07-22T00:00:00"/>
    <x v="2"/>
    <n v="0.09"/>
    <n v="34.634600000000006"/>
    <s v="July"/>
    <x v="0"/>
    <s v="Card"/>
    <x v="0"/>
    <s v="OK"/>
    <n v="19.55"/>
    <n v="15.084600000000005"/>
    <s v="Paneer Roll"/>
    <s v="Paneer Roll+Bottled Water"/>
    <n v="0.43553556270319282"/>
  </r>
  <r>
    <s v="O00079"/>
    <s v="B0T0PV"/>
    <n v="2"/>
    <n v="28.43"/>
    <s v="Beverage"/>
    <n v="13.89"/>
    <d v="2025-07-22T00:00:00"/>
    <x v="2"/>
    <n v="0.09"/>
    <n v="51.742600000000003"/>
    <s v="July"/>
    <x v="0"/>
    <s v="Card"/>
    <x v="0"/>
    <s v="OK"/>
    <n v="27.78"/>
    <n v="23.962600000000002"/>
    <s v="Bottled Water"/>
    <s v="Paneer Roll+Bottled Water"/>
    <n v="0.46311163335433475"/>
  </r>
  <r>
    <s v="O00080"/>
    <s v="BHL1C3"/>
    <n v="2"/>
    <n v="22.2"/>
    <s v="Beverage"/>
    <n v="9.3800000000000008"/>
    <d v="2025-08-22T00:00:00"/>
    <x v="1"/>
    <n v="0.02"/>
    <n v="43.512"/>
    <s v="August"/>
    <x v="1"/>
    <s v="Cash"/>
    <x v="1"/>
    <s v="OK"/>
    <n v="18.760000000000002"/>
    <n v="24.751999999999999"/>
    <s v="Coffee"/>
    <s v="Coffee+Masala Chaas+Chicken Thali+Tea"/>
    <n v="0.56885456885456886"/>
  </r>
  <r>
    <s v="O00080"/>
    <s v="BOC6UZ"/>
    <n v="2"/>
    <n v="32.979999999999997"/>
    <s v="Beverage"/>
    <n v="11.84"/>
    <d v="2025-08-22T00:00:00"/>
    <x v="1"/>
    <n v="0.02"/>
    <n v="64.640799999999999"/>
    <s v="August"/>
    <x v="1"/>
    <s v="Cash"/>
    <x v="1"/>
    <s v="OK"/>
    <n v="23.68"/>
    <n v="40.960799999999999"/>
    <s v="Masala Chaas"/>
    <s v="Coffee+Masala Chaas+Chicken Thali+Tea"/>
    <n v="0.63366790014975061"/>
  </r>
  <r>
    <s v="O00080"/>
    <s v="HDPBHS"/>
    <n v="1"/>
    <n v="256.91000000000003"/>
    <s v="Hot Meal"/>
    <n v="121.24"/>
    <d v="2025-08-22T00:00:00"/>
    <x v="1"/>
    <n v="0.02"/>
    <n v="251.77180000000001"/>
    <s v="August"/>
    <x v="1"/>
    <s v="Cash"/>
    <x v="1"/>
    <s v="OK"/>
    <n v="121.24"/>
    <n v="130.53180000000003"/>
    <s v="Chicken Thali"/>
    <s v="Coffee+Masala Chaas+Chicken Thali+Tea"/>
    <n v="0.51845282116583358"/>
  </r>
  <r>
    <s v="O00080"/>
    <s v="BTIQJ7"/>
    <n v="2"/>
    <n v="30.34"/>
    <s v="Beverage"/>
    <n v="14.18"/>
    <d v="2025-08-22T00:00:00"/>
    <x v="1"/>
    <n v="0.02"/>
    <n v="59.4664"/>
    <s v="August"/>
    <x v="1"/>
    <s v="Cash"/>
    <x v="1"/>
    <s v="OK"/>
    <n v="28.36"/>
    <n v="31.106400000000001"/>
    <s v="Tea"/>
    <s v="Coffee+Masala Chaas+Chicken Thali+Tea"/>
    <n v="0.52309203180283326"/>
  </r>
  <r>
    <s v="O00081"/>
    <s v="S5NQ4F"/>
    <n v="1"/>
    <n v="50.19"/>
    <s v="Snack"/>
    <n v="22.61"/>
    <d v="2025-08-11T00:00:00"/>
    <x v="1"/>
    <n v="0.12"/>
    <n v="44.167200000000001"/>
    <s v="August"/>
    <x v="0"/>
    <s v="UPI"/>
    <x v="0"/>
    <s v="OK"/>
    <n v="22.61"/>
    <n v="21.557200000000002"/>
    <s v="Masala Puff"/>
    <s v="Masala Puff"/>
    <n v="0.48808165335361992"/>
  </r>
  <r>
    <s v="O00082"/>
    <s v="SV30T9"/>
    <n v="3"/>
    <n v="39.950000000000003"/>
    <s v="Snack"/>
    <n v="15.51"/>
    <d v="2025-08-26T00:00:00"/>
    <x v="1"/>
    <n v="0"/>
    <n v="119.85000000000001"/>
    <s v="August"/>
    <x v="0"/>
    <s v="Cash"/>
    <x v="0"/>
    <s v="OK"/>
    <n v="46.53"/>
    <n v="73.320000000000007"/>
    <s v="Samosa"/>
    <s v="Samosa"/>
    <n v="0.61176470588235299"/>
  </r>
  <r>
    <s v="O00083"/>
    <s v="BTIQJ7"/>
    <n v="1"/>
    <n v="30.34"/>
    <s v="Beverage"/>
    <n v="14.18"/>
    <d v="2025-07-30T00:00:00"/>
    <x v="1"/>
    <n v="0.08"/>
    <n v="27.912800000000001"/>
    <s v="July"/>
    <x v="0"/>
    <s v="UPI"/>
    <x v="1"/>
    <s v="OK"/>
    <n v="14.18"/>
    <n v="13.732800000000001"/>
    <s v="Tea"/>
    <s v="Tea+Rajma Chawal"/>
    <n v="0.4919893382247571"/>
  </r>
  <r>
    <s v="O00083"/>
    <s v="HUZZPQ"/>
    <n v="2"/>
    <n v="146.4"/>
    <s v="Hot Meal"/>
    <n v="80.92"/>
    <d v="2025-07-30T00:00:00"/>
    <x v="1"/>
    <n v="0.08"/>
    <n v="269.37600000000003"/>
    <s v="July"/>
    <x v="0"/>
    <s v="UPI"/>
    <x v="1"/>
    <s v="OK"/>
    <n v="161.84"/>
    <n v="107.53600000000003"/>
    <s v="Rajma Chawal"/>
    <s v="Tea+Rajma Chawal"/>
    <n v="0.39920408648134953"/>
  </r>
  <r>
    <s v="O00084"/>
    <s v="BTIQJ7"/>
    <n v="1"/>
    <n v="30.34"/>
    <s v="Beverage"/>
    <n v="14.18"/>
    <d v="2025-08-28T00:00:00"/>
    <x v="2"/>
    <n v="0.15"/>
    <n v="25.788999999999998"/>
    <s v="August"/>
    <x v="1"/>
    <s v="Cash"/>
    <x v="0"/>
    <s v="OK"/>
    <n v="14.18"/>
    <n v="11.608999999999998"/>
    <s v="Tea"/>
    <s v="Tea+Gulab Jamun (2 pc)+Poha"/>
    <n v="0.4501531660785606"/>
  </r>
  <r>
    <s v="O00084"/>
    <s v="DH9SDB"/>
    <n v="2"/>
    <n v="76.55"/>
    <s v="Dessert"/>
    <n v="38.229999999999997"/>
    <d v="2025-08-28T00:00:00"/>
    <x v="2"/>
    <n v="0.15"/>
    <n v="130.13499999999999"/>
    <s v="August"/>
    <x v="1"/>
    <s v="Cash"/>
    <x v="0"/>
    <s v="OK"/>
    <n v="76.459999999999994"/>
    <n v="53.674999999999997"/>
    <s v="Gulab Jamun (2 pc)"/>
    <s v="Tea+Gulab Jamun (2 pc)+Poha"/>
    <n v="0.41245629538556117"/>
  </r>
  <r>
    <s v="O00084"/>
    <s v="SHJ7XV"/>
    <n v="1"/>
    <n v="52.45"/>
    <s v="Snack"/>
    <n v="25.8"/>
    <d v="2025-08-28T00:00:00"/>
    <x v="2"/>
    <n v="0.15"/>
    <n v="44.582500000000003"/>
    <s v="August"/>
    <x v="1"/>
    <s v="Cash"/>
    <x v="0"/>
    <s v="OK"/>
    <n v="25.8"/>
    <n v="18.782500000000002"/>
    <s v="Poha"/>
    <s v="Tea+Gulab Jamun (2 pc)+Poha"/>
    <n v="0.42129759434755792"/>
  </r>
  <r>
    <s v="O00085"/>
    <s v="DFFYVN"/>
    <n v="1"/>
    <n v="54.2"/>
    <s v="Dessert"/>
    <n v="21.95"/>
    <d v="2025-08-12T00:00:00"/>
    <x v="1"/>
    <n v="0.02"/>
    <n v="53.116"/>
    <s v="August"/>
    <x v="2"/>
    <s v="Card"/>
    <x v="0"/>
    <s v="OK"/>
    <n v="21.95"/>
    <n v="31.166"/>
    <s v="Kheer Cup"/>
    <s v="Kheer Cup+Masala Puff"/>
    <n v="0.58675352059643049"/>
  </r>
  <r>
    <s v="O00085"/>
    <s v="S5NQ4F"/>
    <n v="2"/>
    <n v="50.19"/>
    <s v="Snack"/>
    <n v="22.61"/>
    <d v="2025-08-12T00:00:00"/>
    <x v="1"/>
    <n v="0.02"/>
    <n v="98.372399999999999"/>
    <s v="August"/>
    <x v="2"/>
    <s v="Card"/>
    <x v="0"/>
    <s v="OK"/>
    <n v="45.22"/>
    <n v="53.1524"/>
    <s v="Masala Puff"/>
    <s v="Kheer Cup+Masala Puff"/>
    <n v="0.54031821933794444"/>
  </r>
  <r>
    <s v="O00086"/>
    <s v="BOC6UZ"/>
    <n v="1"/>
    <n v="32.979999999999997"/>
    <s v="Beverage"/>
    <n v="11.84"/>
    <d v="2025-08-09T00:00:00"/>
    <x v="0"/>
    <n v="0.04"/>
    <n v="31.660799999999995"/>
    <s v="August"/>
    <x v="2"/>
    <s v="Card"/>
    <x v="0"/>
    <s v="OK"/>
    <n v="11.84"/>
    <n v="19.820799999999995"/>
    <s v="Masala Chaas"/>
    <s v="Masala Chaas+Gulab Jamun (2 pc)"/>
    <n v="0.62603598140287042"/>
  </r>
  <r>
    <s v="O00086"/>
    <s v="DH9SDB"/>
    <n v="2"/>
    <n v="76.55"/>
    <s v="Dessert"/>
    <n v="38.229999999999997"/>
    <d v="2025-08-09T00:00:00"/>
    <x v="0"/>
    <n v="0.04"/>
    <n v="146.976"/>
    <s v="August"/>
    <x v="2"/>
    <s v="Card"/>
    <x v="0"/>
    <s v="OK"/>
    <n v="76.459999999999994"/>
    <n v="70.516000000000005"/>
    <s v="Gulab Jamun (2 pc)"/>
    <s v="Masala Chaas+Gulab Jamun (2 pc)"/>
    <n v="0.47977901153929897"/>
  </r>
  <r>
    <s v="O00087"/>
    <s v="SHJ7XV"/>
    <n v="2"/>
    <n v="52.45"/>
    <s v="Snack"/>
    <n v="25.8"/>
    <d v="2025-08-22T00:00:00"/>
    <x v="2"/>
    <n v="0.06"/>
    <n v="98.605999999999995"/>
    <s v="August"/>
    <x v="0"/>
    <s v="UPI"/>
    <x v="0"/>
    <s v="OK"/>
    <n v="51.6"/>
    <n v="47.005999999999993"/>
    <s v="Poha"/>
    <s v="Poha+Coffee+Veg Sandwich"/>
    <n v="0.47670527148449382"/>
  </r>
  <r>
    <s v="O00087"/>
    <s v="BHL1C3"/>
    <n v="1"/>
    <n v="22.2"/>
    <s v="Beverage"/>
    <n v="9.3800000000000008"/>
    <d v="2025-08-22T00:00:00"/>
    <x v="2"/>
    <n v="0.06"/>
    <n v="20.867999999999999"/>
    <s v="August"/>
    <x v="0"/>
    <s v="UPI"/>
    <x v="0"/>
    <s v="OK"/>
    <n v="9.3800000000000008"/>
    <n v="11.487999999999998"/>
    <s v="Coffee"/>
    <s v="Poha+Coffee+Veg Sandwich"/>
    <n v="0.55050795476327385"/>
  </r>
  <r>
    <s v="O00087"/>
    <s v="SCKW5N"/>
    <n v="2"/>
    <n v="70.540000000000006"/>
    <s v="Snack"/>
    <n v="35.81"/>
    <d v="2025-08-22T00:00:00"/>
    <x v="2"/>
    <n v="0.06"/>
    <n v="132.61520000000002"/>
    <s v="August"/>
    <x v="0"/>
    <s v="UPI"/>
    <x v="0"/>
    <s v="OK"/>
    <n v="71.62"/>
    <n v="60.995200000000011"/>
    <s v="Veg Sandwich"/>
    <s v="Poha+Coffee+Veg Sandwich"/>
    <n v="0.45994124353769406"/>
  </r>
  <r>
    <s v="O00088"/>
    <s v="HXAJI0"/>
    <n v="1"/>
    <n v="227.61"/>
    <s v="Hot Meal"/>
    <n v="96.22"/>
    <d v="2025-07-09T00:00:00"/>
    <x v="0"/>
    <n v="0.04"/>
    <n v="218.50560000000002"/>
    <s v="July"/>
    <x v="0"/>
    <s v="Cash"/>
    <x v="0"/>
    <s v="OK"/>
    <n v="96.22"/>
    <n v="122.28560000000002"/>
    <s v="Veg Thali"/>
    <s v="Veg Thali+Gulab Jamun (2 pc)"/>
    <n v="0.55964515325923003"/>
  </r>
  <r>
    <s v="O00088"/>
    <s v="DH9SDB"/>
    <n v="1"/>
    <n v="76.55"/>
    <s v="Dessert"/>
    <n v="38.229999999999997"/>
    <d v="2025-07-09T00:00:00"/>
    <x v="0"/>
    <n v="0.04"/>
    <n v="73.488"/>
    <s v="July"/>
    <x v="0"/>
    <s v="Cash"/>
    <x v="0"/>
    <s v="OK"/>
    <n v="38.229999999999997"/>
    <n v="35.258000000000003"/>
    <s v="Gulab Jamun (2 pc)"/>
    <s v="Veg Thali+Gulab Jamun (2 pc)"/>
    <n v="0.47977901153929897"/>
  </r>
  <r>
    <s v="O00089"/>
    <s v="SV30T9"/>
    <n v="1"/>
    <n v="39.950000000000003"/>
    <s v="Snack"/>
    <n v="15.51"/>
    <d v="2025-07-18T00:00:00"/>
    <x v="2"/>
    <n v="0"/>
    <n v="39.950000000000003"/>
    <s v="July"/>
    <x v="1"/>
    <s v="Card"/>
    <x v="0"/>
    <s v="OK"/>
    <n v="15.51"/>
    <n v="24.440000000000005"/>
    <s v="Samosa"/>
    <s v="Samosa+Chicken Thali+Poha"/>
    <n v="0.61176470588235299"/>
  </r>
  <r>
    <s v="O00089"/>
    <s v="HDPBHS"/>
    <n v="2"/>
    <n v="256.91000000000003"/>
    <s v="Hot Meal"/>
    <n v="121.24"/>
    <d v="2025-07-18T00:00:00"/>
    <x v="2"/>
    <n v="0"/>
    <n v="513.82000000000005"/>
    <s v="July"/>
    <x v="1"/>
    <s v="Card"/>
    <x v="0"/>
    <s v="OK"/>
    <n v="242.48"/>
    <n v="271.34000000000003"/>
    <s v="Chicken Thali"/>
    <s v="Samosa+Chicken Thali+Poha"/>
    <n v="0.52808376474251684"/>
  </r>
  <r>
    <s v="O00089"/>
    <s v="SHJ7XV"/>
    <n v="2"/>
    <n v="52.45"/>
    <s v="Snack"/>
    <n v="25.8"/>
    <d v="2025-07-18T00:00:00"/>
    <x v="2"/>
    <n v="0"/>
    <n v="104.9"/>
    <s v="July"/>
    <x v="1"/>
    <s v="Card"/>
    <x v="0"/>
    <s v="OK"/>
    <n v="51.6"/>
    <n v="53.300000000000004"/>
    <s v="Poha"/>
    <s v="Samosa+Chicken Thali+Poha"/>
    <n v="0.50810295519542426"/>
  </r>
  <r>
    <s v="O00090"/>
    <s v="HXAJI0"/>
    <n v="3"/>
    <n v="227.61"/>
    <s v="Hot Meal"/>
    <n v="96.22"/>
    <d v="2025-07-21T00:00:00"/>
    <x v="1"/>
    <n v="0.06"/>
    <n v="641.86019999999996"/>
    <s v="July"/>
    <x v="1"/>
    <s v="Card"/>
    <x v="1"/>
    <s v="HighDisc"/>
    <n v="288.65999999999997"/>
    <n v="353.2002"/>
    <s v="Veg Thali"/>
    <s v="Veg Thali+Masala Chaas+Coffee"/>
    <n v="0.55027590120091574"/>
  </r>
  <r>
    <s v="O00090"/>
    <s v="BOC6UZ"/>
    <n v="1"/>
    <n v="32.979999999999997"/>
    <s v="Beverage"/>
    <n v="11.84"/>
    <d v="2025-07-21T00:00:00"/>
    <x v="1"/>
    <n v="0.06"/>
    <n v="31.001199999999994"/>
    <s v="July"/>
    <x v="1"/>
    <s v="Card"/>
    <x v="1"/>
    <s v="HighDisc"/>
    <n v="11.84"/>
    <n v="19.161199999999994"/>
    <s v="Masala Chaas"/>
    <s v="Veg Thali+Masala Chaas+Coffee"/>
    <n v="0.61807930015612289"/>
  </r>
  <r>
    <s v="O00090"/>
    <s v="BHL1C3"/>
    <n v="2"/>
    <n v="22.2"/>
    <s v="Beverage"/>
    <n v="9.3800000000000008"/>
    <d v="2025-07-21T00:00:00"/>
    <x v="1"/>
    <n v="0.06"/>
    <n v="41.735999999999997"/>
    <s v="July"/>
    <x v="1"/>
    <s v="Card"/>
    <x v="1"/>
    <s v="HighDisc"/>
    <n v="18.760000000000002"/>
    <n v="22.975999999999996"/>
    <s v="Coffee"/>
    <s v="Veg Thali+Masala Chaas+Coffee"/>
    <n v="0.55050795476327385"/>
  </r>
  <r>
    <s v="O00091"/>
    <s v="HUZZPQ"/>
    <n v="2"/>
    <n v="146.4"/>
    <s v="Hot Meal"/>
    <n v="80.92"/>
    <d v="2025-07-28T00:00:00"/>
    <x v="1"/>
    <n v="0.02"/>
    <n v="286.94400000000002"/>
    <s v="July"/>
    <x v="0"/>
    <s v="Cash"/>
    <x v="0"/>
    <s v="OK"/>
    <n v="161.84"/>
    <n v="125.10400000000001"/>
    <s v="Rajma Chawal"/>
    <s v="Rajma Chawal"/>
    <n v="0.4359875097580016"/>
  </r>
  <r>
    <s v="O00092"/>
    <s v="B0T0PV"/>
    <n v="2"/>
    <n v="28.43"/>
    <s v="Beverage"/>
    <n v="13.89"/>
    <d v="2025-07-03T00:00:00"/>
    <x v="0"/>
    <n v="0.08"/>
    <n v="52.311199999999999"/>
    <s v="July"/>
    <x v="0"/>
    <s v="Cash"/>
    <x v="1"/>
    <s v="HighDisc"/>
    <n v="27.78"/>
    <n v="24.531199999999998"/>
    <s v="Bottled Water"/>
    <s v="Bottled Water+Veg Thali+Brownie"/>
    <n v="0.46894737647004847"/>
  </r>
  <r>
    <s v="O00092"/>
    <s v="HXAJI0"/>
    <n v="2"/>
    <n v="227.61"/>
    <s v="Hot Meal"/>
    <n v="96.22"/>
    <d v="2025-07-03T00:00:00"/>
    <x v="0"/>
    <n v="0.08"/>
    <n v="418.80240000000003"/>
    <s v="July"/>
    <x v="0"/>
    <s v="Cash"/>
    <x v="1"/>
    <s v="HighDisc"/>
    <n v="192.44"/>
    <n v="226.36240000000004"/>
    <s v="Veg Thali"/>
    <s v="Bottled Water+Veg Thali+Brownie"/>
    <n v="0.54049929035745736"/>
  </r>
  <r>
    <s v="O00092"/>
    <s v="D9T84A"/>
    <n v="2"/>
    <n v="116.8"/>
    <s v="Dessert"/>
    <n v="48.97"/>
    <d v="2025-07-03T00:00:00"/>
    <x v="0"/>
    <n v="0.08"/>
    <n v="214.91200000000001"/>
    <s v="July"/>
    <x v="0"/>
    <s v="Cash"/>
    <x v="1"/>
    <s v="HighDisc"/>
    <n v="97.94"/>
    <n v="116.97200000000001"/>
    <s v="Brownie"/>
    <s v="Bottled Water+Veg Thali+Brownie"/>
    <n v="0.54427858844550325"/>
  </r>
  <r>
    <s v="O00093"/>
    <s v="DYTJXE"/>
    <n v="2"/>
    <n v="57.07"/>
    <s v="Dessert"/>
    <n v="29.14"/>
    <d v="2025-07-23T00:00:00"/>
    <x v="0"/>
    <n v="0.02"/>
    <n v="111.85719999999999"/>
    <s v="July"/>
    <x v="0"/>
    <s v="UPI"/>
    <x v="0"/>
    <s v="OK"/>
    <n v="58.28"/>
    <n v="53.577199999999991"/>
    <s v="Fruit Cup"/>
    <s v="Fruit Cup+Rajma Chawal"/>
    <n v="0.47897855480022739"/>
  </r>
  <r>
    <s v="O00093"/>
    <s v="HUZZPQ"/>
    <n v="2"/>
    <n v="146.4"/>
    <s v="Hot Meal"/>
    <n v="80.92"/>
    <d v="2025-07-23T00:00:00"/>
    <x v="0"/>
    <n v="0.02"/>
    <n v="286.94400000000002"/>
    <s v="July"/>
    <x v="0"/>
    <s v="UPI"/>
    <x v="0"/>
    <s v="OK"/>
    <n v="161.84"/>
    <n v="125.10400000000001"/>
    <s v="Rajma Chawal"/>
    <s v="Fruit Cup+Rajma Chawal"/>
    <n v="0.4359875097580016"/>
  </r>
  <r>
    <s v="O00094"/>
    <s v="S5NQ4F"/>
    <n v="1"/>
    <n v="50.19"/>
    <s v="Snack"/>
    <n v="22.61"/>
    <d v="2025-07-04T00:00:00"/>
    <x v="2"/>
    <n v="0.12"/>
    <n v="44.167200000000001"/>
    <s v="July"/>
    <x v="0"/>
    <s v="Cash"/>
    <x v="0"/>
    <s v="OK"/>
    <n v="22.61"/>
    <n v="21.557200000000002"/>
    <s v="Masala Puff"/>
    <s v="Masala Puff+Brownie+Bottled Water"/>
    <n v="0.48808165335361992"/>
  </r>
  <r>
    <s v="O00094"/>
    <s v="D9T84A"/>
    <n v="1"/>
    <n v="116.8"/>
    <s v="Dessert"/>
    <n v="48.97"/>
    <d v="2025-07-04T00:00:00"/>
    <x v="2"/>
    <n v="0.12"/>
    <n v="102.78399999999999"/>
    <s v="July"/>
    <x v="0"/>
    <s v="Cash"/>
    <x v="0"/>
    <s v="OK"/>
    <n v="48.97"/>
    <n v="53.813999999999993"/>
    <s v="Brownie"/>
    <s v="Masala Puff+Brownie+Bottled Water"/>
    <n v="0.52356397882938976"/>
  </r>
  <r>
    <s v="O00094"/>
    <s v="B0T0PV"/>
    <n v="1"/>
    <n v="28.43"/>
    <s v="Beverage"/>
    <n v="13.89"/>
    <d v="2025-07-04T00:00:00"/>
    <x v="2"/>
    <n v="0.12"/>
    <n v="25.0184"/>
    <s v="July"/>
    <x v="0"/>
    <s v="Cash"/>
    <x v="0"/>
    <s v="OK"/>
    <n v="13.89"/>
    <n v="11.128399999999999"/>
    <s v="Bottled Water"/>
    <s v="Masala Puff+Brownie+Bottled Water"/>
    <n v="0.44480862085505063"/>
  </r>
  <r>
    <s v="O00095"/>
    <s v="SV30T9"/>
    <n v="2"/>
    <n v="39.950000000000003"/>
    <s v="Snack"/>
    <n v="15.51"/>
    <d v="2025-07-24T00:00:00"/>
    <x v="2"/>
    <n v="0.03"/>
    <n v="77.503"/>
    <s v="July"/>
    <x v="0"/>
    <s v="UPI"/>
    <x v="0"/>
    <s v="OK"/>
    <n v="31.02"/>
    <n v="46.483000000000004"/>
    <s v="Samosa"/>
    <s v="Samosa+Veg Thali"/>
    <n v="0.59975742874469384"/>
  </r>
  <r>
    <s v="O00095"/>
    <s v="HXAJI0"/>
    <n v="3"/>
    <n v="227.61"/>
    <s v="Hot Meal"/>
    <n v="96.22"/>
    <d v="2025-07-24T00:00:00"/>
    <x v="2"/>
    <n v="0.03"/>
    <n v="662.3451"/>
    <s v="July"/>
    <x v="0"/>
    <s v="UPI"/>
    <x v="0"/>
    <s v="OK"/>
    <n v="288.65999999999997"/>
    <n v="373.68510000000003"/>
    <s v="Veg Thali"/>
    <s v="Samosa+Veg Thali"/>
    <n v="0.56418489394727922"/>
  </r>
  <r>
    <s v="O00096"/>
    <s v="HH1DNM"/>
    <n v="3"/>
    <n v="246.09"/>
    <s v="Hot Meal"/>
    <n v="112.08"/>
    <d v="2025-08-25T00:00:00"/>
    <x v="2"/>
    <n v="0.05"/>
    <n v="701.35649999999998"/>
    <s v="August"/>
    <x v="0"/>
    <s v="UPI"/>
    <x v="0"/>
    <s v="HighDisc"/>
    <n v="336.24"/>
    <n v="365.11649999999997"/>
    <s v="Egg Curry + Rice"/>
    <s v="Egg Curry + Rice+Kheer Cup+Gulab Jamun (2 pc)"/>
    <n v="0.52058617835580046"/>
  </r>
  <r>
    <s v="O00096"/>
    <s v="DFFYVN"/>
    <n v="1"/>
    <n v="54.2"/>
    <s v="Dessert"/>
    <n v="21.95"/>
    <d v="2025-08-25T00:00:00"/>
    <x v="2"/>
    <n v="0.05"/>
    <n v="51.49"/>
    <s v="August"/>
    <x v="0"/>
    <s v="UPI"/>
    <x v="0"/>
    <s v="HighDisc"/>
    <n v="21.95"/>
    <n v="29.540000000000003"/>
    <s v="Kheer Cup"/>
    <s v="Egg Curry + Rice+Kheer Cup+Gulab Jamun (2 pc)"/>
    <n v="0.57370363177315986"/>
  </r>
  <r>
    <s v="O00096"/>
    <s v="DH9SDB"/>
    <n v="1"/>
    <n v="76.55"/>
    <s v="Dessert"/>
    <n v="38.229999999999997"/>
    <d v="2025-08-25T00:00:00"/>
    <x v="2"/>
    <n v="0.05"/>
    <n v="72.722499999999997"/>
    <s v="August"/>
    <x v="0"/>
    <s v="UPI"/>
    <x v="0"/>
    <s v="HighDisc"/>
    <n v="38.229999999999997"/>
    <n v="34.4925"/>
    <s v="Gulab Jamun (2 pc)"/>
    <s v="Egg Curry + Rice+Kheer Cup+Gulab Jamun (2 pc)"/>
    <n v="0.47430300113444945"/>
  </r>
  <r>
    <s v="O00097"/>
    <s v="B0T0PV"/>
    <n v="2"/>
    <n v="28.43"/>
    <s v="Beverage"/>
    <n v="13.89"/>
    <d v="2025-08-06T00:00:00"/>
    <x v="2"/>
    <n v="0.09"/>
    <n v="51.742600000000003"/>
    <s v="August"/>
    <x v="0"/>
    <s v="UPI"/>
    <x v="0"/>
    <s v="OK"/>
    <n v="27.78"/>
    <n v="23.962600000000002"/>
    <s v="Bottled Water"/>
    <s v="Bottled Water"/>
    <n v="0.46311163335433475"/>
  </r>
  <r>
    <s v="O00098"/>
    <s v="BOC6UZ"/>
    <n v="3"/>
    <n v="32.979999999999997"/>
    <s v="Beverage"/>
    <n v="11.84"/>
    <d v="2025-07-17T00:00:00"/>
    <x v="1"/>
    <n v="0.01"/>
    <n v="97.950599999999994"/>
    <s v="July"/>
    <x v="0"/>
    <s v="UPI"/>
    <x v="0"/>
    <s v="OK"/>
    <n v="35.519999999999996"/>
    <n v="62.430599999999998"/>
    <s v="Masala Chaas"/>
    <s v="Masala Chaas+Bottled Water"/>
    <n v="0.63736822439066221"/>
  </r>
  <r>
    <s v="O00098"/>
    <s v="B0T0PV"/>
    <n v="3"/>
    <n v="28.43"/>
    <s v="Beverage"/>
    <n v="13.89"/>
    <d v="2025-07-17T00:00:00"/>
    <x v="1"/>
    <n v="0.01"/>
    <n v="84.437099999999987"/>
    <s v="July"/>
    <x v="0"/>
    <s v="UPI"/>
    <x v="0"/>
    <s v="OK"/>
    <n v="41.67"/>
    <n v="42.767099999999985"/>
    <s v="Bottled Water"/>
    <s v="Masala Chaas+Bottled Water"/>
    <n v="0.50649655187115605"/>
  </r>
  <r>
    <s v="O00099"/>
    <s v="DYTJXE"/>
    <n v="2"/>
    <n v="57.07"/>
    <s v="Dessert"/>
    <n v="29.14"/>
    <d v="2025-07-31T00:00:00"/>
    <x v="0"/>
    <n v="7.0000000000000007E-2"/>
    <n v="106.1502"/>
    <s v="July"/>
    <x v="2"/>
    <s v="Card"/>
    <x v="0"/>
    <s v="OK"/>
    <n v="58.28"/>
    <n v="47.870199999999997"/>
    <s v="Fruit Cup"/>
    <s v="Fruit Cup+Rajma Chawal"/>
    <n v="0.45096664914432566"/>
  </r>
  <r>
    <s v="O00099"/>
    <s v="HUZZPQ"/>
    <n v="1"/>
    <n v="146.4"/>
    <s v="Hot Meal"/>
    <n v="80.92"/>
    <d v="2025-07-31T00:00:00"/>
    <x v="0"/>
    <n v="7.0000000000000007E-2"/>
    <n v="136.15199999999999"/>
    <s v="July"/>
    <x v="2"/>
    <s v="Card"/>
    <x v="0"/>
    <s v="OK"/>
    <n v="80.92"/>
    <n v="55.231999999999985"/>
    <s v="Rajma Chawal"/>
    <s v="Fruit Cup+Rajma Chawal"/>
    <n v="0.40566425759445318"/>
  </r>
  <r>
    <s v="O00100"/>
    <s v="S5NQ4F"/>
    <n v="2"/>
    <n v="50.19"/>
    <s v="Snack"/>
    <n v="22.61"/>
    <d v="2025-07-20T00:00:00"/>
    <x v="2"/>
    <n v="0.11"/>
    <n v="89.338200000000001"/>
    <s v="July"/>
    <x v="2"/>
    <s v="UPI"/>
    <x v="0"/>
    <s v="OK"/>
    <n v="45.22"/>
    <n v="44.118200000000002"/>
    <s v="Masala Puff"/>
    <s v="Masala Puff+Chicken Thali"/>
    <n v="0.49383354488897246"/>
  </r>
  <r>
    <s v="O00100"/>
    <s v="HDPBHS"/>
    <n v="1"/>
    <n v="256.91000000000003"/>
    <s v="Hot Meal"/>
    <n v="121.24"/>
    <d v="2025-07-20T00:00:00"/>
    <x v="2"/>
    <n v="0.11"/>
    <n v="228.64990000000003"/>
    <s v="July"/>
    <x v="2"/>
    <s v="UPI"/>
    <x v="0"/>
    <s v="OK"/>
    <n v="121.24"/>
    <n v="107.40990000000004"/>
    <s v="Chicken Thali"/>
    <s v="Masala Puff+Chicken Thali"/>
    <n v="0.46975703903653587"/>
  </r>
  <r>
    <s v="O00101"/>
    <s v="BTIQJ7"/>
    <n v="1"/>
    <n v="30.34"/>
    <s v="Beverage"/>
    <n v="14.18"/>
    <d v="2025-07-11T00:00:00"/>
    <x v="0"/>
    <n v="0"/>
    <n v="30.34"/>
    <s v="July"/>
    <x v="0"/>
    <s v="UPI"/>
    <x v="0"/>
    <s v="OK"/>
    <n v="14.18"/>
    <n v="16.16"/>
    <s v="Tea"/>
    <s v="Tea+Veg Sandwich+Samosa"/>
    <n v="0.53263019116677657"/>
  </r>
  <r>
    <s v="O00101"/>
    <s v="SCKW5N"/>
    <n v="1"/>
    <n v="70.540000000000006"/>
    <s v="Snack"/>
    <n v="35.81"/>
    <d v="2025-07-11T00:00:00"/>
    <x v="0"/>
    <n v="0"/>
    <n v="70.540000000000006"/>
    <s v="July"/>
    <x v="0"/>
    <s v="UPI"/>
    <x v="0"/>
    <s v="OK"/>
    <n v="35.81"/>
    <n v="34.730000000000004"/>
    <s v="Veg Sandwich"/>
    <s v="Tea+Veg Sandwich+Samosa"/>
    <n v="0.49234476892543239"/>
  </r>
  <r>
    <s v="O00101"/>
    <s v="SV30T9"/>
    <n v="1"/>
    <n v="39.950000000000003"/>
    <s v="Snack"/>
    <n v="15.51"/>
    <d v="2025-07-11T00:00:00"/>
    <x v="0"/>
    <n v="0"/>
    <n v="39.950000000000003"/>
    <s v="July"/>
    <x v="0"/>
    <s v="UPI"/>
    <x v="0"/>
    <s v="OK"/>
    <n v="15.51"/>
    <n v="24.440000000000005"/>
    <s v="Samosa"/>
    <s v="Tea+Veg Sandwich+Samosa"/>
    <n v="0.61176470588235299"/>
  </r>
  <r>
    <s v="O00102"/>
    <s v="SZBIKC"/>
    <n v="2"/>
    <n v="38.06"/>
    <s v="Snack"/>
    <n v="19.55"/>
    <d v="2025-08-25T00:00:00"/>
    <x v="2"/>
    <n v="7.0000000000000007E-2"/>
    <n v="70.791600000000003"/>
    <s v="August"/>
    <x v="0"/>
    <s v="UPI"/>
    <x v="0"/>
    <s v="OK"/>
    <n v="39.1"/>
    <n v="31.691600000000001"/>
    <s v="Paneer Roll"/>
    <s v="Paneer Roll"/>
    <n v="0.44767458286011336"/>
  </r>
  <r>
    <s v="O00103"/>
    <s v="SCKW5N"/>
    <n v="2"/>
    <n v="70.540000000000006"/>
    <s v="Snack"/>
    <n v="35.81"/>
    <d v="2025-08-06T00:00:00"/>
    <x v="2"/>
    <n v="7.0000000000000007E-2"/>
    <n v="131.20439999999999"/>
    <s v="August"/>
    <x v="0"/>
    <s v="UPI"/>
    <x v="0"/>
    <s v="OK"/>
    <n v="71.62"/>
    <n v="59.584399999999988"/>
    <s v="Veg Sandwich"/>
    <s v="Veg Sandwich"/>
    <n v="0.45413416013487345"/>
  </r>
  <r>
    <s v="O00104"/>
    <s v="DFFYVN"/>
    <n v="1"/>
    <n v="54.2"/>
    <s v="Dessert"/>
    <n v="21.95"/>
    <d v="2025-07-02T00:00:00"/>
    <x v="1"/>
    <n v="0.09"/>
    <n v="49.322000000000003"/>
    <s v="July"/>
    <x v="2"/>
    <s v="Cash"/>
    <x v="0"/>
    <s v="OK"/>
    <n v="21.95"/>
    <n v="27.372000000000003"/>
    <s v="Kheer Cup"/>
    <s v="Kheer Cup"/>
    <n v="0.55496532987307901"/>
  </r>
  <r>
    <s v="O00105"/>
    <s v="BTIQJ7"/>
    <n v="1"/>
    <n v="30.34"/>
    <s v="Beverage"/>
    <n v="14.18"/>
    <d v="2025-08-05T00:00:00"/>
    <x v="0"/>
    <n v="0.01"/>
    <n v="30.0366"/>
    <s v="August"/>
    <x v="0"/>
    <s v="UPI"/>
    <x v="0"/>
    <s v="OK"/>
    <n v="14.18"/>
    <n v="15.8566"/>
    <s v="Tea"/>
    <s v="Tea"/>
    <n v="0.527909284006845"/>
  </r>
  <r>
    <s v="O00106"/>
    <s v="SZBIKC"/>
    <n v="3"/>
    <n v="38.06"/>
    <s v="Snack"/>
    <n v="19.55"/>
    <d v="2025-08-12T00:00:00"/>
    <x v="2"/>
    <n v="0.01"/>
    <n v="113.0382"/>
    <s v="August"/>
    <x v="2"/>
    <s v="UPI"/>
    <x v="1"/>
    <s v="OK"/>
    <n v="58.650000000000006"/>
    <n v="54.388199999999998"/>
    <s v="Paneer Roll"/>
    <s v="Paneer Roll+Bottled Water+Chicken Thali"/>
    <n v="0.481148850565561"/>
  </r>
  <r>
    <s v="O00106"/>
    <s v="B0T0PV"/>
    <n v="2"/>
    <n v="28.43"/>
    <s v="Beverage"/>
    <n v="13.89"/>
    <d v="2025-08-12T00:00:00"/>
    <x v="2"/>
    <n v="0.01"/>
    <n v="56.291399999999996"/>
    <s v="August"/>
    <x v="2"/>
    <s v="UPI"/>
    <x v="1"/>
    <s v="OK"/>
    <n v="27.78"/>
    <n v="28.511399999999995"/>
    <s v="Bottled Water"/>
    <s v="Paneer Roll+Bottled Water+Chicken Thali"/>
    <n v="0.50649655187115605"/>
  </r>
  <r>
    <s v="O00106"/>
    <s v="HDPBHS"/>
    <n v="1"/>
    <n v="256.91000000000003"/>
    <s v="Hot Meal"/>
    <n v="121.24"/>
    <d v="2025-08-12T00:00:00"/>
    <x v="2"/>
    <n v="0.01"/>
    <n v="254.34090000000003"/>
    <s v="August"/>
    <x v="2"/>
    <s v="UPI"/>
    <x v="1"/>
    <s v="OK"/>
    <n v="121.24"/>
    <n v="133.10090000000002"/>
    <s v="Chicken Thali"/>
    <s v="Paneer Roll+Bottled Water+Chicken Thali"/>
    <n v="0.52331693408335034"/>
  </r>
  <r>
    <s v="O00107"/>
    <s v="BXO6QJ"/>
    <n v="2"/>
    <n v="20.11"/>
    <s v="Beverage"/>
    <n v="8"/>
    <d v="2025-08-22T00:00:00"/>
    <x v="1"/>
    <n v="0.08"/>
    <n v="37.002400000000002"/>
    <s v="August"/>
    <x v="2"/>
    <s v="Card"/>
    <x v="0"/>
    <s v="OK"/>
    <n v="16"/>
    <n v="21.002400000000002"/>
    <s v="Nimbu Pani"/>
    <s v="Nimbu Pani+Coffee"/>
    <n v="0.5675956154195404"/>
  </r>
  <r>
    <s v="O00107"/>
    <s v="BHL1C3"/>
    <n v="1"/>
    <n v="22.2"/>
    <s v="Beverage"/>
    <n v="9.3800000000000008"/>
    <d v="2025-08-22T00:00:00"/>
    <x v="1"/>
    <n v="0.08"/>
    <n v="20.423999999999999"/>
    <s v="August"/>
    <x v="2"/>
    <s v="Card"/>
    <x v="0"/>
    <s v="OK"/>
    <n v="9.3800000000000008"/>
    <n v="11.043999999999999"/>
    <s v="Coffee"/>
    <s v="Nimbu Pani+Coffee"/>
    <n v="0.54073638856247552"/>
  </r>
  <r>
    <s v="O00108"/>
    <s v="DH9SDB"/>
    <n v="1"/>
    <n v="76.55"/>
    <s v="Dessert"/>
    <n v="38.229999999999997"/>
    <d v="2025-08-01T00:00:00"/>
    <x v="2"/>
    <n v="7.0000000000000007E-2"/>
    <n v="71.191499999999991"/>
    <s v="August"/>
    <x v="2"/>
    <s v="Card"/>
    <x v="0"/>
    <s v="OK"/>
    <n v="38.229999999999997"/>
    <n v="32.961499999999994"/>
    <s v="Gulab Jamun (2 pc)"/>
    <s v="Gulab Jamun (2 pc)+Bottled Water+Veg Sandwich+Samosa"/>
    <n v="0.46299768933088919"/>
  </r>
  <r>
    <s v="O00108"/>
    <s v="B0T0PV"/>
    <n v="1"/>
    <n v="28.43"/>
    <s v="Beverage"/>
    <n v="13.89"/>
    <d v="2025-08-01T00:00:00"/>
    <x v="2"/>
    <n v="7.0000000000000007E-2"/>
    <n v="26.439899999999998"/>
    <s v="August"/>
    <x v="2"/>
    <s v="Card"/>
    <x v="0"/>
    <s v="OK"/>
    <n v="13.89"/>
    <n v="12.549899999999997"/>
    <s v="Bottled Water"/>
    <s v="Gulab Jamun (2 pc)+Bottled Water+Veg Sandwich+Samosa"/>
    <n v="0.47465761973381132"/>
  </r>
  <r>
    <s v="O00108"/>
    <s v="SCKW5N"/>
    <n v="1"/>
    <n v="70.540000000000006"/>
    <s v="Snack"/>
    <n v="35.81"/>
    <d v="2025-08-01T00:00:00"/>
    <x v="2"/>
    <n v="7.0000000000000007E-2"/>
    <n v="65.602199999999996"/>
    <s v="August"/>
    <x v="2"/>
    <s v="Card"/>
    <x v="0"/>
    <s v="OK"/>
    <n v="35.81"/>
    <n v="29.792199999999994"/>
    <s v="Veg Sandwich"/>
    <s v="Gulab Jamun (2 pc)+Bottled Water+Veg Sandwich+Samosa"/>
    <n v="0.45413416013487345"/>
  </r>
  <r>
    <s v="O00108"/>
    <s v="SV30T9"/>
    <n v="1"/>
    <n v="39.950000000000003"/>
    <s v="Snack"/>
    <n v="15.51"/>
    <d v="2025-08-01T00:00:00"/>
    <x v="2"/>
    <n v="7.0000000000000007E-2"/>
    <n v="37.153500000000001"/>
    <s v="August"/>
    <x v="2"/>
    <s v="Card"/>
    <x v="0"/>
    <s v="OK"/>
    <n v="15.51"/>
    <n v="21.643500000000003"/>
    <s v="Samosa"/>
    <s v="Gulab Jamun (2 pc)+Bottled Water+Veg Sandwich+Samosa"/>
    <n v="0.58254269449715379"/>
  </r>
  <r>
    <s v="O00109"/>
    <s v="BTIQJ7"/>
    <n v="2"/>
    <n v="30.34"/>
    <s v="Beverage"/>
    <n v="14.18"/>
    <d v="2025-07-24T00:00:00"/>
    <x v="1"/>
    <n v="7.0000000000000007E-2"/>
    <n v="56.432399999999994"/>
    <s v="July"/>
    <x v="1"/>
    <s v="UPI"/>
    <x v="0"/>
    <s v="OK"/>
    <n v="28.36"/>
    <n v="28.072399999999995"/>
    <s v="Tea"/>
    <s v="Tea"/>
    <n v="0.49745181845889946"/>
  </r>
  <r>
    <s v="O00110"/>
    <s v="BTIQJ7"/>
    <n v="2"/>
    <n v="30.34"/>
    <s v="Beverage"/>
    <n v="14.18"/>
    <d v="2025-08-02T00:00:00"/>
    <x v="2"/>
    <n v="7.0000000000000007E-2"/>
    <n v="56.432399999999994"/>
    <s v="August"/>
    <x v="1"/>
    <s v="Card"/>
    <x v="1"/>
    <s v="HighDisc"/>
    <n v="28.36"/>
    <n v="28.072399999999995"/>
    <s v="Tea"/>
    <s v="Tea+Veg Thali+Fruit Cup+Egg Curry + Rice"/>
    <n v="0.49745181845889946"/>
  </r>
  <r>
    <s v="O00110"/>
    <s v="HXAJI0"/>
    <n v="2"/>
    <n v="227.61"/>
    <s v="Hot Meal"/>
    <n v="96.22"/>
    <d v="2025-08-02T00:00:00"/>
    <x v="2"/>
    <n v="7.0000000000000007E-2"/>
    <n v="423.3546"/>
    <s v="August"/>
    <x v="1"/>
    <s v="Card"/>
    <x v="1"/>
    <s v="HighDisc"/>
    <n v="192.44"/>
    <n v="230.91460000000001"/>
    <s v="Veg Thali"/>
    <s v="Tea+Veg Thali+Fruit Cup+Egg Curry + Rice"/>
    <n v="0.54544015820307612"/>
  </r>
  <r>
    <s v="O00110"/>
    <s v="DYTJXE"/>
    <n v="1"/>
    <n v="57.07"/>
    <s v="Dessert"/>
    <n v="29.14"/>
    <d v="2025-08-02T00:00:00"/>
    <x v="2"/>
    <n v="7.0000000000000007E-2"/>
    <n v="53.075099999999999"/>
    <s v="August"/>
    <x v="1"/>
    <s v="Card"/>
    <x v="1"/>
    <s v="HighDisc"/>
    <n v="29.14"/>
    <n v="23.935099999999998"/>
    <s v="Fruit Cup"/>
    <s v="Tea+Veg Thali+Fruit Cup+Egg Curry + Rice"/>
    <n v="0.45096664914432566"/>
  </r>
  <r>
    <s v="O00110"/>
    <s v="HH1DNM"/>
    <n v="1"/>
    <n v="246.09"/>
    <s v="Hot Meal"/>
    <n v="112.08"/>
    <d v="2025-08-02T00:00:00"/>
    <x v="2"/>
    <n v="7.0000000000000007E-2"/>
    <n v="228.86369999999999"/>
    <s v="August"/>
    <x v="1"/>
    <s v="Card"/>
    <x v="1"/>
    <s v="HighDisc"/>
    <n v="112.08"/>
    <n v="116.7837"/>
    <s v="Egg Curry + Rice"/>
    <s v="Tea+Veg Thali+Fruit Cup+Egg Curry + Rice"/>
    <n v="0.5102762036967855"/>
  </r>
  <r>
    <s v="O00111"/>
    <s v="HUZZPQ"/>
    <n v="2"/>
    <n v="146.4"/>
    <s v="Hot Meal"/>
    <n v="80.92"/>
    <d v="2025-08-17T00:00:00"/>
    <x v="2"/>
    <n v="0.03"/>
    <n v="284.01600000000002"/>
    <s v="August"/>
    <x v="2"/>
    <s v="Card"/>
    <x v="1"/>
    <s v="OK"/>
    <n v="161.84"/>
    <n v="122.17600000000002"/>
    <s v="Rajma Chawal"/>
    <s v="Rajma Chawal+Masala Chaas+Nimbu Pani"/>
    <n v="0.43017294800292943"/>
  </r>
  <r>
    <s v="O00111"/>
    <s v="BOC6UZ"/>
    <n v="1"/>
    <n v="32.979999999999997"/>
    <s v="Beverage"/>
    <n v="11.84"/>
    <d v="2025-08-17T00:00:00"/>
    <x v="2"/>
    <n v="0.03"/>
    <n v="31.990599999999997"/>
    <s v="August"/>
    <x v="2"/>
    <s v="Card"/>
    <x v="1"/>
    <s v="OK"/>
    <n v="11.84"/>
    <n v="20.150599999999997"/>
    <s v="Masala Chaas"/>
    <s v="Rajma Chawal+Masala Chaas+Nimbu Pani"/>
    <n v="0.6298912805636655"/>
  </r>
  <r>
    <s v="O00111"/>
    <s v="BXO6QJ"/>
    <n v="1"/>
    <n v="20.11"/>
    <s v="Beverage"/>
    <n v="8"/>
    <d v="2025-08-17T00:00:00"/>
    <x v="2"/>
    <n v="0.03"/>
    <n v="19.506699999999999"/>
    <s v="August"/>
    <x v="2"/>
    <s v="Card"/>
    <x v="1"/>
    <s v="OK"/>
    <n v="8"/>
    <n v="11.506699999999999"/>
    <s v="Nimbu Pani"/>
    <s v="Rajma Chawal+Masala Chaas+Nimbu Pani"/>
    <n v="0.58988450122265679"/>
  </r>
  <r>
    <s v="O00112"/>
    <s v="D9T84A"/>
    <n v="1"/>
    <n v="116.8"/>
    <s v="Dessert"/>
    <n v="48.97"/>
    <d v="2025-07-28T00:00:00"/>
    <x v="0"/>
    <n v="7.0000000000000007E-2"/>
    <n v="108.624"/>
    <s v="July"/>
    <x v="0"/>
    <s v="Card"/>
    <x v="1"/>
    <s v="OK"/>
    <n v="48.97"/>
    <n v="59.653999999999996"/>
    <s v="Brownie"/>
    <s v="Brownie+Rajma Chawal+Tea"/>
    <n v="0.54917881867727203"/>
  </r>
  <r>
    <s v="O00112"/>
    <s v="HUZZPQ"/>
    <n v="2"/>
    <n v="146.4"/>
    <s v="Hot Meal"/>
    <n v="80.92"/>
    <d v="2025-07-28T00:00:00"/>
    <x v="0"/>
    <n v="7.0000000000000007E-2"/>
    <n v="272.30399999999997"/>
    <s v="July"/>
    <x v="0"/>
    <s v="Card"/>
    <x v="1"/>
    <s v="OK"/>
    <n v="161.84"/>
    <n v="110.46399999999997"/>
    <s v="Rajma Chawal"/>
    <s v="Brownie+Rajma Chawal+Tea"/>
    <n v="0.40566425759445318"/>
  </r>
  <r>
    <s v="O00112"/>
    <s v="BTIQJ7"/>
    <n v="1"/>
    <n v="30.34"/>
    <s v="Beverage"/>
    <n v="14.18"/>
    <d v="2025-07-28T00:00:00"/>
    <x v="0"/>
    <n v="7.0000000000000007E-2"/>
    <n v="28.216199999999997"/>
    <s v="July"/>
    <x v="0"/>
    <s v="Card"/>
    <x v="1"/>
    <s v="OK"/>
    <n v="14.18"/>
    <n v="14.036199999999997"/>
    <s v="Tea"/>
    <s v="Brownie+Rajma Chawal+Tea"/>
    <n v="0.49745181845889946"/>
  </r>
  <r>
    <s v="O00113"/>
    <s v="HUZZPQ"/>
    <n v="1"/>
    <n v="146.4"/>
    <s v="Hot Meal"/>
    <n v="80.92"/>
    <d v="2025-07-02T00:00:00"/>
    <x v="0"/>
    <n v="7.0000000000000007E-2"/>
    <n v="136.15199999999999"/>
    <s v="July"/>
    <x v="0"/>
    <s v="Cash"/>
    <x v="0"/>
    <s v="OK"/>
    <n v="80.92"/>
    <n v="55.231999999999985"/>
    <s v="Rajma Chawal"/>
    <s v="Rajma Chawal+Paneer Butter Masala + Naan+Brownie+Fruit Cup"/>
    <n v="0.40566425759445318"/>
  </r>
  <r>
    <s v="O00113"/>
    <s v="H3A3ZM"/>
    <n v="1"/>
    <n v="170.83"/>
    <s v="Hot Meal"/>
    <n v="74.069999999999993"/>
    <d v="2025-07-02T00:00:00"/>
    <x v="0"/>
    <n v="7.0000000000000007E-2"/>
    <n v="158.87190000000001"/>
    <s v="July"/>
    <x v="0"/>
    <s v="Cash"/>
    <x v="0"/>
    <s v="OK"/>
    <n v="74.069999999999993"/>
    <n v="84.801900000000018"/>
    <s v="Paneer Butter Masala + Naan"/>
    <s v="Rajma Chawal+Paneer Butter Masala + Naan+Brownie+Fruit Cup"/>
    <n v="0.53377532464834887"/>
  </r>
  <r>
    <s v="O00113"/>
    <s v="D9T84A"/>
    <n v="1"/>
    <n v="116.8"/>
    <s v="Dessert"/>
    <n v="48.97"/>
    <d v="2025-07-02T00:00:00"/>
    <x v="0"/>
    <n v="7.0000000000000007E-2"/>
    <n v="108.624"/>
    <s v="July"/>
    <x v="0"/>
    <s v="Cash"/>
    <x v="0"/>
    <s v="OK"/>
    <n v="48.97"/>
    <n v="59.653999999999996"/>
    <s v="Brownie"/>
    <s v="Rajma Chawal+Paneer Butter Masala + Naan+Brownie+Fruit Cup"/>
    <n v="0.54917881867727203"/>
  </r>
  <r>
    <s v="O00113"/>
    <s v="DYTJXE"/>
    <n v="2"/>
    <n v="57.07"/>
    <s v="Dessert"/>
    <n v="29.14"/>
    <d v="2025-07-02T00:00:00"/>
    <x v="0"/>
    <n v="7.0000000000000007E-2"/>
    <n v="106.1502"/>
    <s v="July"/>
    <x v="0"/>
    <s v="Cash"/>
    <x v="0"/>
    <s v="OK"/>
    <n v="58.28"/>
    <n v="47.870199999999997"/>
    <s v="Fruit Cup"/>
    <s v="Rajma Chawal+Paneer Butter Masala + Naan+Brownie+Fruit Cup"/>
    <n v="0.45096664914432566"/>
  </r>
  <r>
    <s v="O00114"/>
    <s v="S5NQ4F"/>
    <n v="3"/>
    <n v="50.19"/>
    <s v="Snack"/>
    <n v="22.61"/>
    <d v="2025-08-09T00:00:00"/>
    <x v="1"/>
    <n v="0.03"/>
    <n v="146.05289999999999"/>
    <s v="August"/>
    <x v="1"/>
    <s v="Cash"/>
    <x v="0"/>
    <s v="OK"/>
    <n v="67.83"/>
    <n v="78.222899999999996"/>
    <s v="Masala Puff"/>
    <s v="Masala Puff+Kheer Cup"/>
    <n v="0.5355792319084387"/>
  </r>
  <r>
    <s v="O00114"/>
    <s v="DFFYVN"/>
    <n v="2"/>
    <n v="54.2"/>
    <s v="Dessert"/>
    <n v="21.95"/>
    <d v="2025-08-09T00:00:00"/>
    <x v="1"/>
    <n v="0.03"/>
    <n v="105.148"/>
    <s v="August"/>
    <x v="1"/>
    <s v="Cash"/>
    <x v="0"/>
    <s v="OK"/>
    <n v="43.9"/>
    <n v="61.247999999999998"/>
    <s v="Kheer Cup"/>
    <s v="Masala Puff+Kheer Cup"/>
    <n v="0.58249324761288845"/>
  </r>
  <r>
    <s v="O00115"/>
    <s v="HH1DNM"/>
    <n v="2"/>
    <n v="246.09"/>
    <s v="Hot Meal"/>
    <n v="112.08"/>
    <d v="2025-08-17T00:00:00"/>
    <x v="1"/>
    <n v="0.13"/>
    <n v="428.19659999999999"/>
    <s v="August"/>
    <x v="1"/>
    <s v="Cash"/>
    <x v="1"/>
    <s v="HighDisc"/>
    <n v="224.16"/>
    <n v="204.03659999999999"/>
    <s v="Egg Curry + Rice"/>
    <s v="Egg Curry + Rice+Masala Chaas+Gulab Jamun (2 pc)+Kheer Cup"/>
    <n v="0.4765021487793224"/>
  </r>
  <r>
    <s v="O00115"/>
    <s v="BOC6UZ"/>
    <n v="1"/>
    <n v="32.979999999999997"/>
    <s v="Beverage"/>
    <n v="11.84"/>
    <d v="2025-08-17T00:00:00"/>
    <x v="1"/>
    <n v="0.13"/>
    <n v="28.692599999999999"/>
    <s v="August"/>
    <x v="1"/>
    <s v="Cash"/>
    <x v="1"/>
    <s v="HighDisc"/>
    <n v="11.84"/>
    <n v="16.852599999999999"/>
    <s v="Masala Chaas"/>
    <s v="Egg Curry + Rice+Masala Chaas+Gulab Jamun (2 pc)+Kheer Cup"/>
    <n v="0.58735004844454664"/>
  </r>
  <r>
    <s v="O00115"/>
    <s v="DH9SDB"/>
    <n v="3"/>
    <n v="76.55"/>
    <s v="Dessert"/>
    <n v="38.229999999999997"/>
    <d v="2025-08-17T00:00:00"/>
    <x v="1"/>
    <n v="0.13"/>
    <n v="199.79549999999998"/>
    <s v="August"/>
    <x v="1"/>
    <s v="Cash"/>
    <x v="1"/>
    <s v="HighDisc"/>
    <n v="114.69"/>
    <n v="85.105499999999978"/>
    <s v="Gulab Jamun (2 pc)"/>
    <s v="Egg Curry + Rice+Masala Chaas+Gulab Jamun (2 pc)+Kheer Cup"/>
    <n v="0.4259630472157781"/>
  </r>
  <r>
    <s v="O00115"/>
    <s v="DFFYVN"/>
    <n v="2"/>
    <n v="54.2"/>
    <s v="Dessert"/>
    <n v="21.95"/>
    <d v="2025-08-17T00:00:00"/>
    <x v="1"/>
    <n v="0.13"/>
    <n v="94.308000000000007"/>
    <s v="August"/>
    <x v="1"/>
    <s v="Cash"/>
    <x v="1"/>
    <s v="HighDisc"/>
    <n v="43.9"/>
    <n v="50.408000000000008"/>
    <s v="Kheer Cup"/>
    <s v="Egg Curry + Rice+Masala Chaas+Gulab Jamun (2 pc)+Kheer Cup"/>
    <n v="0.53450396572931247"/>
  </r>
  <r>
    <s v="O00116"/>
    <s v="SV30T9"/>
    <n v="3"/>
    <n v="39.950000000000003"/>
    <s v="Snack"/>
    <n v="15.51"/>
    <d v="2025-07-22T00:00:00"/>
    <x v="1"/>
    <n v="0.08"/>
    <n v="110.26200000000001"/>
    <s v="July"/>
    <x v="1"/>
    <s v="Cash"/>
    <x v="1"/>
    <s v="OK"/>
    <n v="46.53"/>
    <n v="63.732000000000014"/>
    <s v="Samosa"/>
    <s v="Samosa+Chicken Thali+Masala Chaas"/>
    <n v="0.57800511508951413"/>
  </r>
  <r>
    <s v="O00116"/>
    <s v="HDPBHS"/>
    <n v="1"/>
    <n v="256.91000000000003"/>
    <s v="Hot Meal"/>
    <n v="121.24"/>
    <d v="2025-07-22T00:00:00"/>
    <x v="1"/>
    <n v="0.08"/>
    <n v="236.35720000000003"/>
    <s v="July"/>
    <x v="1"/>
    <s v="Cash"/>
    <x v="1"/>
    <s v="OK"/>
    <n v="121.24"/>
    <n v="115.11720000000004"/>
    <s v="Chicken Thali"/>
    <s v="Samosa+Chicken Thali+Masala Chaas"/>
    <n v="0.48704757037230101"/>
  </r>
  <r>
    <s v="O00116"/>
    <s v="BOC6UZ"/>
    <n v="1"/>
    <n v="32.979999999999997"/>
    <s v="Beverage"/>
    <n v="11.84"/>
    <d v="2025-07-22T00:00:00"/>
    <x v="1"/>
    <n v="0.08"/>
    <n v="30.3416"/>
    <s v="July"/>
    <x v="1"/>
    <s v="Cash"/>
    <x v="1"/>
    <s v="OK"/>
    <n v="11.84"/>
    <n v="18.5016"/>
    <s v="Masala Chaas"/>
    <s v="Samosa+Chicken Thali+Masala Chaas"/>
    <n v="0.60977667624647347"/>
  </r>
  <r>
    <s v="O00117"/>
    <s v="D9T84A"/>
    <n v="2"/>
    <n v="116.8"/>
    <s v="Dessert"/>
    <n v="48.97"/>
    <d v="2025-08-26T00:00:00"/>
    <x v="1"/>
    <n v="0.01"/>
    <n v="231.26399999999998"/>
    <s v="August"/>
    <x v="1"/>
    <s v="UPI"/>
    <x v="0"/>
    <s v="OK"/>
    <n v="97.94"/>
    <n v="133.32399999999998"/>
    <s v="Brownie"/>
    <s v="Brownie+Masala Puff+Nimbu Pani+Gulab Jamun (2 pc)"/>
    <n v="0.57650131451501307"/>
  </r>
  <r>
    <s v="O00117"/>
    <s v="S5NQ4F"/>
    <n v="3"/>
    <n v="50.19"/>
    <s v="Snack"/>
    <n v="22.61"/>
    <d v="2025-08-26T00:00:00"/>
    <x v="1"/>
    <n v="0.01"/>
    <n v="149.0643"/>
    <s v="August"/>
    <x v="1"/>
    <s v="UPI"/>
    <x v="0"/>
    <s v="OK"/>
    <n v="67.83"/>
    <n v="81.234300000000005"/>
    <s v="Masala Puff"/>
    <s v="Brownie+Masala Puff+Nimbu Pani+Gulab Jamun (2 pc)"/>
    <n v="0.54496146964766212"/>
  </r>
  <r>
    <s v="O00117"/>
    <s v="BXO6QJ"/>
    <n v="3"/>
    <n v="20.11"/>
    <s v="Beverage"/>
    <n v="8"/>
    <d v="2025-08-26T00:00:00"/>
    <x v="1"/>
    <n v="0.01"/>
    <n v="59.726700000000001"/>
    <s v="August"/>
    <x v="1"/>
    <s v="UPI"/>
    <x v="0"/>
    <s v="OK"/>
    <n v="24"/>
    <n v="35.726700000000001"/>
    <s v="Nimbu Pani"/>
    <s v="Brownie+Masala Puff+Nimbu Pani+Gulab Jamun (2 pc)"/>
    <n v="0.59816966281411832"/>
  </r>
  <r>
    <s v="O00117"/>
    <s v="DH9SDB"/>
    <n v="3"/>
    <n v="76.55"/>
    <s v="Dessert"/>
    <n v="38.229999999999997"/>
    <d v="2025-08-26T00:00:00"/>
    <x v="1"/>
    <n v="0.01"/>
    <n v="227.35349999999997"/>
    <s v="August"/>
    <x v="1"/>
    <s v="UPI"/>
    <x v="0"/>
    <s v="OK"/>
    <n v="114.69"/>
    <n v="112.66349999999997"/>
    <s v="Gulab Jamun (2 pc)"/>
    <s v="Brownie+Masala Puff+Nimbu Pani+Gulab Jamun (2 pc)"/>
    <n v="0.49554328391689589"/>
  </r>
  <r>
    <s v="O00118"/>
    <s v="SHJ7XV"/>
    <n v="1"/>
    <n v="52.45"/>
    <s v="Snack"/>
    <n v="25.8"/>
    <d v="2025-08-03T00:00:00"/>
    <x v="1"/>
    <n v="0.09"/>
    <n v="47.729500000000002"/>
    <s v="August"/>
    <x v="2"/>
    <s v="UPI"/>
    <x v="0"/>
    <s v="OK"/>
    <n v="25.8"/>
    <n v="21.929500000000001"/>
    <s v="Poha"/>
    <s v="Poha"/>
    <n v="0.45945379691804861"/>
  </r>
  <r>
    <s v="O00119"/>
    <s v="SCKW5N"/>
    <n v="1"/>
    <n v="70.540000000000006"/>
    <s v="Snack"/>
    <n v="35.81"/>
    <d v="2025-08-04T00:00:00"/>
    <x v="0"/>
    <n v="0.02"/>
    <n v="69.129200000000012"/>
    <s v="August"/>
    <x v="0"/>
    <s v="Card"/>
    <x v="0"/>
    <s v="OK"/>
    <n v="35.81"/>
    <n v="33.319200000000009"/>
    <s v="Veg Sandwich"/>
    <s v="Veg Sandwich"/>
    <n v="0.48198445808717594"/>
  </r>
  <r>
    <s v="O00120"/>
    <s v="BXO6QJ"/>
    <n v="1"/>
    <n v="20.11"/>
    <s v="Beverage"/>
    <n v="8"/>
    <d v="2025-07-25T00:00:00"/>
    <x v="2"/>
    <n v="0.09"/>
    <n v="18.3001"/>
    <s v="July"/>
    <x v="2"/>
    <s v="UPI"/>
    <x v="0"/>
    <s v="OK"/>
    <n v="8"/>
    <n v="10.3001"/>
    <s v="Nimbu Pani"/>
    <s v="Nimbu Pani+Veg Sandwich"/>
    <n v="0.56284391888568919"/>
  </r>
  <r>
    <s v="O00120"/>
    <s v="SCKW5N"/>
    <n v="1"/>
    <n v="70.540000000000006"/>
    <s v="Snack"/>
    <n v="35.81"/>
    <d v="2025-07-25T00:00:00"/>
    <x v="2"/>
    <n v="0.09"/>
    <n v="64.191400000000002"/>
    <s v="July"/>
    <x v="2"/>
    <s v="UPI"/>
    <x v="0"/>
    <s v="OK"/>
    <n v="35.81"/>
    <n v="28.381399999999999"/>
    <s v="Veg Sandwich"/>
    <s v="Nimbu Pani+Veg Sandwich"/>
    <n v="0.44213710870926631"/>
  </r>
  <r>
    <s v="O00121"/>
    <s v="D9T84A"/>
    <n v="3"/>
    <n v="116.8"/>
    <s v="Dessert"/>
    <n v="48.97"/>
    <d v="2025-07-31T00:00:00"/>
    <x v="2"/>
    <n v="0.11"/>
    <n v="311.85599999999999"/>
    <s v="July"/>
    <x v="1"/>
    <s v="UPI"/>
    <x v="0"/>
    <s v="HighDisc"/>
    <n v="146.91"/>
    <n v="164.946"/>
    <s v="Brownie"/>
    <s v="Brownie+Gulab Jamun (2 pc)+Paneer Roll+Poha"/>
    <n v="0.52891719255040792"/>
  </r>
  <r>
    <s v="O00121"/>
    <s v="DH9SDB"/>
    <n v="1"/>
    <n v="76.55"/>
    <s v="Dessert"/>
    <n v="38.229999999999997"/>
    <d v="2025-07-31T00:00:00"/>
    <x v="2"/>
    <n v="0.11"/>
    <n v="68.129499999999993"/>
    <s v="July"/>
    <x v="1"/>
    <s v="UPI"/>
    <x v="0"/>
    <s v="HighDisc"/>
    <n v="38.229999999999997"/>
    <n v="29.899499999999996"/>
    <s v="Gulab Jamun (2 pc)"/>
    <s v="Brownie+Gulab Jamun (2 pc)+Paneer Roll+Poha"/>
    <n v="0.43886275401991792"/>
  </r>
  <r>
    <s v="O00121"/>
    <s v="SZBIKC"/>
    <n v="2"/>
    <n v="38.06"/>
    <s v="Snack"/>
    <n v="19.55"/>
    <d v="2025-07-31T00:00:00"/>
    <x v="2"/>
    <n v="0.11"/>
    <n v="67.746800000000007"/>
    <s v="July"/>
    <x v="1"/>
    <s v="UPI"/>
    <x v="0"/>
    <s v="HighDisc"/>
    <n v="39.1"/>
    <n v="28.646800000000006"/>
    <s v="Paneer Roll"/>
    <s v="Brownie+Gulab Jamun (2 pc)+Paneer Roll+Poha"/>
    <n v="0.42285096860663535"/>
  </r>
  <r>
    <s v="O00121"/>
    <s v="SHJ7XV"/>
    <n v="2"/>
    <n v="52.45"/>
    <s v="Snack"/>
    <n v="25.8"/>
    <d v="2025-07-31T00:00:00"/>
    <x v="2"/>
    <n v="0.11"/>
    <n v="93.361000000000004"/>
    <s v="July"/>
    <x v="1"/>
    <s v="UPI"/>
    <x v="0"/>
    <s v="HighDisc"/>
    <n v="51.6"/>
    <n v="41.761000000000003"/>
    <s v="Poha"/>
    <s v="Brownie+Gulab Jamun (2 pc)+Paneer Roll+Poha"/>
    <n v="0.44730669123081374"/>
  </r>
  <r>
    <s v="O00122"/>
    <s v="HDPBHS"/>
    <n v="1"/>
    <n v="256.91000000000003"/>
    <s v="Hot Meal"/>
    <n v="121.24"/>
    <d v="2025-07-19T00:00:00"/>
    <x v="2"/>
    <n v="0.03"/>
    <n v="249.20270000000002"/>
    <s v="July"/>
    <x v="1"/>
    <s v="Card"/>
    <x v="1"/>
    <s v="OK"/>
    <n v="121.24"/>
    <n v="127.96270000000003"/>
    <s v="Chicken Thali"/>
    <s v="Chicken Thali+Tea+Fruit Cup+Brownie"/>
    <n v="0.51348841726032668"/>
  </r>
  <r>
    <s v="O00122"/>
    <s v="BTIQJ7"/>
    <n v="1"/>
    <n v="30.34"/>
    <s v="Beverage"/>
    <n v="14.18"/>
    <d v="2025-07-19T00:00:00"/>
    <x v="2"/>
    <n v="0.03"/>
    <n v="29.4298"/>
    <s v="July"/>
    <x v="1"/>
    <s v="Card"/>
    <x v="1"/>
    <s v="OK"/>
    <n v="14.18"/>
    <n v="15.2498"/>
    <s v="Tea"/>
    <s v="Chicken Thali+Tea+Fruit Cup+Brownie"/>
    <n v="0.51817545481110983"/>
  </r>
  <r>
    <s v="O00122"/>
    <s v="DYTJXE"/>
    <n v="2"/>
    <n v="57.07"/>
    <s v="Dessert"/>
    <n v="29.14"/>
    <d v="2025-07-19T00:00:00"/>
    <x v="2"/>
    <n v="0.03"/>
    <n v="110.7158"/>
    <s v="July"/>
    <x v="1"/>
    <s v="Card"/>
    <x v="1"/>
    <s v="OK"/>
    <n v="58.28"/>
    <n v="52.4358"/>
    <s v="Fruit Cup"/>
    <s v="Chicken Thali+Tea+Fruit Cup+Brownie"/>
    <n v="0.47360719969507514"/>
  </r>
  <r>
    <s v="O00122"/>
    <s v="D9T84A"/>
    <n v="2"/>
    <n v="116.8"/>
    <s v="Dessert"/>
    <n v="48.97"/>
    <d v="2025-07-19T00:00:00"/>
    <x v="2"/>
    <n v="0.03"/>
    <n v="226.59199999999998"/>
    <s v="July"/>
    <x v="1"/>
    <s v="Card"/>
    <x v="1"/>
    <s v="OK"/>
    <n v="97.94"/>
    <n v="128.65199999999999"/>
    <s v="Brownie"/>
    <s v="Chicken Thali+Tea+Fruit Cup+Brownie"/>
    <n v="0.56776938285552891"/>
  </r>
  <r>
    <s v="O00123"/>
    <s v="HUZZPQ"/>
    <n v="1"/>
    <n v="146.4"/>
    <s v="Hot Meal"/>
    <n v="80.92"/>
    <d v="2025-08-27T00:00:00"/>
    <x v="0"/>
    <n v="0.1"/>
    <n v="131.76000000000002"/>
    <s v="August"/>
    <x v="2"/>
    <s v="Card"/>
    <x v="0"/>
    <s v="HighDisc"/>
    <n v="80.92"/>
    <n v="50.840000000000018"/>
    <s v="Rajma Chawal"/>
    <s v="Rajma Chawal+Egg Curry + Rice+Poha+Kheer Cup"/>
    <n v="0.38585306618093512"/>
  </r>
  <r>
    <s v="O00123"/>
    <s v="HH1DNM"/>
    <n v="3"/>
    <n v="246.09"/>
    <s v="Hot Meal"/>
    <n v="112.08"/>
    <d v="2025-08-27T00:00:00"/>
    <x v="0"/>
    <n v="0.1"/>
    <n v="664.44299999999998"/>
    <s v="August"/>
    <x v="2"/>
    <s v="Card"/>
    <x v="0"/>
    <s v="HighDisc"/>
    <n v="336.24"/>
    <n v="328.20299999999997"/>
    <s v="Egg Curry + Rice"/>
    <s v="Rajma Chawal+Egg Curry + Rice+Poha+Kheer Cup"/>
    <n v="0.49395207715334494"/>
  </r>
  <r>
    <s v="O00123"/>
    <s v="SHJ7XV"/>
    <n v="3"/>
    <n v="52.45"/>
    <s v="Snack"/>
    <n v="25.8"/>
    <d v="2025-08-27T00:00:00"/>
    <x v="0"/>
    <n v="0.1"/>
    <n v="141.61500000000004"/>
    <s v="August"/>
    <x v="2"/>
    <s v="Card"/>
    <x v="0"/>
    <s v="HighDisc"/>
    <n v="77.400000000000006"/>
    <n v="64.215000000000032"/>
    <s v="Poha"/>
    <s v="Rajma Chawal+Egg Curry + Rice+Poha+Kheer Cup"/>
    <n v="0.45344772799491589"/>
  </r>
  <r>
    <s v="O00123"/>
    <s v="DFFYVN"/>
    <n v="1"/>
    <n v="54.2"/>
    <s v="Dessert"/>
    <n v="21.95"/>
    <d v="2025-08-27T00:00:00"/>
    <x v="0"/>
    <n v="0.1"/>
    <n v="48.78"/>
    <s v="August"/>
    <x v="2"/>
    <s v="Card"/>
    <x v="0"/>
    <s v="HighDisc"/>
    <n v="21.95"/>
    <n v="26.830000000000002"/>
    <s v="Kheer Cup"/>
    <s v="Rajma Chawal+Egg Curry + Rice+Poha+Kheer Cup"/>
    <n v="0.55002050020500204"/>
  </r>
  <r>
    <s v="O00124"/>
    <s v="D9T84A"/>
    <n v="3"/>
    <n v="116.8"/>
    <s v="Dessert"/>
    <n v="48.97"/>
    <d v="2025-07-20T00:00:00"/>
    <x v="1"/>
    <n v="0.08"/>
    <n v="322.36799999999999"/>
    <s v="July"/>
    <x v="0"/>
    <s v="Card"/>
    <x v="1"/>
    <s v="HighDisc"/>
    <n v="146.91"/>
    <n v="175.458"/>
    <s v="Brownie"/>
    <s v="Brownie+Fruit Cup+Masala Chaas+Egg Curry + Rice"/>
    <n v="0.54427858844550325"/>
  </r>
  <r>
    <s v="O00124"/>
    <s v="DYTJXE"/>
    <n v="1"/>
    <n v="57.07"/>
    <s v="Dessert"/>
    <n v="29.14"/>
    <d v="2025-07-20T00:00:00"/>
    <x v="1"/>
    <n v="0.08"/>
    <n v="52.504400000000004"/>
    <s v="July"/>
    <x v="0"/>
    <s v="Card"/>
    <x v="1"/>
    <s v="HighDisc"/>
    <n v="29.14"/>
    <n v="23.364400000000003"/>
    <s v="Fruit Cup"/>
    <s v="Brownie+Fruit Cup+Masala Chaas+Egg Curry + Rice"/>
    <n v="0.4449988953306771"/>
  </r>
  <r>
    <s v="O00124"/>
    <s v="BOC6UZ"/>
    <n v="1"/>
    <n v="32.979999999999997"/>
    <s v="Beverage"/>
    <n v="11.84"/>
    <d v="2025-07-20T00:00:00"/>
    <x v="1"/>
    <n v="0.08"/>
    <n v="30.3416"/>
    <s v="July"/>
    <x v="0"/>
    <s v="Card"/>
    <x v="1"/>
    <s v="HighDisc"/>
    <n v="11.84"/>
    <n v="18.5016"/>
    <s v="Masala Chaas"/>
    <s v="Brownie+Fruit Cup+Masala Chaas+Egg Curry + Rice"/>
    <n v="0.60977667624647347"/>
  </r>
  <r>
    <s v="O00124"/>
    <s v="HH1DNM"/>
    <n v="2"/>
    <n v="246.09"/>
    <s v="Hot Meal"/>
    <n v="112.08"/>
    <d v="2025-07-20T00:00:00"/>
    <x v="1"/>
    <n v="0.08"/>
    <n v="452.80560000000003"/>
    <s v="July"/>
    <x v="0"/>
    <s v="Card"/>
    <x v="1"/>
    <s v="HighDisc"/>
    <n v="224.16"/>
    <n v="228.64560000000003"/>
    <s v="Egg Curry + Rice"/>
    <s v="Brownie+Fruit Cup+Masala Chaas+Egg Curry + Rice"/>
    <n v="0.50495311895435924"/>
  </r>
  <r>
    <s v="O00125"/>
    <s v="D9T84A"/>
    <n v="1"/>
    <n v="116.8"/>
    <s v="Dessert"/>
    <n v="48.97"/>
    <d v="2025-07-30T00:00:00"/>
    <x v="2"/>
    <n v="0.09"/>
    <n v="106.288"/>
    <s v="July"/>
    <x v="2"/>
    <s v="UPI"/>
    <x v="0"/>
    <s v="OK"/>
    <n v="48.97"/>
    <n v="57.317999999999998"/>
    <s v="Brownie"/>
    <s v="Brownie+Kheer Cup"/>
    <n v="0.53927066084600328"/>
  </r>
  <r>
    <s v="O00125"/>
    <s v="DFFYVN"/>
    <n v="1"/>
    <n v="54.2"/>
    <s v="Dessert"/>
    <n v="21.95"/>
    <d v="2025-07-30T00:00:00"/>
    <x v="2"/>
    <n v="0.09"/>
    <n v="49.322000000000003"/>
    <s v="July"/>
    <x v="2"/>
    <s v="UPI"/>
    <x v="0"/>
    <s v="OK"/>
    <n v="21.95"/>
    <n v="27.372000000000003"/>
    <s v="Kheer Cup"/>
    <s v="Brownie+Kheer Cup"/>
    <n v="0.55496532987307901"/>
  </r>
  <r>
    <s v="O00126"/>
    <s v="SHJ7XV"/>
    <n v="1"/>
    <n v="52.45"/>
    <s v="Snack"/>
    <n v="25.8"/>
    <d v="2025-07-27T00:00:00"/>
    <x v="2"/>
    <n v="0.14000000000000001"/>
    <n v="45.106999999999999"/>
    <s v="July"/>
    <x v="1"/>
    <s v="UPI"/>
    <x v="0"/>
    <s v="HighDisc"/>
    <n v="25.8"/>
    <n v="19.306999999999999"/>
    <s v="Poha"/>
    <s v="Poha+Rajma Chawal+Fruit Cup"/>
    <n v="0.42802669208770255"/>
  </r>
  <r>
    <s v="O00126"/>
    <s v="HUZZPQ"/>
    <n v="1"/>
    <n v="146.4"/>
    <s v="Hot Meal"/>
    <n v="80.92"/>
    <d v="2025-07-27T00:00:00"/>
    <x v="2"/>
    <n v="0.14000000000000001"/>
    <n v="125.904"/>
    <s v="July"/>
    <x v="1"/>
    <s v="UPI"/>
    <x v="0"/>
    <s v="HighDisc"/>
    <n v="80.92"/>
    <n v="44.983999999999995"/>
    <s v="Rajma Chawal"/>
    <s v="Poha+Rajma Chawal+Fruit Cup"/>
    <n v="0.35728809251493199"/>
  </r>
  <r>
    <s v="O00126"/>
    <s v="DYTJXE"/>
    <n v="3"/>
    <n v="57.07"/>
    <s v="Dessert"/>
    <n v="29.14"/>
    <d v="2025-07-27T00:00:00"/>
    <x v="2"/>
    <n v="0.14000000000000001"/>
    <n v="147.2406"/>
    <s v="July"/>
    <x v="1"/>
    <s v="UPI"/>
    <x v="0"/>
    <s v="HighDisc"/>
    <n v="87.42"/>
    <n v="59.820599999999999"/>
    <s v="Fruit Cup"/>
    <s v="Poha+Rajma Chawal+Fruit Cup"/>
    <n v="0.40627788802816611"/>
  </r>
  <r>
    <s v="O00127"/>
    <s v="SCKW5N"/>
    <n v="2"/>
    <n v="70.540000000000006"/>
    <s v="Snack"/>
    <n v="35.81"/>
    <d v="2025-07-13T00:00:00"/>
    <x v="0"/>
    <n v="0.05"/>
    <n v="134.02600000000001"/>
    <s v="July"/>
    <x v="2"/>
    <s v="Cash"/>
    <x v="0"/>
    <s v="OK"/>
    <n v="71.62"/>
    <n v="62.406000000000006"/>
    <s v="Veg Sandwich"/>
    <s v="Veg Sandwich+Tea"/>
    <n v="0.46562607255308675"/>
  </r>
  <r>
    <s v="O00127"/>
    <s v="BTIQJ7"/>
    <n v="2"/>
    <n v="30.34"/>
    <s v="Beverage"/>
    <n v="14.18"/>
    <d v="2025-07-13T00:00:00"/>
    <x v="0"/>
    <n v="0.05"/>
    <n v="57.645999999999994"/>
    <s v="July"/>
    <x v="2"/>
    <s v="Cash"/>
    <x v="0"/>
    <s v="OK"/>
    <n v="28.36"/>
    <n v="29.285999999999994"/>
    <s v="Tea"/>
    <s v="Veg Sandwich+Tea"/>
    <n v="0.50803178017555417"/>
  </r>
  <r>
    <s v="O00128"/>
    <s v="SCKW5N"/>
    <n v="2"/>
    <n v="70.540000000000006"/>
    <s v="Snack"/>
    <n v="35.81"/>
    <d v="2025-08-25T00:00:00"/>
    <x v="1"/>
    <n v="0.03"/>
    <n v="136.8476"/>
    <s v="August"/>
    <x v="1"/>
    <s v="Card"/>
    <x v="1"/>
    <s v="OK"/>
    <n v="71.62"/>
    <n v="65.227599999999995"/>
    <s v="Veg Sandwich"/>
    <s v="Veg Sandwich+Chicken Thali+Masala Chaas"/>
    <n v="0.47664409167570343"/>
  </r>
  <r>
    <s v="O00128"/>
    <s v="HDPBHS"/>
    <n v="2"/>
    <n v="256.91000000000003"/>
    <s v="Hot Meal"/>
    <n v="121.24"/>
    <d v="2025-08-25T00:00:00"/>
    <x v="1"/>
    <n v="0.03"/>
    <n v="498.40540000000004"/>
    <s v="August"/>
    <x v="1"/>
    <s v="Card"/>
    <x v="1"/>
    <s v="OK"/>
    <n v="242.48"/>
    <n v="255.92540000000005"/>
    <s v="Chicken Thali"/>
    <s v="Veg Sandwich+Chicken Thali+Masala Chaas"/>
    <n v="0.51348841726032668"/>
  </r>
  <r>
    <s v="O00128"/>
    <s v="BOC6UZ"/>
    <n v="2"/>
    <n v="32.979999999999997"/>
    <s v="Beverage"/>
    <n v="11.84"/>
    <d v="2025-08-25T00:00:00"/>
    <x v="1"/>
    <n v="0.03"/>
    <n v="63.981199999999994"/>
    <s v="August"/>
    <x v="1"/>
    <s v="Card"/>
    <x v="1"/>
    <s v="OK"/>
    <n v="23.68"/>
    <n v="40.301199999999994"/>
    <s v="Masala Chaas"/>
    <s v="Veg Sandwich+Chicken Thali+Masala Chaas"/>
    <n v="0.6298912805636655"/>
  </r>
  <r>
    <s v="O00129"/>
    <s v="H3A3ZM"/>
    <n v="2"/>
    <n v="170.83"/>
    <s v="Hot Meal"/>
    <n v="74.069999999999993"/>
    <d v="2025-08-03T00:00:00"/>
    <x v="2"/>
    <n v="0.02"/>
    <n v="334.82679999999999"/>
    <s v="August"/>
    <x v="0"/>
    <s v="Card"/>
    <x v="0"/>
    <s v="OK"/>
    <n v="148.13999999999999"/>
    <n v="186.68680000000001"/>
    <s v="Paneer Butter Masala + Naan"/>
    <s v="Paneer Butter Masala + Naan+Kheer Cup+Egg Curry + Rice"/>
    <n v="0.55756229788057587"/>
  </r>
  <r>
    <s v="O00129"/>
    <s v="DFFYVN"/>
    <n v="3"/>
    <n v="54.2"/>
    <s v="Dessert"/>
    <n v="21.95"/>
    <d v="2025-08-03T00:00:00"/>
    <x v="2"/>
    <n v="0.02"/>
    <n v="159.34800000000001"/>
    <s v="August"/>
    <x v="0"/>
    <s v="Card"/>
    <x v="0"/>
    <s v="OK"/>
    <n v="65.849999999999994"/>
    <n v="93.498000000000019"/>
    <s v="Kheer Cup"/>
    <s v="Paneer Butter Masala + Naan+Kheer Cup+Egg Curry + Rice"/>
    <n v="0.58675352059643049"/>
  </r>
  <r>
    <s v="O00129"/>
    <s v="HH1DNM"/>
    <n v="1"/>
    <n v="246.09"/>
    <s v="Hot Meal"/>
    <n v="112.08"/>
    <d v="2025-08-03T00:00:00"/>
    <x v="2"/>
    <n v="0.02"/>
    <n v="241.16820000000001"/>
    <s v="August"/>
    <x v="0"/>
    <s v="Card"/>
    <x v="0"/>
    <s v="OK"/>
    <n v="112.08"/>
    <n v="129.08820000000003"/>
    <s v="Egg Curry + Rice"/>
    <s v="Paneer Butter Masala + Naan+Kheer Cup+Egg Curry + Rice"/>
    <n v="0.53526211167143933"/>
  </r>
  <r>
    <s v="O00130"/>
    <s v="D9T84A"/>
    <n v="1"/>
    <n v="116.8"/>
    <s v="Dessert"/>
    <n v="48.97"/>
    <d v="2025-07-12T00:00:00"/>
    <x v="2"/>
    <n v="0.03"/>
    <n v="113.29599999999999"/>
    <s v="July"/>
    <x v="0"/>
    <s v="Card"/>
    <x v="0"/>
    <s v="OK"/>
    <n v="48.97"/>
    <n v="64.325999999999993"/>
    <s v="Brownie"/>
    <s v="Brownie+Gulab Jamun (2 pc)+Veg Sandwich"/>
    <n v="0.56776938285552891"/>
  </r>
  <r>
    <s v="O00130"/>
    <s v="DH9SDB"/>
    <n v="3"/>
    <n v="76.55"/>
    <s v="Dessert"/>
    <n v="38.229999999999997"/>
    <d v="2025-07-12T00:00:00"/>
    <x v="2"/>
    <n v="0.03"/>
    <n v="222.76049999999998"/>
    <s v="July"/>
    <x v="0"/>
    <s v="Card"/>
    <x v="0"/>
    <s v="OK"/>
    <n v="114.69"/>
    <n v="108.07049999999998"/>
    <s v="Gulab Jamun (2 pc)"/>
    <s v="Brownie+Gulab Jamun (2 pc)+Veg Sandwich"/>
    <n v="0.48514211451312056"/>
  </r>
  <r>
    <s v="O00130"/>
    <s v="SCKW5N"/>
    <n v="1"/>
    <n v="70.540000000000006"/>
    <s v="Snack"/>
    <n v="35.81"/>
    <d v="2025-07-12T00:00:00"/>
    <x v="2"/>
    <n v="0.03"/>
    <n v="68.4238"/>
    <s v="July"/>
    <x v="0"/>
    <s v="Card"/>
    <x v="0"/>
    <s v="OK"/>
    <n v="35.81"/>
    <n v="32.613799999999998"/>
    <s v="Veg Sandwich"/>
    <s v="Brownie+Gulab Jamun (2 pc)+Veg Sandwich"/>
    <n v="0.47664409167570343"/>
  </r>
  <r>
    <s v="O00131"/>
    <s v="HDPBHS"/>
    <n v="1"/>
    <n v="256.91000000000003"/>
    <s v="Hot Meal"/>
    <n v="121.24"/>
    <d v="2025-08-26T00:00:00"/>
    <x v="0"/>
    <n v="0.06"/>
    <n v="241.49540000000002"/>
    <s v="August"/>
    <x v="0"/>
    <s v="Cash"/>
    <x v="1"/>
    <s v="OK"/>
    <n v="121.24"/>
    <n v="120.25540000000002"/>
    <s v="Chicken Thali"/>
    <s v="Chicken Thali+Rajma Chawal+Bottled Water+Paneer Butter Masala + Naan"/>
    <n v="0.49796145185374135"/>
  </r>
  <r>
    <s v="O00131"/>
    <s v="HUZZPQ"/>
    <n v="1"/>
    <n v="146.4"/>
    <s v="Hot Meal"/>
    <n v="80.92"/>
    <d v="2025-08-26T00:00:00"/>
    <x v="0"/>
    <n v="0.06"/>
    <n v="137.61599999999999"/>
    <s v="August"/>
    <x v="0"/>
    <s v="Cash"/>
    <x v="1"/>
    <s v="OK"/>
    <n v="80.92"/>
    <n v="56.695999999999984"/>
    <s v="Rajma Chawal"/>
    <s v="Chicken Thali+Rajma Chawal+Bottled Water+Paneer Butter Masala + Naan"/>
    <n v="0.41198697825834196"/>
  </r>
  <r>
    <s v="O00131"/>
    <s v="B0T0PV"/>
    <n v="2"/>
    <n v="28.43"/>
    <s v="Beverage"/>
    <n v="13.89"/>
    <d v="2025-08-26T00:00:00"/>
    <x v="0"/>
    <n v="0.06"/>
    <n v="53.448399999999999"/>
    <s v="August"/>
    <x v="0"/>
    <s v="Cash"/>
    <x v="1"/>
    <s v="OK"/>
    <n v="27.78"/>
    <n v="25.668399999999998"/>
    <s v="Bottled Water"/>
    <s v="Chicken Thali+Rajma Chawal+Bottled Water+Paneer Butter Masala + Naan"/>
    <n v="0.48024636846004742"/>
  </r>
  <r>
    <s v="O00131"/>
    <s v="H3A3ZM"/>
    <n v="1"/>
    <n v="170.83"/>
    <s v="Hot Meal"/>
    <n v="74.069999999999993"/>
    <d v="2025-08-26T00:00:00"/>
    <x v="0"/>
    <n v="0.06"/>
    <n v="160.58019999999999"/>
    <s v="August"/>
    <x v="0"/>
    <s v="Cash"/>
    <x v="1"/>
    <s v="OK"/>
    <n v="74.069999999999993"/>
    <n v="86.510199999999998"/>
    <s v="Paneer Butter Masala + Naan"/>
    <s v="Chicken Thali+Rajma Chawal+Bottled Water+Paneer Butter Masala + Naan"/>
    <n v="0.53873516162017487"/>
  </r>
  <r>
    <s v="O00132"/>
    <s v="HDPBHS"/>
    <n v="1"/>
    <n v="256.91000000000003"/>
    <s v="Hot Meal"/>
    <n v="121.24"/>
    <d v="2025-07-15T00:00:00"/>
    <x v="0"/>
    <n v="7.0000000000000007E-2"/>
    <n v="238.9263"/>
    <s v="July"/>
    <x v="1"/>
    <s v="Cash"/>
    <x v="0"/>
    <s v="OK"/>
    <n v="121.24"/>
    <n v="117.6863"/>
    <s v="Chicken Thali"/>
    <s v="Chicken Thali+Brownie"/>
    <n v="0.49256318789517939"/>
  </r>
  <r>
    <s v="O00132"/>
    <s v="D9T84A"/>
    <n v="2"/>
    <n v="116.8"/>
    <s v="Dessert"/>
    <n v="48.97"/>
    <d v="2025-07-15T00:00:00"/>
    <x v="0"/>
    <n v="7.0000000000000007E-2"/>
    <n v="217.24799999999999"/>
    <s v="July"/>
    <x v="1"/>
    <s v="Cash"/>
    <x v="0"/>
    <s v="OK"/>
    <n v="97.94"/>
    <n v="119.30799999999999"/>
    <s v="Brownie"/>
    <s v="Chicken Thali+Brownie"/>
    <n v="0.54917881867727203"/>
  </r>
  <r>
    <s v="O00133"/>
    <s v="B0T0PV"/>
    <n v="1"/>
    <n v="28.43"/>
    <s v="Beverage"/>
    <n v="13.89"/>
    <d v="2025-07-12T00:00:00"/>
    <x v="0"/>
    <n v="7.0000000000000007E-2"/>
    <n v="26.439899999999998"/>
    <s v="July"/>
    <x v="1"/>
    <s v="UPI"/>
    <x v="0"/>
    <s v="OK"/>
    <n v="13.89"/>
    <n v="12.549899999999997"/>
    <s v="Bottled Water"/>
    <s v="Bottled Water+Fruit Cup+Brownie"/>
    <n v="0.47465761973381132"/>
  </r>
  <r>
    <s v="O00133"/>
    <s v="DYTJXE"/>
    <n v="2"/>
    <n v="57.07"/>
    <s v="Dessert"/>
    <n v="29.14"/>
    <d v="2025-07-12T00:00:00"/>
    <x v="0"/>
    <n v="7.0000000000000007E-2"/>
    <n v="106.1502"/>
    <s v="July"/>
    <x v="1"/>
    <s v="UPI"/>
    <x v="0"/>
    <s v="OK"/>
    <n v="58.28"/>
    <n v="47.870199999999997"/>
    <s v="Fruit Cup"/>
    <s v="Bottled Water+Fruit Cup+Brownie"/>
    <n v="0.45096664914432566"/>
  </r>
  <r>
    <s v="O00133"/>
    <s v="D9T84A"/>
    <n v="2"/>
    <n v="116.8"/>
    <s v="Dessert"/>
    <n v="48.97"/>
    <d v="2025-07-12T00:00:00"/>
    <x v="0"/>
    <n v="7.0000000000000007E-2"/>
    <n v="217.24799999999999"/>
    <s v="July"/>
    <x v="1"/>
    <s v="UPI"/>
    <x v="0"/>
    <s v="OK"/>
    <n v="97.94"/>
    <n v="119.30799999999999"/>
    <s v="Brownie"/>
    <s v="Bottled Water+Fruit Cup+Brownie"/>
    <n v="0.54917881867727203"/>
  </r>
  <r>
    <s v="O00134"/>
    <s v="BOC6UZ"/>
    <n v="3"/>
    <n v="32.979999999999997"/>
    <s v="Beverage"/>
    <n v="11.84"/>
    <d v="2025-08-20T00:00:00"/>
    <x v="1"/>
    <n v="0.09"/>
    <n v="90.035399999999996"/>
    <s v="August"/>
    <x v="1"/>
    <s v="Card"/>
    <x v="0"/>
    <s v="OK"/>
    <n v="35.519999999999996"/>
    <n v="54.5154"/>
    <s v="Masala Chaas"/>
    <s v="Masala Chaas"/>
    <n v="0.60548850785357766"/>
  </r>
  <r>
    <s v="O00135"/>
    <s v="DYTJXE"/>
    <n v="2"/>
    <n v="57.07"/>
    <s v="Dessert"/>
    <n v="29.14"/>
    <d v="2025-08-27T00:00:00"/>
    <x v="1"/>
    <n v="0.06"/>
    <n v="107.29159999999999"/>
    <s v="August"/>
    <x v="0"/>
    <s v="UPI"/>
    <x v="0"/>
    <s v="OK"/>
    <n v="58.28"/>
    <n v="49.011599999999987"/>
    <s v="Fruit Cup"/>
    <s v="Fruit Cup+Nimbu Pani+Masala Chaas"/>
    <n v="0.45680742947257746"/>
  </r>
  <r>
    <s v="O00135"/>
    <s v="BXO6QJ"/>
    <n v="1"/>
    <n v="20.11"/>
    <s v="Beverage"/>
    <n v="8"/>
    <d v="2025-08-27T00:00:00"/>
    <x v="1"/>
    <n v="0.06"/>
    <n v="18.903399999999998"/>
    <s v="August"/>
    <x v="0"/>
    <s v="UPI"/>
    <x v="0"/>
    <s v="OK"/>
    <n v="8"/>
    <n v="10.903399999999998"/>
    <s v="Nimbu Pani"/>
    <s v="Fruit Cup+Nimbu Pani+Masala Chaas"/>
    <n v="0.57679570870848629"/>
  </r>
  <r>
    <s v="O00135"/>
    <s v="BOC6UZ"/>
    <n v="2"/>
    <n v="32.979999999999997"/>
    <s v="Beverage"/>
    <n v="11.84"/>
    <d v="2025-08-27T00:00:00"/>
    <x v="1"/>
    <n v="0.06"/>
    <n v="62.002399999999987"/>
    <s v="August"/>
    <x v="0"/>
    <s v="UPI"/>
    <x v="0"/>
    <s v="OK"/>
    <n v="23.68"/>
    <n v="38.322399999999988"/>
    <s v="Masala Chaas"/>
    <s v="Fruit Cup+Nimbu Pani+Masala Chaas"/>
    <n v="0.61807930015612289"/>
  </r>
  <r>
    <s v="O00136"/>
    <s v="SHJ7XV"/>
    <n v="2"/>
    <n v="52.45"/>
    <s v="Snack"/>
    <n v="25.8"/>
    <d v="2025-08-29T00:00:00"/>
    <x v="0"/>
    <n v="0.12"/>
    <n v="92.312000000000012"/>
    <s v="August"/>
    <x v="0"/>
    <s v="Cash"/>
    <x v="0"/>
    <s v="HighDisc"/>
    <n v="51.6"/>
    <n v="40.71200000000001"/>
    <s v="Poha"/>
    <s v="Poha+Veg Thali"/>
    <n v="0.44102608544934574"/>
  </r>
  <r>
    <s v="O00136"/>
    <s v="HXAJI0"/>
    <n v="2"/>
    <n v="227.61"/>
    <s v="Hot Meal"/>
    <n v="96.22"/>
    <d v="2025-08-29T00:00:00"/>
    <x v="0"/>
    <n v="0.12"/>
    <n v="400.59360000000004"/>
    <s v="August"/>
    <x v="0"/>
    <s v="Cash"/>
    <x v="0"/>
    <s v="HighDisc"/>
    <n v="192.44"/>
    <n v="208.15360000000004"/>
    <s v="Veg Thali"/>
    <s v="Poha+Veg Thali"/>
    <n v="0.51961289446461456"/>
  </r>
  <r>
    <s v="O00137"/>
    <s v="BHL1C3"/>
    <n v="1"/>
    <n v="22.2"/>
    <s v="Beverage"/>
    <n v="9.3800000000000008"/>
    <d v="2025-07-26T00:00:00"/>
    <x v="0"/>
    <n v="0.05"/>
    <n v="21.09"/>
    <s v="July"/>
    <x v="1"/>
    <s v="Cash"/>
    <x v="1"/>
    <s v="OK"/>
    <n v="9.3800000000000008"/>
    <n v="11.709999999999999"/>
    <s v="Coffee"/>
    <s v="Coffee+Masala Chaas+Fruit Cup+Rajma Chawal"/>
    <n v="0.55523944997629204"/>
  </r>
  <r>
    <s v="O00137"/>
    <s v="BOC6UZ"/>
    <n v="1"/>
    <n v="32.979999999999997"/>
    <s v="Beverage"/>
    <n v="11.84"/>
    <d v="2025-07-26T00:00:00"/>
    <x v="0"/>
    <n v="0.05"/>
    <n v="31.330999999999996"/>
    <s v="July"/>
    <x v="1"/>
    <s v="Cash"/>
    <x v="1"/>
    <s v="OK"/>
    <n v="11.84"/>
    <n v="19.490999999999996"/>
    <s v="Masala Chaas"/>
    <s v="Coffee+Masala Chaas+Fruit Cup+Rajma Chawal"/>
    <n v="0.62209951804921637"/>
  </r>
  <r>
    <s v="O00137"/>
    <s v="DYTJXE"/>
    <n v="2"/>
    <n v="57.07"/>
    <s v="Dessert"/>
    <n v="29.14"/>
    <d v="2025-07-26T00:00:00"/>
    <x v="0"/>
    <n v="0.05"/>
    <n v="108.43299999999999"/>
    <s v="July"/>
    <x v="1"/>
    <s v="Cash"/>
    <x v="1"/>
    <s v="OK"/>
    <n v="58.28"/>
    <n v="50.152999999999992"/>
    <s v="Fruit Cup"/>
    <s v="Coffee+Masala Chaas+Fruit Cup+Rajma Chawal"/>
    <n v="0.46252524600444511"/>
  </r>
  <r>
    <s v="O00137"/>
    <s v="HUZZPQ"/>
    <n v="1"/>
    <n v="146.4"/>
    <s v="Hot Meal"/>
    <n v="80.92"/>
    <d v="2025-07-26T00:00:00"/>
    <x v="0"/>
    <n v="0.05"/>
    <n v="139.08000000000001"/>
    <s v="July"/>
    <x v="1"/>
    <s v="Cash"/>
    <x v="1"/>
    <s v="OK"/>
    <n v="80.92"/>
    <n v="58.160000000000011"/>
    <s v="Rajma Chawal"/>
    <s v="Coffee+Masala Chaas+Fruit Cup+Rajma Chawal"/>
    <n v="0.41817658901351745"/>
  </r>
  <r>
    <s v="O00138"/>
    <s v="S5NQ4F"/>
    <n v="2"/>
    <n v="50.19"/>
    <s v="Snack"/>
    <n v="22.61"/>
    <d v="2025-07-18T00:00:00"/>
    <x v="0"/>
    <n v="0.17"/>
    <n v="83.315399999999997"/>
    <s v="July"/>
    <x v="0"/>
    <s v="Cash"/>
    <x v="0"/>
    <s v="OK"/>
    <n v="45.22"/>
    <n v="38.095399999999998"/>
    <s v="Masala Puff"/>
    <s v="Masala Puff"/>
    <n v="0.45724319873636804"/>
  </r>
  <r>
    <s v="O00139"/>
    <s v="DYTJXE"/>
    <n v="2"/>
    <n v="57.07"/>
    <s v="Dessert"/>
    <n v="29.14"/>
    <d v="2025-08-09T00:00:00"/>
    <x v="1"/>
    <n v="0.09"/>
    <n v="103.8674"/>
    <s v="August"/>
    <x v="1"/>
    <s v="UPI"/>
    <x v="0"/>
    <s v="HighDisc"/>
    <n v="58.28"/>
    <n v="45.587400000000002"/>
    <s v="Fruit Cup"/>
    <s v="Fruit Cup+Veg Thali+Poha"/>
    <n v="0.43889998209255265"/>
  </r>
  <r>
    <s v="O00139"/>
    <s v="HXAJI0"/>
    <n v="2"/>
    <n v="227.61"/>
    <s v="Hot Meal"/>
    <n v="96.22"/>
    <d v="2025-08-09T00:00:00"/>
    <x v="1"/>
    <n v="0.09"/>
    <n v="414.25020000000006"/>
    <s v="August"/>
    <x v="1"/>
    <s v="UPI"/>
    <x v="0"/>
    <s v="HighDisc"/>
    <n v="192.44"/>
    <n v="221.81020000000007"/>
    <s v="Veg Thali"/>
    <s v="Fruit Cup+Veg Thali+Poha"/>
    <n v="0.53544983200973717"/>
  </r>
  <r>
    <s v="O00139"/>
    <s v="SHJ7XV"/>
    <n v="3"/>
    <n v="52.45"/>
    <s v="Snack"/>
    <n v="25.8"/>
    <d v="2025-08-09T00:00:00"/>
    <x v="1"/>
    <n v="0.09"/>
    <n v="143.18850000000003"/>
    <s v="August"/>
    <x v="1"/>
    <s v="UPI"/>
    <x v="0"/>
    <s v="HighDisc"/>
    <n v="77.400000000000006"/>
    <n v="65.788500000000028"/>
    <s v="Poha"/>
    <s v="Fruit Cup+Veg Thali+Poha"/>
    <n v="0.45945379691804866"/>
  </r>
  <r>
    <s v="O00140"/>
    <s v="S5NQ4F"/>
    <n v="3"/>
    <n v="50.19"/>
    <s v="Snack"/>
    <n v="22.61"/>
    <d v="2025-07-29T00:00:00"/>
    <x v="2"/>
    <n v="0.03"/>
    <n v="146.05289999999999"/>
    <s v="July"/>
    <x v="2"/>
    <s v="Card"/>
    <x v="0"/>
    <s v="OK"/>
    <n v="67.83"/>
    <n v="78.222899999999996"/>
    <s v="Masala Puff"/>
    <s v="Masala Puff+Paneer Roll+Masala Chaas+Tea"/>
    <n v="0.5355792319084387"/>
  </r>
  <r>
    <s v="O00140"/>
    <s v="SZBIKC"/>
    <n v="2"/>
    <n v="38.06"/>
    <s v="Snack"/>
    <n v="19.55"/>
    <d v="2025-07-29T00:00:00"/>
    <x v="2"/>
    <n v="0.03"/>
    <n v="73.836399999999998"/>
    <s v="July"/>
    <x v="2"/>
    <s v="Card"/>
    <x v="0"/>
    <s v="OK"/>
    <n v="39.1"/>
    <n v="34.736399999999996"/>
    <s v="Paneer Roll"/>
    <s v="Masala Puff+Paneer Roll+Masala Chaas+Tea"/>
    <n v="0.47045088872155194"/>
  </r>
  <r>
    <s v="O00140"/>
    <s v="BOC6UZ"/>
    <n v="1"/>
    <n v="32.979999999999997"/>
    <s v="Beverage"/>
    <n v="11.84"/>
    <d v="2025-07-29T00:00:00"/>
    <x v="2"/>
    <n v="0.03"/>
    <n v="31.990599999999997"/>
    <s v="July"/>
    <x v="2"/>
    <s v="Card"/>
    <x v="0"/>
    <s v="OK"/>
    <n v="11.84"/>
    <n v="20.150599999999997"/>
    <s v="Masala Chaas"/>
    <s v="Masala Puff+Paneer Roll+Masala Chaas+Tea"/>
    <n v="0.6298912805636655"/>
  </r>
  <r>
    <s v="O00140"/>
    <s v="BTIQJ7"/>
    <n v="2"/>
    <n v="30.34"/>
    <s v="Beverage"/>
    <n v="14.18"/>
    <d v="2025-07-29T00:00:00"/>
    <x v="2"/>
    <n v="0.03"/>
    <n v="58.8596"/>
    <s v="July"/>
    <x v="2"/>
    <s v="Card"/>
    <x v="0"/>
    <s v="OK"/>
    <n v="28.36"/>
    <n v="30.499600000000001"/>
    <s v="Tea"/>
    <s v="Masala Puff+Paneer Roll+Masala Chaas+Tea"/>
    <n v="0.51817545481110983"/>
  </r>
  <r>
    <s v="O00141"/>
    <s v="SHJ7XV"/>
    <n v="1"/>
    <n v="52.45"/>
    <s v="Snack"/>
    <n v="25.8"/>
    <d v="2025-08-14T00:00:00"/>
    <x v="2"/>
    <n v="0.02"/>
    <n v="51.401000000000003"/>
    <s v="August"/>
    <x v="0"/>
    <s v="Cash"/>
    <x v="0"/>
    <s v="OK"/>
    <n v="25.8"/>
    <n v="25.601000000000003"/>
    <s v="Poha"/>
    <s v="Poha+Bottled Water"/>
    <n v="0.49806423999533084"/>
  </r>
  <r>
    <s v="O00141"/>
    <s v="B0T0PV"/>
    <n v="1"/>
    <n v="28.43"/>
    <s v="Beverage"/>
    <n v="13.89"/>
    <d v="2025-08-14T00:00:00"/>
    <x v="2"/>
    <n v="0.02"/>
    <n v="27.8614"/>
    <s v="August"/>
    <x v="0"/>
    <s v="Cash"/>
    <x v="0"/>
    <s v="OK"/>
    <n v="13.89"/>
    <n v="13.971399999999999"/>
    <s v="Bottled Water"/>
    <s v="Poha+Bottled Water"/>
    <n v="0.50146080240045365"/>
  </r>
  <r>
    <s v="O00142"/>
    <s v="B0T0PV"/>
    <n v="1"/>
    <n v="28.43"/>
    <s v="Beverage"/>
    <n v="13.89"/>
    <d v="2025-08-27T00:00:00"/>
    <x v="0"/>
    <n v="0.08"/>
    <n v="26.1556"/>
    <s v="August"/>
    <x v="2"/>
    <s v="Card"/>
    <x v="0"/>
    <s v="OK"/>
    <n v="13.89"/>
    <n v="12.265599999999999"/>
    <s v="Bottled Water"/>
    <s v="Bottled Water+Masala Puff"/>
    <n v="0.46894737647004847"/>
  </r>
  <r>
    <s v="O00142"/>
    <s v="S5NQ4F"/>
    <n v="3"/>
    <n v="50.19"/>
    <s v="Snack"/>
    <n v="22.61"/>
    <d v="2025-08-27T00:00:00"/>
    <x v="0"/>
    <n v="0.08"/>
    <n v="138.52439999999999"/>
    <s v="August"/>
    <x v="2"/>
    <s v="Card"/>
    <x v="0"/>
    <s v="OK"/>
    <n v="67.83"/>
    <n v="70.694399999999987"/>
    <s v="Masala Puff"/>
    <s v="Bottled Water+Masala Puff"/>
    <n v="0.51033897277302764"/>
  </r>
  <r>
    <s v="O00143"/>
    <s v="BXO6QJ"/>
    <n v="2"/>
    <n v="20.11"/>
    <s v="Beverage"/>
    <n v="8"/>
    <d v="2025-08-23T00:00:00"/>
    <x v="2"/>
    <n v="0.05"/>
    <n v="38.208999999999996"/>
    <s v="August"/>
    <x v="0"/>
    <s v="Cash"/>
    <x v="0"/>
    <s v="OK"/>
    <n v="16"/>
    <n v="22.208999999999996"/>
    <s v="Nimbu Pani"/>
    <s v="Nimbu Pani"/>
    <n v="0.58125049072208113"/>
  </r>
  <r>
    <s v="O00144"/>
    <s v="SHJ7XV"/>
    <n v="1"/>
    <n v="52.45"/>
    <s v="Snack"/>
    <n v="25.8"/>
    <d v="2025-07-15T00:00:00"/>
    <x v="2"/>
    <n v="0.09"/>
    <n v="47.729500000000002"/>
    <s v="July"/>
    <x v="0"/>
    <s v="Cash"/>
    <x v="0"/>
    <s v="OK"/>
    <n v="25.8"/>
    <n v="21.929500000000001"/>
    <s v="Poha"/>
    <s v="Poha"/>
    <n v="0.45945379691804861"/>
  </r>
  <r>
    <s v="O00145"/>
    <s v="BOC6UZ"/>
    <n v="2"/>
    <n v="32.979999999999997"/>
    <s v="Beverage"/>
    <n v="11.84"/>
    <d v="2025-08-28T00:00:00"/>
    <x v="0"/>
    <n v="0.08"/>
    <n v="60.683199999999999"/>
    <s v="August"/>
    <x v="0"/>
    <s v="Card"/>
    <x v="0"/>
    <s v="OK"/>
    <n v="23.68"/>
    <n v="37.0032"/>
    <s v="Masala Chaas"/>
    <s v="Masala Chaas+Fruit Cup+Brownie"/>
    <n v="0.60977667624647347"/>
  </r>
  <r>
    <s v="O00145"/>
    <s v="DYTJXE"/>
    <n v="1"/>
    <n v="57.07"/>
    <s v="Dessert"/>
    <n v="29.14"/>
    <d v="2025-08-28T00:00:00"/>
    <x v="0"/>
    <n v="0.08"/>
    <n v="52.504400000000004"/>
    <s v="August"/>
    <x v="0"/>
    <s v="Card"/>
    <x v="0"/>
    <s v="OK"/>
    <n v="29.14"/>
    <n v="23.364400000000003"/>
    <s v="Fruit Cup"/>
    <s v="Masala Chaas+Fruit Cup+Brownie"/>
    <n v="0.4449988953306771"/>
  </r>
  <r>
    <s v="O00145"/>
    <s v="D9T84A"/>
    <n v="2"/>
    <n v="116.8"/>
    <s v="Dessert"/>
    <n v="48.97"/>
    <d v="2025-08-28T00:00:00"/>
    <x v="0"/>
    <n v="0.08"/>
    <n v="214.91200000000001"/>
    <s v="August"/>
    <x v="0"/>
    <s v="Card"/>
    <x v="0"/>
    <s v="OK"/>
    <n v="97.94"/>
    <n v="116.97200000000001"/>
    <s v="Brownie"/>
    <s v="Masala Chaas+Fruit Cup+Brownie"/>
    <n v="0.54427858844550325"/>
  </r>
  <r>
    <s v="O00146"/>
    <s v="HDPBHS"/>
    <n v="3"/>
    <n v="256.91000000000003"/>
    <s v="Hot Meal"/>
    <n v="121.24"/>
    <d v="2025-07-13T00:00:00"/>
    <x v="1"/>
    <n v="0.06"/>
    <n v="724.48619999999994"/>
    <s v="July"/>
    <x v="0"/>
    <s v="Card"/>
    <x v="1"/>
    <s v="HighDisc"/>
    <n v="363.71999999999997"/>
    <n v="360.76619999999997"/>
    <s v="Chicken Thali"/>
    <s v="Chicken Thali+Coffee+Brownie+Egg Curry + Rice"/>
    <n v="0.4979614518537413"/>
  </r>
  <r>
    <s v="O00146"/>
    <s v="BHL1C3"/>
    <n v="2"/>
    <n v="22.2"/>
    <s v="Beverage"/>
    <n v="9.3800000000000008"/>
    <d v="2025-07-13T00:00:00"/>
    <x v="1"/>
    <n v="0.06"/>
    <n v="41.735999999999997"/>
    <s v="July"/>
    <x v="0"/>
    <s v="Card"/>
    <x v="1"/>
    <s v="HighDisc"/>
    <n v="18.760000000000002"/>
    <n v="22.975999999999996"/>
    <s v="Coffee"/>
    <s v="Chicken Thali+Coffee+Brownie+Egg Curry + Rice"/>
    <n v="0.55050795476327385"/>
  </r>
  <r>
    <s v="O00146"/>
    <s v="D9T84A"/>
    <n v="1"/>
    <n v="116.8"/>
    <s v="Dessert"/>
    <n v="48.97"/>
    <d v="2025-07-13T00:00:00"/>
    <x v="1"/>
    <n v="0.06"/>
    <n v="109.79199999999999"/>
    <s v="July"/>
    <x v="0"/>
    <s v="Card"/>
    <x v="1"/>
    <s v="HighDisc"/>
    <n v="48.97"/>
    <n v="60.821999999999989"/>
    <s v="Brownie"/>
    <s v="Chicken Thali+Coffee+Brownie+Egg Curry + Rice"/>
    <n v="0.55397478869134364"/>
  </r>
  <r>
    <s v="O00146"/>
    <s v="HH1DNM"/>
    <n v="3"/>
    <n v="246.09"/>
    <s v="Hot Meal"/>
    <n v="112.08"/>
    <d v="2025-07-13T00:00:00"/>
    <x v="1"/>
    <n v="0.06"/>
    <n v="693.97379999999998"/>
    <s v="July"/>
    <x v="0"/>
    <s v="Card"/>
    <x v="1"/>
    <s v="HighDisc"/>
    <n v="336.24"/>
    <n v="357.73379999999997"/>
    <s v="Egg Curry + Rice"/>
    <s v="Chicken Thali+Coffee+Brownie+Egg Curry + Rice"/>
    <n v="0.51548603131703241"/>
  </r>
  <r>
    <s v="O00147"/>
    <s v="SCKW5N"/>
    <n v="1"/>
    <n v="70.540000000000006"/>
    <s v="Snack"/>
    <n v="35.81"/>
    <d v="2025-07-27T00:00:00"/>
    <x v="0"/>
    <n v="0.03"/>
    <n v="68.4238"/>
    <s v="July"/>
    <x v="1"/>
    <s v="Card"/>
    <x v="1"/>
    <s v="OK"/>
    <n v="35.81"/>
    <n v="32.613799999999998"/>
    <s v="Veg Sandwich"/>
    <s v="Veg Sandwich+Paneer Butter Masala + Naan+Masala Chaas+Bottled Water"/>
    <n v="0.47664409167570343"/>
  </r>
  <r>
    <s v="O00147"/>
    <s v="H3A3ZM"/>
    <n v="1"/>
    <n v="170.83"/>
    <s v="Hot Meal"/>
    <n v="74.069999999999993"/>
    <d v="2025-07-27T00:00:00"/>
    <x v="0"/>
    <n v="0.03"/>
    <n v="165.70510000000002"/>
    <s v="July"/>
    <x v="1"/>
    <s v="Card"/>
    <x v="1"/>
    <s v="OK"/>
    <n v="74.069999999999993"/>
    <n v="91.635100000000023"/>
    <s v="Paneer Butter Masala + Naan"/>
    <s v="Veg Sandwich+Paneer Butter Masala + Naan+Masala Chaas+Bottled Water"/>
    <n v="0.5530010844566644"/>
  </r>
  <r>
    <s v="O00147"/>
    <s v="BOC6UZ"/>
    <n v="3"/>
    <n v="32.979999999999997"/>
    <s v="Beverage"/>
    <n v="11.84"/>
    <d v="2025-07-27T00:00:00"/>
    <x v="0"/>
    <n v="0.03"/>
    <n v="95.971800000000002"/>
    <s v="July"/>
    <x v="1"/>
    <s v="Card"/>
    <x v="1"/>
    <s v="OK"/>
    <n v="35.519999999999996"/>
    <n v="60.451800000000006"/>
    <s v="Masala Chaas"/>
    <s v="Veg Sandwich+Paneer Butter Masala + Naan+Masala Chaas+Bottled Water"/>
    <n v="0.62989128056366561"/>
  </r>
  <r>
    <s v="O00147"/>
    <s v="B0T0PV"/>
    <n v="1"/>
    <n v="28.43"/>
    <s v="Beverage"/>
    <n v="13.89"/>
    <d v="2025-07-27T00:00:00"/>
    <x v="0"/>
    <n v="0.03"/>
    <n v="27.577099999999998"/>
    <s v="July"/>
    <x v="1"/>
    <s v="Card"/>
    <x v="1"/>
    <s v="OK"/>
    <n v="13.89"/>
    <n v="13.687099999999997"/>
    <s v="Bottled Water"/>
    <s v="Veg Sandwich+Paneer Butter Masala + Naan+Masala Chaas+Bottled Water"/>
    <n v="0.49632122304375725"/>
  </r>
  <r>
    <s v="O00148"/>
    <s v="BTIQJ7"/>
    <n v="1"/>
    <n v="30.34"/>
    <s v="Beverage"/>
    <n v="14.18"/>
    <d v="2025-07-09T00:00:00"/>
    <x v="0"/>
    <n v="0"/>
    <n v="30.34"/>
    <s v="July"/>
    <x v="0"/>
    <s v="Card"/>
    <x v="0"/>
    <s v="OK"/>
    <n v="14.18"/>
    <n v="16.16"/>
    <s v="Tea"/>
    <s v="Tea+Samosa"/>
    <n v="0.53263019116677657"/>
  </r>
  <r>
    <s v="O00148"/>
    <s v="SV30T9"/>
    <n v="1"/>
    <n v="39.950000000000003"/>
    <s v="Snack"/>
    <n v="15.51"/>
    <d v="2025-07-09T00:00:00"/>
    <x v="0"/>
    <n v="0"/>
    <n v="39.950000000000003"/>
    <s v="July"/>
    <x v="0"/>
    <s v="Card"/>
    <x v="0"/>
    <s v="OK"/>
    <n v="15.51"/>
    <n v="24.440000000000005"/>
    <s v="Samosa"/>
    <s v="Tea+Samosa"/>
    <n v="0.61176470588235299"/>
  </r>
  <r>
    <s v="O00149"/>
    <s v="HXAJI0"/>
    <n v="1"/>
    <n v="227.61"/>
    <s v="Hot Meal"/>
    <n v="96.22"/>
    <d v="2025-08-28T00:00:00"/>
    <x v="1"/>
    <n v="0.04"/>
    <n v="218.50560000000002"/>
    <s v="August"/>
    <x v="1"/>
    <s v="Cash"/>
    <x v="0"/>
    <s v="OK"/>
    <n v="96.22"/>
    <n v="122.28560000000002"/>
    <s v="Veg Thali"/>
    <s v="Veg Thali+Veg Sandwich"/>
    <n v="0.55964515325923003"/>
  </r>
  <r>
    <s v="O00149"/>
    <s v="SCKW5N"/>
    <n v="1"/>
    <n v="70.540000000000006"/>
    <s v="Snack"/>
    <n v="35.81"/>
    <d v="2025-08-28T00:00:00"/>
    <x v="1"/>
    <n v="0.04"/>
    <n v="67.718400000000003"/>
    <s v="August"/>
    <x v="1"/>
    <s v="Cash"/>
    <x v="0"/>
    <s v="OK"/>
    <n v="35.81"/>
    <n v="31.9084"/>
    <s v="Veg Sandwich"/>
    <s v="Veg Thali+Veg Sandwich"/>
    <n v="0.4711924676306587"/>
  </r>
  <r>
    <s v="O00150"/>
    <s v="H3A3ZM"/>
    <n v="2"/>
    <n v="170.83"/>
    <s v="Hot Meal"/>
    <n v="74.069999999999993"/>
    <d v="2025-08-26T00:00:00"/>
    <x v="0"/>
    <n v="0.09"/>
    <n v="310.91060000000004"/>
    <s v="August"/>
    <x v="0"/>
    <s v="UPI"/>
    <x v="0"/>
    <s v="HighDisc"/>
    <n v="148.13999999999999"/>
    <n v="162.77060000000006"/>
    <s v="Paneer Butter Masala + Naan"/>
    <s v="Paneer Butter Masala + Naan+Egg Curry + Rice+Veg Thali"/>
    <n v="0.52352862848677417"/>
  </r>
  <r>
    <s v="O00150"/>
    <s v="HH1DNM"/>
    <n v="1"/>
    <n v="246.09"/>
    <s v="Hot Meal"/>
    <n v="112.08"/>
    <d v="2025-08-26T00:00:00"/>
    <x v="0"/>
    <n v="0.09"/>
    <n v="223.9419"/>
    <s v="August"/>
    <x v="0"/>
    <s v="UPI"/>
    <x v="0"/>
    <s v="HighDisc"/>
    <n v="112.08"/>
    <n v="111.86190000000001"/>
    <s v="Egg Curry + Rice"/>
    <s v="Paneer Butter Masala + Naan+Egg Curry + Rice+Veg Thali"/>
    <n v="0.49951304333847307"/>
  </r>
  <r>
    <s v="O00150"/>
    <s v="HXAJI0"/>
    <n v="1"/>
    <n v="227.61"/>
    <s v="Hot Meal"/>
    <n v="96.22"/>
    <d v="2025-08-26T00:00:00"/>
    <x v="0"/>
    <n v="0.09"/>
    <n v="207.12510000000003"/>
    <s v="August"/>
    <x v="0"/>
    <s v="UPI"/>
    <x v="0"/>
    <s v="HighDisc"/>
    <n v="96.22"/>
    <n v="110.90510000000003"/>
    <s v="Veg Thali"/>
    <s v="Paneer Butter Masala + Naan+Egg Curry + Rice+Veg Thali"/>
    <n v="0.53544983200973717"/>
  </r>
  <r>
    <s v="O00151"/>
    <s v="HXAJI0"/>
    <n v="2"/>
    <n v="227.61"/>
    <s v="Hot Meal"/>
    <n v="96.22"/>
    <d v="2025-08-26T00:00:00"/>
    <x v="2"/>
    <n v="7.0000000000000007E-2"/>
    <n v="423.3546"/>
    <s v="August"/>
    <x v="0"/>
    <s v="Card"/>
    <x v="0"/>
    <s v="HighDisc"/>
    <n v="192.44"/>
    <n v="230.91460000000001"/>
    <s v="Veg Thali"/>
    <s v="Veg Thali+Rajma Chawal+Egg Curry + Rice"/>
    <n v="0.54544015820307612"/>
  </r>
  <r>
    <s v="O00151"/>
    <s v="HUZZPQ"/>
    <n v="3"/>
    <n v="146.4"/>
    <s v="Hot Meal"/>
    <n v="80.92"/>
    <d v="2025-08-26T00:00:00"/>
    <x v="2"/>
    <n v="7.0000000000000007E-2"/>
    <n v="408.45600000000002"/>
    <s v="August"/>
    <x v="0"/>
    <s v="Card"/>
    <x v="0"/>
    <s v="HighDisc"/>
    <n v="242.76"/>
    <n v="165.69600000000003"/>
    <s v="Rajma Chawal"/>
    <s v="Veg Thali+Rajma Chawal+Egg Curry + Rice"/>
    <n v="0.40566425759445329"/>
  </r>
  <r>
    <s v="O00151"/>
    <s v="HH1DNM"/>
    <n v="3"/>
    <n v="246.09"/>
    <s v="Hot Meal"/>
    <n v="112.08"/>
    <d v="2025-08-26T00:00:00"/>
    <x v="2"/>
    <n v="7.0000000000000007E-2"/>
    <n v="686.59109999999998"/>
    <s v="August"/>
    <x v="0"/>
    <s v="Card"/>
    <x v="0"/>
    <s v="HighDisc"/>
    <n v="336.24"/>
    <n v="350.35109999999997"/>
    <s v="Egg Curry + Rice"/>
    <s v="Veg Thali+Rajma Chawal+Egg Curry + Rice"/>
    <n v="0.51027620369678539"/>
  </r>
  <r>
    <s v="O00152"/>
    <s v="HUZZPQ"/>
    <n v="1"/>
    <n v="146.4"/>
    <s v="Hot Meal"/>
    <n v="80.92"/>
    <d v="2025-08-13T00:00:00"/>
    <x v="1"/>
    <n v="0.01"/>
    <n v="144.93600000000001"/>
    <s v="August"/>
    <x v="0"/>
    <s v="UPI"/>
    <x v="1"/>
    <s v="OK"/>
    <n v="80.92"/>
    <n v="64.016000000000005"/>
    <s v="Rajma Chawal"/>
    <s v="Rajma Chawal+Tea"/>
    <n v="0.44168460561903189"/>
  </r>
  <r>
    <s v="O00152"/>
    <s v="BTIQJ7"/>
    <n v="3"/>
    <n v="30.34"/>
    <s v="Beverage"/>
    <n v="14.18"/>
    <d v="2025-08-13T00:00:00"/>
    <x v="1"/>
    <n v="0.01"/>
    <n v="90.109799999999993"/>
    <s v="August"/>
    <x v="0"/>
    <s v="UPI"/>
    <x v="1"/>
    <s v="OK"/>
    <n v="42.54"/>
    <n v="47.569799999999994"/>
    <s v="Tea"/>
    <s v="Rajma Chawal+Tea"/>
    <n v="0.527909284006845"/>
  </r>
  <r>
    <s v="O00153"/>
    <s v="BXO6QJ"/>
    <n v="1"/>
    <n v="20.11"/>
    <s v="Beverage"/>
    <n v="8"/>
    <d v="2025-08-17T00:00:00"/>
    <x v="2"/>
    <n v="7.0000000000000007E-2"/>
    <n v="18.702299999999997"/>
    <s v="August"/>
    <x v="1"/>
    <s v="Card"/>
    <x v="0"/>
    <s v="OK"/>
    <n v="8"/>
    <n v="10.702299999999997"/>
    <s v="Nimbu Pani"/>
    <s v="Nimbu Pani+Bottled Water"/>
    <n v="0.57224512493115809"/>
  </r>
  <r>
    <s v="O00153"/>
    <s v="B0T0PV"/>
    <n v="2"/>
    <n v="28.43"/>
    <s v="Beverage"/>
    <n v="13.89"/>
    <d v="2025-08-17T00:00:00"/>
    <x v="2"/>
    <n v="7.0000000000000007E-2"/>
    <n v="52.879799999999996"/>
    <s v="August"/>
    <x v="1"/>
    <s v="Card"/>
    <x v="0"/>
    <s v="OK"/>
    <n v="27.78"/>
    <n v="25.099799999999995"/>
    <s v="Bottled Water"/>
    <s v="Nimbu Pani+Bottled Water"/>
    <n v="0.47465761973381132"/>
  </r>
  <r>
    <s v="O00154"/>
    <s v="S5NQ4F"/>
    <n v="1"/>
    <n v="50.19"/>
    <s v="Snack"/>
    <n v="22.61"/>
    <d v="2025-08-02T00:00:00"/>
    <x v="1"/>
    <n v="0.08"/>
    <n v="46.174799999999998"/>
    <s v="August"/>
    <x v="2"/>
    <s v="Cash"/>
    <x v="0"/>
    <s v="OK"/>
    <n v="22.61"/>
    <n v="23.564799999999998"/>
    <s v="Masala Puff"/>
    <s v="Masala Puff+Bottled Water+Brownie+Masala Chaas"/>
    <n v="0.51033897277302764"/>
  </r>
  <r>
    <s v="O00154"/>
    <s v="B0T0PV"/>
    <n v="2"/>
    <n v="28.43"/>
    <s v="Beverage"/>
    <n v="13.89"/>
    <d v="2025-08-02T00:00:00"/>
    <x v="1"/>
    <n v="0.08"/>
    <n v="52.311199999999999"/>
    <s v="August"/>
    <x v="2"/>
    <s v="Cash"/>
    <x v="0"/>
    <s v="OK"/>
    <n v="27.78"/>
    <n v="24.531199999999998"/>
    <s v="Bottled Water"/>
    <s v="Masala Puff+Bottled Water+Brownie+Masala Chaas"/>
    <n v="0.46894737647004847"/>
  </r>
  <r>
    <s v="O00154"/>
    <s v="D9T84A"/>
    <n v="2"/>
    <n v="116.8"/>
    <s v="Dessert"/>
    <n v="48.97"/>
    <d v="2025-08-02T00:00:00"/>
    <x v="1"/>
    <n v="0.08"/>
    <n v="214.91200000000001"/>
    <s v="August"/>
    <x v="2"/>
    <s v="Cash"/>
    <x v="0"/>
    <s v="OK"/>
    <n v="97.94"/>
    <n v="116.97200000000001"/>
    <s v="Brownie"/>
    <s v="Masala Puff+Bottled Water+Brownie+Masala Chaas"/>
    <n v="0.54427858844550325"/>
  </r>
  <r>
    <s v="O00154"/>
    <s v="BOC6UZ"/>
    <n v="1"/>
    <n v="32.979999999999997"/>
    <s v="Beverage"/>
    <n v="11.84"/>
    <d v="2025-08-02T00:00:00"/>
    <x v="1"/>
    <n v="0.08"/>
    <n v="30.3416"/>
    <s v="August"/>
    <x v="2"/>
    <s v="Cash"/>
    <x v="0"/>
    <s v="OK"/>
    <n v="11.84"/>
    <n v="18.5016"/>
    <s v="Masala Chaas"/>
    <s v="Masala Puff+Bottled Water+Brownie+Masala Chaas"/>
    <n v="0.60977667624647347"/>
  </r>
  <r>
    <s v="O00155"/>
    <s v="SV30T9"/>
    <n v="2"/>
    <n v="39.950000000000003"/>
    <s v="Snack"/>
    <n v="15.51"/>
    <d v="2025-08-02T00:00:00"/>
    <x v="1"/>
    <n v="0.02"/>
    <n v="78.302000000000007"/>
    <s v="August"/>
    <x v="0"/>
    <s v="Card"/>
    <x v="0"/>
    <s v="OK"/>
    <n v="31.02"/>
    <n v="47.282000000000011"/>
    <s v="Samosa"/>
    <s v="Samosa+Poha+Chicken Thali+Fruit Cup"/>
    <n v="0.6038415366146459"/>
  </r>
  <r>
    <s v="O00155"/>
    <s v="SHJ7XV"/>
    <n v="3"/>
    <n v="52.45"/>
    <s v="Snack"/>
    <n v="25.8"/>
    <d v="2025-08-02T00:00:00"/>
    <x v="1"/>
    <n v="0.02"/>
    <n v="154.20300000000003"/>
    <s v="August"/>
    <x v="0"/>
    <s v="Card"/>
    <x v="0"/>
    <s v="OK"/>
    <n v="77.400000000000006"/>
    <n v="76.803000000000026"/>
    <s v="Poha"/>
    <s v="Samosa+Poha+Chicken Thali+Fruit Cup"/>
    <n v="0.49806423999533089"/>
  </r>
  <r>
    <s v="O00155"/>
    <s v="HDPBHS"/>
    <n v="2"/>
    <n v="256.91000000000003"/>
    <s v="Hot Meal"/>
    <n v="121.24"/>
    <d v="2025-08-02T00:00:00"/>
    <x v="1"/>
    <n v="0.02"/>
    <n v="503.54360000000003"/>
    <s v="August"/>
    <x v="0"/>
    <s v="Card"/>
    <x v="0"/>
    <s v="OK"/>
    <n v="242.48"/>
    <n v="261.06360000000006"/>
    <s v="Chicken Thali"/>
    <s v="Samosa+Poha+Chicken Thali+Fruit Cup"/>
    <n v="0.51845282116583358"/>
  </r>
  <r>
    <s v="O00155"/>
    <s v="DYTJXE"/>
    <n v="1"/>
    <n v="57.07"/>
    <s v="Dessert"/>
    <n v="29.14"/>
    <d v="2025-08-02T00:00:00"/>
    <x v="1"/>
    <n v="0.02"/>
    <n v="55.928599999999996"/>
    <s v="August"/>
    <x v="0"/>
    <s v="Card"/>
    <x v="0"/>
    <s v="OK"/>
    <n v="29.14"/>
    <n v="26.788599999999995"/>
    <s v="Fruit Cup"/>
    <s v="Samosa+Poha+Chicken Thali+Fruit Cup"/>
    <n v="0.47897855480022739"/>
  </r>
  <r>
    <s v="O00156"/>
    <s v="BTIQJ7"/>
    <n v="3"/>
    <n v="30.34"/>
    <s v="Beverage"/>
    <n v="14.18"/>
    <d v="2025-08-09T00:00:00"/>
    <x v="0"/>
    <n v="7.0000000000000007E-2"/>
    <n v="84.648599999999988"/>
    <s v="August"/>
    <x v="0"/>
    <s v="Card"/>
    <x v="1"/>
    <s v="HighDisc"/>
    <n v="42.54"/>
    <n v="42.108599999999988"/>
    <s v="Tea"/>
    <s v="Tea+Brownie+Veg Thali+Samosa"/>
    <n v="0.49745181845889941"/>
  </r>
  <r>
    <s v="O00156"/>
    <s v="D9T84A"/>
    <n v="1"/>
    <n v="116.8"/>
    <s v="Dessert"/>
    <n v="48.97"/>
    <d v="2025-08-09T00:00:00"/>
    <x v="0"/>
    <n v="7.0000000000000007E-2"/>
    <n v="108.624"/>
    <s v="August"/>
    <x v="0"/>
    <s v="Card"/>
    <x v="1"/>
    <s v="HighDisc"/>
    <n v="48.97"/>
    <n v="59.653999999999996"/>
    <s v="Brownie"/>
    <s v="Tea+Brownie+Veg Thali+Samosa"/>
    <n v="0.54917881867727203"/>
  </r>
  <r>
    <s v="O00156"/>
    <s v="HXAJI0"/>
    <n v="3"/>
    <n v="227.61"/>
    <s v="Hot Meal"/>
    <n v="96.22"/>
    <d v="2025-08-09T00:00:00"/>
    <x v="0"/>
    <n v="7.0000000000000007E-2"/>
    <n v="635.03189999999995"/>
    <s v="August"/>
    <x v="0"/>
    <s v="Card"/>
    <x v="1"/>
    <s v="HighDisc"/>
    <n v="288.65999999999997"/>
    <n v="346.37189999999998"/>
    <s v="Veg Thali"/>
    <s v="Tea+Brownie+Veg Thali+Samosa"/>
    <n v="0.54544015820307612"/>
  </r>
  <r>
    <s v="O00156"/>
    <s v="SV30T9"/>
    <n v="3"/>
    <n v="39.950000000000003"/>
    <s v="Snack"/>
    <n v="15.51"/>
    <d v="2025-08-09T00:00:00"/>
    <x v="0"/>
    <n v="7.0000000000000007E-2"/>
    <n v="111.4605"/>
    <s v="August"/>
    <x v="0"/>
    <s v="Card"/>
    <x v="1"/>
    <s v="HighDisc"/>
    <n v="46.53"/>
    <n v="64.930499999999995"/>
    <s v="Samosa"/>
    <s v="Tea+Brownie+Veg Thali+Samosa"/>
    <n v="0.58254269449715368"/>
  </r>
  <r>
    <s v="O00157"/>
    <s v="SV30T9"/>
    <n v="3"/>
    <n v="39.950000000000003"/>
    <s v="Snack"/>
    <n v="15.51"/>
    <d v="2025-07-31T00:00:00"/>
    <x v="1"/>
    <n v="0.06"/>
    <n v="112.65900000000001"/>
    <s v="July"/>
    <x v="1"/>
    <s v="Cash"/>
    <x v="0"/>
    <s v="HighDisc"/>
    <n v="46.53"/>
    <n v="66.129000000000005"/>
    <s v="Samosa"/>
    <s v="Samosa+Egg Curry + Rice+Fruit Cup"/>
    <n v="0.58698372966207757"/>
  </r>
  <r>
    <s v="O00157"/>
    <s v="HH1DNM"/>
    <n v="3"/>
    <n v="246.09"/>
    <s v="Hot Meal"/>
    <n v="112.08"/>
    <d v="2025-07-31T00:00:00"/>
    <x v="1"/>
    <n v="0.06"/>
    <n v="693.97379999999998"/>
    <s v="July"/>
    <x v="1"/>
    <s v="Cash"/>
    <x v="0"/>
    <s v="HighDisc"/>
    <n v="336.24"/>
    <n v="357.73379999999997"/>
    <s v="Egg Curry + Rice"/>
    <s v="Samosa+Egg Curry + Rice+Fruit Cup"/>
    <n v="0.51548603131703241"/>
  </r>
  <r>
    <s v="O00157"/>
    <s v="DYTJXE"/>
    <n v="1"/>
    <n v="57.07"/>
    <s v="Dessert"/>
    <n v="29.14"/>
    <d v="2025-07-31T00:00:00"/>
    <x v="1"/>
    <n v="0.06"/>
    <n v="53.645799999999994"/>
    <s v="July"/>
    <x v="1"/>
    <s v="Cash"/>
    <x v="0"/>
    <s v="HighDisc"/>
    <n v="29.14"/>
    <n v="24.505799999999994"/>
    <s v="Fruit Cup"/>
    <s v="Samosa+Egg Curry + Rice+Fruit Cup"/>
    <n v="0.45680742947257746"/>
  </r>
  <r>
    <s v="O00158"/>
    <s v="BXO6QJ"/>
    <n v="1"/>
    <n v="20.11"/>
    <s v="Beverage"/>
    <n v="8"/>
    <d v="2025-08-20T00:00:00"/>
    <x v="2"/>
    <n v="0.01"/>
    <n v="19.908899999999999"/>
    <s v="August"/>
    <x v="0"/>
    <s v="UPI"/>
    <x v="0"/>
    <s v="OK"/>
    <n v="8"/>
    <n v="11.908899999999999"/>
    <s v="Nimbu Pani"/>
    <s v="Nimbu Pani+Kheer Cup+Fruit Cup+Paneer Roll"/>
    <n v="0.59816966281411832"/>
  </r>
  <r>
    <s v="O00158"/>
    <s v="DFFYVN"/>
    <n v="2"/>
    <n v="54.2"/>
    <s v="Dessert"/>
    <n v="21.95"/>
    <d v="2025-08-20T00:00:00"/>
    <x v="2"/>
    <n v="0.01"/>
    <n v="107.316"/>
    <s v="August"/>
    <x v="0"/>
    <s v="UPI"/>
    <x v="0"/>
    <s v="OK"/>
    <n v="43.9"/>
    <n v="63.416000000000004"/>
    <s v="Kheer Cup"/>
    <s v="Nimbu Pani+Kheer Cup+Fruit Cup+Paneer Roll"/>
    <n v="0.59092772745909283"/>
  </r>
  <r>
    <s v="O00158"/>
    <s v="DYTJXE"/>
    <n v="3"/>
    <n v="57.07"/>
    <s v="Dessert"/>
    <n v="29.14"/>
    <d v="2025-08-20T00:00:00"/>
    <x v="2"/>
    <n v="0.01"/>
    <n v="169.49790000000002"/>
    <s v="August"/>
    <x v="0"/>
    <s v="UPI"/>
    <x v="0"/>
    <s v="OK"/>
    <n v="87.42"/>
    <n v="82.077900000000014"/>
    <s v="Fruit Cup"/>
    <s v="Nimbu Pani+Kheer Cup+Fruit Cup+Paneer Roll"/>
    <n v="0.48424139768103325"/>
  </r>
  <r>
    <s v="O00158"/>
    <s v="SZBIKC"/>
    <n v="1"/>
    <n v="38.06"/>
    <s v="Snack"/>
    <n v="19.55"/>
    <d v="2025-08-20T00:00:00"/>
    <x v="2"/>
    <n v="0.01"/>
    <n v="37.679400000000001"/>
    <s v="August"/>
    <x v="0"/>
    <s v="UPI"/>
    <x v="0"/>
    <s v="OK"/>
    <n v="19.55"/>
    <n v="18.1294"/>
    <s v="Paneer Roll"/>
    <s v="Nimbu Pani+Kheer Cup+Fruit Cup+Paneer Roll"/>
    <n v="0.481148850565561"/>
  </r>
  <r>
    <s v="O00159"/>
    <s v="HH1DNM"/>
    <n v="1"/>
    <n v="246.09"/>
    <s v="Hot Meal"/>
    <n v="112.08"/>
    <d v="2025-08-10T00:00:00"/>
    <x v="2"/>
    <n v="7.0000000000000007E-2"/>
    <n v="228.86369999999999"/>
    <s v="August"/>
    <x v="0"/>
    <s v="UPI"/>
    <x v="0"/>
    <s v="OK"/>
    <n v="112.08"/>
    <n v="116.7837"/>
    <s v="Egg Curry + Rice"/>
    <s v="Egg Curry + Rice"/>
    <n v="0.5102762036967855"/>
  </r>
  <r>
    <s v="O00160"/>
    <s v="H3A3ZM"/>
    <n v="2"/>
    <n v="170.83"/>
    <s v="Hot Meal"/>
    <n v="74.069999999999993"/>
    <d v="2025-08-18T00:00:00"/>
    <x v="0"/>
    <n v="0.08"/>
    <n v="314.32720000000006"/>
    <s v="August"/>
    <x v="2"/>
    <s v="Cash"/>
    <x v="0"/>
    <s v="OK"/>
    <n v="148.13999999999999"/>
    <n v="166.18720000000008"/>
    <s v="Paneer Butter Masala + Naan"/>
    <s v="Paneer Butter Masala + Naan"/>
    <n v="0.52870766513365708"/>
  </r>
  <r>
    <s v="O00161"/>
    <s v="DYTJXE"/>
    <n v="1"/>
    <n v="57.07"/>
    <s v="Dessert"/>
    <n v="29.14"/>
    <d v="2025-07-27T00:00:00"/>
    <x v="0"/>
    <n v="0.1"/>
    <n v="51.363"/>
    <s v="July"/>
    <x v="0"/>
    <s v="Card"/>
    <x v="1"/>
    <s v="HighDisc"/>
    <n v="29.14"/>
    <n v="22.222999999999999"/>
    <s v="Fruit Cup"/>
    <s v="Fruit Cup+Chicken Thali+Bottled Water+Kheer Cup"/>
    <n v="0.43266553744913649"/>
  </r>
  <r>
    <s v="O00161"/>
    <s v="HDPBHS"/>
    <n v="2"/>
    <n v="256.91000000000003"/>
    <s v="Hot Meal"/>
    <n v="121.24"/>
    <d v="2025-07-27T00:00:00"/>
    <x v="0"/>
    <n v="0.1"/>
    <n v="462.43800000000005"/>
    <s v="July"/>
    <x v="0"/>
    <s v="Card"/>
    <x v="1"/>
    <s v="HighDisc"/>
    <n v="242.48"/>
    <n v="219.95800000000006"/>
    <s v="Chicken Thali"/>
    <s v="Fruit Cup+Chicken Thali+Bottled Water+Kheer Cup"/>
    <n v="0.47564862749168546"/>
  </r>
  <r>
    <s v="O00161"/>
    <s v="B0T0PV"/>
    <n v="1"/>
    <n v="28.43"/>
    <s v="Beverage"/>
    <n v="13.89"/>
    <d v="2025-07-27T00:00:00"/>
    <x v="0"/>
    <n v="0.1"/>
    <n v="25.587"/>
    <s v="July"/>
    <x v="0"/>
    <s v="Card"/>
    <x v="1"/>
    <s v="HighDisc"/>
    <n v="13.89"/>
    <n v="11.696999999999999"/>
    <s v="Bottled Water"/>
    <s v="Fruit Cup+Chicken Thali+Bottled Water+Kheer Cup"/>
    <n v="0.45714620705827175"/>
  </r>
  <r>
    <s v="O00161"/>
    <s v="DFFYVN"/>
    <n v="2"/>
    <n v="54.2"/>
    <s v="Dessert"/>
    <n v="21.95"/>
    <d v="2025-07-27T00:00:00"/>
    <x v="0"/>
    <n v="0.1"/>
    <n v="97.56"/>
    <s v="July"/>
    <x v="0"/>
    <s v="Card"/>
    <x v="1"/>
    <s v="HighDisc"/>
    <n v="43.9"/>
    <n v="53.660000000000004"/>
    <s v="Kheer Cup"/>
    <s v="Fruit Cup+Chicken Thali+Bottled Water+Kheer Cup"/>
    <n v="0.55002050020500204"/>
  </r>
  <r>
    <s v="O00162"/>
    <s v="SV30T9"/>
    <n v="2"/>
    <n v="39.950000000000003"/>
    <s v="Snack"/>
    <n v="15.51"/>
    <d v="2025-08-17T00:00:00"/>
    <x v="2"/>
    <n v="0.1"/>
    <n v="71.910000000000011"/>
    <s v="August"/>
    <x v="0"/>
    <s v="UPI"/>
    <x v="0"/>
    <s v="HighDisc"/>
    <n v="31.02"/>
    <n v="40.890000000000015"/>
    <s v="Samosa"/>
    <s v="Samosa+Fruit Cup+Rajma Chawal+Kheer Cup"/>
    <n v="0.56862745098039225"/>
  </r>
  <r>
    <s v="O00162"/>
    <s v="DYTJXE"/>
    <n v="3"/>
    <n v="57.07"/>
    <s v="Dessert"/>
    <n v="29.14"/>
    <d v="2025-08-17T00:00:00"/>
    <x v="2"/>
    <n v="0.1"/>
    <n v="154.089"/>
    <s v="August"/>
    <x v="0"/>
    <s v="UPI"/>
    <x v="0"/>
    <s v="HighDisc"/>
    <n v="87.42"/>
    <n v="66.668999999999997"/>
    <s v="Fruit Cup"/>
    <s v="Samosa+Fruit Cup+Rajma Chawal+Kheer Cup"/>
    <n v="0.43266553744913649"/>
  </r>
  <r>
    <s v="O00162"/>
    <s v="HUZZPQ"/>
    <n v="1"/>
    <n v="146.4"/>
    <s v="Hot Meal"/>
    <n v="80.92"/>
    <d v="2025-08-17T00:00:00"/>
    <x v="2"/>
    <n v="0.1"/>
    <n v="131.76000000000002"/>
    <s v="August"/>
    <x v="0"/>
    <s v="UPI"/>
    <x v="0"/>
    <s v="HighDisc"/>
    <n v="80.92"/>
    <n v="50.840000000000018"/>
    <s v="Rajma Chawal"/>
    <s v="Samosa+Fruit Cup+Rajma Chawal+Kheer Cup"/>
    <n v="0.38585306618093512"/>
  </r>
  <r>
    <s v="O00162"/>
    <s v="DFFYVN"/>
    <n v="1"/>
    <n v="54.2"/>
    <s v="Dessert"/>
    <n v="21.95"/>
    <d v="2025-08-17T00:00:00"/>
    <x v="2"/>
    <n v="0.1"/>
    <n v="48.78"/>
    <s v="August"/>
    <x v="0"/>
    <s v="UPI"/>
    <x v="0"/>
    <s v="HighDisc"/>
    <n v="21.95"/>
    <n v="26.830000000000002"/>
    <s v="Kheer Cup"/>
    <s v="Samosa+Fruit Cup+Rajma Chawal+Kheer Cup"/>
    <n v="0.55002050020500204"/>
  </r>
  <r>
    <s v="O00163"/>
    <s v="HDPBHS"/>
    <n v="2"/>
    <n v="256.91000000000003"/>
    <s v="Hot Meal"/>
    <n v="121.24"/>
    <d v="2025-07-16T00:00:00"/>
    <x v="1"/>
    <n v="0"/>
    <n v="513.82000000000005"/>
    <s v="July"/>
    <x v="2"/>
    <s v="Cash"/>
    <x v="0"/>
    <s v="OK"/>
    <n v="242.48"/>
    <n v="271.34000000000003"/>
    <s v="Chicken Thali"/>
    <s v="Chicken Thali+Samosa"/>
    <n v="0.52808376474251684"/>
  </r>
  <r>
    <s v="O00163"/>
    <s v="SV30T9"/>
    <n v="3"/>
    <n v="39.950000000000003"/>
    <s v="Snack"/>
    <n v="15.51"/>
    <d v="2025-07-16T00:00:00"/>
    <x v="1"/>
    <n v="0"/>
    <n v="119.85000000000001"/>
    <s v="July"/>
    <x v="2"/>
    <s v="Cash"/>
    <x v="0"/>
    <s v="OK"/>
    <n v="46.53"/>
    <n v="73.320000000000007"/>
    <s v="Samosa"/>
    <s v="Chicken Thali+Samosa"/>
    <n v="0.61176470588235299"/>
  </r>
  <r>
    <s v="O00164"/>
    <s v="SCKW5N"/>
    <n v="2"/>
    <n v="70.540000000000006"/>
    <s v="Snack"/>
    <n v="35.81"/>
    <d v="2025-08-09T00:00:00"/>
    <x v="2"/>
    <n v="0.02"/>
    <n v="138.25840000000002"/>
    <s v="August"/>
    <x v="1"/>
    <s v="Cash"/>
    <x v="0"/>
    <s v="OK"/>
    <n v="71.62"/>
    <n v="66.638400000000019"/>
    <s v="Veg Sandwich"/>
    <s v="Veg Sandwich+Fruit Cup"/>
    <n v="0.48198445808717594"/>
  </r>
  <r>
    <s v="O00164"/>
    <s v="DYTJXE"/>
    <n v="1"/>
    <n v="57.07"/>
    <s v="Dessert"/>
    <n v="29.14"/>
    <d v="2025-08-09T00:00:00"/>
    <x v="2"/>
    <n v="0.02"/>
    <n v="55.928599999999996"/>
    <s v="August"/>
    <x v="1"/>
    <s v="Cash"/>
    <x v="0"/>
    <s v="OK"/>
    <n v="29.14"/>
    <n v="26.788599999999995"/>
    <s v="Fruit Cup"/>
    <s v="Veg Sandwich+Fruit Cup"/>
    <n v="0.47897855480022739"/>
  </r>
  <r>
    <s v="O00165"/>
    <s v="BHL1C3"/>
    <n v="1"/>
    <n v="22.2"/>
    <s v="Beverage"/>
    <n v="9.3800000000000008"/>
    <d v="2025-07-12T00:00:00"/>
    <x v="0"/>
    <n v="0.08"/>
    <n v="20.423999999999999"/>
    <s v="July"/>
    <x v="2"/>
    <s v="Card"/>
    <x v="0"/>
    <s v="OK"/>
    <n v="9.3800000000000008"/>
    <n v="11.043999999999999"/>
    <s v="Coffee"/>
    <s v="Coffee+Masala Chaas+Veg Sandwich"/>
    <n v="0.54073638856247552"/>
  </r>
  <r>
    <s v="O00165"/>
    <s v="BOC6UZ"/>
    <n v="2"/>
    <n v="32.979999999999997"/>
    <s v="Beverage"/>
    <n v="11.84"/>
    <d v="2025-07-12T00:00:00"/>
    <x v="0"/>
    <n v="0.08"/>
    <n v="60.683199999999999"/>
    <s v="July"/>
    <x v="2"/>
    <s v="Card"/>
    <x v="0"/>
    <s v="OK"/>
    <n v="23.68"/>
    <n v="37.0032"/>
    <s v="Masala Chaas"/>
    <s v="Coffee+Masala Chaas+Veg Sandwich"/>
    <n v="0.60977667624647347"/>
  </r>
  <r>
    <s v="O00165"/>
    <s v="SCKW5N"/>
    <n v="1"/>
    <n v="70.540000000000006"/>
    <s v="Snack"/>
    <n v="35.81"/>
    <d v="2025-07-12T00:00:00"/>
    <x v="0"/>
    <n v="0.08"/>
    <n v="64.896800000000013"/>
    <s v="July"/>
    <x v="2"/>
    <s v="Card"/>
    <x v="0"/>
    <s v="OK"/>
    <n v="35.81"/>
    <n v="29.086800000000011"/>
    <s v="Veg Sandwich"/>
    <s v="Coffee+Masala Chaas+Veg Sandwich"/>
    <n v="0.44820083578851355"/>
  </r>
  <r>
    <s v="O00166"/>
    <s v="BOC6UZ"/>
    <n v="3"/>
    <n v="32.979999999999997"/>
    <s v="Beverage"/>
    <n v="11.84"/>
    <d v="2025-08-19T00:00:00"/>
    <x v="0"/>
    <n v="0.08"/>
    <n v="91.024799999999999"/>
    <s v="August"/>
    <x v="2"/>
    <s v="Card"/>
    <x v="0"/>
    <s v="OK"/>
    <n v="35.519999999999996"/>
    <n v="55.504800000000003"/>
    <s v="Masala Chaas"/>
    <s v="Masala Chaas"/>
    <n v="0.60977667624647358"/>
  </r>
  <r>
    <s v="O00167"/>
    <s v="BXO6QJ"/>
    <n v="2"/>
    <n v="20.11"/>
    <s v="Beverage"/>
    <n v="8"/>
    <d v="2025-08-16T00:00:00"/>
    <x v="2"/>
    <n v="0.08"/>
    <n v="37.002400000000002"/>
    <s v="August"/>
    <x v="0"/>
    <s v="UPI"/>
    <x v="0"/>
    <s v="OK"/>
    <n v="16"/>
    <n v="21.002400000000002"/>
    <s v="Nimbu Pani"/>
    <s v="Nimbu Pani"/>
    <n v="0.5675956154195404"/>
  </r>
  <r>
    <s v="O00168"/>
    <s v="HUZZPQ"/>
    <n v="2"/>
    <n v="146.4"/>
    <s v="Hot Meal"/>
    <n v="80.92"/>
    <d v="2025-08-07T00:00:00"/>
    <x v="2"/>
    <n v="0.21"/>
    <n v="231.31200000000001"/>
    <s v="August"/>
    <x v="2"/>
    <s v="UPI"/>
    <x v="0"/>
    <s v="HighDisc"/>
    <n v="161.84"/>
    <n v="69.472000000000008"/>
    <s v="Rajma Chawal"/>
    <s v="Rajma Chawal+Masala Puff+Gulab Jamun (2 pc)"/>
    <n v="0.30033893615549562"/>
  </r>
  <r>
    <s v="O00168"/>
    <s v="S5NQ4F"/>
    <n v="1"/>
    <n v="50.19"/>
    <s v="Snack"/>
    <n v="22.61"/>
    <d v="2025-08-07T00:00:00"/>
    <x v="2"/>
    <n v="0.21"/>
    <n v="39.650100000000002"/>
    <s v="August"/>
    <x v="2"/>
    <s v="UPI"/>
    <x v="0"/>
    <s v="HighDisc"/>
    <n v="22.61"/>
    <n v="17.040100000000002"/>
    <s v="Masala Puff"/>
    <s v="Rajma Chawal+Masala Puff+Gulab Jamun (2 pc)"/>
    <n v="0.42976184171036141"/>
  </r>
  <r>
    <s v="O00168"/>
    <s v="DH9SDB"/>
    <n v="1"/>
    <n v="76.55"/>
    <s v="Dessert"/>
    <n v="38.229999999999997"/>
    <d v="2025-08-07T00:00:00"/>
    <x v="2"/>
    <n v="0.21"/>
    <n v="60.474499999999999"/>
    <s v="August"/>
    <x v="2"/>
    <s v="UPI"/>
    <x v="0"/>
    <s v="HighDisc"/>
    <n v="38.229999999999997"/>
    <n v="22.244500000000002"/>
    <s v="Gulab Jamun (2 pc)"/>
    <s v="Rajma Chawal+Masala Puff+Gulab Jamun (2 pc)"/>
    <n v="0.36783272288319874"/>
  </r>
  <r>
    <s v="O00169"/>
    <s v="DYTJXE"/>
    <n v="1"/>
    <n v="57.07"/>
    <s v="Dessert"/>
    <n v="29.14"/>
    <d v="2025-07-08T00:00:00"/>
    <x v="1"/>
    <n v="0.08"/>
    <n v="52.504400000000004"/>
    <s v="July"/>
    <x v="0"/>
    <s v="Card"/>
    <x v="1"/>
    <s v="OK"/>
    <n v="29.14"/>
    <n v="23.364400000000003"/>
    <s v="Fruit Cup"/>
    <s v="Fruit Cup+Masala Chaas+Veg Thali+Bottled Water"/>
    <n v="0.4449988953306771"/>
  </r>
  <r>
    <s v="O00169"/>
    <s v="BOC6UZ"/>
    <n v="1"/>
    <n v="32.979999999999997"/>
    <s v="Beverage"/>
    <n v="11.84"/>
    <d v="2025-07-08T00:00:00"/>
    <x v="1"/>
    <n v="0.08"/>
    <n v="30.3416"/>
    <s v="July"/>
    <x v="0"/>
    <s v="Card"/>
    <x v="1"/>
    <s v="OK"/>
    <n v="11.84"/>
    <n v="18.5016"/>
    <s v="Masala Chaas"/>
    <s v="Fruit Cup+Masala Chaas+Veg Thali+Bottled Water"/>
    <n v="0.60977667624647347"/>
  </r>
  <r>
    <s v="O00169"/>
    <s v="HXAJI0"/>
    <n v="1"/>
    <n v="227.61"/>
    <s v="Hot Meal"/>
    <n v="96.22"/>
    <d v="2025-07-08T00:00:00"/>
    <x v="1"/>
    <n v="0.08"/>
    <n v="209.40120000000002"/>
    <s v="July"/>
    <x v="0"/>
    <s v="Card"/>
    <x v="1"/>
    <s v="OK"/>
    <n v="96.22"/>
    <n v="113.18120000000002"/>
    <s v="Veg Thali"/>
    <s v="Fruit Cup+Masala Chaas+Veg Thali+Bottled Water"/>
    <n v="0.54049929035745736"/>
  </r>
  <r>
    <s v="O00169"/>
    <s v="B0T0PV"/>
    <n v="1"/>
    <n v="28.43"/>
    <s v="Beverage"/>
    <n v="13.89"/>
    <d v="2025-07-08T00:00:00"/>
    <x v="1"/>
    <n v="0.08"/>
    <n v="26.1556"/>
    <s v="July"/>
    <x v="0"/>
    <s v="Card"/>
    <x v="1"/>
    <s v="OK"/>
    <n v="13.89"/>
    <n v="12.265599999999999"/>
    <s v="Bottled Water"/>
    <s v="Fruit Cup+Masala Chaas+Veg Thali+Bottled Water"/>
    <n v="0.46894737647004847"/>
  </r>
  <r>
    <s v="O00170"/>
    <s v="SZBIKC"/>
    <n v="1"/>
    <n v="38.06"/>
    <s v="Snack"/>
    <n v="19.55"/>
    <d v="2025-07-27T00:00:00"/>
    <x v="2"/>
    <n v="0.11"/>
    <n v="33.873400000000004"/>
    <s v="July"/>
    <x v="0"/>
    <s v="UPI"/>
    <x v="0"/>
    <s v="OK"/>
    <n v="19.55"/>
    <n v="14.323400000000003"/>
    <s v="Paneer Roll"/>
    <s v="Paneer Roll+Coffee+Masala Puff+Samosa"/>
    <n v="0.42285096860663535"/>
  </r>
  <r>
    <s v="O00170"/>
    <s v="BHL1C3"/>
    <n v="2"/>
    <n v="22.2"/>
    <s v="Beverage"/>
    <n v="9.3800000000000008"/>
    <d v="2025-07-27T00:00:00"/>
    <x v="2"/>
    <n v="0.11"/>
    <n v="39.515999999999998"/>
    <s v="July"/>
    <x v="0"/>
    <s v="UPI"/>
    <x v="0"/>
    <s v="OK"/>
    <n v="18.760000000000002"/>
    <n v="20.755999999999997"/>
    <s v="Coffee"/>
    <s v="Paneer Roll+Coffee+Masala Puff+Samosa"/>
    <n v="0.52525559267132294"/>
  </r>
  <r>
    <s v="O00170"/>
    <s v="S5NQ4F"/>
    <n v="1"/>
    <n v="50.19"/>
    <s v="Snack"/>
    <n v="22.61"/>
    <d v="2025-07-27T00:00:00"/>
    <x v="2"/>
    <n v="0.11"/>
    <n v="44.6691"/>
    <s v="July"/>
    <x v="0"/>
    <s v="UPI"/>
    <x v="0"/>
    <s v="OK"/>
    <n v="22.61"/>
    <n v="22.059100000000001"/>
    <s v="Masala Puff"/>
    <s v="Paneer Roll+Coffee+Masala Puff+Samosa"/>
    <n v="0.49383354488897246"/>
  </r>
  <r>
    <s v="O00170"/>
    <s v="SV30T9"/>
    <n v="1"/>
    <n v="39.950000000000003"/>
    <s v="Snack"/>
    <n v="15.51"/>
    <d v="2025-07-27T00:00:00"/>
    <x v="2"/>
    <n v="0.11"/>
    <n v="35.555500000000002"/>
    <s v="July"/>
    <x v="0"/>
    <s v="UPI"/>
    <x v="0"/>
    <s v="OK"/>
    <n v="15.51"/>
    <n v="20.045500000000004"/>
    <s v="Samosa"/>
    <s v="Paneer Roll+Coffee+Masala Puff+Samosa"/>
    <n v="0.56378056840713819"/>
  </r>
  <r>
    <s v="O00171"/>
    <s v="HUZZPQ"/>
    <n v="1"/>
    <n v="146.4"/>
    <s v="Hot Meal"/>
    <n v="80.92"/>
    <d v="2025-08-27T00:00:00"/>
    <x v="0"/>
    <n v="0.1"/>
    <n v="131.76000000000002"/>
    <s v="August"/>
    <x v="0"/>
    <s v="Card"/>
    <x v="0"/>
    <s v="HighDisc"/>
    <n v="80.92"/>
    <n v="50.840000000000018"/>
    <s v="Rajma Chawal"/>
    <s v="Rajma Chawal+Veg Sandwich+Paneer Butter Masala + Naan"/>
    <n v="0.38585306618093512"/>
  </r>
  <r>
    <s v="O00171"/>
    <s v="SCKW5N"/>
    <n v="1"/>
    <n v="70.540000000000006"/>
    <s v="Snack"/>
    <n v="35.81"/>
    <d v="2025-08-27T00:00:00"/>
    <x v="0"/>
    <n v="0.1"/>
    <n v="63.486000000000004"/>
    <s v="August"/>
    <x v="0"/>
    <s v="Card"/>
    <x v="0"/>
    <s v="HighDisc"/>
    <n v="35.81"/>
    <n v="27.676000000000002"/>
    <s v="Veg Sandwich"/>
    <s v="Rajma Chawal+Veg Sandwich+Paneer Butter Masala + Naan"/>
    <n v="0.43593863213936929"/>
  </r>
  <r>
    <s v="O00171"/>
    <s v="H3A3ZM"/>
    <n v="2"/>
    <n v="170.83"/>
    <s v="Hot Meal"/>
    <n v="74.069999999999993"/>
    <d v="2025-08-27T00:00:00"/>
    <x v="0"/>
    <n v="0.1"/>
    <n v="307.49400000000003"/>
    <s v="August"/>
    <x v="0"/>
    <s v="Card"/>
    <x v="0"/>
    <s v="HighDisc"/>
    <n v="148.13999999999999"/>
    <n v="159.35400000000004"/>
    <s v="Paneer Butter Masala + Naan"/>
    <s v="Rajma Chawal+Veg Sandwich+Paneer Butter Masala + Naan"/>
    <n v="0.51823450213662714"/>
  </r>
  <r>
    <s v="O00172"/>
    <s v="HXAJI0"/>
    <n v="2"/>
    <n v="227.61"/>
    <s v="Hot Meal"/>
    <n v="96.22"/>
    <d v="2025-08-13T00:00:00"/>
    <x v="0"/>
    <n v="0.09"/>
    <n v="414.25020000000006"/>
    <s v="August"/>
    <x v="2"/>
    <s v="Card"/>
    <x v="0"/>
    <s v="HighDisc"/>
    <n v="192.44"/>
    <n v="221.81020000000007"/>
    <s v="Veg Thali"/>
    <s v="Veg Thali"/>
    <n v="0.53544983200973717"/>
  </r>
  <r>
    <s v="O00173"/>
    <s v="HDPBHS"/>
    <n v="2"/>
    <n v="256.91000000000003"/>
    <s v="Hot Meal"/>
    <n v="121.24"/>
    <d v="2025-08-23T00:00:00"/>
    <x v="0"/>
    <n v="0.05"/>
    <n v="488.12900000000002"/>
    <s v="August"/>
    <x v="1"/>
    <s v="Card"/>
    <x v="0"/>
    <s v="OK"/>
    <n v="242.48"/>
    <n v="245.64900000000003"/>
    <s v="Chicken Thali"/>
    <s v="Chicken Thali"/>
    <n v="0.50324606815001771"/>
  </r>
  <r>
    <s v="O00174"/>
    <s v="BXO6QJ"/>
    <n v="2"/>
    <n v="20.11"/>
    <s v="Beverage"/>
    <n v="8"/>
    <d v="2025-07-19T00:00:00"/>
    <x v="0"/>
    <n v="0.09"/>
    <n v="36.600200000000001"/>
    <s v="July"/>
    <x v="2"/>
    <s v="UPI"/>
    <x v="0"/>
    <s v="OK"/>
    <n v="16"/>
    <n v="20.600200000000001"/>
    <s v="Nimbu Pani"/>
    <s v="Nimbu Pani+Gulab Jamun (2 pc)+Masala Chaas+Bottled Water"/>
    <n v="0.56284391888568919"/>
  </r>
  <r>
    <s v="O00174"/>
    <s v="DH9SDB"/>
    <n v="1"/>
    <n v="76.55"/>
    <s v="Dessert"/>
    <n v="38.229999999999997"/>
    <d v="2025-07-19T00:00:00"/>
    <x v="0"/>
    <n v="0.09"/>
    <n v="69.660499999999999"/>
    <s v="July"/>
    <x v="2"/>
    <s v="UPI"/>
    <x v="0"/>
    <s v="OK"/>
    <n v="38.229999999999997"/>
    <n v="31.430500000000002"/>
    <s v="Gulab Jamun (2 pc)"/>
    <s v="Nimbu Pani+Gulab Jamun (2 pc)+Masala Chaas+Bottled Water"/>
    <n v="0.45119544074475493"/>
  </r>
  <r>
    <s v="O00174"/>
    <s v="BOC6UZ"/>
    <n v="2"/>
    <n v="32.979999999999997"/>
    <s v="Beverage"/>
    <n v="11.84"/>
    <d v="2025-07-19T00:00:00"/>
    <x v="0"/>
    <n v="0.09"/>
    <n v="60.023599999999995"/>
    <s v="July"/>
    <x v="2"/>
    <s v="UPI"/>
    <x v="0"/>
    <s v="OK"/>
    <n v="23.68"/>
    <n v="36.343599999999995"/>
    <s v="Masala Chaas"/>
    <s v="Nimbu Pani+Gulab Jamun (2 pc)+Masala Chaas+Bottled Water"/>
    <n v="0.60548850785357755"/>
  </r>
  <r>
    <s v="O00174"/>
    <s v="B0T0PV"/>
    <n v="3"/>
    <n v="28.43"/>
    <s v="Beverage"/>
    <n v="13.89"/>
    <d v="2025-07-19T00:00:00"/>
    <x v="0"/>
    <n v="0.09"/>
    <n v="77.613900000000001"/>
    <s v="July"/>
    <x v="2"/>
    <s v="UPI"/>
    <x v="0"/>
    <s v="OK"/>
    <n v="41.67"/>
    <n v="35.943899999999999"/>
    <s v="Bottled Water"/>
    <s v="Nimbu Pani+Gulab Jamun (2 pc)+Masala Chaas+Bottled Water"/>
    <n v="0.4631116333543347"/>
  </r>
  <r>
    <s v="O00175"/>
    <s v="S5NQ4F"/>
    <n v="2"/>
    <n v="50.19"/>
    <s v="Snack"/>
    <n v="22.61"/>
    <d v="2025-07-23T00:00:00"/>
    <x v="1"/>
    <n v="0.03"/>
    <n v="97.368599999999986"/>
    <s v="July"/>
    <x v="1"/>
    <s v="Card"/>
    <x v="0"/>
    <s v="OK"/>
    <n v="45.22"/>
    <n v="52.148599999999988"/>
    <s v="Masala Puff"/>
    <s v="Masala Puff+Veg Thali"/>
    <n v="0.53557923190843859"/>
  </r>
  <r>
    <s v="O00175"/>
    <s v="HXAJI0"/>
    <n v="1"/>
    <n v="227.61"/>
    <s v="Hot Meal"/>
    <n v="96.22"/>
    <d v="2025-07-23T00:00:00"/>
    <x v="1"/>
    <n v="0.03"/>
    <n v="220.7817"/>
    <s v="July"/>
    <x v="1"/>
    <s v="Card"/>
    <x v="0"/>
    <s v="OK"/>
    <n v="96.22"/>
    <n v="124.5617"/>
    <s v="Veg Thali"/>
    <s v="Masala Puff+Veg Thali"/>
    <n v="0.56418489394727911"/>
  </r>
  <r>
    <s v="O00176"/>
    <s v="BXO6QJ"/>
    <n v="1"/>
    <n v="20.11"/>
    <s v="Beverage"/>
    <n v="8"/>
    <d v="2025-08-07T00:00:00"/>
    <x v="1"/>
    <n v="0.05"/>
    <n v="19.104499999999998"/>
    <s v="August"/>
    <x v="0"/>
    <s v="UPI"/>
    <x v="1"/>
    <s v="OK"/>
    <n v="8"/>
    <n v="11.104499999999998"/>
    <s v="Nimbu Pani"/>
    <s v="Nimbu Pani+Chicken Thali+Veg Thali"/>
    <n v="0.58125049072208113"/>
  </r>
  <r>
    <s v="O00176"/>
    <s v="HDPBHS"/>
    <n v="1"/>
    <n v="256.91000000000003"/>
    <s v="Hot Meal"/>
    <n v="121.24"/>
    <d v="2025-08-07T00:00:00"/>
    <x v="1"/>
    <n v="0.05"/>
    <n v="244.06450000000001"/>
    <s v="August"/>
    <x v="0"/>
    <s v="UPI"/>
    <x v="1"/>
    <s v="OK"/>
    <n v="121.24"/>
    <n v="122.82450000000001"/>
    <s v="Chicken Thali"/>
    <s v="Nimbu Pani+Chicken Thali+Veg Thali"/>
    <n v="0.50324606815001771"/>
  </r>
  <r>
    <s v="O00176"/>
    <s v="HXAJI0"/>
    <n v="1"/>
    <n v="227.61"/>
    <s v="Hot Meal"/>
    <n v="96.22"/>
    <d v="2025-08-07T00:00:00"/>
    <x v="1"/>
    <n v="0.05"/>
    <n v="216.2295"/>
    <s v="August"/>
    <x v="0"/>
    <s v="UPI"/>
    <x v="1"/>
    <s v="OK"/>
    <n v="96.22"/>
    <n v="120.0095"/>
    <s v="Veg Thali"/>
    <s v="Nimbu Pani+Chicken Thali+Veg Thali"/>
    <n v="0.55500983908301138"/>
  </r>
  <r>
    <s v="O00177"/>
    <s v="DYTJXE"/>
    <n v="1"/>
    <n v="57.07"/>
    <s v="Dessert"/>
    <n v="29.14"/>
    <d v="2025-08-18T00:00:00"/>
    <x v="2"/>
    <n v="0.04"/>
    <n v="54.787199999999999"/>
    <s v="August"/>
    <x v="0"/>
    <s v="UPI"/>
    <x v="0"/>
    <s v="OK"/>
    <n v="29.14"/>
    <n v="25.647199999999998"/>
    <s v="Fruit Cup"/>
    <s v="Fruit Cup+Bottled Water+Paneer Roll"/>
    <n v="0.4681239413585655"/>
  </r>
  <r>
    <s v="O00177"/>
    <s v="B0T0PV"/>
    <n v="2"/>
    <n v="28.43"/>
    <s v="Beverage"/>
    <n v="13.89"/>
    <d v="2025-08-18T00:00:00"/>
    <x v="2"/>
    <n v="0.04"/>
    <n v="54.585599999999999"/>
    <s v="August"/>
    <x v="0"/>
    <s v="UPI"/>
    <x v="0"/>
    <s v="OK"/>
    <n v="27.78"/>
    <n v="26.805599999999998"/>
    <s v="Bottled Water"/>
    <s v="Fruit Cup+Bottled Water+Paneer Roll"/>
    <n v="0.49107456911712977"/>
  </r>
  <r>
    <s v="O00177"/>
    <s v="SZBIKC"/>
    <n v="1"/>
    <n v="38.06"/>
    <s v="Snack"/>
    <n v="19.55"/>
    <d v="2025-08-18T00:00:00"/>
    <x v="2"/>
    <n v="0.04"/>
    <n v="36.537599999999998"/>
    <s v="August"/>
    <x v="0"/>
    <s v="UPI"/>
    <x v="0"/>
    <s v="OK"/>
    <n v="19.55"/>
    <n v="16.987599999999997"/>
    <s v="Paneer Roll"/>
    <s v="Fruit Cup+Bottled Water+Paneer Roll"/>
    <n v="0.46493475214573476"/>
  </r>
  <r>
    <s v="O00178"/>
    <s v="H3A3ZM"/>
    <n v="2"/>
    <n v="170.83"/>
    <s v="Hot Meal"/>
    <n v="74.069999999999993"/>
    <d v="2025-07-10T00:00:00"/>
    <x v="1"/>
    <n v="0.06"/>
    <n v="321.16039999999998"/>
    <s v="July"/>
    <x v="1"/>
    <s v="UPI"/>
    <x v="0"/>
    <s v="HighDisc"/>
    <n v="148.13999999999999"/>
    <n v="173.0204"/>
    <s v="Paneer Butter Masala + Naan"/>
    <s v="Paneer Butter Masala + Naan+Kheer Cup+Rajma Chawal+Brownie"/>
    <n v="0.53873516162017487"/>
  </r>
  <r>
    <s v="O00178"/>
    <s v="DFFYVN"/>
    <n v="1"/>
    <n v="54.2"/>
    <s v="Dessert"/>
    <n v="21.95"/>
    <d v="2025-07-10T00:00:00"/>
    <x v="1"/>
    <n v="0.06"/>
    <n v="50.948"/>
    <s v="July"/>
    <x v="1"/>
    <s v="UPI"/>
    <x v="0"/>
    <s v="HighDisc"/>
    <n v="21.95"/>
    <n v="28.998000000000001"/>
    <s v="Kheer Cup"/>
    <s v="Paneer Butter Masala + Naan+Kheer Cup+Rajma Chawal+Brownie"/>
    <n v="0.56916856402606586"/>
  </r>
  <r>
    <s v="O00178"/>
    <s v="HUZZPQ"/>
    <n v="2"/>
    <n v="146.4"/>
    <s v="Hot Meal"/>
    <n v="80.92"/>
    <d v="2025-07-10T00:00:00"/>
    <x v="1"/>
    <n v="0.06"/>
    <n v="275.23199999999997"/>
    <s v="July"/>
    <x v="1"/>
    <s v="UPI"/>
    <x v="0"/>
    <s v="HighDisc"/>
    <n v="161.84"/>
    <n v="113.39199999999997"/>
    <s v="Rajma Chawal"/>
    <s v="Paneer Butter Masala + Naan+Kheer Cup+Rajma Chawal+Brownie"/>
    <n v="0.41198697825834196"/>
  </r>
  <r>
    <s v="O00178"/>
    <s v="D9T84A"/>
    <n v="3"/>
    <n v="116.8"/>
    <s v="Dessert"/>
    <n v="48.97"/>
    <d v="2025-07-10T00:00:00"/>
    <x v="1"/>
    <n v="0.06"/>
    <n v="329.37599999999998"/>
    <s v="July"/>
    <x v="1"/>
    <s v="UPI"/>
    <x v="0"/>
    <s v="HighDisc"/>
    <n v="146.91"/>
    <n v="182.46599999999998"/>
    <s v="Brownie"/>
    <s v="Paneer Butter Masala + Naan+Kheer Cup+Rajma Chawal+Brownie"/>
    <n v="0.55397478869134364"/>
  </r>
  <r>
    <s v="O00179"/>
    <s v="HH1DNM"/>
    <n v="1"/>
    <n v="246.09"/>
    <s v="Hot Meal"/>
    <n v="112.08"/>
    <d v="2025-07-02T00:00:00"/>
    <x v="0"/>
    <n v="0.15"/>
    <n v="209.1765"/>
    <s v="July"/>
    <x v="1"/>
    <s v="Card"/>
    <x v="0"/>
    <s v="HighDisc"/>
    <n v="112.08"/>
    <n v="97.096500000000006"/>
    <s v="Egg Curry + Rice"/>
    <s v="Egg Curry + Rice+Masala Puff+Poha"/>
    <n v="0.46418455228001237"/>
  </r>
  <r>
    <s v="O00179"/>
    <s v="S5NQ4F"/>
    <n v="2"/>
    <n v="50.19"/>
    <s v="Snack"/>
    <n v="22.61"/>
    <d v="2025-07-02T00:00:00"/>
    <x v="0"/>
    <n v="0.15"/>
    <n v="85.322999999999993"/>
    <s v="July"/>
    <x v="1"/>
    <s v="Card"/>
    <x v="0"/>
    <s v="HighDisc"/>
    <n v="45.22"/>
    <n v="40.102999999999994"/>
    <s v="Masala Puff"/>
    <s v="Egg Curry + Rice+Masala Puff+Poha"/>
    <n v="0.47001394700139465"/>
  </r>
  <r>
    <s v="O00179"/>
    <s v="SHJ7XV"/>
    <n v="1"/>
    <n v="52.45"/>
    <s v="Snack"/>
    <n v="25.8"/>
    <d v="2025-07-02T00:00:00"/>
    <x v="0"/>
    <n v="0.15"/>
    <n v="44.582500000000003"/>
    <s v="July"/>
    <x v="1"/>
    <s v="Card"/>
    <x v="0"/>
    <s v="HighDisc"/>
    <n v="25.8"/>
    <n v="18.782500000000002"/>
    <s v="Poha"/>
    <s v="Egg Curry + Rice+Masala Puff+Poha"/>
    <n v="0.42129759434755792"/>
  </r>
  <r>
    <s v="O00180"/>
    <s v="B0T0PV"/>
    <n v="1"/>
    <n v="28.43"/>
    <s v="Beverage"/>
    <n v="13.89"/>
    <d v="2025-07-08T00:00:00"/>
    <x v="1"/>
    <n v="0"/>
    <n v="28.43"/>
    <s v="July"/>
    <x v="2"/>
    <s v="Card"/>
    <x v="0"/>
    <s v="OK"/>
    <n v="13.89"/>
    <n v="14.54"/>
    <s v="Bottled Water"/>
    <s v="Bottled Water"/>
    <n v="0.51143158635244457"/>
  </r>
  <r>
    <s v="O00181"/>
    <s v="HXAJI0"/>
    <n v="3"/>
    <n v="227.61"/>
    <s v="Hot Meal"/>
    <n v="96.22"/>
    <d v="2025-07-09T00:00:00"/>
    <x v="1"/>
    <n v="0.09"/>
    <n v="621.37530000000004"/>
    <s v="July"/>
    <x v="0"/>
    <s v="UPI"/>
    <x v="0"/>
    <s v="HighDisc"/>
    <n v="288.65999999999997"/>
    <n v="332.71530000000007"/>
    <s v="Veg Thali"/>
    <s v="Veg Thali+Egg Curry + Rice+Chicken Thali+Fruit Cup"/>
    <n v="0.53544983200973717"/>
  </r>
  <r>
    <s v="O00181"/>
    <s v="HH1DNM"/>
    <n v="1"/>
    <n v="246.09"/>
    <s v="Hot Meal"/>
    <n v="112.08"/>
    <d v="2025-07-09T00:00:00"/>
    <x v="1"/>
    <n v="0.09"/>
    <n v="223.9419"/>
    <s v="July"/>
    <x v="0"/>
    <s v="UPI"/>
    <x v="0"/>
    <s v="HighDisc"/>
    <n v="112.08"/>
    <n v="111.86190000000001"/>
    <s v="Egg Curry + Rice"/>
    <s v="Veg Thali+Egg Curry + Rice+Chicken Thali+Fruit Cup"/>
    <n v="0.49951304333847307"/>
  </r>
  <r>
    <s v="O00181"/>
    <s v="HDPBHS"/>
    <n v="1"/>
    <n v="256.91000000000003"/>
    <s v="Hot Meal"/>
    <n v="121.24"/>
    <d v="2025-07-09T00:00:00"/>
    <x v="1"/>
    <n v="0.09"/>
    <n v="233.78810000000004"/>
    <s v="July"/>
    <x v="0"/>
    <s v="UPI"/>
    <x v="0"/>
    <s v="HighDisc"/>
    <n v="121.24"/>
    <n v="112.54810000000005"/>
    <s v="Chicken Thali"/>
    <s v="Veg Thali+Egg Curry + Rice+Chicken Thali+Fruit Cup"/>
    <n v="0.48141073048628236"/>
  </r>
  <r>
    <s v="O00181"/>
    <s v="DYTJXE"/>
    <n v="2"/>
    <n v="57.07"/>
    <s v="Dessert"/>
    <n v="29.14"/>
    <d v="2025-07-09T00:00:00"/>
    <x v="1"/>
    <n v="0.09"/>
    <n v="103.8674"/>
    <s v="July"/>
    <x v="0"/>
    <s v="UPI"/>
    <x v="0"/>
    <s v="HighDisc"/>
    <n v="58.28"/>
    <n v="45.587400000000002"/>
    <s v="Fruit Cup"/>
    <s v="Veg Thali+Egg Curry + Rice+Chicken Thali+Fruit Cup"/>
    <n v="0.43889998209255265"/>
  </r>
  <r>
    <s v="O00182"/>
    <s v="SHJ7XV"/>
    <n v="1"/>
    <n v="52.45"/>
    <s v="Snack"/>
    <n v="25.8"/>
    <d v="2025-07-31T00:00:00"/>
    <x v="0"/>
    <n v="0"/>
    <n v="52.45"/>
    <s v="July"/>
    <x v="1"/>
    <s v="Card"/>
    <x v="0"/>
    <s v="OK"/>
    <n v="25.8"/>
    <n v="26.650000000000002"/>
    <s v="Poha"/>
    <s v="Poha"/>
    <n v="0.50810295519542426"/>
  </r>
  <r>
    <s v="O00183"/>
    <s v="BTIQJ7"/>
    <n v="3"/>
    <n v="30.34"/>
    <s v="Beverage"/>
    <n v="14.18"/>
    <d v="2025-07-04T00:00:00"/>
    <x v="0"/>
    <n v="0.04"/>
    <n v="87.379199999999997"/>
    <s v="July"/>
    <x v="1"/>
    <s v="Cash"/>
    <x v="0"/>
    <s v="OK"/>
    <n v="42.54"/>
    <n v="44.839199999999998"/>
    <s v="Tea"/>
    <s v="Tea+Masala Chaas"/>
    <n v="0.51315644913205893"/>
  </r>
  <r>
    <s v="O00183"/>
    <s v="BOC6UZ"/>
    <n v="2"/>
    <n v="32.979999999999997"/>
    <s v="Beverage"/>
    <n v="11.84"/>
    <d v="2025-07-04T00:00:00"/>
    <x v="0"/>
    <n v="0.04"/>
    <n v="63.321599999999989"/>
    <s v="July"/>
    <x v="1"/>
    <s v="Cash"/>
    <x v="0"/>
    <s v="OK"/>
    <n v="23.68"/>
    <n v="39.64159999999999"/>
    <s v="Masala Chaas"/>
    <s v="Tea+Masala Chaas"/>
    <n v="0.62603598140287042"/>
  </r>
  <r>
    <s v="O00184"/>
    <s v="SZBIKC"/>
    <n v="1"/>
    <n v="38.06"/>
    <s v="Snack"/>
    <n v="19.55"/>
    <d v="2025-07-23T00:00:00"/>
    <x v="0"/>
    <n v="0.1"/>
    <n v="34.254000000000005"/>
    <s v="July"/>
    <x v="0"/>
    <s v="Card"/>
    <x v="0"/>
    <s v="OK"/>
    <n v="19.55"/>
    <n v="14.704000000000004"/>
    <s v="Paneer Roll"/>
    <s v="Paneer Roll+Masala Puff+Fruit Cup"/>
    <n v="0.42926373562211717"/>
  </r>
  <r>
    <s v="O00184"/>
    <s v="S5NQ4F"/>
    <n v="1"/>
    <n v="50.19"/>
    <s v="Snack"/>
    <n v="22.61"/>
    <d v="2025-07-23T00:00:00"/>
    <x v="0"/>
    <n v="0.1"/>
    <n v="45.170999999999999"/>
    <s v="July"/>
    <x v="0"/>
    <s v="Card"/>
    <x v="0"/>
    <s v="OK"/>
    <n v="22.61"/>
    <n v="22.561"/>
    <s v="Masala Puff"/>
    <s v="Paneer Roll+Masala Puff+Fruit Cup"/>
    <n v="0.49945761661242832"/>
  </r>
  <r>
    <s v="O00184"/>
    <s v="DYTJXE"/>
    <n v="1"/>
    <n v="57.07"/>
    <s v="Dessert"/>
    <n v="29.14"/>
    <d v="2025-07-23T00:00:00"/>
    <x v="0"/>
    <n v="0.1"/>
    <n v="51.363"/>
    <s v="July"/>
    <x v="0"/>
    <s v="Card"/>
    <x v="0"/>
    <s v="OK"/>
    <n v="29.14"/>
    <n v="22.222999999999999"/>
    <s v="Fruit Cup"/>
    <s v="Paneer Roll+Masala Puff+Fruit Cup"/>
    <n v="0.43266553744913649"/>
  </r>
  <r>
    <s v="O00185"/>
    <s v="SCKW5N"/>
    <n v="1"/>
    <n v="70.540000000000006"/>
    <s v="Snack"/>
    <n v="35.81"/>
    <d v="2025-07-11T00:00:00"/>
    <x v="1"/>
    <n v="0.06"/>
    <n v="66.307600000000008"/>
    <s v="July"/>
    <x v="0"/>
    <s v="UPI"/>
    <x v="0"/>
    <s v="OK"/>
    <n v="35.81"/>
    <n v="30.497600000000006"/>
    <s v="Veg Sandwich"/>
    <s v="Veg Sandwich+Fruit Cup+Nimbu Pani"/>
    <n v="0.45994124353769406"/>
  </r>
  <r>
    <s v="O00185"/>
    <s v="DYTJXE"/>
    <n v="1"/>
    <n v="57.07"/>
    <s v="Dessert"/>
    <n v="29.14"/>
    <d v="2025-07-11T00:00:00"/>
    <x v="1"/>
    <n v="0.06"/>
    <n v="53.645799999999994"/>
    <s v="July"/>
    <x v="0"/>
    <s v="UPI"/>
    <x v="0"/>
    <s v="OK"/>
    <n v="29.14"/>
    <n v="24.505799999999994"/>
    <s v="Fruit Cup"/>
    <s v="Veg Sandwich+Fruit Cup+Nimbu Pani"/>
    <n v="0.45680742947257746"/>
  </r>
  <r>
    <s v="O00185"/>
    <s v="BXO6QJ"/>
    <n v="1"/>
    <n v="20.11"/>
    <s v="Beverage"/>
    <n v="8"/>
    <d v="2025-07-11T00:00:00"/>
    <x v="1"/>
    <n v="0.06"/>
    <n v="18.903399999999998"/>
    <s v="July"/>
    <x v="0"/>
    <s v="UPI"/>
    <x v="0"/>
    <s v="OK"/>
    <n v="8"/>
    <n v="10.903399999999998"/>
    <s v="Nimbu Pani"/>
    <s v="Veg Sandwich+Fruit Cup+Nimbu Pani"/>
    <n v="0.57679570870848629"/>
  </r>
  <r>
    <s v="O00186"/>
    <s v="BTIQJ7"/>
    <n v="2"/>
    <n v="30.34"/>
    <s v="Beverage"/>
    <n v="14.18"/>
    <d v="2025-07-04T00:00:00"/>
    <x v="2"/>
    <n v="0.02"/>
    <n v="59.4664"/>
    <s v="July"/>
    <x v="0"/>
    <s v="Cash"/>
    <x v="0"/>
    <s v="OK"/>
    <n v="28.36"/>
    <n v="31.106400000000001"/>
    <s v="Tea"/>
    <s v="Tea"/>
    <n v="0.52309203180283326"/>
  </r>
  <r>
    <s v="O00187"/>
    <s v="SCKW5N"/>
    <n v="1"/>
    <n v="70.540000000000006"/>
    <s v="Snack"/>
    <n v="35.81"/>
    <d v="2025-08-05T00:00:00"/>
    <x v="1"/>
    <n v="0.03"/>
    <n v="68.4238"/>
    <s v="August"/>
    <x v="0"/>
    <s v="Cash"/>
    <x v="1"/>
    <s v="OK"/>
    <n v="35.81"/>
    <n v="32.613799999999998"/>
    <s v="Veg Sandwich"/>
    <s v="Veg Sandwich+Masala Chaas+Kheer Cup+Paneer Butter Masala + Naan"/>
    <n v="0.47664409167570343"/>
  </r>
  <r>
    <s v="O00187"/>
    <s v="BOC6UZ"/>
    <n v="2"/>
    <n v="32.979999999999997"/>
    <s v="Beverage"/>
    <n v="11.84"/>
    <d v="2025-08-05T00:00:00"/>
    <x v="1"/>
    <n v="0.03"/>
    <n v="63.981199999999994"/>
    <s v="August"/>
    <x v="0"/>
    <s v="Cash"/>
    <x v="1"/>
    <s v="OK"/>
    <n v="23.68"/>
    <n v="40.301199999999994"/>
    <s v="Masala Chaas"/>
    <s v="Veg Sandwich+Masala Chaas+Kheer Cup+Paneer Butter Masala + Naan"/>
    <n v="0.6298912805636655"/>
  </r>
  <r>
    <s v="O00187"/>
    <s v="DFFYVN"/>
    <n v="2"/>
    <n v="54.2"/>
    <s v="Dessert"/>
    <n v="21.95"/>
    <d v="2025-08-05T00:00:00"/>
    <x v="1"/>
    <n v="0.03"/>
    <n v="105.148"/>
    <s v="August"/>
    <x v="0"/>
    <s v="Cash"/>
    <x v="1"/>
    <s v="OK"/>
    <n v="43.9"/>
    <n v="61.247999999999998"/>
    <s v="Kheer Cup"/>
    <s v="Veg Sandwich+Masala Chaas+Kheer Cup+Paneer Butter Masala + Naan"/>
    <n v="0.58249324761288845"/>
  </r>
  <r>
    <s v="O00187"/>
    <s v="H3A3ZM"/>
    <n v="1"/>
    <n v="170.83"/>
    <s v="Hot Meal"/>
    <n v="74.069999999999993"/>
    <d v="2025-08-05T00:00:00"/>
    <x v="1"/>
    <n v="0.03"/>
    <n v="165.70510000000002"/>
    <s v="August"/>
    <x v="0"/>
    <s v="Cash"/>
    <x v="1"/>
    <s v="OK"/>
    <n v="74.069999999999993"/>
    <n v="91.635100000000023"/>
    <s v="Paneer Butter Masala + Naan"/>
    <s v="Veg Sandwich+Masala Chaas+Kheer Cup+Paneer Butter Masala + Naan"/>
    <n v="0.5530010844566644"/>
  </r>
  <r>
    <s v="O00188"/>
    <s v="BHL1C3"/>
    <n v="2"/>
    <n v="22.2"/>
    <s v="Beverage"/>
    <n v="9.3800000000000008"/>
    <d v="2025-08-21T00:00:00"/>
    <x v="1"/>
    <n v="0.09"/>
    <n v="40.404000000000003"/>
    <s v="August"/>
    <x v="1"/>
    <s v="UPI"/>
    <x v="0"/>
    <s v="OK"/>
    <n v="18.760000000000002"/>
    <n v="21.644000000000002"/>
    <s v="Coffee"/>
    <s v="Coffee+Nimbu Pani+Veg Sandwich+Masala Puff"/>
    <n v="0.5356895356895357"/>
  </r>
  <r>
    <s v="O00188"/>
    <s v="BXO6QJ"/>
    <n v="2"/>
    <n v="20.11"/>
    <s v="Beverage"/>
    <n v="8"/>
    <d v="2025-08-21T00:00:00"/>
    <x v="1"/>
    <n v="0.09"/>
    <n v="36.600200000000001"/>
    <s v="August"/>
    <x v="1"/>
    <s v="UPI"/>
    <x v="0"/>
    <s v="OK"/>
    <n v="16"/>
    <n v="20.600200000000001"/>
    <s v="Nimbu Pani"/>
    <s v="Coffee+Nimbu Pani+Veg Sandwich+Masala Puff"/>
    <n v="0.56284391888568919"/>
  </r>
  <r>
    <s v="O00188"/>
    <s v="SCKW5N"/>
    <n v="1"/>
    <n v="70.540000000000006"/>
    <s v="Snack"/>
    <n v="35.81"/>
    <d v="2025-08-21T00:00:00"/>
    <x v="1"/>
    <n v="0.09"/>
    <n v="64.191400000000002"/>
    <s v="August"/>
    <x v="1"/>
    <s v="UPI"/>
    <x v="0"/>
    <s v="OK"/>
    <n v="35.81"/>
    <n v="28.381399999999999"/>
    <s v="Veg Sandwich"/>
    <s v="Coffee+Nimbu Pani+Veg Sandwich+Masala Puff"/>
    <n v="0.44213710870926631"/>
  </r>
  <r>
    <s v="O00188"/>
    <s v="S5NQ4F"/>
    <n v="1"/>
    <n v="50.19"/>
    <s v="Snack"/>
    <n v="22.61"/>
    <d v="2025-08-21T00:00:00"/>
    <x v="1"/>
    <n v="0.09"/>
    <n v="45.672899999999998"/>
    <s v="August"/>
    <x v="1"/>
    <s v="UPI"/>
    <x v="0"/>
    <s v="OK"/>
    <n v="22.61"/>
    <n v="23.062899999999999"/>
    <s v="Masala Puff"/>
    <s v="Coffee+Nimbu Pani+Veg Sandwich+Masala Puff"/>
    <n v="0.50495808236394013"/>
  </r>
  <r>
    <s v="O00189"/>
    <s v="SCKW5N"/>
    <n v="1"/>
    <n v="70.540000000000006"/>
    <s v="Snack"/>
    <n v="35.81"/>
    <d v="2025-07-17T00:00:00"/>
    <x v="2"/>
    <n v="0.03"/>
    <n v="68.4238"/>
    <s v="July"/>
    <x v="1"/>
    <s v="UPI"/>
    <x v="1"/>
    <s v="OK"/>
    <n v="35.81"/>
    <n v="32.613799999999998"/>
    <s v="Veg Sandwich"/>
    <s v="Veg Sandwich+Nimbu Pani+Egg Curry + Rice"/>
    <n v="0.47664409167570343"/>
  </r>
  <r>
    <s v="O00189"/>
    <s v="BXO6QJ"/>
    <n v="2"/>
    <n v="20.11"/>
    <s v="Beverage"/>
    <n v="8"/>
    <d v="2025-07-17T00:00:00"/>
    <x v="2"/>
    <n v="0.03"/>
    <n v="39.013399999999997"/>
    <s v="July"/>
    <x v="1"/>
    <s v="UPI"/>
    <x v="1"/>
    <s v="OK"/>
    <n v="16"/>
    <n v="23.013399999999997"/>
    <s v="Nimbu Pani"/>
    <s v="Veg Sandwich+Nimbu Pani+Egg Curry + Rice"/>
    <n v="0.58988450122265679"/>
  </r>
  <r>
    <s v="O00189"/>
    <s v="HH1DNM"/>
    <n v="2"/>
    <n v="246.09"/>
    <s v="Hot Meal"/>
    <n v="112.08"/>
    <d v="2025-07-17T00:00:00"/>
    <x v="2"/>
    <n v="0.03"/>
    <n v="477.41460000000001"/>
    <s v="July"/>
    <x v="1"/>
    <s v="UPI"/>
    <x v="1"/>
    <s v="OK"/>
    <n v="224.16"/>
    <n v="253.25460000000001"/>
    <s v="Egg Curry + Rice"/>
    <s v="Veg Sandwich+Nimbu Pani+Egg Curry + Rice"/>
    <n v="0.53047099942062936"/>
  </r>
  <r>
    <s v="O00190"/>
    <s v="HUZZPQ"/>
    <n v="1"/>
    <n v="146.4"/>
    <s v="Hot Meal"/>
    <n v="80.92"/>
    <d v="2025-07-24T00:00:00"/>
    <x v="1"/>
    <n v="7.0000000000000007E-2"/>
    <n v="136.15199999999999"/>
    <s v="July"/>
    <x v="2"/>
    <s v="Cash"/>
    <x v="0"/>
    <s v="OK"/>
    <n v="80.92"/>
    <n v="55.231999999999985"/>
    <s v="Rajma Chawal"/>
    <s v="Rajma Chawal"/>
    <n v="0.40566425759445318"/>
  </r>
  <r>
    <s v="O00191"/>
    <s v="S5NQ4F"/>
    <n v="2"/>
    <n v="50.19"/>
    <s v="Snack"/>
    <n v="22.61"/>
    <d v="2025-08-15T00:00:00"/>
    <x v="0"/>
    <n v="0.06"/>
    <n v="94.357199999999992"/>
    <s v="August"/>
    <x v="0"/>
    <s v="Card"/>
    <x v="0"/>
    <s v="OK"/>
    <n v="45.22"/>
    <n v="49.137199999999993"/>
    <s v="Masala Puff"/>
    <s v="Masala Puff+Fruit Cup"/>
    <n v="0.52075729250126113"/>
  </r>
  <r>
    <s v="O00191"/>
    <s v="DYTJXE"/>
    <n v="3"/>
    <n v="57.07"/>
    <s v="Dessert"/>
    <n v="29.14"/>
    <d v="2025-08-15T00:00:00"/>
    <x v="0"/>
    <n v="0.06"/>
    <n v="160.9374"/>
    <s v="August"/>
    <x v="0"/>
    <s v="Card"/>
    <x v="0"/>
    <s v="OK"/>
    <n v="87.42"/>
    <n v="73.517399999999995"/>
    <s v="Fruit Cup"/>
    <s v="Masala Puff+Fruit Cup"/>
    <n v="0.45680742947257752"/>
  </r>
  <r>
    <s v="O00192"/>
    <s v="HDPBHS"/>
    <n v="2"/>
    <n v="256.91000000000003"/>
    <s v="Hot Meal"/>
    <n v="121.24"/>
    <d v="2025-07-02T00:00:00"/>
    <x v="1"/>
    <n v="0.03"/>
    <n v="498.40540000000004"/>
    <s v="July"/>
    <x v="0"/>
    <s v="UPI"/>
    <x v="0"/>
    <s v="OK"/>
    <n v="242.48"/>
    <n v="255.92540000000005"/>
    <s v="Chicken Thali"/>
    <s v="Chicken Thali"/>
    <n v="0.51348841726032668"/>
  </r>
  <r>
    <s v="O00193"/>
    <s v="BXO6QJ"/>
    <n v="1"/>
    <n v="20.11"/>
    <s v="Beverage"/>
    <n v="8"/>
    <d v="2025-07-16T00:00:00"/>
    <x v="2"/>
    <n v="0.15"/>
    <n v="17.093499999999999"/>
    <s v="July"/>
    <x v="2"/>
    <s v="Card"/>
    <x v="0"/>
    <s v="OK"/>
    <n v="8"/>
    <n v="9.0934999999999988"/>
    <s v="Nimbu Pani"/>
    <s v="Nimbu Pani+Veg Sandwich+Masala Chaas+Fruit Cup"/>
    <n v="0.53198584257173775"/>
  </r>
  <r>
    <s v="O00193"/>
    <s v="SCKW5N"/>
    <n v="1"/>
    <n v="70.540000000000006"/>
    <s v="Snack"/>
    <n v="35.81"/>
    <d v="2025-07-16T00:00:00"/>
    <x v="2"/>
    <n v="0.15"/>
    <n v="59.959000000000003"/>
    <s v="July"/>
    <x v="2"/>
    <s v="Card"/>
    <x v="0"/>
    <s v="OK"/>
    <n v="35.81"/>
    <n v="24.149000000000001"/>
    <s v="Veg Sandwich"/>
    <s v="Nimbu Pani+Veg Sandwich+Masala Chaas+Fruit Cup"/>
    <n v="0.40275855167697927"/>
  </r>
  <r>
    <s v="O00193"/>
    <s v="BOC6UZ"/>
    <n v="3"/>
    <n v="32.979999999999997"/>
    <s v="Beverage"/>
    <n v="11.84"/>
    <d v="2025-07-16T00:00:00"/>
    <x v="2"/>
    <n v="0.15"/>
    <n v="84.09899999999999"/>
    <s v="July"/>
    <x v="2"/>
    <s v="Card"/>
    <x v="0"/>
    <s v="OK"/>
    <n v="35.519999999999996"/>
    <n v="48.578999999999994"/>
    <s v="Masala Chaas"/>
    <s v="Nimbu Pani+Veg Sandwich+Masala Chaas+Fruit Cup"/>
    <n v="0.57764063781971242"/>
  </r>
  <r>
    <s v="O00193"/>
    <s v="DYTJXE"/>
    <n v="1"/>
    <n v="57.07"/>
    <s v="Dessert"/>
    <n v="29.14"/>
    <d v="2025-07-16T00:00:00"/>
    <x v="2"/>
    <n v="0.15"/>
    <n v="48.509499999999996"/>
    <s v="July"/>
    <x v="2"/>
    <s v="Card"/>
    <x v="0"/>
    <s v="OK"/>
    <n v="29.14"/>
    <n v="19.369499999999995"/>
    <s v="Fruit Cup"/>
    <s v="Nimbu Pani+Veg Sandwich+Masala Chaas+Fruit Cup"/>
    <n v="0.39929292200496802"/>
  </r>
  <r>
    <s v="O00194"/>
    <s v="BHL1C3"/>
    <n v="2"/>
    <n v="22.2"/>
    <s v="Beverage"/>
    <n v="9.3800000000000008"/>
    <d v="2025-08-11T00:00:00"/>
    <x v="0"/>
    <n v="0.09"/>
    <n v="40.404000000000003"/>
    <s v="August"/>
    <x v="0"/>
    <s v="Card"/>
    <x v="0"/>
    <s v="OK"/>
    <n v="18.760000000000002"/>
    <n v="21.644000000000002"/>
    <s v="Coffee"/>
    <s v="Coffee+Masala Puff+Poha"/>
    <n v="0.5356895356895357"/>
  </r>
  <r>
    <s v="O00194"/>
    <s v="S5NQ4F"/>
    <n v="2"/>
    <n v="50.19"/>
    <s v="Snack"/>
    <n v="22.61"/>
    <d v="2025-08-11T00:00:00"/>
    <x v="0"/>
    <n v="0.09"/>
    <n v="91.345799999999997"/>
    <s v="August"/>
    <x v="0"/>
    <s v="Card"/>
    <x v="0"/>
    <s v="OK"/>
    <n v="45.22"/>
    <n v="46.125799999999998"/>
    <s v="Masala Puff"/>
    <s v="Coffee+Masala Puff+Poha"/>
    <n v="0.50495808236394013"/>
  </r>
  <r>
    <s v="O00194"/>
    <s v="SHJ7XV"/>
    <n v="2"/>
    <n v="52.45"/>
    <s v="Snack"/>
    <n v="25.8"/>
    <d v="2025-08-11T00:00:00"/>
    <x v="0"/>
    <n v="0.09"/>
    <n v="95.459000000000003"/>
    <s v="August"/>
    <x v="0"/>
    <s v="Card"/>
    <x v="0"/>
    <s v="OK"/>
    <n v="51.6"/>
    <n v="43.859000000000002"/>
    <s v="Poha"/>
    <s v="Coffee+Masala Puff+Poha"/>
    <n v="0.45945379691804861"/>
  </r>
  <r>
    <s v="O00195"/>
    <s v="D9T84A"/>
    <n v="1"/>
    <n v="116.8"/>
    <s v="Dessert"/>
    <n v="48.97"/>
    <d v="2025-07-20T00:00:00"/>
    <x v="1"/>
    <n v="0"/>
    <n v="116.8"/>
    <s v="July"/>
    <x v="2"/>
    <s v="Cash"/>
    <x v="0"/>
    <s v="OK"/>
    <n v="48.97"/>
    <n v="67.83"/>
    <s v="Brownie"/>
    <s v="Brownie+Masala Puff+Chicken Thali"/>
    <n v="0.58073630136986298"/>
  </r>
  <r>
    <s v="O00195"/>
    <s v="S5NQ4F"/>
    <n v="2"/>
    <n v="50.19"/>
    <s v="Snack"/>
    <n v="22.61"/>
    <d v="2025-07-20T00:00:00"/>
    <x v="1"/>
    <n v="0"/>
    <n v="100.38"/>
    <s v="July"/>
    <x v="2"/>
    <s v="Cash"/>
    <x v="0"/>
    <s v="OK"/>
    <n v="45.22"/>
    <n v="55.16"/>
    <s v="Masala Puff"/>
    <s v="Brownie+Masala Puff+Chicken Thali"/>
    <n v="0.54951185495118549"/>
  </r>
  <r>
    <s v="O00195"/>
    <s v="HDPBHS"/>
    <n v="2"/>
    <n v="256.91000000000003"/>
    <s v="Hot Meal"/>
    <n v="121.24"/>
    <d v="2025-07-20T00:00:00"/>
    <x v="1"/>
    <n v="0"/>
    <n v="513.82000000000005"/>
    <s v="July"/>
    <x v="2"/>
    <s v="Cash"/>
    <x v="0"/>
    <s v="OK"/>
    <n v="242.48"/>
    <n v="271.34000000000003"/>
    <s v="Chicken Thali"/>
    <s v="Brownie+Masala Puff+Chicken Thali"/>
    <n v="0.52808376474251684"/>
  </r>
  <r>
    <s v="O00196"/>
    <s v="DH9SDB"/>
    <n v="1"/>
    <n v="76.55"/>
    <s v="Dessert"/>
    <n v="38.229999999999997"/>
    <d v="2025-08-07T00:00:00"/>
    <x v="0"/>
    <n v="7.0000000000000007E-2"/>
    <n v="71.191499999999991"/>
    <s v="August"/>
    <x v="0"/>
    <s v="UPI"/>
    <x v="0"/>
    <s v="OK"/>
    <n v="38.229999999999997"/>
    <n v="32.961499999999994"/>
    <s v="Gulab Jamun (2 pc)"/>
    <s v="Gulab Jamun (2 pc)+Samosa+Rajma Chawal"/>
    <n v="0.46299768933088919"/>
  </r>
  <r>
    <s v="O00196"/>
    <s v="SV30T9"/>
    <n v="3"/>
    <n v="39.950000000000003"/>
    <s v="Snack"/>
    <n v="15.51"/>
    <d v="2025-08-07T00:00:00"/>
    <x v="0"/>
    <n v="7.0000000000000007E-2"/>
    <n v="111.4605"/>
    <s v="August"/>
    <x v="0"/>
    <s v="UPI"/>
    <x v="0"/>
    <s v="OK"/>
    <n v="46.53"/>
    <n v="64.930499999999995"/>
    <s v="Samosa"/>
    <s v="Gulab Jamun (2 pc)+Samosa+Rajma Chawal"/>
    <n v="0.58254269449715368"/>
  </r>
  <r>
    <s v="O00196"/>
    <s v="HUZZPQ"/>
    <n v="1"/>
    <n v="146.4"/>
    <s v="Hot Meal"/>
    <n v="80.92"/>
    <d v="2025-08-07T00:00:00"/>
    <x v="0"/>
    <n v="7.0000000000000007E-2"/>
    <n v="136.15199999999999"/>
    <s v="August"/>
    <x v="0"/>
    <s v="UPI"/>
    <x v="0"/>
    <s v="OK"/>
    <n v="80.92"/>
    <n v="55.231999999999985"/>
    <s v="Rajma Chawal"/>
    <s v="Gulab Jamun (2 pc)+Samosa+Rajma Chawal"/>
    <n v="0.40566425759445318"/>
  </r>
  <r>
    <s v="O00197"/>
    <s v="BTIQJ7"/>
    <n v="2"/>
    <n v="30.34"/>
    <s v="Beverage"/>
    <n v="14.18"/>
    <d v="2025-07-29T00:00:00"/>
    <x v="2"/>
    <n v="0.03"/>
    <n v="58.8596"/>
    <s v="July"/>
    <x v="1"/>
    <s v="Card"/>
    <x v="1"/>
    <s v="OK"/>
    <n v="28.36"/>
    <n v="30.499600000000001"/>
    <s v="Tea"/>
    <s v="Tea+Chicken Thali"/>
    <n v="0.51817545481110983"/>
  </r>
  <r>
    <s v="O00197"/>
    <s v="HDPBHS"/>
    <n v="1"/>
    <n v="256.91000000000003"/>
    <s v="Hot Meal"/>
    <n v="121.24"/>
    <d v="2025-07-29T00:00:00"/>
    <x v="2"/>
    <n v="0.03"/>
    <n v="249.20270000000002"/>
    <s v="July"/>
    <x v="1"/>
    <s v="Card"/>
    <x v="1"/>
    <s v="OK"/>
    <n v="121.24"/>
    <n v="127.96270000000003"/>
    <s v="Chicken Thali"/>
    <s v="Tea+Chicken Thali"/>
    <n v="0.51348841726032668"/>
  </r>
  <r>
    <s v="O00198"/>
    <s v="DYTJXE"/>
    <n v="1"/>
    <n v="57.07"/>
    <s v="Dessert"/>
    <n v="29.14"/>
    <d v="2025-07-02T00:00:00"/>
    <x v="0"/>
    <n v="0.09"/>
    <n v="51.933700000000002"/>
    <s v="July"/>
    <x v="0"/>
    <s v="UPI"/>
    <x v="0"/>
    <s v="OK"/>
    <n v="29.14"/>
    <n v="22.793700000000001"/>
    <s v="Fruit Cup"/>
    <s v="Fruit Cup+Tea"/>
    <n v="0.43889998209255265"/>
  </r>
  <r>
    <s v="O00198"/>
    <s v="BTIQJ7"/>
    <n v="2"/>
    <n v="30.34"/>
    <s v="Beverage"/>
    <n v="14.18"/>
    <d v="2025-07-02T00:00:00"/>
    <x v="0"/>
    <n v="0.09"/>
    <n v="55.218800000000002"/>
    <s v="July"/>
    <x v="0"/>
    <s v="UPI"/>
    <x v="0"/>
    <s v="OK"/>
    <n v="28.36"/>
    <n v="26.858800000000002"/>
    <s v="Tea"/>
    <s v="Fruit Cup+Tea"/>
    <n v="0.48640680347997423"/>
  </r>
  <r>
    <s v="O00199"/>
    <s v="HH1DNM"/>
    <n v="1"/>
    <n v="246.09"/>
    <s v="Hot Meal"/>
    <n v="112.08"/>
    <d v="2025-08-29T00:00:00"/>
    <x v="0"/>
    <n v="0.03"/>
    <n v="238.7073"/>
    <s v="August"/>
    <x v="0"/>
    <s v="Card"/>
    <x v="1"/>
    <s v="OK"/>
    <n v="112.08"/>
    <n v="126.62730000000001"/>
    <s v="Egg Curry + Rice"/>
    <s v="Egg Curry + Rice+Chicken Thali+Paneer Butter Masala + Naan+Masala Chaas"/>
    <n v="0.53047099942062936"/>
  </r>
  <r>
    <s v="O00199"/>
    <s v="HDPBHS"/>
    <n v="1"/>
    <n v="256.91000000000003"/>
    <s v="Hot Meal"/>
    <n v="121.24"/>
    <d v="2025-08-29T00:00:00"/>
    <x v="0"/>
    <n v="0.03"/>
    <n v="249.20270000000002"/>
    <s v="August"/>
    <x v="0"/>
    <s v="Card"/>
    <x v="1"/>
    <s v="OK"/>
    <n v="121.24"/>
    <n v="127.96270000000003"/>
    <s v="Chicken Thali"/>
    <s v="Egg Curry + Rice+Chicken Thali+Paneer Butter Masala + Naan+Masala Chaas"/>
    <n v="0.51348841726032668"/>
  </r>
  <r>
    <s v="O00199"/>
    <s v="H3A3ZM"/>
    <n v="2"/>
    <n v="170.83"/>
    <s v="Hot Meal"/>
    <n v="74.069999999999993"/>
    <d v="2025-08-29T00:00:00"/>
    <x v="0"/>
    <n v="0.03"/>
    <n v="331.41020000000003"/>
    <s v="August"/>
    <x v="0"/>
    <s v="Card"/>
    <x v="1"/>
    <s v="OK"/>
    <n v="148.13999999999999"/>
    <n v="183.27020000000005"/>
    <s v="Paneer Butter Masala + Naan"/>
    <s v="Egg Curry + Rice+Chicken Thali+Paneer Butter Masala + Naan+Masala Chaas"/>
    <n v="0.5530010844566644"/>
  </r>
  <r>
    <s v="O00199"/>
    <s v="BOC6UZ"/>
    <n v="1"/>
    <n v="32.979999999999997"/>
    <s v="Beverage"/>
    <n v="11.84"/>
    <d v="2025-08-29T00:00:00"/>
    <x v="0"/>
    <n v="0.03"/>
    <n v="31.990599999999997"/>
    <s v="August"/>
    <x v="0"/>
    <s v="Card"/>
    <x v="1"/>
    <s v="OK"/>
    <n v="11.84"/>
    <n v="20.150599999999997"/>
    <s v="Masala Chaas"/>
    <s v="Egg Curry + Rice+Chicken Thali+Paneer Butter Masala + Naan+Masala Chaas"/>
    <n v="0.6298912805636655"/>
  </r>
  <r>
    <s v="O00200"/>
    <s v="SV30T9"/>
    <n v="1"/>
    <n v="39.950000000000003"/>
    <s v="Snack"/>
    <n v="15.51"/>
    <d v="2025-08-29T00:00:00"/>
    <x v="1"/>
    <n v="0.06"/>
    <n v="37.552999999999997"/>
    <s v="August"/>
    <x v="0"/>
    <s v="UPI"/>
    <x v="0"/>
    <s v="OK"/>
    <n v="15.51"/>
    <n v="22.042999999999999"/>
    <s v="Samosa"/>
    <s v="Samosa"/>
    <n v="0.58698372966207757"/>
  </r>
  <r>
    <s v="O00201"/>
    <s v="SZBIKC"/>
    <n v="1"/>
    <n v="38.06"/>
    <s v="Snack"/>
    <n v="19.55"/>
    <d v="2025-07-25T00:00:00"/>
    <x v="0"/>
    <n v="0.08"/>
    <n v="35.0152"/>
    <s v="July"/>
    <x v="2"/>
    <s v="UPI"/>
    <x v="0"/>
    <s v="OK"/>
    <n v="19.55"/>
    <n v="15.465199999999999"/>
    <s v="Paneer Roll"/>
    <s v="Paneer Roll"/>
    <n v="0.44167104571728849"/>
  </r>
  <r>
    <s v="O00202"/>
    <s v="H3A3ZM"/>
    <n v="1"/>
    <n v="170.83"/>
    <s v="Hot Meal"/>
    <n v="74.069999999999993"/>
    <d v="2025-07-10T00:00:00"/>
    <x v="0"/>
    <n v="0.09"/>
    <n v="155.45530000000002"/>
    <s v="July"/>
    <x v="1"/>
    <s v="Cash"/>
    <x v="0"/>
    <s v="OK"/>
    <n v="74.069999999999993"/>
    <n v="81.385300000000029"/>
    <s v="Paneer Butter Masala + Naan"/>
    <s v="Paneer Butter Masala + Naan"/>
    <n v="0.52352862848677417"/>
  </r>
  <r>
    <s v="O00203"/>
    <s v="HUZZPQ"/>
    <n v="1"/>
    <n v="146.4"/>
    <s v="Hot Meal"/>
    <n v="80.92"/>
    <d v="2025-08-13T00:00:00"/>
    <x v="2"/>
    <n v="0.01"/>
    <n v="144.93600000000001"/>
    <s v="August"/>
    <x v="0"/>
    <s v="Card"/>
    <x v="0"/>
    <s v="OK"/>
    <n v="80.92"/>
    <n v="64.016000000000005"/>
    <s v="Rajma Chawal"/>
    <s v="Rajma Chawal+Kheer Cup"/>
    <n v="0.44168460561903189"/>
  </r>
  <r>
    <s v="O00203"/>
    <s v="DFFYVN"/>
    <n v="2"/>
    <n v="54.2"/>
    <s v="Dessert"/>
    <n v="21.95"/>
    <d v="2025-08-13T00:00:00"/>
    <x v="2"/>
    <n v="0.01"/>
    <n v="107.316"/>
    <s v="August"/>
    <x v="0"/>
    <s v="Card"/>
    <x v="0"/>
    <s v="OK"/>
    <n v="43.9"/>
    <n v="63.416000000000004"/>
    <s v="Kheer Cup"/>
    <s v="Rajma Chawal+Kheer Cup"/>
    <n v="0.59092772745909283"/>
  </r>
  <r>
    <s v="O00204"/>
    <s v="BHL1C3"/>
    <n v="1"/>
    <n v="22.2"/>
    <s v="Beverage"/>
    <n v="9.3800000000000008"/>
    <d v="2025-07-10T00:00:00"/>
    <x v="1"/>
    <n v="0.05"/>
    <n v="21.09"/>
    <s v="July"/>
    <x v="0"/>
    <s v="UPI"/>
    <x v="1"/>
    <s v="HighDisc"/>
    <n v="9.3800000000000008"/>
    <n v="11.709999999999999"/>
    <s v="Coffee"/>
    <s v="Coffee+Veg Thali+Egg Curry + Rice"/>
    <n v="0.55523944997629204"/>
  </r>
  <r>
    <s v="O00204"/>
    <s v="HXAJI0"/>
    <n v="3"/>
    <n v="227.61"/>
    <s v="Hot Meal"/>
    <n v="96.22"/>
    <d v="2025-07-10T00:00:00"/>
    <x v="1"/>
    <n v="0.05"/>
    <n v="648.68849999999998"/>
    <s v="July"/>
    <x v="0"/>
    <s v="UPI"/>
    <x v="1"/>
    <s v="HighDisc"/>
    <n v="288.65999999999997"/>
    <n v="360.02850000000001"/>
    <s v="Veg Thali"/>
    <s v="Coffee+Veg Thali+Egg Curry + Rice"/>
    <n v="0.55500983908301138"/>
  </r>
  <r>
    <s v="O00204"/>
    <s v="HH1DNM"/>
    <n v="1"/>
    <n v="246.09"/>
    <s v="Hot Meal"/>
    <n v="112.08"/>
    <d v="2025-07-10T00:00:00"/>
    <x v="1"/>
    <n v="0.05"/>
    <n v="233.78549999999998"/>
    <s v="July"/>
    <x v="0"/>
    <s v="UPI"/>
    <x v="1"/>
    <s v="HighDisc"/>
    <n v="112.08"/>
    <n v="121.70549999999999"/>
    <s v="Egg Curry + Rice"/>
    <s v="Coffee+Veg Thali+Egg Curry + Rice"/>
    <n v="0.52058617835580046"/>
  </r>
  <r>
    <s v="O00205"/>
    <s v="HUZZPQ"/>
    <n v="1"/>
    <n v="146.4"/>
    <s v="Hot Meal"/>
    <n v="80.92"/>
    <d v="2025-07-18T00:00:00"/>
    <x v="2"/>
    <n v="0.04"/>
    <n v="140.54400000000001"/>
    <s v="July"/>
    <x v="0"/>
    <s v="UPI"/>
    <x v="1"/>
    <s v="OK"/>
    <n v="80.92"/>
    <n v="59.624000000000009"/>
    <s v="Rajma Chawal"/>
    <s v="Rajma Chawal+Samosa+Tea+Poha"/>
    <n v="0.4242372495446266"/>
  </r>
  <r>
    <s v="O00205"/>
    <s v="SV30T9"/>
    <n v="2"/>
    <n v="39.950000000000003"/>
    <s v="Snack"/>
    <n v="15.51"/>
    <d v="2025-07-18T00:00:00"/>
    <x v="2"/>
    <n v="0.04"/>
    <n v="76.704000000000008"/>
    <s v="July"/>
    <x v="0"/>
    <s v="UPI"/>
    <x v="1"/>
    <s v="OK"/>
    <n v="31.02"/>
    <n v="45.684000000000012"/>
    <s v="Samosa"/>
    <s v="Rajma Chawal+Samosa+Tea+Poha"/>
    <n v="0.59558823529411775"/>
  </r>
  <r>
    <s v="O00205"/>
    <s v="BTIQJ7"/>
    <n v="1"/>
    <n v="30.34"/>
    <s v="Beverage"/>
    <n v="14.18"/>
    <d v="2025-07-18T00:00:00"/>
    <x v="2"/>
    <n v="0.04"/>
    <n v="29.1264"/>
    <s v="July"/>
    <x v="0"/>
    <s v="UPI"/>
    <x v="1"/>
    <s v="OK"/>
    <n v="14.18"/>
    <n v="14.946400000000001"/>
    <s v="Tea"/>
    <s v="Rajma Chawal+Samosa+Tea+Poha"/>
    <n v="0.51315644913205893"/>
  </r>
  <r>
    <s v="O00205"/>
    <s v="SHJ7XV"/>
    <n v="1"/>
    <n v="52.45"/>
    <s v="Snack"/>
    <n v="25.8"/>
    <d v="2025-07-18T00:00:00"/>
    <x v="2"/>
    <n v="0.04"/>
    <n v="50.352000000000004"/>
    <s v="July"/>
    <x v="0"/>
    <s v="UPI"/>
    <x v="1"/>
    <s v="OK"/>
    <n v="25.8"/>
    <n v="24.552000000000003"/>
    <s v="Poha"/>
    <s v="Rajma Chawal+Samosa+Tea+Poha"/>
    <n v="0.48760724499523356"/>
  </r>
  <r>
    <s v="O00206"/>
    <s v="B0T0PV"/>
    <n v="3"/>
    <n v="28.43"/>
    <s v="Beverage"/>
    <n v="13.89"/>
    <d v="2025-08-21T00:00:00"/>
    <x v="0"/>
    <n v="0.03"/>
    <n v="82.73129999999999"/>
    <s v="August"/>
    <x v="1"/>
    <s v="Cash"/>
    <x v="0"/>
    <s v="OK"/>
    <n v="41.67"/>
    <n v="41.061299999999989"/>
    <s v="Bottled Water"/>
    <s v="Bottled Water+Paneer Roll+Masala Chaas+Tea"/>
    <n v="0.49632122304375725"/>
  </r>
  <r>
    <s v="O00206"/>
    <s v="SZBIKC"/>
    <n v="1"/>
    <n v="38.06"/>
    <s v="Snack"/>
    <n v="19.55"/>
    <d v="2025-08-21T00:00:00"/>
    <x v="0"/>
    <n v="0.03"/>
    <n v="36.918199999999999"/>
    <s v="August"/>
    <x v="1"/>
    <s v="Cash"/>
    <x v="0"/>
    <s v="OK"/>
    <n v="19.55"/>
    <n v="17.368199999999998"/>
    <s v="Paneer Roll"/>
    <s v="Bottled Water+Paneer Roll+Masala Chaas+Tea"/>
    <n v="0.47045088872155194"/>
  </r>
  <r>
    <s v="O00206"/>
    <s v="BOC6UZ"/>
    <n v="2"/>
    <n v="32.979999999999997"/>
    <s v="Beverage"/>
    <n v="11.84"/>
    <d v="2025-08-21T00:00:00"/>
    <x v="0"/>
    <n v="0.03"/>
    <n v="63.981199999999994"/>
    <s v="August"/>
    <x v="1"/>
    <s v="Cash"/>
    <x v="0"/>
    <s v="OK"/>
    <n v="23.68"/>
    <n v="40.301199999999994"/>
    <s v="Masala Chaas"/>
    <s v="Bottled Water+Paneer Roll+Masala Chaas+Tea"/>
    <n v="0.6298912805636655"/>
  </r>
  <r>
    <s v="O00206"/>
    <s v="BTIQJ7"/>
    <n v="1"/>
    <n v="30.34"/>
    <s v="Beverage"/>
    <n v="14.18"/>
    <d v="2025-08-21T00:00:00"/>
    <x v="0"/>
    <n v="0.03"/>
    <n v="29.4298"/>
    <s v="August"/>
    <x v="1"/>
    <s v="Cash"/>
    <x v="0"/>
    <s v="OK"/>
    <n v="14.18"/>
    <n v="15.2498"/>
    <s v="Tea"/>
    <s v="Bottled Water+Paneer Roll+Masala Chaas+Tea"/>
    <n v="0.51817545481110983"/>
  </r>
  <r>
    <s v="O00207"/>
    <s v="HH1DNM"/>
    <n v="1"/>
    <n v="246.09"/>
    <s v="Hot Meal"/>
    <n v="112.08"/>
    <d v="2025-08-17T00:00:00"/>
    <x v="1"/>
    <n v="0.13"/>
    <n v="214.09829999999999"/>
    <s v="August"/>
    <x v="0"/>
    <s v="Card"/>
    <x v="0"/>
    <s v="HighDisc"/>
    <n v="112.08"/>
    <n v="102.0183"/>
    <s v="Egg Curry + Rice"/>
    <s v="Egg Curry + Rice+Fruit Cup"/>
    <n v="0.4765021487793224"/>
  </r>
  <r>
    <s v="O00207"/>
    <s v="DYTJXE"/>
    <n v="3"/>
    <n v="57.07"/>
    <s v="Dessert"/>
    <n v="29.14"/>
    <d v="2025-08-17T00:00:00"/>
    <x v="1"/>
    <n v="0.13"/>
    <n v="148.95269999999999"/>
    <s v="August"/>
    <x v="0"/>
    <s v="Card"/>
    <x v="0"/>
    <s v="HighDisc"/>
    <n v="87.42"/>
    <n v="61.532699999999991"/>
    <s v="Fruit Cup"/>
    <s v="Egg Curry + Rice+Fruit Cup"/>
    <n v="0.41310228011979638"/>
  </r>
  <r>
    <s v="O00208"/>
    <s v="BHL1C3"/>
    <n v="3"/>
    <n v="22.2"/>
    <s v="Beverage"/>
    <n v="9.3800000000000008"/>
    <d v="2025-08-15T00:00:00"/>
    <x v="2"/>
    <n v="0.08"/>
    <n v="61.271999999999998"/>
    <s v="August"/>
    <x v="1"/>
    <s v="Cash"/>
    <x v="0"/>
    <s v="OK"/>
    <n v="28.14"/>
    <n v="33.131999999999998"/>
    <s v="Coffee"/>
    <s v="Coffee+Paneer Roll"/>
    <n v="0.54073638856247552"/>
  </r>
  <r>
    <s v="O00208"/>
    <s v="SZBIKC"/>
    <n v="2"/>
    <n v="38.06"/>
    <s v="Snack"/>
    <n v="19.55"/>
    <d v="2025-08-15T00:00:00"/>
    <x v="2"/>
    <n v="0.08"/>
    <n v="70.0304"/>
    <s v="August"/>
    <x v="1"/>
    <s v="Cash"/>
    <x v="0"/>
    <s v="OK"/>
    <n v="39.1"/>
    <n v="30.930399999999999"/>
    <s v="Paneer Roll"/>
    <s v="Coffee+Paneer Roll"/>
    <n v="0.44167104571728849"/>
  </r>
  <r>
    <s v="O00209"/>
    <s v="S5NQ4F"/>
    <n v="3"/>
    <n v="50.19"/>
    <s v="Snack"/>
    <n v="22.61"/>
    <d v="2025-08-24T00:00:00"/>
    <x v="1"/>
    <n v="0.01"/>
    <n v="149.0643"/>
    <s v="August"/>
    <x v="0"/>
    <s v="Card"/>
    <x v="0"/>
    <s v="OK"/>
    <n v="67.83"/>
    <n v="81.234300000000005"/>
    <s v="Masala Puff"/>
    <s v="Masala Puff+Nimbu Pani+Bottled Water"/>
    <n v="0.54496146964766212"/>
  </r>
  <r>
    <s v="O00209"/>
    <s v="BXO6QJ"/>
    <n v="1"/>
    <n v="20.11"/>
    <s v="Beverage"/>
    <n v="8"/>
    <d v="2025-08-24T00:00:00"/>
    <x v="1"/>
    <n v="0.01"/>
    <n v="19.908899999999999"/>
    <s v="August"/>
    <x v="0"/>
    <s v="Card"/>
    <x v="0"/>
    <s v="OK"/>
    <n v="8"/>
    <n v="11.908899999999999"/>
    <s v="Nimbu Pani"/>
    <s v="Masala Puff+Nimbu Pani+Bottled Water"/>
    <n v="0.59816966281411832"/>
  </r>
  <r>
    <s v="O00209"/>
    <s v="B0T0PV"/>
    <n v="2"/>
    <n v="28.43"/>
    <s v="Beverage"/>
    <n v="13.89"/>
    <d v="2025-08-24T00:00:00"/>
    <x v="1"/>
    <n v="0.01"/>
    <n v="56.291399999999996"/>
    <s v="August"/>
    <x v="0"/>
    <s v="Card"/>
    <x v="0"/>
    <s v="OK"/>
    <n v="27.78"/>
    <n v="28.511399999999995"/>
    <s v="Bottled Water"/>
    <s v="Masala Puff+Nimbu Pani+Bottled Water"/>
    <n v="0.50649655187115605"/>
  </r>
  <r>
    <s v="O00210"/>
    <s v="BXO6QJ"/>
    <n v="1"/>
    <n v="20.11"/>
    <s v="Beverage"/>
    <n v="8"/>
    <d v="2025-07-26T00:00:00"/>
    <x v="0"/>
    <n v="0.1"/>
    <n v="18.099"/>
    <s v="July"/>
    <x v="1"/>
    <s v="Card"/>
    <x v="1"/>
    <s v="HighDisc"/>
    <n v="8"/>
    <n v="10.099"/>
    <s v="Nimbu Pani"/>
    <s v="Nimbu Pani+Egg Curry + Rice+Coffee"/>
    <n v="0.5579866290955301"/>
  </r>
  <r>
    <s v="O00210"/>
    <s v="HH1DNM"/>
    <n v="2"/>
    <n v="246.09"/>
    <s v="Hot Meal"/>
    <n v="112.08"/>
    <d v="2025-07-26T00:00:00"/>
    <x v="0"/>
    <n v="0.1"/>
    <n v="442.96199999999999"/>
    <s v="July"/>
    <x v="1"/>
    <s v="Card"/>
    <x v="1"/>
    <s v="HighDisc"/>
    <n v="224.16"/>
    <n v="218.80199999999999"/>
    <s v="Egg Curry + Rice"/>
    <s v="Nimbu Pani+Egg Curry + Rice+Coffee"/>
    <n v="0.49395207715334499"/>
  </r>
  <r>
    <s v="O00210"/>
    <s v="BHL1C3"/>
    <n v="1"/>
    <n v="22.2"/>
    <s v="Beverage"/>
    <n v="9.3800000000000008"/>
    <d v="2025-07-26T00:00:00"/>
    <x v="0"/>
    <n v="0.1"/>
    <n v="19.98"/>
    <s v="July"/>
    <x v="1"/>
    <s v="Card"/>
    <x v="1"/>
    <s v="HighDisc"/>
    <n v="9.3800000000000008"/>
    <n v="10.6"/>
    <s v="Coffee"/>
    <s v="Nimbu Pani+Egg Curry + Rice+Coffee"/>
    <n v="0.53053053053053045"/>
  </r>
  <r>
    <s v="O00211"/>
    <s v="HDPBHS"/>
    <n v="3"/>
    <n v="256.91000000000003"/>
    <s v="Hot Meal"/>
    <n v="121.24"/>
    <d v="2025-07-26T00:00:00"/>
    <x v="0"/>
    <n v="0.14000000000000001"/>
    <n v="662.82780000000002"/>
    <s v="July"/>
    <x v="1"/>
    <s v="UPI"/>
    <x v="0"/>
    <s v="HighDisc"/>
    <n v="363.71999999999997"/>
    <n v="299.10780000000005"/>
    <s v="Chicken Thali"/>
    <s v="Chicken Thali+Veg Sandwich"/>
    <n v="0.45126019156106617"/>
  </r>
  <r>
    <s v="O00211"/>
    <s v="SCKW5N"/>
    <n v="3"/>
    <n v="70.540000000000006"/>
    <s v="Snack"/>
    <n v="35.81"/>
    <d v="2025-07-26T00:00:00"/>
    <x v="0"/>
    <n v="0.14000000000000001"/>
    <n v="181.9932"/>
    <s v="July"/>
    <x v="1"/>
    <s v="UPI"/>
    <x v="0"/>
    <s v="HighDisc"/>
    <n v="107.43"/>
    <n v="74.563199999999995"/>
    <s v="Veg Sandwich"/>
    <s v="Chicken Thali+Veg Sandwich"/>
    <n v="0.40970321968073531"/>
  </r>
  <r>
    <s v="O00212"/>
    <s v="SV30T9"/>
    <n v="1"/>
    <n v="39.950000000000003"/>
    <s v="Snack"/>
    <n v="15.51"/>
    <d v="2025-07-11T00:00:00"/>
    <x v="0"/>
    <n v="0.1"/>
    <n v="35.955000000000005"/>
    <s v="July"/>
    <x v="1"/>
    <s v="Card"/>
    <x v="1"/>
    <s v="OK"/>
    <n v="15.51"/>
    <n v="20.445000000000007"/>
    <s v="Samosa"/>
    <s v="Samosa+Fruit Cup+Bottled Water+Veg Thali"/>
    <n v="0.56862745098039225"/>
  </r>
  <r>
    <s v="O00212"/>
    <s v="DYTJXE"/>
    <n v="1"/>
    <n v="57.07"/>
    <s v="Dessert"/>
    <n v="29.14"/>
    <d v="2025-07-11T00:00:00"/>
    <x v="0"/>
    <n v="0.1"/>
    <n v="51.363"/>
    <s v="July"/>
    <x v="1"/>
    <s v="Card"/>
    <x v="1"/>
    <s v="OK"/>
    <n v="29.14"/>
    <n v="22.222999999999999"/>
    <s v="Fruit Cup"/>
    <s v="Samosa+Fruit Cup+Bottled Water+Veg Thali"/>
    <n v="0.43266553744913649"/>
  </r>
  <r>
    <s v="O00212"/>
    <s v="B0T0PV"/>
    <n v="1"/>
    <n v="28.43"/>
    <s v="Beverage"/>
    <n v="13.89"/>
    <d v="2025-07-11T00:00:00"/>
    <x v="0"/>
    <n v="0.1"/>
    <n v="25.587"/>
    <s v="July"/>
    <x v="1"/>
    <s v="Card"/>
    <x v="1"/>
    <s v="OK"/>
    <n v="13.89"/>
    <n v="11.696999999999999"/>
    <s v="Bottled Water"/>
    <s v="Samosa+Fruit Cup+Bottled Water+Veg Thali"/>
    <n v="0.45714620705827175"/>
  </r>
  <r>
    <s v="O00212"/>
    <s v="HXAJI0"/>
    <n v="1"/>
    <n v="227.61"/>
    <s v="Hot Meal"/>
    <n v="96.22"/>
    <d v="2025-07-11T00:00:00"/>
    <x v="0"/>
    <n v="0.1"/>
    <n v="204.84900000000002"/>
    <s v="July"/>
    <x v="1"/>
    <s v="Card"/>
    <x v="1"/>
    <s v="OK"/>
    <n v="96.22"/>
    <n v="108.62900000000002"/>
    <s v="Veg Thali"/>
    <s v="Samosa+Fruit Cup+Bottled Water+Veg Thali"/>
    <n v="0.53028816347651198"/>
  </r>
  <r>
    <s v="O00213"/>
    <s v="S5NQ4F"/>
    <n v="2"/>
    <n v="50.19"/>
    <s v="Snack"/>
    <n v="22.61"/>
    <d v="2025-08-24T00:00:00"/>
    <x v="1"/>
    <n v="0"/>
    <n v="100.38"/>
    <s v="August"/>
    <x v="1"/>
    <s v="Cash"/>
    <x v="0"/>
    <s v="OK"/>
    <n v="45.22"/>
    <n v="55.16"/>
    <s v="Masala Puff"/>
    <s v="Masala Puff+Paneer Roll+Veg Thali"/>
    <n v="0.54951185495118549"/>
  </r>
  <r>
    <s v="O00213"/>
    <s v="SZBIKC"/>
    <n v="3"/>
    <n v="38.06"/>
    <s v="Snack"/>
    <n v="19.55"/>
    <d v="2025-08-24T00:00:00"/>
    <x v="1"/>
    <n v="0"/>
    <n v="114.18"/>
    <s v="August"/>
    <x v="1"/>
    <s v="Cash"/>
    <x v="0"/>
    <s v="OK"/>
    <n v="58.650000000000006"/>
    <n v="55.53"/>
    <s v="Paneer Roll"/>
    <s v="Masala Puff+Paneer Roll+Veg Thali"/>
    <n v="0.48633736205990541"/>
  </r>
  <r>
    <s v="O00213"/>
    <s v="HXAJI0"/>
    <n v="1"/>
    <n v="227.61"/>
    <s v="Hot Meal"/>
    <n v="96.22"/>
    <d v="2025-08-24T00:00:00"/>
    <x v="1"/>
    <n v="0"/>
    <n v="227.61"/>
    <s v="August"/>
    <x v="1"/>
    <s v="Cash"/>
    <x v="0"/>
    <s v="OK"/>
    <n v="96.22"/>
    <n v="131.39000000000001"/>
    <s v="Veg Thali"/>
    <s v="Masala Puff+Paneer Roll+Veg Thali"/>
    <n v="0.57725934712886084"/>
  </r>
  <r>
    <s v="O00214"/>
    <s v="DYTJXE"/>
    <n v="1"/>
    <n v="57.07"/>
    <s v="Dessert"/>
    <n v="29.14"/>
    <d v="2025-08-15T00:00:00"/>
    <x v="0"/>
    <n v="0.04"/>
    <n v="54.787199999999999"/>
    <s v="August"/>
    <x v="0"/>
    <s v="UPI"/>
    <x v="1"/>
    <s v="OK"/>
    <n v="29.14"/>
    <n v="25.647199999999998"/>
    <s v="Fruit Cup"/>
    <s v="Fruit Cup+Coffee+Veg Thali"/>
    <n v="0.4681239413585655"/>
  </r>
  <r>
    <s v="O00214"/>
    <s v="BHL1C3"/>
    <n v="1"/>
    <n v="22.2"/>
    <s v="Beverage"/>
    <n v="9.3800000000000008"/>
    <d v="2025-08-15T00:00:00"/>
    <x v="0"/>
    <n v="0.04"/>
    <n v="21.311999999999998"/>
    <s v="August"/>
    <x v="0"/>
    <s v="UPI"/>
    <x v="1"/>
    <s v="OK"/>
    <n v="9.3800000000000008"/>
    <n v="11.931999999999997"/>
    <s v="Coffee"/>
    <s v="Fruit Cup+Coffee+Veg Thali"/>
    <n v="0.55987237237237231"/>
  </r>
  <r>
    <s v="O00214"/>
    <s v="HXAJI0"/>
    <n v="3"/>
    <n v="227.61"/>
    <s v="Hot Meal"/>
    <n v="96.22"/>
    <d v="2025-08-15T00:00:00"/>
    <x v="0"/>
    <n v="0.04"/>
    <n v="655.51679999999999"/>
    <s v="August"/>
    <x v="0"/>
    <s v="UPI"/>
    <x v="1"/>
    <s v="OK"/>
    <n v="288.65999999999997"/>
    <n v="366.85680000000002"/>
    <s v="Veg Thali"/>
    <s v="Fruit Cup+Coffee+Veg Thali"/>
    <n v="0.55964515325923003"/>
  </r>
  <r>
    <s v="O00215"/>
    <s v="S5NQ4F"/>
    <n v="1"/>
    <n v="50.19"/>
    <s v="Snack"/>
    <n v="22.61"/>
    <d v="2025-07-12T00:00:00"/>
    <x v="2"/>
    <n v="0.11"/>
    <n v="44.6691"/>
    <s v="July"/>
    <x v="2"/>
    <s v="Cash"/>
    <x v="1"/>
    <s v="HighDisc"/>
    <n v="22.61"/>
    <n v="22.059100000000001"/>
    <s v="Masala Puff"/>
    <s v="Masala Puff+Rajma Chawal+Nimbu Pani+Gulab Jamun (2 pc)"/>
    <n v="0.49383354488897246"/>
  </r>
  <r>
    <s v="O00215"/>
    <s v="HUZZPQ"/>
    <n v="1"/>
    <n v="146.4"/>
    <s v="Hot Meal"/>
    <n v="80.92"/>
    <d v="2025-07-12T00:00:00"/>
    <x v="2"/>
    <n v="0.11"/>
    <n v="130.29600000000002"/>
    <s v="July"/>
    <x v="2"/>
    <s v="Cash"/>
    <x v="1"/>
    <s v="HighDisc"/>
    <n v="80.92"/>
    <n v="49.376000000000019"/>
    <s v="Rajma Chawal"/>
    <s v="Masala Puff+Rajma Chawal+Nimbu Pani+Gulab Jamun (2 pc)"/>
    <n v="0.37895253883465346"/>
  </r>
  <r>
    <s v="O00215"/>
    <s v="BXO6QJ"/>
    <n v="1"/>
    <n v="20.11"/>
    <s v="Beverage"/>
    <n v="8"/>
    <d v="2025-07-12T00:00:00"/>
    <x v="2"/>
    <n v="0.11"/>
    <n v="17.8979"/>
    <s v="July"/>
    <x v="2"/>
    <s v="Cash"/>
    <x v="1"/>
    <s v="HighDisc"/>
    <n v="8"/>
    <n v="9.8978999999999999"/>
    <s v="Nimbu Pani"/>
    <s v="Masala Puff+Rajma Chawal+Nimbu Pani+Gulab Jamun (2 pc)"/>
    <n v="0.55302018672581699"/>
  </r>
  <r>
    <s v="O00215"/>
    <s v="DH9SDB"/>
    <n v="2"/>
    <n v="76.55"/>
    <s v="Dessert"/>
    <n v="38.229999999999997"/>
    <d v="2025-07-12T00:00:00"/>
    <x v="2"/>
    <n v="0.11"/>
    <n v="136.25899999999999"/>
    <s v="July"/>
    <x v="2"/>
    <s v="Cash"/>
    <x v="1"/>
    <s v="HighDisc"/>
    <n v="76.459999999999994"/>
    <n v="59.798999999999992"/>
    <s v="Gulab Jamun (2 pc)"/>
    <s v="Masala Puff+Rajma Chawal+Nimbu Pani+Gulab Jamun (2 pc)"/>
    <n v="0.43886275401991792"/>
  </r>
  <r>
    <s v="O00216"/>
    <s v="BXO6QJ"/>
    <n v="2"/>
    <n v="20.11"/>
    <s v="Beverage"/>
    <n v="8"/>
    <d v="2025-08-18T00:00:00"/>
    <x v="2"/>
    <n v="0.03"/>
    <n v="39.013399999999997"/>
    <s v="August"/>
    <x v="0"/>
    <s v="Cash"/>
    <x v="0"/>
    <s v="OK"/>
    <n v="16"/>
    <n v="23.013399999999997"/>
    <s v="Nimbu Pani"/>
    <s v="Nimbu Pani+Tea+Veg Sandwich"/>
    <n v="0.58988450122265679"/>
  </r>
  <r>
    <s v="O00216"/>
    <s v="BTIQJ7"/>
    <n v="2"/>
    <n v="30.34"/>
    <s v="Beverage"/>
    <n v="14.18"/>
    <d v="2025-08-18T00:00:00"/>
    <x v="2"/>
    <n v="0.03"/>
    <n v="58.8596"/>
    <s v="August"/>
    <x v="0"/>
    <s v="Cash"/>
    <x v="0"/>
    <s v="OK"/>
    <n v="28.36"/>
    <n v="30.499600000000001"/>
    <s v="Tea"/>
    <s v="Nimbu Pani+Tea+Veg Sandwich"/>
    <n v="0.51817545481110983"/>
  </r>
  <r>
    <s v="O00216"/>
    <s v="SCKW5N"/>
    <n v="1"/>
    <n v="70.540000000000006"/>
    <s v="Snack"/>
    <n v="35.81"/>
    <d v="2025-08-18T00:00:00"/>
    <x v="2"/>
    <n v="0.03"/>
    <n v="68.4238"/>
    <s v="August"/>
    <x v="0"/>
    <s v="Cash"/>
    <x v="0"/>
    <s v="OK"/>
    <n v="35.81"/>
    <n v="32.613799999999998"/>
    <s v="Veg Sandwich"/>
    <s v="Nimbu Pani+Tea+Veg Sandwich"/>
    <n v="0.47664409167570343"/>
  </r>
  <r>
    <s v="O00217"/>
    <s v="H3A3ZM"/>
    <n v="1"/>
    <n v="170.83"/>
    <s v="Hot Meal"/>
    <n v="74.069999999999993"/>
    <d v="2025-07-14T00:00:00"/>
    <x v="1"/>
    <n v="0.08"/>
    <n v="157.16360000000003"/>
    <s v="July"/>
    <x v="0"/>
    <s v="Card"/>
    <x v="0"/>
    <s v="HighDisc"/>
    <n v="74.069999999999993"/>
    <n v="83.093600000000038"/>
    <s v="Paneer Butter Masala + Naan"/>
    <s v="Paneer Butter Masala + Naan+Chicken Thali+Samosa+Poha"/>
    <n v="0.52870766513365708"/>
  </r>
  <r>
    <s v="O00217"/>
    <s v="HDPBHS"/>
    <n v="1"/>
    <n v="256.91000000000003"/>
    <s v="Hot Meal"/>
    <n v="121.24"/>
    <d v="2025-07-14T00:00:00"/>
    <x v="1"/>
    <n v="0.08"/>
    <n v="236.35720000000003"/>
    <s v="July"/>
    <x v="0"/>
    <s v="Card"/>
    <x v="0"/>
    <s v="HighDisc"/>
    <n v="121.24"/>
    <n v="115.11720000000004"/>
    <s v="Chicken Thali"/>
    <s v="Paneer Butter Masala + Naan+Chicken Thali+Samosa+Poha"/>
    <n v="0.48704757037230101"/>
  </r>
  <r>
    <s v="O00217"/>
    <s v="SV30T9"/>
    <n v="2"/>
    <n v="39.950000000000003"/>
    <s v="Snack"/>
    <n v="15.51"/>
    <d v="2025-07-14T00:00:00"/>
    <x v="1"/>
    <n v="0.08"/>
    <n v="73.50800000000001"/>
    <s v="July"/>
    <x v="0"/>
    <s v="Card"/>
    <x v="0"/>
    <s v="HighDisc"/>
    <n v="31.02"/>
    <n v="42.488000000000014"/>
    <s v="Samosa"/>
    <s v="Paneer Butter Masala + Naan+Chicken Thali+Samosa+Poha"/>
    <n v="0.57800511508951413"/>
  </r>
  <r>
    <s v="O00217"/>
    <s v="SHJ7XV"/>
    <n v="3"/>
    <n v="52.45"/>
    <s v="Snack"/>
    <n v="25.8"/>
    <d v="2025-07-14T00:00:00"/>
    <x v="1"/>
    <n v="0.08"/>
    <n v="144.76200000000003"/>
    <s v="July"/>
    <x v="0"/>
    <s v="Card"/>
    <x v="0"/>
    <s v="HighDisc"/>
    <n v="77.400000000000006"/>
    <n v="67.362000000000023"/>
    <s v="Poha"/>
    <s v="Paneer Butter Masala + Naan+Chicken Thali+Samosa+Poha"/>
    <n v="0.46532929912546117"/>
  </r>
  <r>
    <s v="O00218"/>
    <s v="B0T0PV"/>
    <n v="1"/>
    <n v="28.43"/>
    <s v="Beverage"/>
    <n v="13.89"/>
    <d v="2025-08-10T00:00:00"/>
    <x v="0"/>
    <n v="0.09"/>
    <n v="25.871300000000002"/>
    <s v="August"/>
    <x v="1"/>
    <s v="UPI"/>
    <x v="0"/>
    <s v="OK"/>
    <n v="13.89"/>
    <n v="11.981300000000001"/>
    <s v="Bottled Water"/>
    <s v="Bottled Water"/>
    <n v="0.46311163335433475"/>
  </r>
  <r>
    <s v="O00219"/>
    <s v="DYTJXE"/>
    <n v="2"/>
    <n v="57.07"/>
    <s v="Dessert"/>
    <n v="29.14"/>
    <d v="2025-08-10T00:00:00"/>
    <x v="0"/>
    <n v="0.02"/>
    <n v="111.85719999999999"/>
    <s v="August"/>
    <x v="2"/>
    <s v="Card"/>
    <x v="0"/>
    <s v="OK"/>
    <n v="58.28"/>
    <n v="53.577199999999991"/>
    <s v="Fruit Cup"/>
    <s v="Fruit Cup+Veg Thali+Paneer Butter Masala + Naan"/>
    <n v="0.47897855480022739"/>
  </r>
  <r>
    <s v="O00219"/>
    <s v="HXAJI0"/>
    <n v="1"/>
    <n v="227.61"/>
    <s v="Hot Meal"/>
    <n v="96.22"/>
    <d v="2025-08-10T00:00:00"/>
    <x v="0"/>
    <n v="0.02"/>
    <n v="223.05780000000001"/>
    <s v="August"/>
    <x v="2"/>
    <s v="Card"/>
    <x v="0"/>
    <s v="OK"/>
    <n v="96.22"/>
    <n v="126.83780000000002"/>
    <s v="Veg Thali"/>
    <s v="Fruit Cup+Veg Thali+Paneer Butter Masala + Naan"/>
    <n v="0.56863198686618455"/>
  </r>
  <r>
    <s v="O00219"/>
    <s v="H3A3ZM"/>
    <n v="2"/>
    <n v="170.83"/>
    <s v="Hot Meal"/>
    <n v="74.069999999999993"/>
    <d v="2025-08-10T00:00:00"/>
    <x v="0"/>
    <n v="0.02"/>
    <n v="334.82679999999999"/>
    <s v="August"/>
    <x v="2"/>
    <s v="Card"/>
    <x v="0"/>
    <s v="OK"/>
    <n v="148.13999999999999"/>
    <n v="186.68680000000001"/>
    <s v="Paneer Butter Masala + Naan"/>
    <s v="Fruit Cup+Veg Thali+Paneer Butter Masala + Naan"/>
    <n v="0.55756229788057587"/>
  </r>
  <r>
    <s v="O00220"/>
    <s v="DH9SDB"/>
    <n v="3"/>
    <n v="76.55"/>
    <s v="Dessert"/>
    <n v="38.229999999999997"/>
    <d v="2025-07-28T00:00:00"/>
    <x v="2"/>
    <n v="0.06"/>
    <n v="215.87099999999995"/>
    <s v="July"/>
    <x v="0"/>
    <s v="Card"/>
    <x v="0"/>
    <s v="OK"/>
    <n v="114.69"/>
    <n v="101.18099999999995"/>
    <s v="Gulab Jamun (2 pc)"/>
    <s v="Gulab Jamun (2 pc)+Veg Thali+Kheer Cup"/>
    <n v="0.4687104798699222"/>
  </r>
  <r>
    <s v="O00220"/>
    <s v="HXAJI0"/>
    <n v="1"/>
    <n v="227.61"/>
    <s v="Hot Meal"/>
    <n v="96.22"/>
    <d v="2025-07-28T00:00:00"/>
    <x v="2"/>
    <n v="0.06"/>
    <n v="213.95339999999999"/>
    <s v="July"/>
    <x v="0"/>
    <s v="Card"/>
    <x v="0"/>
    <s v="OK"/>
    <n v="96.22"/>
    <n v="117.73339999999999"/>
    <s v="Veg Thali"/>
    <s v="Gulab Jamun (2 pc)+Veg Thali+Kheer Cup"/>
    <n v="0.55027590120091574"/>
  </r>
  <r>
    <s v="O00220"/>
    <s v="DFFYVN"/>
    <n v="3"/>
    <n v="54.2"/>
    <s v="Dessert"/>
    <n v="21.95"/>
    <d v="2025-07-28T00:00:00"/>
    <x v="2"/>
    <n v="0.06"/>
    <n v="152.84400000000002"/>
    <s v="July"/>
    <x v="0"/>
    <s v="Card"/>
    <x v="0"/>
    <s v="OK"/>
    <n v="65.849999999999994"/>
    <n v="86.994000000000028"/>
    <s v="Kheer Cup"/>
    <s v="Gulab Jamun (2 pc)+Veg Thali+Kheer Cup"/>
    <n v="0.56916856402606586"/>
  </r>
  <r>
    <s v="O00221"/>
    <s v="DYTJXE"/>
    <n v="1"/>
    <n v="57.07"/>
    <s v="Dessert"/>
    <n v="29.14"/>
    <d v="2025-08-13T00:00:00"/>
    <x v="1"/>
    <n v="0"/>
    <n v="57.07"/>
    <s v="August"/>
    <x v="0"/>
    <s v="Card"/>
    <x v="0"/>
    <s v="OK"/>
    <n v="29.14"/>
    <n v="27.93"/>
    <s v="Fruit Cup"/>
    <s v="Fruit Cup"/>
    <n v="0.48939898370422286"/>
  </r>
  <r>
    <s v="O00222"/>
    <s v="SV30T9"/>
    <n v="1"/>
    <n v="39.950000000000003"/>
    <s v="Snack"/>
    <n v="15.51"/>
    <d v="2025-08-05T00:00:00"/>
    <x v="0"/>
    <n v="0.02"/>
    <n v="39.151000000000003"/>
    <s v="August"/>
    <x v="1"/>
    <s v="Card"/>
    <x v="0"/>
    <s v="OK"/>
    <n v="15.51"/>
    <n v="23.641000000000005"/>
    <s v="Samosa"/>
    <s v="Samosa+Nimbu Pani+Tea+Kheer Cup"/>
    <n v="0.6038415366146459"/>
  </r>
  <r>
    <s v="O00222"/>
    <s v="BXO6QJ"/>
    <n v="2"/>
    <n v="20.11"/>
    <s v="Beverage"/>
    <n v="8"/>
    <d v="2025-08-05T00:00:00"/>
    <x v="0"/>
    <n v="0.02"/>
    <n v="39.415599999999998"/>
    <s v="August"/>
    <x v="1"/>
    <s v="Card"/>
    <x v="0"/>
    <s v="OK"/>
    <n v="16"/>
    <n v="23.415599999999998"/>
    <s v="Nimbu Pani"/>
    <s v="Samosa+Nimbu Pani+Tea+Kheer Cup"/>
    <n v="0.59406935325099708"/>
  </r>
  <r>
    <s v="O00222"/>
    <s v="BTIQJ7"/>
    <n v="2"/>
    <n v="30.34"/>
    <s v="Beverage"/>
    <n v="14.18"/>
    <d v="2025-08-05T00:00:00"/>
    <x v="0"/>
    <n v="0.02"/>
    <n v="59.4664"/>
    <s v="August"/>
    <x v="1"/>
    <s v="Card"/>
    <x v="0"/>
    <s v="OK"/>
    <n v="28.36"/>
    <n v="31.106400000000001"/>
    <s v="Tea"/>
    <s v="Samosa+Nimbu Pani+Tea+Kheer Cup"/>
    <n v="0.52309203180283326"/>
  </r>
  <r>
    <s v="O00222"/>
    <s v="DFFYVN"/>
    <n v="3"/>
    <n v="54.2"/>
    <s v="Dessert"/>
    <n v="21.95"/>
    <d v="2025-08-05T00:00:00"/>
    <x v="0"/>
    <n v="0.02"/>
    <n v="159.34800000000001"/>
    <s v="August"/>
    <x v="1"/>
    <s v="Card"/>
    <x v="0"/>
    <s v="OK"/>
    <n v="65.849999999999994"/>
    <n v="93.498000000000019"/>
    <s v="Kheer Cup"/>
    <s v="Samosa+Nimbu Pani+Tea+Kheer Cup"/>
    <n v="0.58675352059643049"/>
  </r>
  <r>
    <s v="O00223"/>
    <s v="DFFYVN"/>
    <n v="2"/>
    <n v="54.2"/>
    <s v="Dessert"/>
    <n v="21.95"/>
    <d v="2025-08-08T00:00:00"/>
    <x v="1"/>
    <n v="0.05"/>
    <n v="102.98"/>
    <s v="August"/>
    <x v="1"/>
    <s v="Cash"/>
    <x v="0"/>
    <s v="OK"/>
    <n v="43.9"/>
    <n v="59.080000000000005"/>
    <s v="Kheer Cup"/>
    <s v="Kheer Cup+Coffee+Bottled Water"/>
    <n v="0.57370363177315986"/>
  </r>
  <r>
    <s v="O00223"/>
    <s v="BHL1C3"/>
    <n v="1"/>
    <n v="22.2"/>
    <s v="Beverage"/>
    <n v="9.3800000000000008"/>
    <d v="2025-08-08T00:00:00"/>
    <x v="1"/>
    <n v="0.05"/>
    <n v="21.09"/>
    <s v="August"/>
    <x v="1"/>
    <s v="Cash"/>
    <x v="0"/>
    <s v="OK"/>
    <n v="9.3800000000000008"/>
    <n v="11.709999999999999"/>
    <s v="Coffee"/>
    <s v="Kheer Cup+Coffee+Bottled Water"/>
    <n v="0.55523944997629204"/>
  </r>
  <r>
    <s v="O00223"/>
    <s v="B0T0PV"/>
    <n v="2"/>
    <n v="28.43"/>
    <s v="Beverage"/>
    <n v="13.89"/>
    <d v="2025-08-08T00:00:00"/>
    <x v="1"/>
    <n v="0.05"/>
    <n v="54.016999999999996"/>
    <s v="August"/>
    <x v="1"/>
    <s v="Cash"/>
    <x v="0"/>
    <s v="OK"/>
    <n v="27.78"/>
    <n v="26.236999999999995"/>
    <s v="Bottled Water"/>
    <s v="Kheer Cup+Coffee+Bottled Water"/>
    <n v="0.48571745931836269"/>
  </r>
  <r>
    <s v="O00224"/>
    <s v="SHJ7XV"/>
    <n v="3"/>
    <n v="52.45"/>
    <s v="Snack"/>
    <n v="25.8"/>
    <d v="2025-07-10T00:00:00"/>
    <x v="0"/>
    <n v="0.01"/>
    <n v="155.77650000000003"/>
    <s v="July"/>
    <x v="0"/>
    <s v="UPI"/>
    <x v="0"/>
    <s v="OK"/>
    <n v="77.400000000000006"/>
    <n v="78.376500000000021"/>
    <s v="Poha"/>
    <s v="Poha"/>
    <n v="0.50313429817719624"/>
  </r>
  <r>
    <s v="O00225"/>
    <s v="SCKW5N"/>
    <n v="1"/>
    <n v="70.540000000000006"/>
    <s v="Snack"/>
    <n v="35.81"/>
    <d v="2025-07-06T00:00:00"/>
    <x v="1"/>
    <n v="0.13"/>
    <n v="61.369800000000005"/>
    <s v="July"/>
    <x v="0"/>
    <s v="Cash"/>
    <x v="1"/>
    <s v="HighDisc"/>
    <n v="35.81"/>
    <n v="25.559800000000003"/>
    <s v="Veg Sandwich"/>
    <s v="Veg Sandwich+Bottled Water+Chicken Thali+Tea"/>
    <n v="0.41648824014417518"/>
  </r>
  <r>
    <s v="O00225"/>
    <s v="B0T0PV"/>
    <n v="2"/>
    <n v="28.43"/>
    <s v="Beverage"/>
    <n v="13.89"/>
    <d v="2025-07-06T00:00:00"/>
    <x v="1"/>
    <n v="0.13"/>
    <n v="49.468199999999996"/>
    <s v="July"/>
    <x v="0"/>
    <s v="Cash"/>
    <x v="1"/>
    <s v="HighDisc"/>
    <n v="27.78"/>
    <n v="21.688199999999995"/>
    <s v="Bottled Water"/>
    <s v="Veg Sandwich+Bottled Water+Chicken Thali+Tea"/>
    <n v="0.43842711074993623"/>
  </r>
  <r>
    <s v="O00225"/>
    <s v="HDPBHS"/>
    <n v="3"/>
    <n v="256.91000000000003"/>
    <s v="Hot Meal"/>
    <n v="121.24"/>
    <d v="2025-07-06T00:00:00"/>
    <x v="1"/>
    <n v="0.13"/>
    <n v="670.53510000000006"/>
    <s v="July"/>
    <x v="0"/>
    <s v="Cash"/>
    <x v="1"/>
    <s v="HighDisc"/>
    <n v="363.71999999999997"/>
    <n v="306.81510000000009"/>
    <s v="Chicken Thali"/>
    <s v="Veg Sandwich+Bottled Water+Chicken Thali+Tea"/>
    <n v="0.4575675456810539"/>
  </r>
  <r>
    <s v="O00225"/>
    <s v="BTIQJ7"/>
    <n v="2"/>
    <n v="30.34"/>
    <s v="Beverage"/>
    <n v="14.18"/>
    <d v="2025-07-06T00:00:00"/>
    <x v="1"/>
    <n v="0.13"/>
    <n v="52.791600000000003"/>
    <s v="July"/>
    <x v="0"/>
    <s v="Cash"/>
    <x v="1"/>
    <s v="HighDisc"/>
    <n v="28.36"/>
    <n v="24.431600000000003"/>
    <s v="Tea"/>
    <s v="Veg Sandwich+Bottled Water+Chicken Thali+Tea"/>
    <n v="0.46279332318020294"/>
  </r>
  <r>
    <s v="O00226"/>
    <s v="BTIQJ7"/>
    <n v="1"/>
    <n v="30.34"/>
    <s v="Beverage"/>
    <n v="14.18"/>
    <d v="2025-07-07T00:00:00"/>
    <x v="0"/>
    <n v="0"/>
    <n v="30.34"/>
    <s v="July"/>
    <x v="1"/>
    <s v="UPI"/>
    <x v="1"/>
    <s v="OK"/>
    <n v="14.18"/>
    <n v="16.16"/>
    <s v="Tea"/>
    <s v="Tea+Rajma Chawal+Gulab Jamun (2 pc)"/>
    <n v="0.53263019116677657"/>
  </r>
  <r>
    <s v="O00226"/>
    <s v="HUZZPQ"/>
    <n v="1"/>
    <n v="146.4"/>
    <s v="Hot Meal"/>
    <n v="80.92"/>
    <d v="2025-07-07T00:00:00"/>
    <x v="0"/>
    <n v="0"/>
    <n v="146.4"/>
    <s v="July"/>
    <x v="1"/>
    <s v="UPI"/>
    <x v="1"/>
    <s v="OK"/>
    <n v="80.92"/>
    <n v="65.48"/>
    <s v="Rajma Chawal"/>
    <s v="Tea+Rajma Chawal+Gulab Jamun (2 pc)"/>
    <n v="0.44726775956284154"/>
  </r>
  <r>
    <s v="O00226"/>
    <s v="DH9SDB"/>
    <n v="2"/>
    <n v="76.55"/>
    <s v="Dessert"/>
    <n v="38.229999999999997"/>
    <d v="2025-07-07T00:00:00"/>
    <x v="0"/>
    <n v="0"/>
    <n v="153.1"/>
    <s v="July"/>
    <x v="1"/>
    <s v="UPI"/>
    <x v="1"/>
    <s v="OK"/>
    <n v="76.459999999999994"/>
    <n v="76.64"/>
    <s v="Gulab Jamun (2 pc)"/>
    <s v="Tea+Rajma Chawal+Gulab Jamun (2 pc)"/>
    <n v="0.50058785107772696"/>
  </r>
  <r>
    <s v="O00227"/>
    <s v="H3A3ZM"/>
    <n v="2"/>
    <n v="170.83"/>
    <s v="Hot Meal"/>
    <n v="74.069999999999993"/>
    <d v="2025-07-23T00:00:00"/>
    <x v="1"/>
    <n v="0.04"/>
    <n v="327.99360000000001"/>
    <s v="July"/>
    <x v="1"/>
    <s v="UPI"/>
    <x v="0"/>
    <s v="OK"/>
    <n v="148.13999999999999"/>
    <n v="179.85360000000003"/>
    <s v="Paneer Butter Masala + Naan"/>
    <s v="Paneer Butter Masala + Naan+Kheer Cup"/>
    <n v="0.54834484575308795"/>
  </r>
  <r>
    <s v="O00227"/>
    <s v="DFFYVN"/>
    <n v="1"/>
    <n v="54.2"/>
    <s v="Dessert"/>
    <n v="21.95"/>
    <d v="2025-07-23T00:00:00"/>
    <x v="1"/>
    <n v="0.04"/>
    <n v="52.032000000000004"/>
    <s v="July"/>
    <x v="1"/>
    <s v="UPI"/>
    <x v="0"/>
    <s v="OK"/>
    <n v="21.95"/>
    <n v="30.082000000000004"/>
    <s v="Kheer Cup"/>
    <s v="Paneer Butter Masala + Naan+Kheer Cup"/>
    <n v="0.57814421894218948"/>
  </r>
  <r>
    <s v="O00228"/>
    <s v="DFFYVN"/>
    <n v="2"/>
    <n v="54.2"/>
    <s v="Dessert"/>
    <n v="21.95"/>
    <d v="2025-07-28T00:00:00"/>
    <x v="2"/>
    <n v="7.0000000000000007E-2"/>
    <n v="100.812"/>
    <s v="July"/>
    <x v="0"/>
    <s v="UPI"/>
    <x v="0"/>
    <s v="OK"/>
    <n v="43.9"/>
    <n v="56.911999999999999"/>
    <s v="Kheer Cup"/>
    <s v="Kheer Cup"/>
    <n v="0.56453596794032457"/>
  </r>
  <r>
    <s v="O00229"/>
    <s v="HH1DNM"/>
    <n v="1"/>
    <n v="246.09"/>
    <s v="Hot Meal"/>
    <n v="112.08"/>
    <d v="2025-07-18T00:00:00"/>
    <x v="2"/>
    <n v="0.12"/>
    <n v="216.5592"/>
    <s v="July"/>
    <x v="0"/>
    <s v="Cash"/>
    <x v="0"/>
    <s v="HighDisc"/>
    <n v="112.08"/>
    <n v="104.47920000000001"/>
    <s v="Egg Curry + Rice"/>
    <s v="Egg Curry + Rice+Kheer Cup+Veg Sandwich+Paneer Roll"/>
    <n v="0.48245098799773922"/>
  </r>
  <r>
    <s v="O00229"/>
    <s v="DFFYVN"/>
    <n v="3"/>
    <n v="54.2"/>
    <s v="Dessert"/>
    <n v="21.95"/>
    <d v="2025-07-18T00:00:00"/>
    <x v="2"/>
    <n v="0.12"/>
    <n v="143.08800000000002"/>
    <s v="July"/>
    <x v="0"/>
    <s v="Cash"/>
    <x v="0"/>
    <s v="HighDisc"/>
    <n v="65.849999999999994"/>
    <n v="77.238000000000028"/>
    <s v="Kheer Cup"/>
    <s v="Egg Curry + Rice+Kheer Cup+Veg Sandwich+Paneer Roll"/>
    <n v="0.53979369339147953"/>
  </r>
  <r>
    <s v="O00229"/>
    <s v="SCKW5N"/>
    <n v="1"/>
    <n v="70.540000000000006"/>
    <s v="Snack"/>
    <n v="35.81"/>
    <d v="2025-07-18T00:00:00"/>
    <x v="2"/>
    <n v="0.12"/>
    <n v="62.075200000000002"/>
    <s v="July"/>
    <x v="0"/>
    <s v="Cash"/>
    <x v="0"/>
    <s v="HighDisc"/>
    <n v="35.81"/>
    <n v="26.2652"/>
    <s v="Veg Sandwich"/>
    <s v="Egg Curry + Rice+Kheer Cup+Veg Sandwich+Paneer Roll"/>
    <n v="0.42311905559708224"/>
  </r>
  <r>
    <s v="O00229"/>
    <s v="SZBIKC"/>
    <n v="1"/>
    <n v="38.06"/>
    <s v="Snack"/>
    <n v="19.55"/>
    <d v="2025-07-18T00:00:00"/>
    <x v="2"/>
    <n v="0.12"/>
    <n v="33.492800000000003"/>
    <s v="July"/>
    <x v="0"/>
    <s v="Cash"/>
    <x v="0"/>
    <s v="HighDisc"/>
    <n v="19.55"/>
    <n v="13.942800000000002"/>
    <s v="Paneer Roll"/>
    <s v="Egg Curry + Rice+Kheer Cup+Veg Sandwich+Paneer Roll"/>
    <n v="0.41629245688625616"/>
  </r>
  <r>
    <s v="O00230"/>
    <s v="H3A3ZM"/>
    <n v="1"/>
    <n v="170.83"/>
    <s v="Hot Meal"/>
    <n v="74.069999999999993"/>
    <d v="2025-07-02T00:00:00"/>
    <x v="1"/>
    <n v="0"/>
    <n v="170.83"/>
    <s v="July"/>
    <x v="1"/>
    <s v="UPI"/>
    <x v="1"/>
    <s v="OK"/>
    <n v="74.069999999999993"/>
    <n v="96.760000000000019"/>
    <s v="Paneer Butter Masala + Naan"/>
    <s v="Paneer Butter Masala + Naan+Bottled Water"/>
    <n v="0.56641105192296437"/>
  </r>
  <r>
    <s v="O00230"/>
    <s v="B0T0PV"/>
    <n v="1"/>
    <n v="28.43"/>
    <s v="Beverage"/>
    <n v="13.89"/>
    <d v="2025-07-02T00:00:00"/>
    <x v="1"/>
    <n v="0"/>
    <n v="28.43"/>
    <s v="July"/>
    <x v="1"/>
    <s v="UPI"/>
    <x v="1"/>
    <s v="OK"/>
    <n v="13.89"/>
    <n v="14.54"/>
    <s v="Bottled Water"/>
    <s v="Paneer Butter Masala + Naan+Bottled Water"/>
    <n v="0.51143158635244457"/>
  </r>
  <r>
    <s v="O00231"/>
    <s v="D9T84A"/>
    <n v="1"/>
    <n v="116.8"/>
    <s v="Dessert"/>
    <n v="48.97"/>
    <d v="2025-07-02T00:00:00"/>
    <x v="2"/>
    <n v="0.11"/>
    <n v="103.952"/>
    <s v="July"/>
    <x v="1"/>
    <s v="Cash"/>
    <x v="0"/>
    <s v="HighDisc"/>
    <n v="48.97"/>
    <n v="54.981999999999999"/>
    <s v="Brownie"/>
    <s v="Brownie+Poha+Masala Chaas+Gulab Jamun (2 pc)"/>
    <n v="0.52891719255040792"/>
  </r>
  <r>
    <s v="O00231"/>
    <s v="SHJ7XV"/>
    <n v="2"/>
    <n v="52.45"/>
    <s v="Snack"/>
    <n v="25.8"/>
    <d v="2025-07-02T00:00:00"/>
    <x v="2"/>
    <n v="0.11"/>
    <n v="93.361000000000004"/>
    <s v="July"/>
    <x v="1"/>
    <s v="Cash"/>
    <x v="0"/>
    <s v="HighDisc"/>
    <n v="51.6"/>
    <n v="41.761000000000003"/>
    <s v="Poha"/>
    <s v="Brownie+Poha+Masala Chaas+Gulab Jamun (2 pc)"/>
    <n v="0.44730669123081374"/>
  </r>
  <r>
    <s v="O00231"/>
    <s v="BOC6UZ"/>
    <n v="2"/>
    <n v="32.979999999999997"/>
    <s v="Beverage"/>
    <n v="11.84"/>
    <d v="2025-07-02T00:00:00"/>
    <x v="2"/>
    <n v="0.11"/>
    <n v="58.704399999999993"/>
    <s v="July"/>
    <x v="1"/>
    <s v="Cash"/>
    <x v="0"/>
    <s v="HighDisc"/>
    <n v="23.68"/>
    <n v="35.024399999999993"/>
    <s v="Masala Chaas"/>
    <s v="Brownie+Poha+Masala Chaas+Gulab Jamun (2 pc)"/>
    <n v="0.59662308106377027"/>
  </r>
  <r>
    <s v="O00231"/>
    <s v="DH9SDB"/>
    <n v="3"/>
    <n v="76.55"/>
    <s v="Dessert"/>
    <n v="38.229999999999997"/>
    <d v="2025-07-02T00:00:00"/>
    <x v="2"/>
    <n v="0.11"/>
    <n v="204.38849999999999"/>
    <s v="July"/>
    <x v="1"/>
    <s v="Cash"/>
    <x v="0"/>
    <s v="HighDisc"/>
    <n v="114.69"/>
    <n v="89.698499999999996"/>
    <s v="Gulab Jamun (2 pc)"/>
    <s v="Brownie+Poha+Masala Chaas+Gulab Jamun (2 pc)"/>
    <n v="0.43886275401991792"/>
  </r>
  <r>
    <s v="O00232"/>
    <s v="BHL1C3"/>
    <n v="1"/>
    <n v="22.2"/>
    <s v="Beverage"/>
    <n v="9.3800000000000008"/>
    <d v="2025-08-11T00:00:00"/>
    <x v="0"/>
    <n v="0.06"/>
    <n v="20.867999999999999"/>
    <s v="August"/>
    <x v="0"/>
    <s v="UPI"/>
    <x v="1"/>
    <s v="OK"/>
    <n v="9.3800000000000008"/>
    <n v="11.487999999999998"/>
    <s v="Coffee"/>
    <s v="Coffee+Egg Curry + Rice"/>
    <n v="0.55050795476327385"/>
  </r>
  <r>
    <s v="O00232"/>
    <s v="HH1DNM"/>
    <n v="2"/>
    <n v="246.09"/>
    <s v="Hot Meal"/>
    <n v="112.08"/>
    <d v="2025-08-11T00:00:00"/>
    <x v="0"/>
    <n v="0.06"/>
    <n v="462.64920000000001"/>
    <s v="August"/>
    <x v="0"/>
    <s v="UPI"/>
    <x v="1"/>
    <s v="OK"/>
    <n v="224.16"/>
    <n v="238.48920000000001"/>
    <s v="Egg Curry + Rice"/>
    <s v="Coffee+Egg Curry + Rice"/>
    <n v="0.51548603131703241"/>
  </r>
  <r>
    <s v="O00233"/>
    <s v="S5NQ4F"/>
    <n v="2"/>
    <n v="50.19"/>
    <s v="Snack"/>
    <n v="22.61"/>
    <d v="2025-08-16T00:00:00"/>
    <x v="1"/>
    <n v="0.02"/>
    <n v="98.372399999999999"/>
    <s v="August"/>
    <x v="2"/>
    <s v="UPI"/>
    <x v="0"/>
    <s v="OK"/>
    <n v="45.22"/>
    <n v="53.1524"/>
    <s v="Masala Puff"/>
    <s v="Masala Puff+Tea"/>
    <n v="0.54031821933794444"/>
  </r>
  <r>
    <s v="O00233"/>
    <s v="BTIQJ7"/>
    <n v="1"/>
    <n v="30.34"/>
    <s v="Beverage"/>
    <n v="14.18"/>
    <d v="2025-08-16T00:00:00"/>
    <x v="1"/>
    <n v="0.02"/>
    <n v="29.7332"/>
    <s v="August"/>
    <x v="2"/>
    <s v="UPI"/>
    <x v="0"/>
    <s v="OK"/>
    <n v="14.18"/>
    <n v="15.5532"/>
    <s v="Tea"/>
    <s v="Masala Puff+Tea"/>
    <n v="0.52309203180283326"/>
  </r>
  <r>
    <s v="O00234"/>
    <s v="SV30T9"/>
    <n v="1"/>
    <n v="39.950000000000003"/>
    <s v="Snack"/>
    <n v="15.51"/>
    <d v="2025-08-14T00:00:00"/>
    <x v="0"/>
    <n v="0.08"/>
    <n v="36.754000000000005"/>
    <s v="August"/>
    <x v="0"/>
    <s v="UPI"/>
    <x v="0"/>
    <s v="OK"/>
    <n v="15.51"/>
    <n v="21.244000000000007"/>
    <s v="Samosa"/>
    <s v="Samosa"/>
    <n v="0.57800511508951413"/>
  </r>
  <r>
    <s v="O00235"/>
    <s v="HUZZPQ"/>
    <n v="1"/>
    <n v="146.4"/>
    <s v="Hot Meal"/>
    <n v="80.92"/>
    <d v="2025-08-20T00:00:00"/>
    <x v="1"/>
    <n v="7.0000000000000007E-2"/>
    <n v="136.15199999999999"/>
    <s v="August"/>
    <x v="1"/>
    <s v="UPI"/>
    <x v="0"/>
    <s v="OK"/>
    <n v="80.92"/>
    <n v="55.231999999999985"/>
    <s v="Rajma Chawal"/>
    <s v="Rajma Chawal"/>
    <n v="0.40566425759445318"/>
  </r>
  <r>
    <s v="O00236"/>
    <s v="SCKW5N"/>
    <n v="2"/>
    <n v="70.540000000000006"/>
    <s v="Snack"/>
    <n v="35.81"/>
    <d v="2025-07-07T00:00:00"/>
    <x v="1"/>
    <n v="0.04"/>
    <n v="135.43680000000001"/>
    <s v="July"/>
    <x v="0"/>
    <s v="Card"/>
    <x v="0"/>
    <s v="OK"/>
    <n v="71.62"/>
    <n v="63.816800000000001"/>
    <s v="Veg Sandwich"/>
    <s v="Veg Sandwich+Fruit Cup"/>
    <n v="0.4711924676306587"/>
  </r>
  <r>
    <s v="O00236"/>
    <s v="DYTJXE"/>
    <n v="1"/>
    <n v="57.07"/>
    <s v="Dessert"/>
    <n v="29.14"/>
    <d v="2025-07-07T00:00:00"/>
    <x v="1"/>
    <n v="0.04"/>
    <n v="54.787199999999999"/>
    <s v="July"/>
    <x v="0"/>
    <s v="Card"/>
    <x v="0"/>
    <s v="OK"/>
    <n v="29.14"/>
    <n v="25.647199999999998"/>
    <s v="Fruit Cup"/>
    <s v="Veg Sandwich+Fruit Cup"/>
    <n v="0.4681239413585655"/>
  </r>
  <r>
    <s v="O00237"/>
    <s v="SV30T9"/>
    <n v="2"/>
    <n v="39.950000000000003"/>
    <s v="Snack"/>
    <n v="15.51"/>
    <d v="2025-08-17T00:00:00"/>
    <x v="0"/>
    <n v="0.06"/>
    <n v="75.105999999999995"/>
    <s v="August"/>
    <x v="1"/>
    <s v="Cash"/>
    <x v="0"/>
    <s v="OK"/>
    <n v="31.02"/>
    <n v="44.085999999999999"/>
    <s v="Samosa"/>
    <s v="Samosa"/>
    <n v="0.58698372966207757"/>
  </r>
  <r>
    <s v="O00238"/>
    <s v="DH9SDB"/>
    <n v="2"/>
    <n v="76.55"/>
    <s v="Dessert"/>
    <n v="38.229999999999997"/>
    <d v="2025-08-01T00:00:00"/>
    <x v="0"/>
    <n v="0.04"/>
    <n v="146.976"/>
    <s v="August"/>
    <x v="2"/>
    <s v="Cash"/>
    <x v="0"/>
    <s v="OK"/>
    <n v="76.459999999999994"/>
    <n v="70.516000000000005"/>
    <s v="Gulab Jamun (2 pc)"/>
    <s v="Gulab Jamun (2 pc)+Coffee+Veg Sandwich+Bottled Water"/>
    <n v="0.47977901153929897"/>
  </r>
  <r>
    <s v="O00238"/>
    <s v="BHL1C3"/>
    <n v="1"/>
    <n v="22.2"/>
    <s v="Beverage"/>
    <n v="9.3800000000000008"/>
    <d v="2025-08-01T00:00:00"/>
    <x v="0"/>
    <n v="0.04"/>
    <n v="21.311999999999998"/>
    <s v="August"/>
    <x v="2"/>
    <s v="Cash"/>
    <x v="0"/>
    <s v="OK"/>
    <n v="9.3800000000000008"/>
    <n v="11.931999999999997"/>
    <s v="Coffee"/>
    <s v="Gulab Jamun (2 pc)+Coffee+Veg Sandwich+Bottled Water"/>
    <n v="0.55987237237237231"/>
  </r>
  <r>
    <s v="O00238"/>
    <s v="SCKW5N"/>
    <n v="2"/>
    <n v="70.540000000000006"/>
    <s v="Snack"/>
    <n v="35.81"/>
    <d v="2025-08-01T00:00:00"/>
    <x v="0"/>
    <n v="0.04"/>
    <n v="135.43680000000001"/>
    <s v="August"/>
    <x v="2"/>
    <s v="Cash"/>
    <x v="0"/>
    <s v="OK"/>
    <n v="71.62"/>
    <n v="63.816800000000001"/>
    <s v="Veg Sandwich"/>
    <s v="Gulab Jamun (2 pc)+Coffee+Veg Sandwich+Bottled Water"/>
    <n v="0.4711924676306587"/>
  </r>
  <r>
    <s v="O00238"/>
    <s v="B0T0PV"/>
    <n v="2"/>
    <n v="28.43"/>
    <s v="Beverage"/>
    <n v="13.89"/>
    <d v="2025-08-01T00:00:00"/>
    <x v="0"/>
    <n v="0.04"/>
    <n v="54.585599999999999"/>
    <s v="August"/>
    <x v="2"/>
    <s v="Cash"/>
    <x v="0"/>
    <s v="OK"/>
    <n v="27.78"/>
    <n v="26.805599999999998"/>
    <s v="Bottled Water"/>
    <s v="Gulab Jamun (2 pc)+Coffee+Veg Sandwich+Bottled Water"/>
    <n v="0.49107456911712977"/>
  </r>
  <r>
    <s v="O00239"/>
    <s v="BXO6QJ"/>
    <n v="3"/>
    <n v="20.11"/>
    <s v="Beverage"/>
    <n v="8"/>
    <d v="2025-07-27T00:00:00"/>
    <x v="0"/>
    <n v="0.06"/>
    <n v="56.710199999999993"/>
    <s v="July"/>
    <x v="1"/>
    <s v="UPI"/>
    <x v="1"/>
    <s v="OK"/>
    <n v="24"/>
    <n v="32.710199999999993"/>
    <s v="Nimbu Pani"/>
    <s v="Nimbu Pani+Gulab Jamun (2 pc)+Rajma Chawal"/>
    <n v="0.57679570870848629"/>
  </r>
  <r>
    <s v="O00239"/>
    <s v="DH9SDB"/>
    <n v="1"/>
    <n v="76.55"/>
    <s v="Dessert"/>
    <n v="38.229999999999997"/>
    <d v="2025-07-27T00:00:00"/>
    <x v="0"/>
    <n v="0.06"/>
    <n v="71.956999999999994"/>
    <s v="July"/>
    <x v="1"/>
    <s v="UPI"/>
    <x v="1"/>
    <s v="OK"/>
    <n v="38.229999999999997"/>
    <n v="33.726999999999997"/>
    <s v="Gulab Jamun (2 pc)"/>
    <s v="Nimbu Pani+Gulab Jamun (2 pc)+Rajma Chawal"/>
    <n v="0.46871047986992231"/>
  </r>
  <r>
    <s v="O00239"/>
    <s v="HUZZPQ"/>
    <n v="2"/>
    <n v="146.4"/>
    <s v="Hot Meal"/>
    <n v="80.92"/>
    <d v="2025-07-27T00:00:00"/>
    <x v="0"/>
    <n v="0.06"/>
    <n v="275.23199999999997"/>
    <s v="July"/>
    <x v="1"/>
    <s v="UPI"/>
    <x v="1"/>
    <s v="OK"/>
    <n v="161.84"/>
    <n v="113.39199999999997"/>
    <s v="Rajma Chawal"/>
    <s v="Nimbu Pani+Gulab Jamun (2 pc)+Rajma Chawal"/>
    <n v="0.41198697825834196"/>
  </r>
  <r>
    <s v="O00240"/>
    <s v="SCKW5N"/>
    <n v="3"/>
    <n v="70.540000000000006"/>
    <s v="Snack"/>
    <n v="35.81"/>
    <d v="2025-08-01T00:00:00"/>
    <x v="1"/>
    <n v="0.09"/>
    <n v="192.57420000000002"/>
    <s v="August"/>
    <x v="1"/>
    <s v="UPI"/>
    <x v="0"/>
    <s v="HighDisc"/>
    <n v="107.43"/>
    <n v="85.144200000000012"/>
    <s v="Veg Sandwich"/>
    <s v="Veg Sandwich+Paneer Butter Masala + Naan+Gulab Jamun (2 pc)+Chicken Thali"/>
    <n v="0.44213710870926637"/>
  </r>
  <r>
    <s v="O00240"/>
    <s v="H3A3ZM"/>
    <n v="2"/>
    <n v="170.83"/>
    <s v="Hot Meal"/>
    <n v="74.069999999999993"/>
    <d v="2025-08-01T00:00:00"/>
    <x v="1"/>
    <n v="0.09"/>
    <n v="310.91060000000004"/>
    <s v="August"/>
    <x v="1"/>
    <s v="UPI"/>
    <x v="0"/>
    <s v="HighDisc"/>
    <n v="148.13999999999999"/>
    <n v="162.77060000000006"/>
    <s v="Paneer Butter Masala + Naan"/>
    <s v="Veg Sandwich+Paneer Butter Masala + Naan+Gulab Jamun (2 pc)+Chicken Thali"/>
    <n v="0.52352862848677417"/>
  </r>
  <r>
    <s v="O00240"/>
    <s v="DH9SDB"/>
    <n v="3"/>
    <n v="76.55"/>
    <s v="Dessert"/>
    <n v="38.229999999999997"/>
    <d v="2025-08-01T00:00:00"/>
    <x v="1"/>
    <n v="0.09"/>
    <n v="208.98149999999998"/>
    <s v="August"/>
    <x v="1"/>
    <s v="UPI"/>
    <x v="0"/>
    <s v="HighDisc"/>
    <n v="114.69"/>
    <n v="94.291499999999985"/>
    <s v="Gulab Jamun (2 pc)"/>
    <s v="Veg Sandwich+Paneer Butter Masala + Naan+Gulab Jamun (2 pc)+Chicken Thali"/>
    <n v="0.45119544074475487"/>
  </r>
  <r>
    <s v="O00240"/>
    <s v="HDPBHS"/>
    <n v="2"/>
    <n v="256.91000000000003"/>
    <s v="Hot Meal"/>
    <n v="121.24"/>
    <d v="2025-08-01T00:00:00"/>
    <x v="1"/>
    <n v="0.09"/>
    <n v="467.57620000000009"/>
    <s v="August"/>
    <x v="1"/>
    <s v="UPI"/>
    <x v="0"/>
    <s v="HighDisc"/>
    <n v="242.48"/>
    <n v="225.0962000000001"/>
    <s v="Chicken Thali"/>
    <s v="Veg Sandwich+Paneer Butter Masala + Naan+Gulab Jamun (2 pc)+Chicken Thali"/>
    <n v="0.48141073048628236"/>
  </r>
  <r>
    <s v="O00241"/>
    <s v="BTIQJ7"/>
    <n v="1"/>
    <n v="30.34"/>
    <s v="Beverage"/>
    <n v="14.18"/>
    <d v="2025-08-14T00:00:00"/>
    <x v="0"/>
    <n v="0.12"/>
    <n v="26.699200000000001"/>
    <s v="August"/>
    <x v="0"/>
    <s v="Card"/>
    <x v="0"/>
    <s v="OK"/>
    <n v="14.18"/>
    <n v="12.519200000000001"/>
    <s v="Tea"/>
    <s v="Tea+Brownie"/>
    <n v="0.46889794450770061"/>
  </r>
  <r>
    <s v="O00241"/>
    <s v="D9T84A"/>
    <n v="1"/>
    <n v="116.8"/>
    <s v="Dessert"/>
    <n v="48.97"/>
    <d v="2025-08-14T00:00:00"/>
    <x v="0"/>
    <n v="0.12"/>
    <n v="102.78399999999999"/>
    <s v="August"/>
    <x v="0"/>
    <s v="Card"/>
    <x v="0"/>
    <s v="OK"/>
    <n v="48.97"/>
    <n v="53.813999999999993"/>
    <s v="Brownie"/>
    <s v="Tea+Brownie"/>
    <n v="0.52356397882938976"/>
  </r>
  <r>
    <s v="O00242"/>
    <s v="SZBIKC"/>
    <n v="1"/>
    <n v="38.06"/>
    <s v="Snack"/>
    <n v="19.55"/>
    <d v="2025-07-12T00:00:00"/>
    <x v="0"/>
    <n v="0.01"/>
    <n v="37.679400000000001"/>
    <s v="July"/>
    <x v="0"/>
    <s v="UPI"/>
    <x v="0"/>
    <s v="OK"/>
    <n v="19.55"/>
    <n v="18.1294"/>
    <s v="Paneer Roll"/>
    <s v="Paneer Roll+Chicken Thali+Samosa+Egg Curry + Rice"/>
    <n v="0.481148850565561"/>
  </r>
  <r>
    <s v="O00242"/>
    <s v="HDPBHS"/>
    <n v="2"/>
    <n v="256.91000000000003"/>
    <s v="Hot Meal"/>
    <n v="121.24"/>
    <d v="2025-07-12T00:00:00"/>
    <x v="0"/>
    <n v="0.01"/>
    <n v="508.68180000000007"/>
    <s v="July"/>
    <x v="0"/>
    <s v="UPI"/>
    <x v="0"/>
    <s v="OK"/>
    <n v="242.48"/>
    <n v="266.20180000000005"/>
    <s v="Chicken Thali"/>
    <s v="Paneer Roll+Chicken Thali+Samosa+Egg Curry + Rice"/>
    <n v="0.52331693408335034"/>
  </r>
  <r>
    <s v="O00242"/>
    <s v="SV30T9"/>
    <n v="2"/>
    <n v="39.950000000000003"/>
    <s v="Snack"/>
    <n v="15.51"/>
    <d v="2025-07-12T00:00:00"/>
    <x v="0"/>
    <n v="0.01"/>
    <n v="79.100999999999999"/>
    <s v="July"/>
    <x v="0"/>
    <s v="UPI"/>
    <x v="0"/>
    <s v="OK"/>
    <n v="31.02"/>
    <n v="48.081000000000003"/>
    <s v="Samosa"/>
    <s v="Paneer Roll+Chicken Thali+Samosa+Egg Curry + Rice"/>
    <n v="0.60784313725490202"/>
  </r>
  <r>
    <s v="O00242"/>
    <s v="HH1DNM"/>
    <n v="2"/>
    <n v="246.09"/>
    <s v="Hot Meal"/>
    <n v="112.08"/>
    <d v="2025-07-12T00:00:00"/>
    <x v="0"/>
    <n v="0.01"/>
    <n v="487.25819999999999"/>
    <s v="July"/>
    <x v="0"/>
    <s v="UPI"/>
    <x v="0"/>
    <s v="OK"/>
    <n v="224.16"/>
    <n v="263.09820000000002"/>
    <s v="Egg Curry + Rice"/>
    <s v="Paneer Roll+Chicken Thali+Samosa+Egg Curry + Rice"/>
    <n v="0.53995643377576819"/>
  </r>
  <r>
    <s v="O00243"/>
    <s v="DYTJXE"/>
    <n v="2"/>
    <n v="57.07"/>
    <s v="Dessert"/>
    <n v="29.14"/>
    <d v="2025-08-12T00:00:00"/>
    <x v="1"/>
    <n v="0.15"/>
    <n v="97.018999999999991"/>
    <s v="August"/>
    <x v="0"/>
    <s v="Card"/>
    <x v="0"/>
    <s v="OK"/>
    <n v="58.28"/>
    <n v="38.73899999999999"/>
    <s v="Fruit Cup"/>
    <s v="Fruit Cup+Brownie"/>
    <n v="0.39929292200496802"/>
  </r>
  <r>
    <s v="O00243"/>
    <s v="D9T84A"/>
    <n v="1"/>
    <n v="116.8"/>
    <s v="Dessert"/>
    <n v="48.97"/>
    <d v="2025-08-12T00:00:00"/>
    <x v="1"/>
    <n v="0.15"/>
    <n v="99.28"/>
    <s v="August"/>
    <x v="0"/>
    <s v="Card"/>
    <x v="0"/>
    <s v="OK"/>
    <n v="48.97"/>
    <n v="50.31"/>
    <s v="Brownie"/>
    <s v="Fruit Cup+Brownie"/>
    <n v="0.50674858984689763"/>
  </r>
  <r>
    <s v="O00244"/>
    <s v="BXO6QJ"/>
    <n v="1"/>
    <n v="20.11"/>
    <s v="Beverage"/>
    <n v="8"/>
    <d v="2025-08-14T00:00:00"/>
    <x v="1"/>
    <n v="0"/>
    <n v="20.11"/>
    <s v="August"/>
    <x v="0"/>
    <s v="UPI"/>
    <x v="1"/>
    <s v="OK"/>
    <n v="8"/>
    <n v="12.11"/>
    <s v="Nimbu Pani"/>
    <s v="Nimbu Pani+Samosa+Poha+Veg Thali"/>
    <n v="0.60218796618597714"/>
  </r>
  <r>
    <s v="O00244"/>
    <s v="SV30T9"/>
    <n v="3"/>
    <n v="39.950000000000003"/>
    <s v="Snack"/>
    <n v="15.51"/>
    <d v="2025-08-14T00:00:00"/>
    <x v="1"/>
    <n v="0"/>
    <n v="119.85000000000001"/>
    <s v="August"/>
    <x v="0"/>
    <s v="UPI"/>
    <x v="1"/>
    <s v="OK"/>
    <n v="46.53"/>
    <n v="73.320000000000007"/>
    <s v="Samosa"/>
    <s v="Nimbu Pani+Samosa+Poha+Veg Thali"/>
    <n v="0.61176470588235299"/>
  </r>
  <r>
    <s v="O00244"/>
    <s v="SHJ7XV"/>
    <n v="1"/>
    <n v="52.45"/>
    <s v="Snack"/>
    <n v="25.8"/>
    <d v="2025-08-14T00:00:00"/>
    <x v="1"/>
    <n v="0"/>
    <n v="52.45"/>
    <s v="August"/>
    <x v="0"/>
    <s v="UPI"/>
    <x v="1"/>
    <s v="OK"/>
    <n v="25.8"/>
    <n v="26.650000000000002"/>
    <s v="Poha"/>
    <s v="Nimbu Pani+Samosa+Poha+Veg Thali"/>
    <n v="0.50810295519542426"/>
  </r>
  <r>
    <s v="O00244"/>
    <s v="HXAJI0"/>
    <n v="1"/>
    <n v="227.61"/>
    <s v="Hot Meal"/>
    <n v="96.22"/>
    <d v="2025-08-14T00:00:00"/>
    <x v="1"/>
    <n v="0"/>
    <n v="227.61"/>
    <s v="August"/>
    <x v="0"/>
    <s v="UPI"/>
    <x v="1"/>
    <s v="OK"/>
    <n v="96.22"/>
    <n v="131.39000000000001"/>
    <s v="Veg Thali"/>
    <s v="Nimbu Pani+Samosa+Poha+Veg Thali"/>
    <n v="0.57725934712886084"/>
  </r>
  <r>
    <s v="O00245"/>
    <s v="HXAJI0"/>
    <n v="1"/>
    <n v="227.61"/>
    <s v="Hot Meal"/>
    <n v="96.22"/>
    <d v="2025-07-31T00:00:00"/>
    <x v="1"/>
    <n v="0.05"/>
    <n v="216.2295"/>
    <s v="July"/>
    <x v="2"/>
    <s v="UPI"/>
    <x v="0"/>
    <s v="OK"/>
    <n v="96.22"/>
    <n v="120.0095"/>
    <s v="Veg Thali"/>
    <s v="Veg Thali+Masala Puff+Rajma Chawal+Poha"/>
    <n v="0.55500983908301138"/>
  </r>
  <r>
    <s v="O00245"/>
    <s v="S5NQ4F"/>
    <n v="1"/>
    <n v="50.19"/>
    <s v="Snack"/>
    <n v="22.61"/>
    <d v="2025-07-31T00:00:00"/>
    <x v="1"/>
    <n v="0.05"/>
    <n v="47.680499999999995"/>
    <s v="July"/>
    <x v="2"/>
    <s v="UPI"/>
    <x v="0"/>
    <s v="OK"/>
    <n v="22.61"/>
    <n v="25.070499999999996"/>
    <s v="Masala Puff"/>
    <s v="Veg Thali+Masala Puff+Rajma Chawal+Poha"/>
    <n v="0.52580195258019524"/>
  </r>
  <r>
    <s v="O00245"/>
    <s v="HUZZPQ"/>
    <n v="2"/>
    <n v="146.4"/>
    <s v="Hot Meal"/>
    <n v="80.92"/>
    <d v="2025-07-31T00:00:00"/>
    <x v="1"/>
    <n v="0.05"/>
    <n v="278.16000000000003"/>
    <s v="July"/>
    <x v="2"/>
    <s v="UPI"/>
    <x v="0"/>
    <s v="OK"/>
    <n v="161.84"/>
    <n v="116.32000000000002"/>
    <s v="Rajma Chawal"/>
    <s v="Veg Thali+Masala Puff+Rajma Chawal+Poha"/>
    <n v="0.41817658901351745"/>
  </r>
  <r>
    <s v="O00245"/>
    <s v="SHJ7XV"/>
    <n v="1"/>
    <n v="52.45"/>
    <s v="Snack"/>
    <n v="25.8"/>
    <d v="2025-07-31T00:00:00"/>
    <x v="1"/>
    <n v="0.05"/>
    <n v="49.827500000000001"/>
    <s v="July"/>
    <x v="2"/>
    <s v="UPI"/>
    <x v="0"/>
    <s v="OK"/>
    <n v="25.8"/>
    <n v="24.0275"/>
    <s v="Poha"/>
    <s v="Veg Thali+Masala Puff+Rajma Chawal+Poha"/>
    <n v="0.48221363704781495"/>
  </r>
  <r>
    <s v="O00246"/>
    <s v="SCKW5N"/>
    <n v="3"/>
    <n v="70.540000000000006"/>
    <s v="Snack"/>
    <n v="35.81"/>
    <d v="2025-08-06T00:00:00"/>
    <x v="2"/>
    <n v="0.08"/>
    <n v="194.69040000000001"/>
    <s v="August"/>
    <x v="2"/>
    <s v="Card"/>
    <x v="0"/>
    <s v="OK"/>
    <n v="107.43"/>
    <n v="87.260400000000004"/>
    <s v="Veg Sandwich"/>
    <s v="Veg Sandwich"/>
    <n v="0.44820083578851344"/>
  </r>
  <r>
    <s v="O00247"/>
    <s v="H3A3ZM"/>
    <n v="2"/>
    <n v="170.83"/>
    <s v="Hot Meal"/>
    <n v="74.069999999999993"/>
    <d v="2025-07-10T00:00:00"/>
    <x v="2"/>
    <n v="7.0000000000000007E-2"/>
    <n v="317.74380000000002"/>
    <s v="July"/>
    <x v="0"/>
    <s v="Card"/>
    <x v="0"/>
    <s v="HighDisc"/>
    <n v="148.13999999999999"/>
    <n v="169.60380000000004"/>
    <s v="Paneer Butter Masala + Naan"/>
    <s v="Paneer Butter Masala + Naan+Egg Curry + Rice"/>
    <n v="0.53377532464834887"/>
  </r>
  <r>
    <s v="O00247"/>
    <s v="HH1DNM"/>
    <n v="2"/>
    <n v="246.09"/>
    <s v="Hot Meal"/>
    <n v="112.08"/>
    <d v="2025-07-10T00:00:00"/>
    <x v="2"/>
    <n v="7.0000000000000007E-2"/>
    <n v="457.72739999999999"/>
    <s v="July"/>
    <x v="0"/>
    <s v="Card"/>
    <x v="0"/>
    <s v="HighDisc"/>
    <n v="224.16"/>
    <n v="233.56739999999999"/>
    <s v="Egg Curry + Rice"/>
    <s v="Paneer Butter Masala + Naan+Egg Curry + Rice"/>
    <n v="0.5102762036967855"/>
  </r>
  <r>
    <s v="O00248"/>
    <s v="SV30T9"/>
    <n v="1"/>
    <n v="39.950000000000003"/>
    <s v="Snack"/>
    <n v="15.51"/>
    <d v="2025-08-06T00:00:00"/>
    <x v="2"/>
    <n v="0.04"/>
    <n v="38.352000000000004"/>
    <s v="August"/>
    <x v="0"/>
    <s v="Cash"/>
    <x v="0"/>
    <s v="OK"/>
    <n v="15.51"/>
    <n v="22.842000000000006"/>
    <s v="Samosa"/>
    <s v="Samosa+Egg Curry + Rice"/>
    <n v="0.59558823529411775"/>
  </r>
  <r>
    <s v="O00248"/>
    <s v="HH1DNM"/>
    <n v="1"/>
    <n v="246.09"/>
    <s v="Hot Meal"/>
    <n v="112.08"/>
    <d v="2025-08-06T00:00:00"/>
    <x v="2"/>
    <n v="0.04"/>
    <n v="236.24639999999999"/>
    <s v="August"/>
    <x v="0"/>
    <s v="Cash"/>
    <x v="0"/>
    <s v="OK"/>
    <n v="112.08"/>
    <n v="124.1664"/>
    <s v="Egg Curry + Rice"/>
    <s v="Samosa+Egg Curry + Rice"/>
    <n v="0.52558007233126092"/>
  </r>
  <r>
    <s v="O00249"/>
    <s v="H3A3ZM"/>
    <n v="2"/>
    <n v="170.83"/>
    <s v="Hot Meal"/>
    <n v="74.069999999999993"/>
    <d v="2025-08-24T00:00:00"/>
    <x v="1"/>
    <n v="0.05"/>
    <n v="324.577"/>
    <s v="August"/>
    <x v="1"/>
    <s v="Cash"/>
    <x v="0"/>
    <s v="OK"/>
    <n v="148.13999999999999"/>
    <n v="176.43700000000001"/>
    <s v="Paneer Butter Masala + Naan"/>
    <s v="Paneer Butter Masala + Naan+Egg Curry + Rice+Fruit Cup"/>
    <n v="0.54359058097154145"/>
  </r>
  <r>
    <s v="O00249"/>
    <s v="HH1DNM"/>
    <n v="1"/>
    <n v="246.09"/>
    <s v="Hot Meal"/>
    <n v="112.08"/>
    <d v="2025-08-24T00:00:00"/>
    <x v="1"/>
    <n v="0.05"/>
    <n v="233.78549999999998"/>
    <s v="August"/>
    <x v="1"/>
    <s v="Cash"/>
    <x v="0"/>
    <s v="OK"/>
    <n v="112.08"/>
    <n v="121.70549999999999"/>
    <s v="Egg Curry + Rice"/>
    <s v="Paneer Butter Masala + Naan+Egg Curry + Rice+Fruit Cup"/>
    <n v="0.52058617835580046"/>
  </r>
  <r>
    <s v="O00249"/>
    <s v="DYTJXE"/>
    <n v="1"/>
    <n v="57.07"/>
    <s v="Dessert"/>
    <n v="29.14"/>
    <d v="2025-08-24T00:00:00"/>
    <x v="1"/>
    <n v="0.05"/>
    <n v="54.216499999999996"/>
    <s v="August"/>
    <x v="1"/>
    <s v="Cash"/>
    <x v="0"/>
    <s v="OK"/>
    <n v="29.14"/>
    <n v="25.076499999999996"/>
    <s v="Fruit Cup"/>
    <s v="Paneer Butter Masala + Naan+Egg Curry + Rice+Fruit Cup"/>
    <n v="0.46252524600444511"/>
  </r>
  <r>
    <s v="O00250"/>
    <s v="BXO6QJ"/>
    <n v="3"/>
    <n v="20.11"/>
    <s v="Beverage"/>
    <n v="8"/>
    <d v="2025-08-04T00:00:00"/>
    <x v="0"/>
    <n v="0.04"/>
    <n v="57.916799999999995"/>
    <s v="August"/>
    <x v="2"/>
    <s v="UPI"/>
    <x v="1"/>
    <s v="HighDisc"/>
    <n v="24"/>
    <n v="33.916799999999995"/>
    <s v="Nimbu Pani"/>
    <s v="Nimbu Pani+Veg Thali+Fruit Cup+Egg Curry + Rice"/>
    <n v="0.58561246477705942"/>
  </r>
  <r>
    <s v="O00250"/>
    <s v="HXAJI0"/>
    <n v="2"/>
    <n v="227.61"/>
    <s v="Hot Meal"/>
    <n v="96.22"/>
    <d v="2025-08-04T00:00:00"/>
    <x v="0"/>
    <n v="0.04"/>
    <n v="437.01120000000003"/>
    <s v="August"/>
    <x v="2"/>
    <s v="UPI"/>
    <x v="1"/>
    <s v="HighDisc"/>
    <n v="192.44"/>
    <n v="244.57120000000003"/>
    <s v="Veg Thali"/>
    <s v="Nimbu Pani+Veg Thali+Fruit Cup+Egg Curry + Rice"/>
    <n v="0.55964515325923003"/>
  </r>
  <r>
    <s v="O00250"/>
    <s v="DYTJXE"/>
    <n v="2"/>
    <n v="57.07"/>
    <s v="Dessert"/>
    <n v="29.14"/>
    <d v="2025-08-04T00:00:00"/>
    <x v="0"/>
    <n v="0.04"/>
    <n v="109.5744"/>
    <s v="August"/>
    <x v="2"/>
    <s v="UPI"/>
    <x v="1"/>
    <s v="HighDisc"/>
    <n v="58.28"/>
    <n v="51.294399999999996"/>
    <s v="Fruit Cup"/>
    <s v="Nimbu Pani+Veg Thali+Fruit Cup+Egg Curry + Rice"/>
    <n v="0.4681239413585655"/>
  </r>
  <r>
    <s v="O00250"/>
    <s v="HH1DNM"/>
    <n v="2"/>
    <n v="246.09"/>
    <s v="Hot Meal"/>
    <n v="112.08"/>
    <d v="2025-08-04T00:00:00"/>
    <x v="0"/>
    <n v="0.04"/>
    <n v="472.49279999999999"/>
    <s v="August"/>
    <x v="2"/>
    <s v="UPI"/>
    <x v="1"/>
    <s v="HighDisc"/>
    <n v="224.16"/>
    <n v="248.33279999999999"/>
    <s v="Egg Curry + Rice"/>
    <s v="Nimbu Pani+Veg Thali+Fruit Cup+Egg Curry + Rice"/>
    <n v="0.52558007233126092"/>
  </r>
  <r>
    <s v="O00251"/>
    <s v="HXAJI0"/>
    <n v="3"/>
    <n v="227.61"/>
    <s v="Hot Meal"/>
    <n v="96.22"/>
    <d v="2025-07-29T00:00:00"/>
    <x v="0"/>
    <n v="0.04"/>
    <n v="655.51679999999999"/>
    <s v="July"/>
    <x v="0"/>
    <s v="Card"/>
    <x v="0"/>
    <s v="HighDisc"/>
    <n v="288.65999999999997"/>
    <n v="366.85680000000002"/>
    <s v="Veg Thali"/>
    <s v="Veg Thali+Masala Puff+Rajma Chawal+Chicken Thali"/>
    <n v="0.55964515325923003"/>
  </r>
  <r>
    <s v="O00251"/>
    <s v="S5NQ4F"/>
    <n v="1"/>
    <n v="50.19"/>
    <s v="Snack"/>
    <n v="22.61"/>
    <d v="2025-07-29T00:00:00"/>
    <x v="0"/>
    <n v="0.04"/>
    <n v="48.182399999999994"/>
    <s v="July"/>
    <x v="0"/>
    <s v="Card"/>
    <x v="0"/>
    <s v="HighDisc"/>
    <n v="22.61"/>
    <n v="25.572399999999995"/>
    <s v="Masala Puff"/>
    <s v="Veg Thali+Masala Puff+Rajma Chawal+Chicken Thali"/>
    <n v="0.5307415155741515"/>
  </r>
  <r>
    <s v="O00251"/>
    <s v="HUZZPQ"/>
    <n v="2"/>
    <n v="146.4"/>
    <s v="Hot Meal"/>
    <n v="80.92"/>
    <d v="2025-07-29T00:00:00"/>
    <x v="0"/>
    <n v="0.04"/>
    <n v="281.08800000000002"/>
    <s v="July"/>
    <x v="0"/>
    <s v="Card"/>
    <x v="0"/>
    <s v="HighDisc"/>
    <n v="161.84"/>
    <n v="119.24800000000002"/>
    <s v="Rajma Chawal"/>
    <s v="Veg Thali+Masala Puff+Rajma Chawal+Chicken Thali"/>
    <n v="0.4242372495446266"/>
  </r>
  <r>
    <s v="O00251"/>
    <s v="HDPBHS"/>
    <n v="2"/>
    <n v="256.91000000000003"/>
    <s v="Hot Meal"/>
    <n v="121.24"/>
    <d v="2025-07-29T00:00:00"/>
    <x v="0"/>
    <n v="0.04"/>
    <n v="493.2672"/>
    <s v="July"/>
    <x v="0"/>
    <s v="Card"/>
    <x v="0"/>
    <s v="HighDisc"/>
    <n v="242.48"/>
    <n v="250.78720000000001"/>
    <s v="Chicken Thali"/>
    <s v="Veg Thali+Masala Puff+Rajma Chawal+Chicken Thali"/>
    <n v="0.50842058827345504"/>
  </r>
  <r>
    <s v="O00252"/>
    <s v="SZBIKC"/>
    <n v="2"/>
    <n v="38.06"/>
    <s v="Snack"/>
    <n v="19.55"/>
    <d v="2025-08-26T00:00:00"/>
    <x v="0"/>
    <n v="0.09"/>
    <n v="69.269200000000012"/>
    <s v="August"/>
    <x v="0"/>
    <s v="Cash"/>
    <x v="0"/>
    <s v="HighDisc"/>
    <n v="39.1"/>
    <n v="30.169200000000011"/>
    <s v="Paneer Roll"/>
    <s v="Paneer Roll+Chicken Thali+Veg Thali"/>
    <n v="0.43553556270319282"/>
  </r>
  <r>
    <s v="O00252"/>
    <s v="HDPBHS"/>
    <n v="1"/>
    <n v="256.91000000000003"/>
    <s v="Hot Meal"/>
    <n v="121.24"/>
    <d v="2025-08-26T00:00:00"/>
    <x v="0"/>
    <n v="0.09"/>
    <n v="233.78810000000004"/>
    <s v="August"/>
    <x v="0"/>
    <s v="Cash"/>
    <x v="0"/>
    <s v="HighDisc"/>
    <n v="121.24"/>
    <n v="112.54810000000005"/>
    <s v="Chicken Thali"/>
    <s v="Paneer Roll+Chicken Thali+Veg Thali"/>
    <n v="0.48141073048628236"/>
  </r>
  <r>
    <s v="O00252"/>
    <s v="HXAJI0"/>
    <n v="3"/>
    <n v="227.61"/>
    <s v="Hot Meal"/>
    <n v="96.22"/>
    <d v="2025-08-26T00:00:00"/>
    <x v="0"/>
    <n v="0.09"/>
    <n v="621.37530000000004"/>
    <s v="August"/>
    <x v="0"/>
    <s v="Cash"/>
    <x v="0"/>
    <s v="HighDisc"/>
    <n v="288.65999999999997"/>
    <n v="332.71530000000007"/>
    <s v="Veg Thali"/>
    <s v="Paneer Roll+Chicken Thali+Veg Thali"/>
    <n v="0.53544983200973717"/>
  </r>
  <r>
    <s v="O00253"/>
    <s v="HXAJI0"/>
    <n v="1"/>
    <n v="227.61"/>
    <s v="Hot Meal"/>
    <n v="96.22"/>
    <d v="2025-07-23T00:00:00"/>
    <x v="2"/>
    <n v="7.0000000000000007E-2"/>
    <n v="211.6773"/>
    <s v="July"/>
    <x v="0"/>
    <s v="UPI"/>
    <x v="0"/>
    <s v="OK"/>
    <n v="96.22"/>
    <n v="115.4573"/>
    <s v="Veg Thali"/>
    <s v="Veg Thali+Poha"/>
    <n v="0.54544015820307612"/>
  </r>
  <r>
    <s v="O00253"/>
    <s v="SHJ7XV"/>
    <n v="1"/>
    <n v="52.45"/>
    <s v="Snack"/>
    <n v="25.8"/>
    <d v="2025-07-23T00:00:00"/>
    <x v="2"/>
    <n v="7.0000000000000007E-2"/>
    <n v="48.778500000000001"/>
    <s v="July"/>
    <x v="0"/>
    <s v="UPI"/>
    <x v="0"/>
    <s v="OK"/>
    <n v="25.8"/>
    <n v="22.9785"/>
    <s v="Poha"/>
    <s v="Veg Thali+Poha"/>
    <n v="0.47107844644669272"/>
  </r>
  <r>
    <s v="O00254"/>
    <s v="SCKW5N"/>
    <n v="2"/>
    <n v="70.540000000000006"/>
    <s v="Snack"/>
    <n v="35.81"/>
    <d v="2025-07-12T00:00:00"/>
    <x v="1"/>
    <n v="0.03"/>
    <n v="136.8476"/>
    <s v="July"/>
    <x v="0"/>
    <s v="Cash"/>
    <x v="1"/>
    <s v="OK"/>
    <n v="71.62"/>
    <n v="65.227599999999995"/>
    <s v="Veg Sandwich"/>
    <s v="Veg Sandwich+Paneer Roll+Coffee+Veg Thali"/>
    <n v="0.47664409167570343"/>
  </r>
  <r>
    <s v="O00254"/>
    <s v="SZBIKC"/>
    <n v="2"/>
    <n v="38.06"/>
    <s v="Snack"/>
    <n v="19.55"/>
    <d v="2025-07-12T00:00:00"/>
    <x v="1"/>
    <n v="0.03"/>
    <n v="73.836399999999998"/>
    <s v="July"/>
    <x v="0"/>
    <s v="Cash"/>
    <x v="1"/>
    <s v="OK"/>
    <n v="39.1"/>
    <n v="34.736399999999996"/>
    <s v="Paneer Roll"/>
    <s v="Veg Sandwich+Paneer Roll+Coffee+Veg Thali"/>
    <n v="0.47045088872155194"/>
  </r>
  <r>
    <s v="O00254"/>
    <s v="BHL1C3"/>
    <n v="2"/>
    <n v="22.2"/>
    <s v="Beverage"/>
    <n v="9.3800000000000008"/>
    <d v="2025-07-12T00:00:00"/>
    <x v="1"/>
    <n v="0.03"/>
    <n v="43.067999999999998"/>
    <s v="July"/>
    <x v="0"/>
    <s v="Cash"/>
    <x v="1"/>
    <s v="OK"/>
    <n v="18.760000000000002"/>
    <n v="24.307999999999996"/>
    <s v="Coffee"/>
    <s v="Veg Sandwich+Paneer Roll+Coffee+Veg Thali"/>
    <n v="0.56440977059533759"/>
  </r>
  <r>
    <s v="O00254"/>
    <s v="HXAJI0"/>
    <n v="1"/>
    <n v="227.61"/>
    <s v="Hot Meal"/>
    <n v="96.22"/>
    <d v="2025-07-12T00:00:00"/>
    <x v="1"/>
    <n v="0.03"/>
    <n v="220.7817"/>
    <s v="July"/>
    <x v="0"/>
    <s v="Cash"/>
    <x v="1"/>
    <s v="OK"/>
    <n v="96.22"/>
    <n v="124.5617"/>
    <s v="Veg Thali"/>
    <s v="Veg Sandwich+Paneer Roll+Coffee+Veg Thali"/>
    <n v="0.56418489394727911"/>
  </r>
  <r>
    <s v="O00255"/>
    <s v="SV30T9"/>
    <n v="2"/>
    <n v="39.950000000000003"/>
    <s v="Snack"/>
    <n v="15.51"/>
    <d v="2025-08-24T00:00:00"/>
    <x v="0"/>
    <n v="0.1"/>
    <n v="71.910000000000011"/>
    <s v="August"/>
    <x v="1"/>
    <s v="UPI"/>
    <x v="0"/>
    <s v="HighDisc"/>
    <n v="31.02"/>
    <n v="40.890000000000015"/>
    <s v="Samosa"/>
    <s v="Samosa+Veg Thali+Chicken Thali"/>
    <n v="0.56862745098039225"/>
  </r>
  <r>
    <s v="O00255"/>
    <s v="HXAJI0"/>
    <n v="1"/>
    <n v="227.61"/>
    <s v="Hot Meal"/>
    <n v="96.22"/>
    <d v="2025-08-24T00:00:00"/>
    <x v="0"/>
    <n v="0.1"/>
    <n v="204.84900000000002"/>
    <s v="August"/>
    <x v="1"/>
    <s v="UPI"/>
    <x v="0"/>
    <s v="HighDisc"/>
    <n v="96.22"/>
    <n v="108.62900000000002"/>
    <s v="Veg Thali"/>
    <s v="Samosa+Veg Thali+Chicken Thali"/>
    <n v="0.53028816347651198"/>
  </r>
  <r>
    <s v="O00255"/>
    <s v="HDPBHS"/>
    <n v="1"/>
    <n v="256.91000000000003"/>
    <s v="Hot Meal"/>
    <n v="121.24"/>
    <d v="2025-08-24T00:00:00"/>
    <x v="0"/>
    <n v="0.1"/>
    <n v="231.21900000000002"/>
    <s v="August"/>
    <x v="1"/>
    <s v="UPI"/>
    <x v="0"/>
    <s v="HighDisc"/>
    <n v="121.24"/>
    <n v="109.97900000000003"/>
    <s v="Chicken Thali"/>
    <s v="Samosa+Veg Thali+Chicken Thali"/>
    <n v="0.47564862749168546"/>
  </r>
  <r>
    <s v="O00256"/>
    <s v="BHL1C3"/>
    <n v="1"/>
    <n v="22.2"/>
    <s v="Beverage"/>
    <n v="9.3800000000000008"/>
    <d v="2025-07-03T00:00:00"/>
    <x v="0"/>
    <n v="7.0000000000000007E-2"/>
    <n v="20.645999999999997"/>
    <s v="July"/>
    <x v="1"/>
    <s v="UPI"/>
    <x v="1"/>
    <s v="OK"/>
    <n v="9.3800000000000008"/>
    <n v="11.265999999999996"/>
    <s v="Coffee"/>
    <s v="Coffee+Poha+Rajma Chawal"/>
    <n v="0.5456747069650294"/>
  </r>
  <r>
    <s v="O00256"/>
    <s v="SHJ7XV"/>
    <n v="1"/>
    <n v="52.45"/>
    <s v="Snack"/>
    <n v="25.8"/>
    <d v="2025-07-03T00:00:00"/>
    <x v="0"/>
    <n v="7.0000000000000007E-2"/>
    <n v="48.778500000000001"/>
    <s v="July"/>
    <x v="1"/>
    <s v="UPI"/>
    <x v="1"/>
    <s v="OK"/>
    <n v="25.8"/>
    <n v="22.9785"/>
    <s v="Poha"/>
    <s v="Coffee+Poha+Rajma Chawal"/>
    <n v="0.47107844644669272"/>
  </r>
  <r>
    <s v="O00256"/>
    <s v="HUZZPQ"/>
    <n v="2"/>
    <n v="146.4"/>
    <s v="Hot Meal"/>
    <n v="80.92"/>
    <d v="2025-07-03T00:00:00"/>
    <x v="0"/>
    <n v="7.0000000000000007E-2"/>
    <n v="272.30399999999997"/>
    <s v="July"/>
    <x v="1"/>
    <s v="UPI"/>
    <x v="1"/>
    <s v="OK"/>
    <n v="161.84"/>
    <n v="110.46399999999997"/>
    <s v="Rajma Chawal"/>
    <s v="Coffee+Poha+Rajma Chawal"/>
    <n v="0.40566425759445318"/>
  </r>
  <r>
    <s v="O00257"/>
    <s v="DYTJXE"/>
    <n v="1"/>
    <n v="57.07"/>
    <s v="Dessert"/>
    <n v="29.14"/>
    <d v="2025-07-04T00:00:00"/>
    <x v="2"/>
    <n v="0.09"/>
    <n v="51.933700000000002"/>
    <s v="July"/>
    <x v="0"/>
    <s v="UPI"/>
    <x v="0"/>
    <s v="OK"/>
    <n v="29.14"/>
    <n v="22.793700000000001"/>
    <s v="Fruit Cup"/>
    <s v="Fruit Cup+Masala Puff+Coffee"/>
    <n v="0.43889998209255265"/>
  </r>
  <r>
    <s v="O00257"/>
    <s v="S5NQ4F"/>
    <n v="1"/>
    <n v="50.19"/>
    <s v="Snack"/>
    <n v="22.61"/>
    <d v="2025-07-04T00:00:00"/>
    <x v="2"/>
    <n v="0.09"/>
    <n v="45.672899999999998"/>
    <s v="July"/>
    <x v="0"/>
    <s v="UPI"/>
    <x v="0"/>
    <s v="OK"/>
    <n v="22.61"/>
    <n v="23.062899999999999"/>
    <s v="Masala Puff"/>
    <s v="Fruit Cup+Masala Puff+Coffee"/>
    <n v="0.50495808236394013"/>
  </r>
  <r>
    <s v="O00257"/>
    <s v="BHL1C3"/>
    <n v="3"/>
    <n v="22.2"/>
    <s v="Beverage"/>
    <n v="9.3800000000000008"/>
    <d v="2025-07-04T00:00:00"/>
    <x v="2"/>
    <n v="0.09"/>
    <n v="60.605999999999995"/>
    <s v="July"/>
    <x v="0"/>
    <s v="UPI"/>
    <x v="0"/>
    <s v="OK"/>
    <n v="28.14"/>
    <n v="32.465999999999994"/>
    <s v="Coffee"/>
    <s v="Fruit Cup+Masala Puff+Coffee"/>
    <n v="0.53568953568953559"/>
  </r>
  <r>
    <s v="O00258"/>
    <s v="BOC6UZ"/>
    <n v="2"/>
    <n v="32.979999999999997"/>
    <s v="Beverage"/>
    <n v="11.84"/>
    <d v="2025-08-03T00:00:00"/>
    <x v="1"/>
    <n v="0.09"/>
    <n v="60.023599999999995"/>
    <s v="August"/>
    <x v="0"/>
    <s v="Cash"/>
    <x v="1"/>
    <s v="HighDisc"/>
    <n v="23.68"/>
    <n v="36.343599999999995"/>
    <s v="Masala Chaas"/>
    <s v="Masala Chaas+Veg Sandwich+Bottled Water+Rajma Chawal"/>
    <n v="0.60548850785357755"/>
  </r>
  <r>
    <s v="O00258"/>
    <s v="SCKW5N"/>
    <n v="3"/>
    <n v="70.540000000000006"/>
    <s v="Snack"/>
    <n v="35.81"/>
    <d v="2025-08-03T00:00:00"/>
    <x v="1"/>
    <n v="0.09"/>
    <n v="192.57420000000002"/>
    <s v="August"/>
    <x v="0"/>
    <s v="Cash"/>
    <x v="1"/>
    <s v="HighDisc"/>
    <n v="107.43"/>
    <n v="85.144200000000012"/>
    <s v="Veg Sandwich"/>
    <s v="Masala Chaas+Veg Sandwich+Bottled Water+Rajma Chawal"/>
    <n v="0.44213710870926637"/>
  </r>
  <r>
    <s v="O00258"/>
    <s v="B0T0PV"/>
    <n v="1"/>
    <n v="28.43"/>
    <s v="Beverage"/>
    <n v="13.89"/>
    <d v="2025-08-03T00:00:00"/>
    <x v="1"/>
    <n v="0.09"/>
    <n v="25.871300000000002"/>
    <s v="August"/>
    <x v="0"/>
    <s v="Cash"/>
    <x v="1"/>
    <s v="HighDisc"/>
    <n v="13.89"/>
    <n v="11.981300000000001"/>
    <s v="Bottled Water"/>
    <s v="Masala Chaas+Veg Sandwich+Bottled Water+Rajma Chawal"/>
    <n v="0.46311163335433475"/>
  </r>
  <r>
    <s v="O00258"/>
    <s v="HUZZPQ"/>
    <n v="2"/>
    <n v="146.4"/>
    <s v="Hot Meal"/>
    <n v="80.92"/>
    <d v="2025-08-03T00:00:00"/>
    <x v="1"/>
    <n v="0.09"/>
    <n v="266.44800000000004"/>
    <s v="August"/>
    <x v="0"/>
    <s v="Cash"/>
    <x v="1"/>
    <s v="HighDisc"/>
    <n v="161.84"/>
    <n v="104.60800000000003"/>
    <s v="Rajma Chawal"/>
    <s v="Masala Chaas+Veg Sandwich+Bottled Water+Rajma Chawal"/>
    <n v="0.39260193358554019"/>
  </r>
  <r>
    <s v="O00259"/>
    <s v="HH1DNM"/>
    <n v="1"/>
    <n v="246.09"/>
    <s v="Hot Meal"/>
    <n v="112.08"/>
    <d v="2025-08-25T00:00:00"/>
    <x v="0"/>
    <n v="0.03"/>
    <n v="238.7073"/>
    <s v="August"/>
    <x v="0"/>
    <s v="Cash"/>
    <x v="0"/>
    <s v="OK"/>
    <n v="112.08"/>
    <n v="126.62730000000001"/>
    <s v="Egg Curry + Rice"/>
    <s v="Egg Curry + Rice+Veg Sandwich"/>
    <n v="0.53047099942062936"/>
  </r>
  <r>
    <s v="O00259"/>
    <s v="SCKW5N"/>
    <n v="2"/>
    <n v="70.540000000000006"/>
    <s v="Snack"/>
    <n v="35.81"/>
    <d v="2025-08-25T00:00:00"/>
    <x v="0"/>
    <n v="0.03"/>
    <n v="136.8476"/>
    <s v="August"/>
    <x v="0"/>
    <s v="Cash"/>
    <x v="0"/>
    <s v="OK"/>
    <n v="71.62"/>
    <n v="65.227599999999995"/>
    <s v="Veg Sandwich"/>
    <s v="Egg Curry + Rice+Veg Sandwich"/>
    <n v="0.47664409167570343"/>
  </r>
  <r>
    <s v="O00260"/>
    <s v="HXAJI0"/>
    <n v="1"/>
    <n v="227.61"/>
    <s v="Hot Meal"/>
    <n v="96.22"/>
    <d v="2025-07-04T00:00:00"/>
    <x v="2"/>
    <n v="0.04"/>
    <n v="218.50560000000002"/>
    <s v="July"/>
    <x v="0"/>
    <s v="UPI"/>
    <x v="0"/>
    <s v="OK"/>
    <n v="96.22"/>
    <n v="122.28560000000002"/>
    <s v="Veg Thali"/>
    <s v="Veg Thali+Rajma Chawal"/>
    <n v="0.55964515325923003"/>
  </r>
  <r>
    <s v="O00260"/>
    <s v="HUZZPQ"/>
    <n v="2"/>
    <n v="146.4"/>
    <s v="Hot Meal"/>
    <n v="80.92"/>
    <d v="2025-07-04T00:00:00"/>
    <x v="2"/>
    <n v="0.04"/>
    <n v="281.08800000000002"/>
    <s v="July"/>
    <x v="0"/>
    <s v="UPI"/>
    <x v="0"/>
    <s v="OK"/>
    <n v="161.84"/>
    <n v="119.24800000000002"/>
    <s v="Rajma Chawal"/>
    <s v="Veg Thali+Rajma Chawal"/>
    <n v="0.4242372495446266"/>
  </r>
  <r>
    <s v="O00261"/>
    <s v="B0T0PV"/>
    <n v="2"/>
    <n v="28.43"/>
    <s v="Beverage"/>
    <n v="13.89"/>
    <d v="2025-08-06T00:00:00"/>
    <x v="1"/>
    <n v="0.09"/>
    <n v="51.742600000000003"/>
    <s v="August"/>
    <x v="1"/>
    <s v="Card"/>
    <x v="1"/>
    <s v="OK"/>
    <n v="27.78"/>
    <n v="23.962600000000002"/>
    <s v="Bottled Water"/>
    <s v="Bottled Water+Poha+Rajma Chawal"/>
    <n v="0.46311163335433475"/>
  </r>
  <r>
    <s v="O00261"/>
    <s v="SHJ7XV"/>
    <n v="1"/>
    <n v="52.45"/>
    <s v="Snack"/>
    <n v="25.8"/>
    <d v="2025-08-06T00:00:00"/>
    <x v="1"/>
    <n v="0.09"/>
    <n v="47.729500000000002"/>
    <s v="August"/>
    <x v="1"/>
    <s v="Card"/>
    <x v="1"/>
    <s v="OK"/>
    <n v="25.8"/>
    <n v="21.929500000000001"/>
    <s v="Poha"/>
    <s v="Bottled Water+Poha+Rajma Chawal"/>
    <n v="0.45945379691804861"/>
  </r>
  <r>
    <s v="O00261"/>
    <s v="HUZZPQ"/>
    <n v="1"/>
    <n v="146.4"/>
    <s v="Hot Meal"/>
    <n v="80.92"/>
    <d v="2025-08-06T00:00:00"/>
    <x v="1"/>
    <n v="0.09"/>
    <n v="133.22400000000002"/>
    <s v="August"/>
    <x v="1"/>
    <s v="Card"/>
    <x v="1"/>
    <s v="OK"/>
    <n v="80.92"/>
    <n v="52.304000000000016"/>
    <s v="Rajma Chawal"/>
    <s v="Bottled Water+Poha+Rajma Chawal"/>
    <n v="0.39260193358554019"/>
  </r>
  <r>
    <s v="O00262"/>
    <s v="DH9SDB"/>
    <n v="2"/>
    <n v="76.55"/>
    <s v="Dessert"/>
    <n v="38.229999999999997"/>
    <d v="2025-08-06T00:00:00"/>
    <x v="1"/>
    <n v="0.08"/>
    <n v="140.852"/>
    <s v="August"/>
    <x v="0"/>
    <s v="Card"/>
    <x v="0"/>
    <s v="HighDisc"/>
    <n v="76.459999999999994"/>
    <n v="64.39200000000001"/>
    <s v="Gulab Jamun (2 pc)"/>
    <s v="Gulab Jamun (2 pc)+Kheer Cup+Chicken Thali"/>
    <n v="0.45716070769318157"/>
  </r>
  <r>
    <s v="O00262"/>
    <s v="DFFYVN"/>
    <n v="1"/>
    <n v="54.2"/>
    <s v="Dessert"/>
    <n v="21.95"/>
    <d v="2025-08-06T00:00:00"/>
    <x v="1"/>
    <n v="0.08"/>
    <n v="49.864000000000004"/>
    <s v="August"/>
    <x v="0"/>
    <s v="Card"/>
    <x v="0"/>
    <s v="HighDisc"/>
    <n v="21.95"/>
    <n v="27.914000000000005"/>
    <s v="Kheer Cup"/>
    <s v="Gulab Jamun (2 pc)+Kheer Cup+Chicken Thali"/>
    <n v="0.55980266324402383"/>
  </r>
  <r>
    <s v="O00262"/>
    <s v="HDPBHS"/>
    <n v="2"/>
    <n v="256.91000000000003"/>
    <s v="Hot Meal"/>
    <n v="121.24"/>
    <d v="2025-08-06T00:00:00"/>
    <x v="1"/>
    <n v="0.08"/>
    <n v="472.71440000000007"/>
    <s v="August"/>
    <x v="0"/>
    <s v="Card"/>
    <x v="0"/>
    <s v="HighDisc"/>
    <n v="242.48"/>
    <n v="230.23440000000008"/>
    <s v="Chicken Thali"/>
    <s v="Gulab Jamun (2 pc)+Kheer Cup+Chicken Thali"/>
    <n v="0.48704757037230101"/>
  </r>
  <r>
    <s v="O00263"/>
    <s v="HDPBHS"/>
    <n v="1"/>
    <n v="256.91000000000003"/>
    <s v="Hot Meal"/>
    <n v="121.24"/>
    <d v="2025-07-06T00:00:00"/>
    <x v="2"/>
    <n v="0.06"/>
    <n v="241.49540000000002"/>
    <s v="July"/>
    <x v="0"/>
    <s v="UPI"/>
    <x v="0"/>
    <s v="OK"/>
    <n v="121.24"/>
    <n v="120.25540000000002"/>
    <s v="Chicken Thali"/>
    <s v="Chicken Thali+Gulab Jamun (2 pc)"/>
    <n v="0.49796145185374135"/>
  </r>
  <r>
    <s v="O00263"/>
    <s v="DH9SDB"/>
    <n v="2"/>
    <n v="76.55"/>
    <s v="Dessert"/>
    <n v="38.229999999999997"/>
    <d v="2025-07-06T00:00:00"/>
    <x v="2"/>
    <n v="0.06"/>
    <n v="143.91399999999999"/>
    <s v="July"/>
    <x v="0"/>
    <s v="UPI"/>
    <x v="0"/>
    <s v="OK"/>
    <n v="76.459999999999994"/>
    <n v="67.453999999999994"/>
    <s v="Gulab Jamun (2 pc)"/>
    <s v="Chicken Thali+Gulab Jamun (2 pc)"/>
    <n v="0.46871047986992231"/>
  </r>
  <r>
    <s v="O00264"/>
    <s v="B0T0PV"/>
    <n v="1"/>
    <n v="28.43"/>
    <s v="Beverage"/>
    <n v="13.89"/>
    <d v="2025-07-09T00:00:00"/>
    <x v="1"/>
    <n v="0.06"/>
    <n v="26.7242"/>
    <s v="July"/>
    <x v="0"/>
    <s v="UPI"/>
    <x v="0"/>
    <s v="OK"/>
    <n v="13.89"/>
    <n v="12.834199999999999"/>
    <s v="Bottled Water"/>
    <s v="Bottled Water+Gulab Jamun (2 pc)+Brownie"/>
    <n v="0.48024636846004742"/>
  </r>
  <r>
    <s v="O00264"/>
    <s v="DH9SDB"/>
    <n v="2"/>
    <n v="76.55"/>
    <s v="Dessert"/>
    <n v="38.229999999999997"/>
    <d v="2025-07-09T00:00:00"/>
    <x v="1"/>
    <n v="0.06"/>
    <n v="143.91399999999999"/>
    <s v="July"/>
    <x v="0"/>
    <s v="UPI"/>
    <x v="0"/>
    <s v="OK"/>
    <n v="76.459999999999994"/>
    <n v="67.453999999999994"/>
    <s v="Gulab Jamun (2 pc)"/>
    <s v="Bottled Water+Gulab Jamun (2 pc)+Brownie"/>
    <n v="0.46871047986992231"/>
  </r>
  <r>
    <s v="O00264"/>
    <s v="D9T84A"/>
    <n v="3"/>
    <n v="116.8"/>
    <s v="Dessert"/>
    <n v="48.97"/>
    <d v="2025-07-09T00:00:00"/>
    <x v="1"/>
    <n v="0.06"/>
    <n v="329.37599999999998"/>
    <s v="July"/>
    <x v="0"/>
    <s v="UPI"/>
    <x v="0"/>
    <s v="OK"/>
    <n v="146.91"/>
    <n v="182.46599999999998"/>
    <s v="Brownie"/>
    <s v="Bottled Water+Gulab Jamun (2 pc)+Brownie"/>
    <n v="0.55397478869134364"/>
  </r>
  <r>
    <s v="O00265"/>
    <s v="BTIQJ7"/>
    <n v="2"/>
    <n v="30.34"/>
    <s v="Beverage"/>
    <n v="14.18"/>
    <d v="2025-08-17T00:00:00"/>
    <x v="0"/>
    <n v="0.11"/>
    <n v="54.005200000000002"/>
    <s v="August"/>
    <x v="0"/>
    <s v="Card"/>
    <x v="1"/>
    <s v="HighDisc"/>
    <n v="28.36"/>
    <n v="25.645200000000003"/>
    <s v="Tea"/>
    <s v="Tea+Nimbu Pani+Egg Curry + Rice"/>
    <n v="0.47486538333345679"/>
  </r>
  <r>
    <s v="O00265"/>
    <s v="BXO6QJ"/>
    <n v="2"/>
    <n v="20.11"/>
    <s v="Beverage"/>
    <n v="8"/>
    <d v="2025-08-17T00:00:00"/>
    <x v="0"/>
    <n v="0.11"/>
    <n v="35.7958"/>
    <s v="August"/>
    <x v="0"/>
    <s v="Card"/>
    <x v="1"/>
    <s v="HighDisc"/>
    <n v="16"/>
    <n v="19.7958"/>
    <s v="Nimbu Pani"/>
    <s v="Tea+Nimbu Pani+Egg Curry + Rice"/>
    <n v="0.55302018672581699"/>
  </r>
  <r>
    <s v="O00265"/>
    <s v="HH1DNM"/>
    <n v="2"/>
    <n v="246.09"/>
    <s v="Hot Meal"/>
    <n v="112.08"/>
    <d v="2025-08-17T00:00:00"/>
    <x v="0"/>
    <n v="0.11"/>
    <n v="438.04020000000003"/>
    <s v="August"/>
    <x v="0"/>
    <s v="Card"/>
    <x v="1"/>
    <s v="HighDisc"/>
    <n v="224.16"/>
    <n v="213.88020000000003"/>
    <s v="Egg Curry + Rice"/>
    <s v="Tea+Nimbu Pani+Egg Curry + Rice"/>
    <n v="0.48826614543596686"/>
  </r>
  <r>
    <s v="O00266"/>
    <s v="D9T84A"/>
    <n v="2"/>
    <n v="116.8"/>
    <s v="Dessert"/>
    <n v="48.97"/>
    <d v="2025-07-22T00:00:00"/>
    <x v="0"/>
    <n v="0.04"/>
    <n v="224.256"/>
    <s v="July"/>
    <x v="0"/>
    <s v="Card"/>
    <x v="0"/>
    <s v="OK"/>
    <n v="97.94"/>
    <n v="126.316"/>
    <s v="Brownie"/>
    <s v="Brownie+Veg Thali"/>
    <n v="0.56326698059360736"/>
  </r>
  <r>
    <s v="O00266"/>
    <s v="HXAJI0"/>
    <n v="1"/>
    <n v="227.61"/>
    <s v="Hot Meal"/>
    <n v="96.22"/>
    <d v="2025-07-22T00:00:00"/>
    <x v="0"/>
    <n v="0.04"/>
    <n v="218.50560000000002"/>
    <s v="July"/>
    <x v="0"/>
    <s v="Card"/>
    <x v="0"/>
    <s v="OK"/>
    <n v="96.22"/>
    <n v="122.28560000000002"/>
    <s v="Veg Thali"/>
    <s v="Brownie+Veg Thali"/>
    <n v="0.55964515325923003"/>
  </r>
  <r>
    <s v="O00267"/>
    <s v="HXAJI0"/>
    <n v="1"/>
    <n v="227.61"/>
    <s v="Hot Meal"/>
    <n v="96.22"/>
    <d v="2025-07-12T00:00:00"/>
    <x v="1"/>
    <n v="0.08"/>
    <n v="209.40120000000002"/>
    <s v="July"/>
    <x v="0"/>
    <s v="UPI"/>
    <x v="1"/>
    <s v="HighDisc"/>
    <n v="96.22"/>
    <n v="113.18120000000002"/>
    <s v="Veg Thali"/>
    <s v="Veg Thali+Egg Curry + Rice+Nimbu Pani+Bottled Water"/>
    <n v="0.54049929035745736"/>
  </r>
  <r>
    <s v="O00267"/>
    <s v="HH1DNM"/>
    <n v="1"/>
    <n v="246.09"/>
    <s v="Hot Meal"/>
    <n v="112.08"/>
    <d v="2025-07-12T00:00:00"/>
    <x v="1"/>
    <n v="0.08"/>
    <n v="226.40280000000001"/>
    <s v="July"/>
    <x v="0"/>
    <s v="UPI"/>
    <x v="1"/>
    <s v="HighDisc"/>
    <n v="112.08"/>
    <n v="114.32280000000002"/>
    <s v="Egg Curry + Rice"/>
    <s v="Veg Thali+Egg Curry + Rice+Nimbu Pani+Bottled Water"/>
    <n v="0.50495311895435924"/>
  </r>
  <r>
    <s v="O00267"/>
    <s v="BXO6QJ"/>
    <n v="1"/>
    <n v="20.11"/>
    <s v="Beverage"/>
    <n v="8"/>
    <d v="2025-07-12T00:00:00"/>
    <x v="1"/>
    <n v="0.08"/>
    <n v="18.501200000000001"/>
    <s v="July"/>
    <x v="0"/>
    <s v="UPI"/>
    <x v="1"/>
    <s v="HighDisc"/>
    <n v="8"/>
    <n v="10.501200000000001"/>
    <s v="Nimbu Pani"/>
    <s v="Veg Thali+Egg Curry + Rice+Nimbu Pani+Bottled Water"/>
    <n v="0.5675956154195404"/>
  </r>
  <r>
    <s v="O00267"/>
    <s v="B0T0PV"/>
    <n v="3"/>
    <n v="28.43"/>
    <s v="Beverage"/>
    <n v="13.89"/>
    <d v="2025-07-12T00:00:00"/>
    <x v="1"/>
    <n v="0.08"/>
    <n v="78.466799999999992"/>
    <s v="July"/>
    <x v="0"/>
    <s v="UPI"/>
    <x v="1"/>
    <s v="HighDisc"/>
    <n v="41.67"/>
    <n v="36.79679999999999"/>
    <s v="Bottled Water"/>
    <s v="Veg Thali+Egg Curry + Rice+Nimbu Pani+Bottled Water"/>
    <n v="0.46894737647004842"/>
  </r>
  <r>
    <s v="O00268"/>
    <s v="S5NQ4F"/>
    <n v="1"/>
    <n v="50.19"/>
    <s v="Snack"/>
    <n v="22.61"/>
    <d v="2025-08-21T00:00:00"/>
    <x v="0"/>
    <n v="0.05"/>
    <n v="47.680499999999995"/>
    <s v="August"/>
    <x v="0"/>
    <s v="Cash"/>
    <x v="0"/>
    <s v="HighDisc"/>
    <n v="22.61"/>
    <n v="25.070499999999996"/>
    <s v="Masala Puff"/>
    <s v="Masala Puff+Chicken Thali+Fruit Cup"/>
    <n v="0.52580195258019524"/>
  </r>
  <r>
    <s v="O00268"/>
    <s v="HDPBHS"/>
    <n v="3"/>
    <n v="256.91000000000003"/>
    <s v="Hot Meal"/>
    <n v="121.24"/>
    <d v="2025-08-21T00:00:00"/>
    <x v="0"/>
    <n v="0.05"/>
    <n v="732.19349999999997"/>
    <s v="August"/>
    <x v="0"/>
    <s v="Cash"/>
    <x v="0"/>
    <s v="HighDisc"/>
    <n v="363.71999999999997"/>
    <n v="368.4735"/>
    <s v="Chicken Thali"/>
    <s v="Masala Puff+Chicken Thali+Fruit Cup"/>
    <n v="0.50324606815001771"/>
  </r>
  <r>
    <s v="O00268"/>
    <s v="DYTJXE"/>
    <n v="3"/>
    <n v="57.07"/>
    <s v="Dessert"/>
    <n v="29.14"/>
    <d v="2025-08-21T00:00:00"/>
    <x v="0"/>
    <n v="0.05"/>
    <n v="162.64949999999999"/>
    <s v="August"/>
    <x v="0"/>
    <s v="Cash"/>
    <x v="0"/>
    <s v="HighDisc"/>
    <n v="87.42"/>
    <n v="75.229499999999987"/>
    <s v="Fruit Cup"/>
    <s v="Masala Puff+Chicken Thali+Fruit Cup"/>
    <n v="0.46252524600444511"/>
  </r>
  <r>
    <s v="O00269"/>
    <s v="HDPBHS"/>
    <n v="3"/>
    <n v="256.91000000000003"/>
    <s v="Hot Meal"/>
    <n v="121.24"/>
    <d v="2025-08-08T00:00:00"/>
    <x v="0"/>
    <n v="0.05"/>
    <n v="732.19349999999997"/>
    <s v="August"/>
    <x v="2"/>
    <s v="Cash"/>
    <x v="1"/>
    <s v="HighDisc"/>
    <n v="363.71999999999997"/>
    <n v="368.4735"/>
    <s v="Chicken Thali"/>
    <s v="Chicken Thali+Bottled Water+Veg Thali+Veg Sandwich"/>
    <n v="0.50324606815001771"/>
  </r>
  <r>
    <s v="O00269"/>
    <s v="B0T0PV"/>
    <n v="1"/>
    <n v="28.43"/>
    <s v="Beverage"/>
    <n v="13.89"/>
    <d v="2025-08-08T00:00:00"/>
    <x v="0"/>
    <n v="0.05"/>
    <n v="27.008499999999998"/>
    <s v="August"/>
    <x v="2"/>
    <s v="Cash"/>
    <x v="1"/>
    <s v="HighDisc"/>
    <n v="13.89"/>
    <n v="13.118499999999997"/>
    <s v="Bottled Water"/>
    <s v="Chicken Thali+Bottled Water+Veg Thali+Veg Sandwich"/>
    <n v="0.48571745931836269"/>
  </r>
  <r>
    <s v="O00269"/>
    <s v="HXAJI0"/>
    <n v="1"/>
    <n v="227.61"/>
    <s v="Hot Meal"/>
    <n v="96.22"/>
    <d v="2025-08-08T00:00:00"/>
    <x v="0"/>
    <n v="0.05"/>
    <n v="216.2295"/>
    <s v="August"/>
    <x v="2"/>
    <s v="Cash"/>
    <x v="1"/>
    <s v="HighDisc"/>
    <n v="96.22"/>
    <n v="120.0095"/>
    <s v="Veg Thali"/>
    <s v="Chicken Thali+Bottled Water+Veg Thali+Veg Sandwich"/>
    <n v="0.55500983908301138"/>
  </r>
  <r>
    <s v="O00269"/>
    <s v="SCKW5N"/>
    <n v="2"/>
    <n v="70.540000000000006"/>
    <s v="Snack"/>
    <n v="35.81"/>
    <d v="2025-08-08T00:00:00"/>
    <x v="0"/>
    <n v="0.05"/>
    <n v="134.02600000000001"/>
    <s v="August"/>
    <x v="2"/>
    <s v="Cash"/>
    <x v="1"/>
    <s v="HighDisc"/>
    <n v="71.62"/>
    <n v="62.406000000000006"/>
    <s v="Veg Sandwich"/>
    <s v="Chicken Thali+Bottled Water+Veg Thali+Veg Sandwich"/>
    <n v="0.46562607255308675"/>
  </r>
  <r>
    <s v="O00270"/>
    <s v="HH1DNM"/>
    <n v="3"/>
    <n v="246.09"/>
    <s v="Hot Meal"/>
    <n v="112.08"/>
    <d v="2025-07-30T00:00:00"/>
    <x v="2"/>
    <n v="0.1"/>
    <n v="664.44299999999998"/>
    <s v="July"/>
    <x v="2"/>
    <s v="Card"/>
    <x v="0"/>
    <s v="HighDisc"/>
    <n v="336.24"/>
    <n v="328.20299999999997"/>
    <s v="Egg Curry + Rice"/>
    <s v="Egg Curry + Rice+Chicken Thali+Veg Sandwich"/>
    <n v="0.49395207715334494"/>
  </r>
  <r>
    <s v="O00270"/>
    <s v="HDPBHS"/>
    <n v="3"/>
    <n v="256.91000000000003"/>
    <s v="Hot Meal"/>
    <n v="121.24"/>
    <d v="2025-07-30T00:00:00"/>
    <x v="2"/>
    <n v="0.1"/>
    <n v="693.65700000000004"/>
    <s v="July"/>
    <x v="2"/>
    <s v="Card"/>
    <x v="0"/>
    <s v="HighDisc"/>
    <n v="363.71999999999997"/>
    <n v="329.93700000000007"/>
    <s v="Chicken Thali"/>
    <s v="Egg Curry + Rice+Chicken Thali+Veg Sandwich"/>
    <n v="0.47564862749168546"/>
  </r>
  <r>
    <s v="O00270"/>
    <s v="SCKW5N"/>
    <n v="2"/>
    <n v="70.540000000000006"/>
    <s v="Snack"/>
    <n v="35.81"/>
    <d v="2025-07-30T00:00:00"/>
    <x v="2"/>
    <n v="0.1"/>
    <n v="126.97200000000001"/>
    <s v="July"/>
    <x v="2"/>
    <s v="Card"/>
    <x v="0"/>
    <s v="HighDisc"/>
    <n v="71.62"/>
    <n v="55.352000000000004"/>
    <s v="Veg Sandwich"/>
    <s v="Egg Curry + Rice+Chicken Thali+Veg Sandwich"/>
    <n v="0.43593863213936929"/>
  </r>
  <r>
    <s v="O00271"/>
    <s v="BHL1C3"/>
    <n v="1"/>
    <n v="22.2"/>
    <s v="Beverage"/>
    <n v="9.3800000000000008"/>
    <d v="2025-08-02T00:00:00"/>
    <x v="2"/>
    <n v="0.09"/>
    <n v="20.202000000000002"/>
    <s v="August"/>
    <x v="0"/>
    <s v="Card"/>
    <x v="0"/>
    <s v="OK"/>
    <n v="9.3800000000000008"/>
    <n v="10.822000000000001"/>
    <s v="Coffee"/>
    <s v="Coffee+Gulab Jamun (2 pc)+Kheer Cup"/>
    <n v="0.5356895356895357"/>
  </r>
  <r>
    <s v="O00271"/>
    <s v="DH9SDB"/>
    <n v="1"/>
    <n v="76.55"/>
    <s v="Dessert"/>
    <n v="38.229999999999997"/>
    <d v="2025-08-02T00:00:00"/>
    <x v="2"/>
    <n v="0.09"/>
    <n v="69.660499999999999"/>
    <s v="August"/>
    <x v="0"/>
    <s v="Card"/>
    <x v="0"/>
    <s v="OK"/>
    <n v="38.229999999999997"/>
    <n v="31.430500000000002"/>
    <s v="Gulab Jamun (2 pc)"/>
    <s v="Coffee+Gulab Jamun (2 pc)+Kheer Cup"/>
    <n v="0.45119544074475493"/>
  </r>
  <r>
    <s v="O00271"/>
    <s v="DFFYVN"/>
    <n v="1"/>
    <n v="54.2"/>
    <s v="Dessert"/>
    <n v="21.95"/>
    <d v="2025-08-02T00:00:00"/>
    <x v="2"/>
    <n v="0.09"/>
    <n v="49.322000000000003"/>
    <s v="August"/>
    <x v="0"/>
    <s v="Card"/>
    <x v="0"/>
    <s v="OK"/>
    <n v="21.95"/>
    <n v="27.372000000000003"/>
    <s v="Kheer Cup"/>
    <s v="Coffee+Gulab Jamun (2 pc)+Kheer Cup"/>
    <n v="0.55496532987307901"/>
  </r>
  <r>
    <s v="O00272"/>
    <s v="HUZZPQ"/>
    <n v="1"/>
    <n v="146.4"/>
    <s v="Hot Meal"/>
    <n v="80.92"/>
    <d v="2025-07-18T00:00:00"/>
    <x v="2"/>
    <n v="0.09"/>
    <n v="133.22400000000002"/>
    <s v="July"/>
    <x v="0"/>
    <s v="UPI"/>
    <x v="1"/>
    <s v="OK"/>
    <n v="80.92"/>
    <n v="52.304000000000016"/>
    <s v="Rajma Chawal"/>
    <s v="Rajma Chawal+Coffee+Paneer Roll"/>
    <n v="0.39260193358554019"/>
  </r>
  <r>
    <s v="O00272"/>
    <s v="BHL1C3"/>
    <n v="3"/>
    <n v="22.2"/>
    <s v="Beverage"/>
    <n v="9.3800000000000008"/>
    <d v="2025-07-18T00:00:00"/>
    <x v="2"/>
    <n v="0.09"/>
    <n v="60.605999999999995"/>
    <s v="July"/>
    <x v="0"/>
    <s v="UPI"/>
    <x v="1"/>
    <s v="OK"/>
    <n v="28.14"/>
    <n v="32.465999999999994"/>
    <s v="Coffee"/>
    <s v="Rajma Chawal+Coffee+Paneer Roll"/>
    <n v="0.53568953568953559"/>
  </r>
  <r>
    <s v="O00272"/>
    <s v="SZBIKC"/>
    <n v="1"/>
    <n v="38.06"/>
    <s v="Snack"/>
    <n v="19.55"/>
    <d v="2025-07-18T00:00:00"/>
    <x v="2"/>
    <n v="0.09"/>
    <n v="34.634600000000006"/>
    <s v="July"/>
    <x v="0"/>
    <s v="UPI"/>
    <x v="1"/>
    <s v="OK"/>
    <n v="19.55"/>
    <n v="15.084600000000005"/>
    <s v="Paneer Roll"/>
    <s v="Rajma Chawal+Coffee+Paneer Roll"/>
    <n v="0.43553556270319282"/>
  </r>
  <r>
    <s v="O00273"/>
    <s v="D9T84A"/>
    <n v="3"/>
    <n v="116.8"/>
    <s v="Dessert"/>
    <n v="48.97"/>
    <d v="2025-08-18T00:00:00"/>
    <x v="0"/>
    <n v="0.11"/>
    <n v="311.85599999999999"/>
    <s v="August"/>
    <x v="1"/>
    <s v="Card"/>
    <x v="0"/>
    <s v="OK"/>
    <n v="146.91"/>
    <n v="164.946"/>
    <s v="Brownie"/>
    <s v="Brownie"/>
    <n v="0.52891719255040792"/>
  </r>
  <r>
    <s v="O00274"/>
    <s v="SZBIKC"/>
    <n v="1"/>
    <n v="38.06"/>
    <s v="Snack"/>
    <n v="19.55"/>
    <d v="2025-08-08T00:00:00"/>
    <x v="0"/>
    <n v="0.06"/>
    <n v="35.776400000000002"/>
    <s v="August"/>
    <x v="1"/>
    <s v="Card"/>
    <x v="1"/>
    <s v="HighDisc"/>
    <n v="19.55"/>
    <n v="16.226400000000002"/>
    <s v="Paneer Roll"/>
    <s v="Paneer Roll+Coffee+Masala Puff+Chicken Thali"/>
    <n v="0.45355038517011215"/>
  </r>
  <r>
    <s v="O00274"/>
    <s v="BHL1C3"/>
    <n v="1"/>
    <n v="22.2"/>
    <s v="Beverage"/>
    <n v="9.3800000000000008"/>
    <d v="2025-08-08T00:00:00"/>
    <x v="0"/>
    <n v="0.06"/>
    <n v="20.867999999999999"/>
    <s v="August"/>
    <x v="1"/>
    <s v="Card"/>
    <x v="1"/>
    <s v="HighDisc"/>
    <n v="9.3800000000000008"/>
    <n v="11.487999999999998"/>
    <s v="Coffee"/>
    <s v="Paneer Roll+Coffee+Masala Puff+Chicken Thali"/>
    <n v="0.55050795476327385"/>
  </r>
  <r>
    <s v="O00274"/>
    <s v="S5NQ4F"/>
    <n v="2"/>
    <n v="50.19"/>
    <s v="Snack"/>
    <n v="22.61"/>
    <d v="2025-08-08T00:00:00"/>
    <x v="0"/>
    <n v="0.06"/>
    <n v="94.357199999999992"/>
    <s v="August"/>
    <x v="1"/>
    <s v="Card"/>
    <x v="1"/>
    <s v="HighDisc"/>
    <n v="45.22"/>
    <n v="49.137199999999993"/>
    <s v="Masala Puff"/>
    <s v="Paneer Roll+Coffee+Masala Puff+Chicken Thali"/>
    <n v="0.52075729250126113"/>
  </r>
  <r>
    <s v="O00274"/>
    <s v="HDPBHS"/>
    <n v="2"/>
    <n v="256.91000000000003"/>
    <s v="Hot Meal"/>
    <n v="121.24"/>
    <d v="2025-08-08T00:00:00"/>
    <x v="0"/>
    <n v="0.06"/>
    <n v="482.99080000000004"/>
    <s v="August"/>
    <x v="1"/>
    <s v="Card"/>
    <x v="1"/>
    <s v="HighDisc"/>
    <n v="242.48"/>
    <n v="240.51080000000005"/>
    <s v="Chicken Thali"/>
    <s v="Paneer Roll+Coffee+Masala Puff+Chicken Thali"/>
    <n v="0.49796145185374135"/>
  </r>
  <r>
    <s v="O00275"/>
    <s v="BTIQJ7"/>
    <n v="2"/>
    <n v="30.34"/>
    <s v="Beverage"/>
    <n v="14.18"/>
    <d v="2025-08-14T00:00:00"/>
    <x v="2"/>
    <n v="0.09"/>
    <n v="55.218800000000002"/>
    <s v="August"/>
    <x v="1"/>
    <s v="UPI"/>
    <x v="1"/>
    <s v="HighDisc"/>
    <n v="28.36"/>
    <n v="26.858800000000002"/>
    <s v="Tea"/>
    <s v="Tea+Paneer Butter Masala + Naan+Brownie+Masala Puff"/>
    <n v="0.48640680347997423"/>
  </r>
  <r>
    <s v="O00275"/>
    <s v="H3A3ZM"/>
    <n v="2"/>
    <n v="170.83"/>
    <s v="Hot Meal"/>
    <n v="74.069999999999993"/>
    <d v="2025-08-14T00:00:00"/>
    <x v="2"/>
    <n v="0.09"/>
    <n v="310.91060000000004"/>
    <s v="August"/>
    <x v="1"/>
    <s v="UPI"/>
    <x v="1"/>
    <s v="HighDisc"/>
    <n v="148.13999999999999"/>
    <n v="162.77060000000006"/>
    <s v="Paneer Butter Masala + Naan"/>
    <s v="Tea+Paneer Butter Masala + Naan+Brownie+Masala Puff"/>
    <n v="0.52352862848677417"/>
  </r>
  <r>
    <s v="O00275"/>
    <s v="D9T84A"/>
    <n v="3"/>
    <n v="116.8"/>
    <s v="Dessert"/>
    <n v="48.97"/>
    <d v="2025-08-14T00:00:00"/>
    <x v="2"/>
    <n v="0.09"/>
    <n v="318.86399999999998"/>
    <s v="August"/>
    <x v="1"/>
    <s v="UPI"/>
    <x v="1"/>
    <s v="HighDisc"/>
    <n v="146.91"/>
    <n v="171.95399999999998"/>
    <s v="Brownie"/>
    <s v="Tea+Paneer Butter Masala + Naan+Brownie+Masala Puff"/>
    <n v="0.53927066084600328"/>
  </r>
  <r>
    <s v="O00275"/>
    <s v="S5NQ4F"/>
    <n v="3"/>
    <n v="50.19"/>
    <s v="Snack"/>
    <n v="22.61"/>
    <d v="2025-08-14T00:00:00"/>
    <x v="2"/>
    <n v="0.09"/>
    <n v="137.0187"/>
    <s v="August"/>
    <x v="1"/>
    <s v="UPI"/>
    <x v="1"/>
    <s v="HighDisc"/>
    <n v="67.83"/>
    <n v="69.188699999999997"/>
    <s v="Masala Puff"/>
    <s v="Tea+Paneer Butter Masala + Naan+Brownie+Masala Puff"/>
    <n v="0.50495808236394013"/>
  </r>
  <r>
    <s v="O00276"/>
    <s v="SZBIKC"/>
    <n v="1"/>
    <n v="38.06"/>
    <s v="Snack"/>
    <n v="19.55"/>
    <d v="2025-08-25T00:00:00"/>
    <x v="1"/>
    <n v="0.05"/>
    <n v="36.157000000000004"/>
    <s v="August"/>
    <x v="1"/>
    <s v="UPI"/>
    <x v="0"/>
    <s v="OK"/>
    <n v="19.55"/>
    <n v="16.607000000000003"/>
    <s v="Paneer Roll"/>
    <s v="Paneer Roll+Nimbu Pani+Brownie"/>
    <n v="0.45930248637884785"/>
  </r>
  <r>
    <s v="O00276"/>
    <s v="BXO6QJ"/>
    <n v="2"/>
    <n v="20.11"/>
    <s v="Beverage"/>
    <n v="8"/>
    <d v="2025-08-25T00:00:00"/>
    <x v="1"/>
    <n v="0.05"/>
    <n v="38.208999999999996"/>
    <s v="August"/>
    <x v="1"/>
    <s v="UPI"/>
    <x v="0"/>
    <s v="OK"/>
    <n v="16"/>
    <n v="22.208999999999996"/>
    <s v="Nimbu Pani"/>
    <s v="Paneer Roll+Nimbu Pani+Brownie"/>
    <n v="0.58125049072208113"/>
  </r>
  <r>
    <s v="O00276"/>
    <s v="D9T84A"/>
    <n v="3"/>
    <n v="116.8"/>
    <s v="Dessert"/>
    <n v="48.97"/>
    <d v="2025-08-25T00:00:00"/>
    <x v="1"/>
    <n v="0.05"/>
    <n v="332.87999999999994"/>
    <s v="August"/>
    <x v="1"/>
    <s v="UPI"/>
    <x v="0"/>
    <s v="OK"/>
    <n v="146.91"/>
    <n v="185.96999999999994"/>
    <s v="Brownie"/>
    <s v="Paneer Roll+Nimbu Pani+Brownie"/>
    <n v="0.55866979091564517"/>
  </r>
  <r>
    <s v="O00277"/>
    <s v="SZBIKC"/>
    <n v="1"/>
    <n v="38.06"/>
    <s v="Snack"/>
    <n v="19.55"/>
    <d v="2025-07-29T00:00:00"/>
    <x v="2"/>
    <n v="7.0000000000000007E-2"/>
    <n v="35.395800000000001"/>
    <s v="July"/>
    <x v="0"/>
    <s v="Cash"/>
    <x v="0"/>
    <s v="OK"/>
    <n v="19.55"/>
    <n v="15.845800000000001"/>
    <s v="Paneer Roll"/>
    <s v="Paneer Roll+Samosa"/>
    <n v="0.44767458286011336"/>
  </r>
  <r>
    <s v="O00277"/>
    <s v="SV30T9"/>
    <n v="1"/>
    <n v="39.950000000000003"/>
    <s v="Snack"/>
    <n v="15.51"/>
    <d v="2025-07-29T00:00:00"/>
    <x v="2"/>
    <n v="7.0000000000000007E-2"/>
    <n v="37.153500000000001"/>
    <s v="July"/>
    <x v="0"/>
    <s v="Cash"/>
    <x v="0"/>
    <s v="OK"/>
    <n v="15.51"/>
    <n v="21.643500000000003"/>
    <s v="Samosa"/>
    <s v="Paneer Roll+Samosa"/>
    <n v="0.58254269449715379"/>
  </r>
  <r>
    <s v="O00278"/>
    <s v="H3A3ZM"/>
    <n v="1"/>
    <n v="170.83"/>
    <s v="Hot Meal"/>
    <n v="74.069999999999993"/>
    <d v="2025-07-17T00:00:00"/>
    <x v="0"/>
    <n v="0.05"/>
    <n v="162.2885"/>
    <s v="July"/>
    <x v="1"/>
    <s v="UPI"/>
    <x v="1"/>
    <s v="OK"/>
    <n v="74.069999999999993"/>
    <n v="88.218500000000006"/>
    <s v="Paneer Butter Masala + Naan"/>
    <s v="Paneer Butter Masala + Naan+Tea+Brownie"/>
    <n v="0.54359058097154145"/>
  </r>
  <r>
    <s v="O00278"/>
    <s v="BTIQJ7"/>
    <n v="1"/>
    <n v="30.34"/>
    <s v="Beverage"/>
    <n v="14.18"/>
    <d v="2025-07-17T00:00:00"/>
    <x v="0"/>
    <n v="0.05"/>
    <n v="28.822999999999997"/>
    <s v="July"/>
    <x v="1"/>
    <s v="UPI"/>
    <x v="1"/>
    <s v="OK"/>
    <n v="14.18"/>
    <n v="14.642999999999997"/>
    <s v="Tea"/>
    <s v="Paneer Butter Masala + Naan+Tea+Brownie"/>
    <n v="0.50803178017555417"/>
  </r>
  <r>
    <s v="O00278"/>
    <s v="D9T84A"/>
    <n v="2"/>
    <n v="116.8"/>
    <s v="Dessert"/>
    <n v="48.97"/>
    <d v="2025-07-17T00:00:00"/>
    <x v="0"/>
    <n v="0.05"/>
    <n v="221.92"/>
    <s v="July"/>
    <x v="1"/>
    <s v="UPI"/>
    <x v="1"/>
    <s v="OK"/>
    <n v="97.94"/>
    <n v="123.97999999999999"/>
    <s v="Brownie"/>
    <s v="Paneer Butter Masala + Naan+Tea+Brownie"/>
    <n v="0.55866979091564528"/>
  </r>
  <r>
    <s v="O00279"/>
    <s v="BTIQJ7"/>
    <n v="1"/>
    <n v="30.34"/>
    <s v="Beverage"/>
    <n v="14.18"/>
    <d v="2025-07-09T00:00:00"/>
    <x v="1"/>
    <n v="0.06"/>
    <n v="28.519599999999997"/>
    <s v="July"/>
    <x v="1"/>
    <s v="Cash"/>
    <x v="0"/>
    <s v="OK"/>
    <n v="14.18"/>
    <n v="14.339599999999997"/>
    <s v="Tea"/>
    <s v="Tea"/>
    <n v="0.50279807570933666"/>
  </r>
  <r>
    <s v="O00280"/>
    <s v="B0T0PV"/>
    <n v="1"/>
    <n v="28.43"/>
    <s v="Beverage"/>
    <n v="13.89"/>
    <d v="2025-08-27T00:00:00"/>
    <x v="1"/>
    <n v="0.08"/>
    <n v="26.1556"/>
    <s v="August"/>
    <x v="0"/>
    <s v="Cash"/>
    <x v="1"/>
    <s v="OK"/>
    <n v="13.89"/>
    <n v="12.265599999999999"/>
    <s v="Bottled Water"/>
    <s v="Bottled Water+Tea+Paneer Butter Masala + Naan"/>
    <n v="0.46894737647004847"/>
  </r>
  <r>
    <s v="O00280"/>
    <s v="BTIQJ7"/>
    <n v="3"/>
    <n v="30.34"/>
    <s v="Beverage"/>
    <n v="14.18"/>
    <d v="2025-08-27T00:00:00"/>
    <x v="1"/>
    <n v="0.08"/>
    <n v="83.738399999999999"/>
    <s v="August"/>
    <x v="0"/>
    <s v="Cash"/>
    <x v="1"/>
    <s v="OK"/>
    <n v="42.54"/>
    <n v="41.198399999999999"/>
    <s v="Tea"/>
    <s v="Bottled Water+Tea+Paneer Butter Masala + Naan"/>
    <n v="0.4919893382247571"/>
  </r>
  <r>
    <s v="O00280"/>
    <s v="H3A3ZM"/>
    <n v="1"/>
    <n v="170.83"/>
    <s v="Hot Meal"/>
    <n v="74.069999999999993"/>
    <d v="2025-08-27T00:00:00"/>
    <x v="1"/>
    <n v="0.08"/>
    <n v="157.16360000000003"/>
    <s v="August"/>
    <x v="0"/>
    <s v="Cash"/>
    <x v="1"/>
    <s v="OK"/>
    <n v="74.069999999999993"/>
    <n v="83.093600000000038"/>
    <s v="Paneer Butter Masala + Naan"/>
    <s v="Bottled Water+Tea+Paneer Butter Masala + Naan"/>
    <n v="0.52870766513365708"/>
  </r>
  <r>
    <s v="O00281"/>
    <s v="BTIQJ7"/>
    <n v="1"/>
    <n v="30.34"/>
    <s v="Beverage"/>
    <n v="14.18"/>
    <d v="2025-07-31T00:00:00"/>
    <x v="0"/>
    <n v="0.03"/>
    <n v="29.4298"/>
    <s v="July"/>
    <x v="0"/>
    <s v="Cash"/>
    <x v="0"/>
    <s v="OK"/>
    <n v="14.18"/>
    <n v="15.2498"/>
    <s v="Tea"/>
    <s v="Tea"/>
    <n v="0.51817545481110983"/>
  </r>
  <r>
    <s v="O00282"/>
    <s v="SV30T9"/>
    <n v="2"/>
    <n v="39.950000000000003"/>
    <s v="Snack"/>
    <n v="15.51"/>
    <d v="2025-07-17T00:00:00"/>
    <x v="2"/>
    <n v="0.14000000000000001"/>
    <n v="68.713999999999999"/>
    <s v="July"/>
    <x v="2"/>
    <s v="UPI"/>
    <x v="0"/>
    <s v="HighDisc"/>
    <n v="31.02"/>
    <n v="37.694000000000003"/>
    <s v="Samosa"/>
    <s v="Samosa+Veg Sandwich+Tea"/>
    <n v="0.54856361149110811"/>
  </r>
  <r>
    <s v="O00282"/>
    <s v="SCKW5N"/>
    <n v="3"/>
    <n v="70.540000000000006"/>
    <s v="Snack"/>
    <n v="35.81"/>
    <d v="2025-07-17T00:00:00"/>
    <x v="2"/>
    <n v="0.14000000000000001"/>
    <n v="181.9932"/>
    <s v="July"/>
    <x v="2"/>
    <s v="UPI"/>
    <x v="0"/>
    <s v="HighDisc"/>
    <n v="107.43"/>
    <n v="74.563199999999995"/>
    <s v="Veg Sandwich"/>
    <s v="Samosa+Veg Sandwich+Tea"/>
    <n v="0.40970321968073531"/>
  </r>
  <r>
    <s v="O00282"/>
    <s v="BTIQJ7"/>
    <n v="1"/>
    <n v="30.34"/>
    <s v="Beverage"/>
    <n v="14.18"/>
    <d v="2025-07-17T00:00:00"/>
    <x v="2"/>
    <n v="0.14000000000000001"/>
    <n v="26.092399999999998"/>
    <s v="July"/>
    <x v="2"/>
    <s v="UPI"/>
    <x v="0"/>
    <s v="HighDisc"/>
    <n v="14.18"/>
    <n v="11.912399999999998"/>
    <s v="Tea"/>
    <s v="Samosa+Veg Sandwich+Tea"/>
    <n v="0.4565467339148564"/>
  </r>
  <r>
    <s v="O00283"/>
    <s v="HXAJI0"/>
    <n v="3"/>
    <n v="227.61"/>
    <s v="Hot Meal"/>
    <n v="96.22"/>
    <d v="2025-08-21T00:00:00"/>
    <x v="0"/>
    <n v="0.02"/>
    <n v="669.17340000000002"/>
    <s v="August"/>
    <x v="1"/>
    <s v="Card"/>
    <x v="1"/>
    <s v="OK"/>
    <n v="288.65999999999997"/>
    <n v="380.51340000000005"/>
    <s v="Veg Thali"/>
    <s v="Veg Thali+Samosa+Paneer Butter Masala + Naan+Tea"/>
    <n v="0.56863198686618455"/>
  </r>
  <r>
    <s v="O00283"/>
    <s v="SV30T9"/>
    <n v="2"/>
    <n v="39.950000000000003"/>
    <s v="Snack"/>
    <n v="15.51"/>
    <d v="2025-08-21T00:00:00"/>
    <x v="0"/>
    <n v="0.02"/>
    <n v="78.302000000000007"/>
    <s v="August"/>
    <x v="1"/>
    <s v="Card"/>
    <x v="1"/>
    <s v="OK"/>
    <n v="31.02"/>
    <n v="47.282000000000011"/>
    <s v="Samosa"/>
    <s v="Veg Thali+Samosa+Paneer Butter Masala + Naan+Tea"/>
    <n v="0.6038415366146459"/>
  </r>
  <r>
    <s v="O00283"/>
    <s v="H3A3ZM"/>
    <n v="2"/>
    <n v="170.83"/>
    <s v="Hot Meal"/>
    <n v="74.069999999999993"/>
    <d v="2025-08-21T00:00:00"/>
    <x v="0"/>
    <n v="0.02"/>
    <n v="334.82679999999999"/>
    <s v="August"/>
    <x v="1"/>
    <s v="Card"/>
    <x v="1"/>
    <s v="OK"/>
    <n v="148.13999999999999"/>
    <n v="186.68680000000001"/>
    <s v="Paneer Butter Masala + Naan"/>
    <s v="Veg Thali+Samosa+Paneer Butter Masala + Naan+Tea"/>
    <n v="0.55756229788057587"/>
  </r>
  <r>
    <s v="O00283"/>
    <s v="BTIQJ7"/>
    <n v="1"/>
    <n v="30.34"/>
    <s v="Beverage"/>
    <n v="14.18"/>
    <d v="2025-08-21T00:00:00"/>
    <x v="0"/>
    <n v="0.02"/>
    <n v="29.7332"/>
    <s v="August"/>
    <x v="1"/>
    <s v="Card"/>
    <x v="1"/>
    <s v="OK"/>
    <n v="14.18"/>
    <n v="15.5532"/>
    <s v="Tea"/>
    <s v="Veg Thali+Samosa+Paneer Butter Masala + Naan+Tea"/>
    <n v="0.52309203180283326"/>
  </r>
  <r>
    <s v="O00284"/>
    <s v="DH9SDB"/>
    <n v="1"/>
    <n v="76.55"/>
    <s v="Dessert"/>
    <n v="38.229999999999997"/>
    <d v="2025-07-15T00:00:00"/>
    <x v="2"/>
    <n v="0.01"/>
    <n v="75.784499999999994"/>
    <s v="July"/>
    <x v="2"/>
    <s v="Cash"/>
    <x v="0"/>
    <s v="OK"/>
    <n v="38.229999999999997"/>
    <n v="37.554499999999997"/>
    <s v="Gulab Jamun (2 pc)"/>
    <s v="Gulab Jamun (2 pc)+Masala Puff+Poha"/>
    <n v="0.49554328391689595"/>
  </r>
  <r>
    <s v="O00284"/>
    <s v="S5NQ4F"/>
    <n v="3"/>
    <n v="50.19"/>
    <s v="Snack"/>
    <n v="22.61"/>
    <d v="2025-07-15T00:00:00"/>
    <x v="2"/>
    <n v="0.01"/>
    <n v="149.0643"/>
    <s v="July"/>
    <x v="2"/>
    <s v="Cash"/>
    <x v="0"/>
    <s v="OK"/>
    <n v="67.83"/>
    <n v="81.234300000000005"/>
    <s v="Masala Puff"/>
    <s v="Gulab Jamun (2 pc)+Masala Puff+Poha"/>
    <n v="0.54496146964766212"/>
  </r>
  <r>
    <s v="O00284"/>
    <s v="SHJ7XV"/>
    <n v="2"/>
    <n v="52.45"/>
    <s v="Snack"/>
    <n v="25.8"/>
    <d v="2025-07-15T00:00:00"/>
    <x v="2"/>
    <n v="0.01"/>
    <n v="103.851"/>
    <s v="July"/>
    <x v="2"/>
    <s v="Cash"/>
    <x v="0"/>
    <s v="OK"/>
    <n v="51.6"/>
    <n v="52.250999999999998"/>
    <s v="Poha"/>
    <s v="Gulab Jamun (2 pc)+Masala Puff+Poha"/>
    <n v="0.50313429817719613"/>
  </r>
  <r>
    <s v="O00285"/>
    <s v="DFFYVN"/>
    <n v="1"/>
    <n v="54.2"/>
    <s v="Dessert"/>
    <n v="21.95"/>
    <d v="2025-07-20T00:00:00"/>
    <x v="2"/>
    <n v="0.11"/>
    <n v="48.238000000000007"/>
    <s v="July"/>
    <x v="0"/>
    <s v="Cash"/>
    <x v="0"/>
    <s v="HighDisc"/>
    <n v="21.95"/>
    <n v="26.288000000000007"/>
    <s v="Kheer Cup"/>
    <s v="Kheer Cup+Poha+Paneer Butter Masala + Naan+Masala Puff"/>
    <n v="0.54496455076910333"/>
  </r>
  <r>
    <s v="O00285"/>
    <s v="SHJ7XV"/>
    <n v="1"/>
    <n v="52.45"/>
    <s v="Snack"/>
    <n v="25.8"/>
    <d v="2025-07-20T00:00:00"/>
    <x v="2"/>
    <n v="0.11"/>
    <n v="46.680500000000002"/>
    <s v="July"/>
    <x v="0"/>
    <s v="Cash"/>
    <x v="0"/>
    <s v="HighDisc"/>
    <n v="25.8"/>
    <n v="20.880500000000001"/>
    <s v="Poha"/>
    <s v="Kheer Cup+Poha+Paneer Butter Masala + Naan+Masala Puff"/>
    <n v="0.44730669123081374"/>
  </r>
  <r>
    <s v="O00285"/>
    <s v="H3A3ZM"/>
    <n v="1"/>
    <n v="170.83"/>
    <s v="Hot Meal"/>
    <n v="74.069999999999993"/>
    <d v="2025-07-20T00:00:00"/>
    <x v="2"/>
    <n v="0.11"/>
    <n v="152.03870000000001"/>
    <s v="July"/>
    <x v="0"/>
    <s v="Cash"/>
    <x v="0"/>
    <s v="HighDisc"/>
    <n v="74.069999999999993"/>
    <n v="77.968700000000013"/>
    <s v="Paneer Butter Masala + Naan"/>
    <s v="Kheer Cup+Poha+Paneer Butter Masala + Naan+Masala Puff"/>
    <n v="0.51282140665501619"/>
  </r>
  <r>
    <s v="O00285"/>
    <s v="S5NQ4F"/>
    <n v="3"/>
    <n v="50.19"/>
    <s v="Snack"/>
    <n v="22.61"/>
    <d v="2025-07-20T00:00:00"/>
    <x v="2"/>
    <n v="0.11"/>
    <n v="134.00729999999999"/>
    <s v="July"/>
    <x v="0"/>
    <s v="Cash"/>
    <x v="0"/>
    <s v="HighDisc"/>
    <n v="67.83"/>
    <n v="66.177299999999988"/>
    <s v="Masala Puff"/>
    <s v="Kheer Cup+Poha+Paneer Butter Masala + Naan+Masala Puff"/>
    <n v="0.49383354488897241"/>
  </r>
  <r>
    <s v="O00286"/>
    <s v="DH9SDB"/>
    <n v="2"/>
    <n v="76.55"/>
    <s v="Dessert"/>
    <n v="38.229999999999997"/>
    <d v="2025-07-18T00:00:00"/>
    <x v="0"/>
    <n v="0.09"/>
    <n v="139.321"/>
    <s v="July"/>
    <x v="0"/>
    <s v="Card"/>
    <x v="0"/>
    <s v="OK"/>
    <n v="76.459999999999994"/>
    <n v="62.861000000000004"/>
    <s v="Gulab Jamun (2 pc)"/>
    <s v="Gulab Jamun (2 pc)+Paneer Butter Masala + Naan"/>
    <n v="0.45119544074475493"/>
  </r>
  <r>
    <s v="O00286"/>
    <s v="H3A3ZM"/>
    <n v="1"/>
    <n v="170.83"/>
    <s v="Hot Meal"/>
    <n v="74.069999999999993"/>
    <d v="2025-07-18T00:00:00"/>
    <x v="0"/>
    <n v="0.09"/>
    <n v="155.45530000000002"/>
    <s v="July"/>
    <x v="0"/>
    <s v="Card"/>
    <x v="0"/>
    <s v="OK"/>
    <n v="74.069999999999993"/>
    <n v="81.385300000000029"/>
    <s v="Paneer Butter Masala + Naan"/>
    <s v="Gulab Jamun (2 pc)+Paneer Butter Masala + Naan"/>
    <n v="0.52352862848677417"/>
  </r>
  <r>
    <s v="O00287"/>
    <s v="HUZZPQ"/>
    <n v="1"/>
    <n v="146.4"/>
    <s v="Hot Meal"/>
    <n v="80.92"/>
    <d v="2025-08-25T00:00:00"/>
    <x v="0"/>
    <n v="0.08"/>
    <n v="134.68800000000002"/>
    <s v="August"/>
    <x v="0"/>
    <s v="UPI"/>
    <x v="0"/>
    <s v="OK"/>
    <n v="80.92"/>
    <n v="53.768000000000015"/>
    <s v="Rajma Chawal"/>
    <s v="Rajma Chawal+Chicken Thali"/>
    <n v="0.39920408648134953"/>
  </r>
  <r>
    <s v="O00287"/>
    <s v="HDPBHS"/>
    <n v="1"/>
    <n v="256.91000000000003"/>
    <s v="Hot Meal"/>
    <n v="121.24"/>
    <d v="2025-08-25T00:00:00"/>
    <x v="0"/>
    <n v="0.08"/>
    <n v="236.35720000000003"/>
    <s v="August"/>
    <x v="0"/>
    <s v="UPI"/>
    <x v="0"/>
    <s v="OK"/>
    <n v="121.24"/>
    <n v="115.11720000000004"/>
    <s v="Chicken Thali"/>
    <s v="Rajma Chawal+Chicken Thali"/>
    <n v="0.48704757037230101"/>
  </r>
  <r>
    <s v="O00288"/>
    <s v="H3A3ZM"/>
    <n v="1"/>
    <n v="170.83"/>
    <s v="Hot Meal"/>
    <n v="74.069999999999993"/>
    <d v="2025-07-31T00:00:00"/>
    <x v="2"/>
    <n v="0.09"/>
    <n v="155.45530000000002"/>
    <s v="July"/>
    <x v="1"/>
    <s v="Cash"/>
    <x v="1"/>
    <s v="OK"/>
    <n v="74.069999999999993"/>
    <n v="81.385300000000029"/>
    <s v="Paneer Butter Masala + Naan"/>
    <s v="Paneer Butter Masala + Naan+Poha+Coffee"/>
    <n v="0.52352862848677417"/>
  </r>
  <r>
    <s v="O00288"/>
    <s v="SHJ7XV"/>
    <n v="2"/>
    <n v="52.45"/>
    <s v="Snack"/>
    <n v="25.8"/>
    <d v="2025-07-31T00:00:00"/>
    <x v="2"/>
    <n v="0.09"/>
    <n v="95.459000000000003"/>
    <s v="July"/>
    <x v="1"/>
    <s v="Cash"/>
    <x v="1"/>
    <s v="OK"/>
    <n v="51.6"/>
    <n v="43.859000000000002"/>
    <s v="Poha"/>
    <s v="Paneer Butter Masala + Naan+Poha+Coffee"/>
    <n v="0.45945379691804861"/>
  </r>
  <r>
    <s v="O00288"/>
    <s v="BHL1C3"/>
    <n v="2"/>
    <n v="22.2"/>
    <s v="Beverage"/>
    <n v="9.3800000000000008"/>
    <d v="2025-07-31T00:00:00"/>
    <x v="2"/>
    <n v="0.09"/>
    <n v="40.404000000000003"/>
    <s v="July"/>
    <x v="1"/>
    <s v="Cash"/>
    <x v="1"/>
    <s v="OK"/>
    <n v="18.760000000000002"/>
    <n v="21.644000000000002"/>
    <s v="Coffee"/>
    <s v="Paneer Butter Masala + Naan+Poha+Coffee"/>
    <n v="0.5356895356895357"/>
  </r>
  <r>
    <s v="O00289"/>
    <s v="SCKW5N"/>
    <n v="3"/>
    <n v="70.540000000000006"/>
    <s v="Snack"/>
    <n v="35.81"/>
    <d v="2025-08-13T00:00:00"/>
    <x v="0"/>
    <n v="0.06"/>
    <n v="198.9228"/>
    <s v="August"/>
    <x v="0"/>
    <s v="Card"/>
    <x v="0"/>
    <s v="OK"/>
    <n v="107.43"/>
    <n v="91.492799999999988"/>
    <s v="Veg Sandwich"/>
    <s v="Veg Sandwich+Nimbu Pani+Gulab Jamun (2 pc)"/>
    <n v="0.459941243537694"/>
  </r>
  <r>
    <s v="O00289"/>
    <s v="BXO6QJ"/>
    <n v="1"/>
    <n v="20.11"/>
    <s v="Beverage"/>
    <n v="8"/>
    <d v="2025-08-13T00:00:00"/>
    <x v="0"/>
    <n v="0.06"/>
    <n v="18.903399999999998"/>
    <s v="August"/>
    <x v="0"/>
    <s v="Card"/>
    <x v="0"/>
    <s v="OK"/>
    <n v="8"/>
    <n v="10.903399999999998"/>
    <s v="Nimbu Pani"/>
    <s v="Veg Sandwich+Nimbu Pani+Gulab Jamun (2 pc)"/>
    <n v="0.57679570870848629"/>
  </r>
  <r>
    <s v="O00289"/>
    <s v="DH9SDB"/>
    <n v="1"/>
    <n v="76.55"/>
    <s v="Dessert"/>
    <n v="38.229999999999997"/>
    <d v="2025-08-13T00:00:00"/>
    <x v="0"/>
    <n v="0.06"/>
    <n v="71.956999999999994"/>
    <s v="August"/>
    <x v="0"/>
    <s v="Card"/>
    <x v="0"/>
    <s v="OK"/>
    <n v="38.229999999999997"/>
    <n v="33.726999999999997"/>
    <s v="Gulab Jamun (2 pc)"/>
    <s v="Veg Sandwich+Nimbu Pani+Gulab Jamun (2 pc)"/>
    <n v="0.46871047986992231"/>
  </r>
  <r>
    <s v="O00290"/>
    <s v="BOC6UZ"/>
    <n v="1"/>
    <n v="32.979999999999997"/>
    <s v="Beverage"/>
    <n v="11.84"/>
    <d v="2025-08-04T00:00:00"/>
    <x v="0"/>
    <n v="0.02"/>
    <n v="32.320399999999999"/>
    <s v="August"/>
    <x v="0"/>
    <s v="Card"/>
    <x v="0"/>
    <s v="OK"/>
    <n v="11.84"/>
    <n v="20.480399999999999"/>
    <s v="Masala Chaas"/>
    <s v="Masala Chaas+Nimbu Pani"/>
    <n v="0.63366790014975061"/>
  </r>
  <r>
    <s v="O00290"/>
    <s v="BXO6QJ"/>
    <n v="1"/>
    <n v="20.11"/>
    <s v="Beverage"/>
    <n v="8"/>
    <d v="2025-08-04T00:00:00"/>
    <x v="0"/>
    <n v="0.02"/>
    <n v="19.707799999999999"/>
    <s v="August"/>
    <x v="0"/>
    <s v="Card"/>
    <x v="0"/>
    <s v="OK"/>
    <n v="8"/>
    <n v="11.707799999999999"/>
    <s v="Nimbu Pani"/>
    <s v="Masala Chaas+Nimbu Pani"/>
    <n v="0.59406935325099708"/>
  </r>
  <r>
    <s v="O00291"/>
    <s v="HDPBHS"/>
    <n v="2"/>
    <n v="256.91000000000003"/>
    <s v="Hot Meal"/>
    <n v="121.24"/>
    <d v="2025-08-14T00:00:00"/>
    <x v="2"/>
    <n v="0.06"/>
    <n v="482.99080000000004"/>
    <s v="August"/>
    <x v="0"/>
    <s v="Card"/>
    <x v="0"/>
    <s v="OK"/>
    <n v="242.48"/>
    <n v="240.51080000000005"/>
    <s v="Chicken Thali"/>
    <s v="Chicken Thali"/>
    <n v="0.49796145185374135"/>
  </r>
  <r>
    <s v="O00292"/>
    <s v="BXO6QJ"/>
    <n v="1"/>
    <n v="20.11"/>
    <s v="Beverage"/>
    <n v="8"/>
    <d v="2025-07-08T00:00:00"/>
    <x v="0"/>
    <n v="0.03"/>
    <n v="19.506699999999999"/>
    <s v="July"/>
    <x v="1"/>
    <s v="UPI"/>
    <x v="0"/>
    <s v="OK"/>
    <n v="8"/>
    <n v="11.506699999999999"/>
    <s v="Nimbu Pani"/>
    <s v="Nimbu Pani+Tea"/>
    <n v="0.58988450122265679"/>
  </r>
  <r>
    <s v="O00292"/>
    <s v="BTIQJ7"/>
    <n v="2"/>
    <n v="30.34"/>
    <s v="Beverage"/>
    <n v="14.18"/>
    <d v="2025-07-08T00:00:00"/>
    <x v="0"/>
    <n v="0.03"/>
    <n v="58.8596"/>
    <s v="July"/>
    <x v="1"/>
    <s v="UPI"/>
    <x v="0"/>
    <s v="OK"/>
    <n v="28.36"/>
    <n v="30.499600000000001"/>
    <s v="Tea"/>
    <s v="Nimbu Pani+Tea"/>
    <n v="0.51817545481110983"/>
  </r>
  <r>
    <s v="O00293"/>
    <s v="HXAJI0"/>
    <n v="2"/>
    <n v="227.61"/>
    <s v="Hot Meal"/>
    <n v="96.22"/>
    <d v="2025-08-07T00:00:00"/>
    <x v="1"/>
    <n v="0.1"/>
    <n v="409.69800000000004"/>
    <s v="August"/>
    <x v="2"/>
    <s v="UPI"/>
    <x v="1"/>
    <s v="HighDisc"/>
    <n v="192.44"/>
    <n v="217.25800000000004"/>
    <s v="Veg Thali"/>
    <s v="Veg Thali+Tea"/>
    <n v="0.53028816347651198"/>
  </r>
  <r>
    <s v="O00293"/>
    <s v="BTIQJ7"/>
    <n v="2"/>
    <n v="30.34"/>
    <s v="Beverage"/>
    <n v="14.18"/>
    <d v="2025-08-07T00:00:00"/>
    <x v="1"/>
    <n v="0.1"/>
    <n v="54.612000000000002"/>
    <s v="August"/>
    <x v="2"/>
    <s v="UPI"/>
    <x v="1"/>
    <s v="HighDisc"/>
    <n v="28.36"/>
    <n v="26.252000000000002"/>
    <s v="Tea"/>
    <s v="Veg Thali+Tea"/>
    <n v="0.48070021240752953"/>
  </r>
  <r>
    <s v="O00294"/>
    <s v="B0T0PV"/>
    <n v="2"/>
    <n v="28.43"/>
    <s v="Beverage"/>
    <n v="13.89"/>
    <d v="2025-08-13T00:00:00"/>
    <x v="0"/>
    <n v="0.05"/>
    <n v="54.016999999999996"/>
    <s v="August"/>
    <x v="1"/>
    <s v="Cash"/>
    <x v="0"/>
    <s v="OK"/>
    <n v="27.78"/>
    <n v="26.236999999999995"/>
    <s v="Bottled Water"/>
    <s v="Bottled Water"/>
    <n v="0.48571745931836269"/>
  </r>
  <r>
    <s v="O00295"/>
    <s v="DYTJXE"/>
    <n v="1"/>
    <n v="57.07"/>
    <s v="Dessert"/>
    <n v="29.14"/>
    <d v="2025-08-28T00:00:00"/>
    <x v="1"/>
    <n v="0.03"/>
    <n v="55.357900000000001"/>
    <s v="August"/>
    <x v="1"/>
    <s v="Cash"/>
    <x v="0"/>
    <s v="OK"/>
    <n v="29.14"/>
    <n v="26.2179"/>
    <s v="Fruit Cup"/>
    <s v="Fruit Cup+Coffee"/>
    <n v="0.47360719969507514"/>
  </r>
  <r>
    <s v="O00295"/>
    <s v="BHL1C3"/>
    <n v="1"/>
    <n v="22.2"/>
    <s v="Beverage"/>
    <n v="9.3800000000000008"/>
    <d v="2025-08-28T00:00:00"/>
    <x v="1"/>
    <n v="0.03"/>
    <n v="21.533999999999999"/>
    <s v="August"/>
    <x v="1"/>
    <s v="Cash"/>
    <x v="0"/>
    <s v="OK"/>
    <n v="9.3800000000000008"/>
    <n v="12.153999999999998"/>
    <s v="Coffee"/>
    <s v="Fruit Cup+Coffee"/>
    <n v="0.56440977059533759"/>
  </r>
  <r>
    <s v="O00296"/>
    <s v="S5NQ4F"/>
    <n v="1"/>
    <n v="50.19"/>
    <s v="Snack"/>
    <n v="22.61"/>
    <d v="2025-08-13T00:00:00"/>
    <x v="2"/>
    <n v="0.05"/>
    <n v="47.680499999999995"/>
    <s v="August"/>
    <x v="1"/>
    <s v="UPI"/>
    <x v="0"/>
    <s v="OK"/>
    <n v="22.61"/>
    <n v="25.070499999999996"/>
    <s v="Masala Puff"/>
    <s v="Masala Puff+Samosa"/>
    <n v="0.52580195258019524"/>
  </r>
  <r>
    <s v="O00296"/>
    <s v="SV30T9"/>
    <n v="3"/>
    <n v="39.950000000000003"/>
    <s v="Snack"/>
    <n v="15.51"/>
    <d v="2025-08-13T00:00:00"/>
    <x v="2"/>
    <n v="0.05"/>
    <n v="113.8575"/>
    <s v="August"/>
    <x v="1"/>
    <s v="UPI"/>
    <x v="0"/>
    <s v="OK"/>
    <n v="46.53"/>
    <n v="67.327500000000001"/>
    <s v="Samosa"/>
    <s v="Masala Puff+Samosa"/>
    <n v="0.59133126934984515"/>
  </r>
  <r>
    <s v="O00297"/>
    <s v="SCKW5N"/>
    <n v="3"/>
    <n v="70.540000000000006"/>
    <s v="Snack"/>
    <n v="35.81"/>
    <d v="2025-08-19T00:00:00"/>
    <x v="0"/>
    <n v="0.08"/>
    <n v="194.69040000000001"/>
    <s v="August"/>
    <x v="0"/>
    <s v="Cash"/>
    <x v="0"/>
    <s v="OK"/>
    <n v="107.43"/>
    <n v="87.260400000000004"/>
    <s v="Veg Sandwich"/>
    <s v="Veg Sandwich"/>
    <n v="0.44820083578851344"/>
  </r>
  <r>
    <s v="O00298"/>
    <s v="HDPBHS"/>
    <n v="1"/>
    <n v="256.91000000000003"/>
    <s v="Hot Meal"/>
    <n v="121.24"/>
    <d v="2025-08-12T00:00:00"/>
    <x v="1"/>
    <n v="0.04"/>
    <n v="246.6336"/>
    <s v="August"/>
    <x v="1"/>
    <s v="UPI"/>
    <x v="0"/>
    <s v="OK"/>
    <n v="121.24"/>
    <n v="125.39360000000001"/>
    <s v="Chicken Thali"/>
    <s v="Chicken Thali"/>
    <n v="0.50842058827345504"/>
  </r>
  <r>
    <s v="O00299"/>
    <s v="SZBIKC"/>
    <n v="1"/>
    <n v="38.06"/>
    <s v="Snack"/>
    <n v="19.55"/>
    <d v="2025-08-05T00:00:00"/>
    <x v="1"/>
    <n v="0.03"/>
    <n v="36.918199999999999"/>
    <s v="August"/>
    <x v="2"/>
    <s v="Card"/>
    <x v="1"/>
    <s v="OK"/>
    <n v="19.55"/>
    <n v="17.368199999999998"/>
    <s v="Paneer Roll"/>
    <s v="Paneer Roll+Brownie+Rajma Chawal+Nimbu Pani"/>
    <n v="0.47045088872155194"/>
  </r>
  <r>
    <s v="O00299"/>
    <s v="D9T84A"/>
    <n v="1"/>
    <n v="116.8"/>
    <s v="Dessert"/>
    <n v="48.97"/>
    <d v="2025-08-05T00:00:00"/>
    <x v="1"/>
    <n v="0.03"/>
    <n v="113.29599999999999"/>
    <s v="August"/>
    <x v="2"/>
    <s v="Card"/>
    <x v="1"/>
    <s v="OK"/>
    <n v="48.97"/>
    <n v="64.325999999999993"/>
    <s v="Brownie"/>
    <s v="Paneer Roll+Brownie+Rajma Chawal+Nimbu Pani"/>
    <n v="0.56776938285552891"/>
  </r>
  <r>
    <s v="O00299"/>
    <s v="HUZZPQ"/>
    <n v="2"/>
    <n v="146.4"/>
    <s v="Hot Meal"/>
    <n v="80.92"/>
    <d v="2025-08-05T00:00:00"/>
    <x v="1"/>
    <n v="0.03"/>
    <n v="284.01600000000002"/>
    <s v="August"/>
    <x v="2"/>
    <s v="Card"/>
    <x v="1"/>
    <s v="OK"/>
    <n v="161.84"/>
    <n v="122.17600000000002"/>
    <s v="Rajma Chawal"/>
    <s v="Paneer Roll+Brownie+Rajma Chawal+Nimbu Pani"/>
    <n v="0.43017294800292943"/>
  </r>
  <r>
    <s v="O00299"/>
    <s v="BXO6QJ"/>
    <n v="1"/>
    <n v="20.11"/>
    <s v="Beverage"/>
    <n v="8"/>
    <d v="2025-08-05T00:00:00"/>
    <x v="1"/>
    <n v="0.03"/>
    <n v="19.506699999999999"/>
    <s v="August"/>
    <x v="2"/>
    <s v="Card"/>
    <x v="1"/>
    <s v="OK"/>
    <n v="8"/>
    <n v="11.506699999999999"/>
    <s v="Nimbu Pani"/>
    <s v="Paneer Roll+Brownie+Rajma Chawal+Nimbu Pani"/>
    <n v="0.58988450122265679"/>
  </r>
  <r>
    <s v="O00300"/>
    <s v="DFFYVN"/>
    <n v="1"/>
    <n v="54.2"/>
    <s v="Dessert"/>
    <n v="21.95"/>
    <d v="2025-08-03T00:00:00"/>
    <x v="0"/>
    <n v="7.0000000000000007E-2"/>
    <n v="50.405999999999999"/>
    <s v="August"/>
    <x v="0"/>
    <s v="Cash"/>
    <x v="0"/>
    <s v="OK"/>
    <n v="21.95"/>
    <n v="28.456"/>
    <s v="Kheer Cup"/>
    <s v="Kheer Cup+Egg Curry + Rice+Poha"/>
    <n v="0.56453596794032457"/>
  </r>
  <r>
    <s v="O00300"/>
    <s v="HH1DNM"/>
    <n v="1"/>
    <n v="246.09"/>
    <s v="Hot Meal"/>
    <n v="112.08"/>
    <d v="2025-08-03T00:00:00"/>
    <x v="0"/>
    <n v="7.0000000000000007E-2"/>
    <n v="228.86369999999999"/>
    <s v="August"/>
    <x v="0"/>
    <s v="Cash"/>
    <x v="0"/>
    <s v="OK"/>
    <n v="112.08"/>
    <n v="116.7837"/>
    <s v="Egg Curry + Rice"/>
    <s v="Kheer Cup+Egg Curry + Rice+Poha"/>
    <n v="0.5102762036967855"/>
  </r>
  <r>
    <s v="O00300"/>
    <s v="SHJ7XV"/>
    <n v="2"/>
    <n v="52.45"/>
    <s v="Snack"/>
    <n v="25.8"/>
    <d v="2025-08-03T00:00:00"/>
    <x v="0"/>
    <n v="7.0000000000000007E-2"/>
    <n v="97.557000000000002"/>
    <s v="August"/>
    <x v="0"/>
    <s v="Cash"/>
    <x v="0"/>
    <s v="OK"/>
    <n v="51.6"/>
    <n v="45.957000000000001"/>
    <s v="Poha"/>
    <s v="Kheer Cup+Egg Curry + Rice+Poha"/>
    <n v="0.47107844644669272"/>
  </r>
  <r>
    <s v="O00301"/>
    <s v="SV30T9"/>
    <n v="3"/>
    <n v="39.950000000000003"/>
    <s v="Snack"/>
    <n v="15.51"/>
    <d v="2025-07-07T00:00:00"/>
    <x v="1"/>
    <n v="7.0000000000000007E-2"/>
    <n v="111.4605"/>
    <s v="July"/>
    <x v="2"/>
    <s v="UPI"/>
    <x v="0"/>
    <s v="OK"/>
    <n v="46.53"/>
    <n v="64.930499999999995"/>
    <s v="Samosa"/>
    <s v="Samosa+Gulab Jamun (2 pc)+Kheer Cup+Veg Sandwich"/>
    <n v="0.58254269449715368"/>
  </r>
  <r>
    <s v="O00301"/>
    <s v="DH9SDB"/>
    <n v="1"/>
    <n v="76.55"/>
    <s v="Dessert"/>
    <n v="38.229999999999997"/>
    <d v="2025-07-07T00:00:00"/>
    <x v="1"/>
    <n v="7.0000000000000007E-2"/>
    <n v="71.191499999999991"/>
    <s v="July"/>
    <x v="2"/>
    <s v="UPI"/>
    <x v="0"/>
    <s v="OK"/>
    <n v="38.229999999999997"/>
    <n v="32.961499999999994"/>
    <s v="Gulab Jamun (2 pc)"/>
    <s v="Samosa+Gulab Jamun (2 pc)+Kheer Cup+Veg Sandwich"/>
    <n v="0.46299768933088919"/>
  </r>
  <r>
    <s v="O00301"/>
    <s v="DFFYVN"/>
    <n v="2"/>
    <n v="54.2"/>
    <s v="Dessert"/>
    <n v="21.95"/>
    <d v="2025-07-07T00:00:00"/>
    <x v="1"/>
    <n v="7.0000000000000007E-2"/>
    <n v="100.812"/>
    <s v="July"/>
    <x v="2"/>
    <s v="UPI"/>
    <x v="0"/>
    <s v="OK"/>
    <n v="43.9"/>
    <n v="56.911999999999999"/>
    <s v="Kheer Cup"/>
    <s v="Samosa+Gulab Jamun (2 pc)+Kheer Cup+Veg Sandwich"/>
    <n v="0.56453596794032457"/>
  </r>
  <r>
    <s v="O00301"/>
    <s v="SCKW5N"/>
    <n v="1"/>
    <n v="70.540000000000006"/>
    <s v="Snack"/>
    <n v="35.81"/>
    <d v="2025-07-07T00:00:00"/>
    <x v="1"/>
    <n v="7.0000000000000007E-2"/>
    <n v="65.602199999999996"/>
    <s v="July"/>
    <x v="2"/>
    <s v="UPI"/>
    <x v="0"/>
    <s v="OK"/>
    <n v="35.81"/>
    <n v="29.792199999999994"/>
    <s v="Veg Sandwich"/>
    <s v="Samosa+Gulab Jamun (2 pc)+Kheer Cup+Veg Sandwich"/>
    <n v="0.45413416013487345"/>
  </r>
  <r>
    <s v="O00302"/>
    <s v="BHL1C3"/>
    <n v="3"/>
    <n v="22.2"/>
    <s v="Beverage"/>
    <n v="9.3800000000000008"/>
    <d v="2025-07-28T00:00:00"/>
    <x v="1"/>
    <n v="0.04"/>
    <n v="63.935999999999993"/>
    <s v="July"/>
    <x v="1"/>
    <s v="UPI"/>
    <x v="0"/>
    <s v="OK"/>
    <n v="28.14"/>
    <n v="35.795999999999992"/>
    <s v="Coffee"/>
    <s v="Coffee"/>
    <n v="0.55987237237237231"/>
  </r>
  <r>
    <s v="O00303"/>
    <s v="SV30T9"/>
    <n v="2"/>
    <n v="39.950000000000003"/>
    <s v="Snack"/>
    <n v="15.51"/>
    <d v="2025-08-02T00:00:00"/>
    <x v="2"/>
    <n v="0.04"/>
    <n v="76.704000000000008"/>
    <s v="August"/>
    <x v="2"/>
    <s v="UPI"/>
    <x v="0"/>
    <s v="OK"/>
    <n v="31.02"/>
    <n v="45.684000000000012"/>
    <s v="Samosa"/>
    <s v="Samosa+Paneer Roll"/>
    <n v="0.59558823529411775"/>
  </r>
  <r>
    <s v="O00303"/>
    <s v="SZBIKC"/>
    <n v="2"/>
    <n v="38.06"/>
    <s v="Snack"/>
    <n v="19.55"/>
    <d v="2025-08-02T00:00:00"/>
    <x v="2"/>
    <n v="0.04"/>
    <n v="73.075199999999995"/>
    <s v="August"/>
    <x v="2"/>
    <s v="UPI"/>
    <x v="0"/>
    <s v="OK"/>
    <n v="39.1"/>
    <n v="33.975199999999994"/>
    <s v="Paneer Roll"/>
    <s v="Samosa+Paneer Roll"/>
    <n v="0.46493475214573476"/>
  </r>
  <r>
    <s v="O00304"/>
    <s v="BOC6UZ"/>
    <n v="1"/>
    <n v="32.979999999999997"/>
    <s v="Beverage"/>
    <n v="11.84"/>
    <d v="2025-08-04T00:00:00"/>
    <x v="1"/>
    <n v="7.0000000000000007E-2"/>
    <n v="30.671399999999995"/>
    <s v="August"/>
    <x v="0"/>
    <s v="UPI"/>
    <x v="0"/>
    <s v="OK"/>
    <n v="11.84"/>
    <n v="18.831399999999995"/>
    <s v="Masala Chaas"/>
    <s v="Masala Chaas"/>
    <n v="0.61397262596425328"/>
  </r>
  <r>
    <s v="O00305"/>
    <s v="SV30T9"/>
    <n v="2"/>
    <n v="39.950000000000003"/>
    <s v="Snack"/>
    <n v="15.51"/>
    <d v="2025-07-13T00:00:00"/>
    <x v="0"/>
    <n v="0"/>
    <n v="79.900000000000006"/>
    <s v="July"/>
    <x v="1"/>
    <s v="Cash"/>
    <x v="0"/>
    <s v="OK"/>
    <n v="31.02"/>
    <n v="48.88000000000001"/>
    <s v="Samosa"/>
    <s v="Samosa+Egg Curry + Rice"/>
    <n v="0.61176470588235299"/>
  </r>
  <r>
    <s v="O00305"/>
    <s v="HH1DNM"/>
    <n v="2"/>
    <n v="246.09"/>
    <s v="Hot Meal"/>
    <n v="112.08"/>
    <d v="2025-07-13T00:00:00"/>
    <x v="0"/>
    <n v="0"/>
    <n v="492.18"/>
    <s v="July"/>
    <x v="1"/>
    <s v="Cash"/>
    <x v="0"/>
    <s v="OK"/>
    <n v="224.16"/>
    <n v="268.02"/>
    <s v="Egg Curry + Rice"/>
    <s v="Samosa+Egg Curry + Rice"/>
    <n v="0.5445568694380104"/>
  </r>
  <r>
    <s v="O00306"/>
    <s v="S5NQ4F"/>
    <n v="1"/>
    <n v="50.19"/>
    <s v="Snack"/>
    <n v="22.61"/>
    <d v="2025-08-24T00:00:00"/>
    <x v="1"/>
    <n v="0"/>
    <n v="50.19"/>
    <s v="August"/>
    <x v="2"/>
    <s v="Card"/>
    <x v="1"/>
    <s v="OK"/>
    <n v="22.61"/>
    <n v="27.58"/>
    <s v="Masala Puff"/>
    <s v="Masala Puff+Nimbu Pani+Paneer Butter Masala + Naan+Rajma Chawal"/>
    <n v="0.54951185495118549"/>
  </r>
  <r>
    <s v="O00306"/>
    <s v="BXO6QJ"/>
    <n v="1"/>
    <n v="20.11"/>
    <s v="Beverage"/>
    <n v="8"/>
    <d v="2025-08-24T00:00:00"/>
    <x v="1"/>
    <n v="0"/>
    <n v="20.11"/>
    <s v="August"/>
    <x v="2"/>
    <s v="Card"/>
    <x v="1"/>
    <s v="OK"/>
    <n v="8"/>
    <n v="12.11"/>
    <s v="Nimbu Pani"/>
    <s v="Masala Puff+Nimbu Pani+Paneer Butter Masala + Naan+Rajma Chawal"/>
    <n v="0.60218796618597714"/>
  </r>
  <r>
    <s v="O00306"/>
    <s v="H3A3ZM"/>
    <n v="1"/>
    <n v="170.83"/>
    <s v="Hot Meal"/>
    <n v="74.069999999999993"/>
    <d v="2025-08-24T00:00:00"/>
    <x v="1"/>
    <n v="0"/>
    <n v="170.83"/>
    <s v="August"/>
    <x v="2"/>
    <s v="Card"/>
    <x v="1"/>
    <s v="OK"/>
    <n v="74.069999999999993"/>
    <n v="96.760000000000019"/>
    <s v="Paneer Butter Masala + Naan"/>
    <s v="Masala Puff+Nimbu Pani+Paneer Butter Masala + Naan+Rajma Chawal"/>
    <n v="0.56641105192296437"/>
  </r>
  <r>
    <s v="O00306"/>
    <s v="HUZZPQ"/>
    <n v="3"/>
    <n v="146.4"/>
    <s v="Hot Meal"/>
    <n v="80.92"/>
    <d v="2025-08-24T00:00:00"/>
    <x v="1"/>
    <n v="0"/>
    <n v="439.20000000000005"/>
    <s v="August"/>
    <x v="2"/>
    <s v="Card"/>
    <x v="1"/>
    <s v="OK"/>
    <n v="242.76"/>
    <n v="196.44000000000005"/>
    <s v="Rajma Chawal"/>
    <s v="Masala Puff+Nimbu Pani+Paneer Butter Masala + Naan+Rajma Chawal"/>
    <n v="0.44726775956284159"/>
  </r>
  <r>
    <s v="O00307"/>
    <s v="DH9SDB"/>
    <n v="1"/>
    <n v="76.55"/>
    <s v="Dessert"/>
    <n v="38.229999999999997"/>
    <d v="2025-08-21T00:00:00"/>
    <x v="2"/>
    <n v="0.03"/>
    <n v="74.253499999999988"/>
    <s v="August"/>
    <x v="0"/>
    <s v="UPI"/>
    <x v="1"/>
    <s v="OK"/>
    <n v="38.229999999999997"/>
    <n v="36.023499999999991"/>
    <s v="Gulab Jamun (2 pc)"/>
    <s v="Gulab Jamun (2 pc)+Egg Curry + Rice+Coffee+Tea"/>
    <n v="0.48514211451312056"/>
  </r>
  <r>
    <s v="O00307"/>
    <s v="HH1DNM"/>
    <n v="1"/>
    <n v="246.09"/>
    <s v="Hot Meal"/>
    <n v="112.08"/>
    <d v="2025-08-21T00:00:00"/>
    <x v="2"/>
    <n v="0.03"/>
    <n v="238.7073"/>
    <s v="August"/>
    <x v="0"/>
    <s v="UPI"/>
    <x v="1"/>
    <s v="OK"/>
    <n v="112.08"/>
    <n v="126.62730000000001"/>
    <s v="Egg Curry + Rice"/>
    <s v="Gulab Jamun (2 pc)+Egg Curry + Rice+Coffee+Tea"/>
    <n v="0.53047099942062936"/>
  </r>
  <r>
    <s v="O00307"/>
    <s v="BHL1C3"/>
    <n v="2"/>
    <n v="22.2"/>
    <s v="Beverage"/>
    <n v="9.3800000000000008"/>
    <d v="2025-08-21T00:00:00"/>
    <x v="2"/>
    <n v="0.03"/>
    <n v="43.067999999999998"/>
    <s v="August"/>
    <x v="0"/>
    <s v="UPI"/>
    <x v="1"/>
    <s v="OK"/>
    <n v="18.760000000000002"/>
    <n v="24.307999999999996"/>
    <s v="Coffee"/>
    <s v="Gulab Jamun (2 pc)+Egg Curry + Rice+Coffee+Tea"/>
    <n v="0.56440977059533759"/>
  </r>
  <r>
    <s v="O00307"/>
    <s v="BTIQJ7"/>
    <n v="2"/>
    <n v="30.34"/>
    <s v="Beverage"/>
    <n v="14.18"/>
    <d v="2025-08-21T00:00:00"/>
    <x v="2"/>
    <n v="0.03"/>
    <n v="58.8596"/>
    <s v="August"/>
    <x v="0"/>
    <s v="UPI"/>
    <x v="1"/>
    <s v="OK"/>
    <n v="28.36"/>
    <n v="30.499600000000001"/>
    <s v="Tea"/>
    <s v="Gulab Jamun (2 pc)+Egg Curry + Rice+Coffee+Tea"/>
    <n v="0.51817545481110983"/>
  </r>
  <r>
    <s v="O00308"/>
    <s v="HDPBHS"/>
    <n v="1"/>
    <n v="256.91000000000003"/>
    <s v="Hot Meal"/>
    <n v="121.24"/>
    <d v="2025-08-19T00:00:00"/>
    <x v="1"/>
    <n v="0.05"/>
    <n v="244.06450000000001"/>
    <s v="August"/>
    <x v="2"/>
    <s v="Card"/>
    <x v="0"/>
    <s v="HighDisc"/>
    <n v="121.24"/>
    <n v="122.82450000000001"/>
    <s v="Chicken Thali"/>
    <s v="Chicken Thali+Kheer Cup+Brownie+Egg Curry + Rice"/>
    <n v="0.50324606815001771"/>
  </r>
  <r>
    <s v="O00308"/>
    <s v="DFFYVN"/>
    <n v="3"/>
    <n v="54.2"/>
    <s v="Dessert"/>
    <n v="21.95"/>
    <d v="2025-08-19T00:00:00"/>
    <x v="1"/>
    <n v="0.05"/>
    <n v="154.47000000000003"/>
    <s v="August"/>
    <x v="2"/>
    <s v="Card"/>
    <x v="0"/>
    <s v="HighDisc"/>
    <n v="65.849999999999994"/>
    <n v="88.620000000000033"/>
    <s v="Kheer Cup"/>
    <s v="Chicken Thali+Kheer Cup+Brownie+Egg Curry + Rice"/>
    <n v="0.57370363177315997"/>
  </r>
  <r>
    <s v="O00308"/>
    <s v="D9T84A"/>
    <n v="1"/>
    <n v="116.8"/>
    <s v="Dessert"/>
    <n v="48.97"/>
    <d v="2025-08-19T00:00:00"/>
    <x v="1"/>
    <n v="0.05"/>
    <n v="110.96"/>
    <s v="August"/>
    <x v="2"/>
    <s v="Card"/>
    <x v="0"/>
    <s v="HighDisc"/>
    <n v="48.97"/>
    <n v="61.989999999999995"/>
    <s v="Brownie"/>
    <s v="Chicken Thali+Kheer Cup+Brownie+Egg Curry + Rice"/>
    <n v="0.55866979091564528"/>
  </r>
  <r>
    <s v="O00308"/>
    <s v="HH1DNM"/>
    <n v="2"/>
    <n v="246.09"/>
    <s v="Hot Meal"/>
    <n v="112.08"/>
    <d v="2025-08-19T00:00:00"/>
    <x v="1"/>
    <n v="0.05"/>
    <n v="467.57099999999997"/>
    <s v="August"/>
    <x v="2"/>
    <s v="Card"/>
    <x v="0"/>
    <s v="HighDisc"/>
    <n v="224.16"/>
    <n v="243.41099999999997"/>
    <s v="Egg Curry + Rice"/>
    <s v="Chicken Thali+Kheer Cup+Brownie+Egg Curry + Rice"/>
    <n v="0.52058617835580046"/>
  </r>
  <r>
    <s v="O00309"/>
    <s v="BOC6UZ"/>
    <n v="1"/>
    <n v="32.979999999999997"/>
    <s v="Beverage"/>
    <n v="11.84"/>
    <d v="2025-07-18T00:00:00"/>
    <x v="2"/>
    <n v="7.0000000000000007E-2"/>
    <n v="30.671399999999995"/>
    <s v="July"/>
    <x v="1"/>
    <s v="Card"/>
    <x v="0"/>
    <s v="OK"/>
    <n v="11.84"/>
    <n v="18.831399999999995"/>
    <s v="Masala Chaas"/>
    <s v="Masala Chaas+Paneer Roll"/>
    <n v="0.61397262596425328"/>
  </r>
  <r>
    <s v="O00309"/>
    <s v="SZBIKC"/>
    <n v="2"/>
    <n v="38.06"/>
    <s v="Snack"/>
    <n v="19.55"/>
    <d v="2025-07-18T00:00:00"/>
    <x v="2"/>
    <n v="7.0000000000000007E-2"/>
    <n v="70.791600000000003"/>
    <s v="July"/>
    <x v="1"/>
    <s v="Card"/>
    <x v="0"/>
    <s v="OK"/>
    <n v="39.1"/>
    <n v="31.691600000000001"/>
    <s v="Paneer Roll"/>
    <s v="Masala Chaas+Paneer Roll"/>
    <n v="0.44767458286011336"/>
  </r>
  <r>
    <s v="O00310"/>
    <s v="BXO6QJ"/>
    <n v="1"/>
    <n v="20.11"/>
    <s v="Beverage"/>
    <n v="8"/>
    <d v="2025-07-23T00:00:00"/>
    <x v="2"/>
    <n v="0.12"/>
    <n v="17.6968"/>
    <s v="July"/>
    <x v="0"/>
    <s v="Cash"/>
    <x v="0"/>
    <s v="OK"/>
    <n v="8"/>
    <n v="9.6967999999999996"/>
    <s v="Nimbu Pani"/>
    <s v="Nimbu Pani+Fruit Cup+Masala Puff"/>
    <n v="0.54794087066588304"/>
  </r>
  <r>
    <s v="O00310"/>
    <s v="DYTJXE"/>
    <n v="2"/>
    <n v="57.07"/>
    <s v="Dessert"/>
    <n v="29.14"/>
    <d v="2025-07-23T00:00:00"/>
    <x v="2"/>
    <n v="0.12"/>
    <n v="100.4432"/>
    <s v="July"/>
    <x v="0"/>
    <s v="Cash"/>
    <x v="0"/>
    <s v="OK"/>
    <n v="58.28"/>
    <n v="42.163200000000003"/>
    <s v="Fruit Cup"/>
    <s v="Nimbu Pani+Fruit Cup+Masala Puff"/>
    <n v="0.41977157239116236"/>
  </r>
  <r>
    <s v="O00310"/>
    <s v="S5NQ4F"/>
    <n v="1"/>
    <n v="50.19"/>
    <s v="Snack"/>
    <n v="22.61"/>
    <d v="2025-07-23T00:00:00"/>
    <x v="2"/>
    <n v="0.12"/>
    <n v="44.167200000000001"/>
    <s v="July"/>
    <x v="0"/>
    <s v="Cash"/>
    <x v="0"/>
    <s v="OK"/>
    <n v="22.61"/>
    <n v="21.557200000000002"/>
    <s v="Masala Puff"/>
    <s v="Nimbu Pani+Fruit Cup+Masala Puff"/>
    <n v="0.48808165335361992"/>
  </r>
  <r>
    <s v="O00311"/>
    <s v="DH9SDB"/>
    <n v="2"/>
    <n v="76.55"/>
    <s v="Dessert"/>
    <n v="38.229999999999997"/>
    <d v="2025-07-11T00:00:00"/>
    <x v="0"/>
    <n v="0.09"/>
    <n v="139.321"/>
    <s v="July"/>
    <x v="0"/>
    <s v="UPI"/>
    <x v="0"/>
    <s v="OK"/>
    <n v="76.459999999999994"/>
    <n v="62.861000000000004"/>
    <s v="Gulab Jamun (2 pc)"/>
    <s v="Gulab Jamun (2 pc)+Brownie+Paneer Roll"/>
    <n v="0.45119544074475493"/>
  </r>
  <r>
    <s v="O00311"/>
    <s v="D9T84A"/>
    <n v="1"/>
    <n v="116.8"/>
    <s v="Dessert"/>
    <n v="48.97"/>
    <d v="2025-07-11T00:00:00"/>
    <x v="0"/>
    <n v="0.09"/>
    <n v="106.288"/>
    <s v="July"/>
    <x v="0"/>
    <s v="UPI"/>
    <x v="0"/>
    <s v="OK"/>
    <n v="48.97"/>
    <n v="57.317999999999998"/>
    <s v="Brownie"/>
    <s v="Gulab Jamun (2 pc)+Brownie+Paneer Roll"/>
    <n v="0.53927066084600328"/>
  </r>
  <r>
    <s v="O00311"/>
    <s v="SZBIKC"/>
    <n v="2"/>
    <n v="38.06"/>
    <s v="Snack"/>
    <n v="19.55"/>
    <d v="2025-07-11T00:00:00"/>
    <x v="0"/>
    <n v="0.09"/>
    <n v="69.269200000000012"/>
    <s v="July"/>
    <x v="0"/>
    <s v="UPI"/>
    <x v="0"/>
    <s v="OK"/>
    <n v="39.1"/>
    <n v="30.169200000000011"/>
    <s v="Paneer Roll"/>
    <s v="Gulab Jamun (2 pc)+Brownie+Paneer Roll"/>
    <n v="0.43553556270319282"/>
  </r>
  <r>
    <s v="O00312"/>
    <s v="SCKW5N"/>
    <n v="2"/>
    <n v="70.540000000000006"/>
    <s v="Snack"/>
    <n v="35.81"/>
    <d v="2025-07-04T00:00:00"/>
    <x v="0"/>
    <n v="0.05"/>
    <n v="134.02600000000001"/>
    <s v="July"/>
    <x v="1"/>
    <s v="UPI"/>
    <x v="0"/>
    <s v="OK"/>
    <n v="71.62"/>
    <n v="62.406000000000006"/>
    <s v="Veg Sandwich"/>
    <s v="Veg Sandwich+Gulab Jamun (2 pc)+Fruit Cup"/>
    <n v="0.46562607255308675"/>
  </r>
  <r>
    <s v="O00312"/>
    <s v="DH9SDB"/>
    <n v="1"/>
    <n v="76.55"/>
    <s v="Dessert"/>
    <n v="38.229999999999997"/>
    <d v="2025-07-04T00:00:00"/>
    <x v="0"/>
    <n v="0.05"/>
    <n v="72.722499999999997"/>
    <s v="July"/>
    <x v="1"/>
    <s v="UPI"/>
    <x v="0"/>
    <s v="OK"/>
    <n v="38.229999999999997"/>
    <n v="34.4925"/>
    <s v="Gulab Jamun (2 pc)"/>
    <s v="Veg Sandwich+Gulab Jamun (2 pc)+Fruit Cup"/>
    <n v="0.47430300113444945"/>
  </r>
  <r>
    <s v="O00312"/>
    <s v="DYTJXE"/>
    <n v="1"/>
    <n v="57.07"/>
    <s v="Dessert"/>
    <n v="29.14"/>
    <d v="2025-07-04T00:00:00"/>
    <x v="0"/>
    <n v="0.05"/>
    <n v="54.216499999999996"/>
    <s v="July"/>
    <x v="1"/>
    <s v="UPI"/>
    <x v="0"/>
    <s v="OK"/>
    <n v="29.14"/>
    <n v="25.076499999999996"/>
    <s v="Fruit Cup"/>
    <s v="Veg Sandwich+Gulab Jamun (2 pc)+Fruit Cup"/>
    <n v="0.46252524600444511"/>
  </r>
  <r>
    <s v="O00313"/>
    <s v="DFFYVN"/>
    <n v="1"/>
    <n v="54.2"/>
    <s v="Dessert"/>
    <n v="21.95"/>
    <d v="2025-08-28T00:00:00"/>
    <x v="1"/>
    <n v="0.06"/>
    <n v="50.948"/>
    <s v="August"/>
    <x v="0"/>
    <s v="Cash"/>
    <x v="0"/>
    <s v="OK"/>
    <n v="21.95"/>
    <n v="28.998000000000001"/>
    <s v="Kheer Cup"/>
    <s v="Kheer Cup"/>
    <n v="0.56916856402606586"/>
  </r>
  <r>
    <s v="O00314"/>
    <s v="BOC6UZ"/>
    <n v="1"/>
    <n v="32.979999999999997"/>
    <s v="Beverage"/>
    <n v="11.84"/>
    <d v="2025-07-17T00:00:00"/>
    <x v="0"/>
    <n v="0.02"/>
    <n v="32.320399999999999"/>
    <s v="July"/>
    <x v="0"/>
    <s v="Cash"/>
    <x v="0"/>
    <s v="OK"/>
    <n v="11.84"/>
    <n v="20.480399999999999"/>
    <s v="Masala Chaas"/>
    <s v="Masala Chaas"/>
    <n v="0.63366790014975061"/>
  </r>
  <r>
    <s v="O00315"/>
    <s v="DH9SDB"/>
    <n v="3"/>
    <n v="76.55"/>
    <s v="Dessert"/>
    <n v="38.229999999999997"/>
    <d v="2025-08-05T00:00:00"/>
    <x v="0"/>
    <n v="0.06"/>
    <n v="215.87099999999995"/>
    <s v="August"/>
    <x v="2"/>
    <s v="Cash"/>
    <x v="0"/>
    <s v="OK"/>
    <n v="114.69"/>
    <n v="101.18099999999995"/>
    <s v="Gulab Jamun (2 pc)"/>
    <s v="Gulab Jamun (2 pc)+Brownie"/>
    <n v="0.4687104798699222"/>
  </r>
  <r>
    <s v="O00315"/>
    <s v="D9T84A"/>
    <n v="1"/>
    <n v="116.8"/>
    <s v="Dessert"/>
    <n v="48.97"/>
    <d v="2025-08-05T00:00:00"/>
    <x v="0"/>
    <n v="0.06"/>
    <n v="109.79199999999999"/>
    <s v="August"/>
    <x v="2"/>
    <s v="Cash"/>
    <x v="0"/>
    <s v="OK"/>
    <n v="48.97"/>
    <n v="60.821999999999989"/>
    <s v="Brownie"/>
    <s v="Gulab Jamun (2 pc)+Brownie"/>
    <n v="0.55397478869134364"/>
  </r>
  <r>
    <s v="O00316"/>
    <s v="BHL1C3"/>
    <n v="3"/>
    <n v="22.2"/>
    <s v="Beverage"/>
    <n v="9.3800000000000008"/>
    <d v="2025-08-29T00:00:00"/>
    <x v="1"/>
    <n v="0.05"/>
    <n v="63.269999999999989"/>
    <s v="August"/>
    <x v="2"/>
    <s v="Card"/>
    <x v="0"/>
    <s v="OK"/>
    <n v="28.14"/>
    <n v="35.129999999999988"/>
    <s v="Coffee"/>
    <s v="Coffee"/>
    <n v="0.55523944997629204"/>
  </r>
  <r>
    <s v="O00317"/>
    <s v="SHJ7XV"/>
    <n v="2"/>
    <n v="52.45"/>
    <s v="Snack"/>
    <n v="25.8"/>
    <d v="2025-08-22T00:00:00"/>
    <x v="2"/>
    <n v="7.0000000000000007E-2"/>
    <n v="97.557000000000002"/>
    <s v="August"/>
    <x v="0"/>
    <s v="Card"/>
    <x v="0"/>
    <s v="OK"/>
    <n v="51.6"/>
    <n v="45.957000000000001"/>
    <s v="Poha"/>
    <s v="Poha+Rajma Chawal"/>
    <n v="0.47107844644669272"/>
  </r>
  <r>
    <s v="O00317"/>
    <s v="HUZZPQ"/>
    <n v="1"/>
    <n v="146.4"/>
    <s v="Hot Meal"/>
    <n v="80.92"/>
    <d v="2025-08-22T00:00:00"/>
    <x v="2"/>
    <n v="7.0000000000000007E-2"/>
    <n v="136.15199999999999"/>
    <s v="August"/>
    <x v="0"/>
    <s v="Card"/>
    <x v="0"/>
    <s v="OK"/>
    <n v="80.92"/>
    <n v="55.231999999999985"/>
    <s v="Rajma Chawal"/>
    <s v="Poha+Rajma Chawal"/>
    <n v="0.40566425759445318"/>
  </r>
  <r>
    <s v="O00318"/>
    <s v="BOC6UZ"/>
    <n v="3"/>
    <n v="32.979999999999997"/>
    <s v="Beverage"/>
    <n v="11.84"/>
    <d v="2025-08-05T00:00:00"/>
    <x v="0"/>
    <n v="0.03"/>
    <n v="95.971800000000002"/>
    <s v="August"/>
    <x v="1"/>
    <s v="Card"/>
    <x v="1"/>
    <s v="OK"/>
    <n v="35.519999999999996"/>
    <n v="60.451800000000006"/>
    <s v="Masala Chaas"/>
    <s v="Masala Chaas+Rajma Chawal+Kheer Cup+Coffee"/>
    <n v="0.62989128056366561"/>
  </r>
  <r>
    <s v="O00318"/>
    <s v="HUZZPQ"/>
    <n v="1"/>
    <n v="146.4"/>
    <s v="Hot Meal"/>
    <n v="80.92"/>
    <d v="2025-08-05T00:00:00"/>
    <x v="0"/>
    <n v="0.03"/>
    <n v="142.00800000000001"/>
    <s v="August"/>
    <x v="1"/>
    <s v="Card"/>
    <x v="1"/>
    <s v="OK"/>
    <n v="80.92"/>
    <n v="61.088000000000008"/>
    <s v="Rajma Chawal"/>
    <s v="Masala Chaas+Rajma Chawal+Kheer Cup+Coffee"/>
    <n v="0.43017294800292943"/>
  </r>
  <r>
    <s v="O00318"/>
    <s v="DFFYVN"/>
    <n v="2"/>
    <n v="54.2"/>
    <s v="Dessert"/>
    <n v="21.95"/>
    <d v="2025-08-05T00:00:00"/>
    <x v="0"/>
    <n v="0.03"/>
    <n v="105.148"/>
    <s v="August"/>
    <x v="1"/>
    <s v="Card"/>
    <x v="1"/>
    <s v="OK"/>
    <n v="43.9"/>
    <n v="61.247999999999998"/>
    <s v="Kheer Cup"/>
    <s v="Masala Chaas+Rajma Chawal+Kheer Cup+Coffee"/>
    <n v="0.58249324761288845"/>
  </r>
  <r>
    <s v="O00318"/>
    <s v="BHL1C3"/>
    <n v="2"/>
    <n v="22.2"/>
    <s v="Beverage"/>
    <n v="9.3800000000000008"/>
    <d v="2025-08-05T00:00:00"/>
    <x v="0"/>
    <n v="0.03"/>
    <n v="43.067999999999998"/>
    <s v="August"/>
    <x v="1"/>
    <s v="Card"/>
    <x v="1"/>
    <s v="OK"/>
    <n v="18.760000000000002"/>
    <n v="24.307999999999996"/>
    <s v="Coffee"/>
    <s v="Masala Chaas+Rajma Chawal+Kheer Cup+Coffee"/>
    <n v="0.56440977059533759"/>
  </r>
  <r>
    <s v="O00319"/>
    <s v="BXO6QJ"/>
    <n v="2"/>
    <n v="20.11"/>
    <s v="Beverage"/>
    <n v="8"/>
    <d v="2025-07-28T00:00:00"/>
    <x v="1"/>
    <n v="0.08"/>
    <n v="37.002400000000002"/>
    <s v="July"/>
    <x v="2"/>
    <s v="UPI"/>
    <x v="0"/>
    <s v="OK"/>
    <n v="16"/>
    <n v="21.002400000000002"/>
    <s v="Nimbu Pani"/>
    <s v="Nimbu Pani+Fruit Cup"/>
    <n v="0.5675956154195404"/>
  </r>
  <r>
    <s v="O00319"/>
    <s v="DYTJXE"/>
    <n v="1"/>
    <n v="57.07"/>
    <s v="Dessert"/>
    <n v="29.14"/>
    <d v="2025-07-28T00:00:00"/>
    <x v="1"/>
    <n v="0.08"/>
    <n v="52.504400000000004"/>
    <s v="July"/>
    <x v="2"/>
    <s v="UPI"/>
    <x v="0"/>
    <s v="OK"/>
    <n v="29.14"/>
    <n v="23.364400000000003"/>
    <s v="Fruit Cup"/>
    <s v="Nimbu Pani+Fruit Cup"/>
    <n v="0.4449988953306771"/>
  </r>
  <r>
    <s v="O00320"/>
    <s v="H3A3ZM"/>
    <n v="2"/>
    <n v="170.83"/>
    <s v="Hot Meal"/>
    <n v="74.069999999999993"/>
    <d v="2025-07-16T00:00:00"/>
    <x v="2"/>
    <n v="0.12"/>
    <n v="300.66080000000005"/>
    <s v="July"/>
    <x v="1"/>
    <s v="Cash"/>
    <x v="0"/>
    <s v="HighDisc"/>
    <n v="148.13999999999999"/>
    <n v="152.52080000000007"/>
    <s v="Paneer Butter Masala + Naan"/>
    <s v="Paneer Butter Masala + Naan"/>
    <n v="0.50728528627609604"/>
  </r>
  <r>
    <s v="O00321"/>
    <s v="SHJ7XV"/>
    <n v="2"/>
    <n v="52.45"/>
    <s v="Snack"/>
    <n v="25.8"/>
    <d v="2025-07-06T00:00:00"/>
    <x v="0"/>
    <n v="0.06"/>
    <n v="98.605999999999995"/>
    <s v="July"/>
    <x v="0"/>
    <s v="Card"/>
    <x v="1"/>
    <s v="OK"/>
    <n v="51.6"/>
    <n v="47.005999999999993"/>
    <s v="Poha"/>
    <s v="Poha+Bottled Water+Brownie+Rajma Chawal"/>
    <n v="0.47670527148449382"/>
  </r>
  <r>
    <s v="O00321"/>
    <s v="B0T0PV"/>
    <n v="1"/>
    <n v="28.43"/>
    <s v="Beverage"/>
    <n v="13.89"/>
    <d v="2025-07-06T00:00:00"/>
    <x v="0"/>
    <n v="0.06"/>
    <n v="26.7242"/>
    <s v="July"/>
    <x v="0"/>
    <s v="Card"/>
    <x v="1"/>
    <s v="OK"/>
    <n v="13.89"/>
    <n v="12.834199999999999"/>
    <s v="Bottled Water"/>
    <s v="Poha+Bottled Water+Brownie+Rajma Chawal"/>
    <n v="0.48024636846004742"/>
  </r>
  <r>
    <s v="O00321"/>
    <s v="D9T84A"/>
    <n v="3"/>
    <n v="116.8"/>
    <s v="Dessert"/>
    <n v="48.97"/>
    <d v="2025-07-06T00:00:00"/>
    <x v="0"/>
    <n v="0.06"/>
    <n v="329.37599999999998"/>
    <s v="July"/>
    <x v="0"/>
    <s v="Card"/>
    <x v="1"/>
    <s v="OK"/>
    <n v="146.91"/>
    <n v="182.46599999999998"/>
    <s v="Brownie"/>
    <s v="Poha+Bottled Water+Brownie+Rajma Chawal"/>
    <n v="0.55397478869134364"/>
  </r>
  <r>
    <s v="O00321"/>
    <s v="HUZZPQ"/>
    <n v="1"/>
    <n v="146.4"/>
    <s v="Hot Meal"/>
    <n v="80.92"/>
    <d v="2025-07-06T00:00:00"/>
    <x v="0"/>
    <n v="0.06"/>
    <n v="137.61599999999999"/>
    <s v="July"/>
    <x v="0"/>
    <s v="Card"/>
    <x v="1"/>
    <s v="OK"/>
    <n v="80.92"/>
    <n v="56.695999999999984"/>
    <s v="Rajma Chawal"/>
    <s v="Poha+Bottled Water+Brownie+Rajma Chawal"/>
    <n v="0.41198697825834196"/>
  </r>
  <r>
    <s v="O00322"/>
    <s v="HH1DNM"/>
    <n v="1"/>
    <n v="246.09"/>
    <s v="Hot Meal"/>
    <n v="112.08"/>
    <d v="2025-07-11T00:00:00"/>
    <x v="0"/>
    <n v="0.08"/>
    <n v="226.40280000000001"/>
    <s v="July"/>
    <x v="0"/>
    <s v="Cash"/>
    <x v="1"/>
    <s v="HighDisc"/>
    <n v="112.08"/>
    <n v="114.32280000000002"/>
    <s v="Egg Curry + Rice"/>
    <s v="Egg Curry + Rice+Coffee+Bottled Water+Brownie"/>
    <n v="0.50495311895435924"/>
  </r>
  <r>
    <s v="O00322"/>
    <s v="BHL1C3"/>
    <n v="2"/>
    <n v="22.2"/>
    <s v="Beverage"/>
    <n v="9.3800000000000008"/>
    <d v="2025-07-11T00:00:00"/>
    <x v="0"/>
    <n v="0.08"/>
    <n v="40.847999999999999"/>
    <s v="July"/>
    <x v="0"/>
    <s v="Cash"/>
    <x v="1"/>
    <s v="HighDisc"/>
    <n v="18.760000000000002"/>
    <n v="22.087999999999997"/>
    <s v="Coffee"/>
    <s v="Egg Curry + Rice+Coffee+Bottled Water+Brownie"/>
    <n v="0.54073638856247552"/>
  </r>
  <r>
    <s v="O00322"/>
    <s v="B0T0PV"/>
    <n v="3"/>
    <n v="28.43"/>
    <s v="Beverage"/>
    <n v="13.89"/>
    <d v="2025-07-11T00:00:00"/>
    <x v="0"/>
    <n v="0.08"/>
    <n v="78.466799999999992"/>
    <s v="July"/>
    <x v="0"/>
    <s v="Cash"/>
    <x v="1"/>
    <s v="HighDisc"/>
    <n v="41.67"/>
    <n v="36.79679999999999"/>
    <s v="Bottled Water"/>
    <s v="Egg Curry + Rice+Coffee+Bottled Water+Brownie"/>
    <n v="0.46894737647004842"/>
  </r>
  <r>
    <s v="O00322"/>
    <s v="D9T84A"/>
    <n v="3"/>
    <n v="116.8"/>
    <s v="Dessert"/>
    <n v="48.97"/>
    <d v="2025-07-11T00:00:00"/>
    <x v="0"/>
    <n v="0.08"/>
    <n v="322.36799999999999"/>
    <s v="July"/>
    <x v="0"/>
    <s v="Cash"/>
    <x v="1"/>
    <s v="HighDisc"/>
    <n v="146.91"/>
    <n v="175.458"/>
    <s v="Brownie"/>
    <s v="Egg Curry + Rice+Coffee+Bottled Water+Brownie"/>
    <n v="0.54427858844550325"/>
  </r>
  <r>
    <s v="O00323"/>
    <s v="D9T84A"/>
    <n v="1"/>
    <n v="116.8"/>
    <s v="Dessert"/>
    <n v="48.97"/>
    <d v="2025-07-09T00:00:00"/>
    <x v="2"/>
    <n v="0.09"/>
    <n v="106.288"/>
    <s v="July"/>
    <x v="0"/>
    <s v="Card"/>
    <x v="0"/>
    <s v="OK"/>
    <n v="48.97"/>
    <n v="57.317999999999998"/>
    <s v="Brownie"/>
    <s v="Brownie+Bottled Water"/>
    <n v="0.53927066084600328"/>
  </r>
  <r>
    <s v="O00323"/>
    <s v="B0T0PV"/>
    <n v="2"/>
    <n v="28.43"/>
    <s v="Beverage"/>
    <n v="13.89"/>
    <d v="2025-07-09T00:00:00"/>
    <x v="2"/>
    <n v="0.09"/>
    <n v="51.742600000000003"/>
    <s v="July"/>
    <x v="0"/>
    <s v="Card"/>
    <x v="0"/>
    <s v="OK"/>
    <n v="27.78"/>
    <n v="23.962600000000002"/>
    <s v="Bottled Water"/>
    <s v="Brownie+Bottled Water"/>
    <n v="0.46311163335433475"/>
  </r>
  <r>
    <s v="O00324"/>
    <s v="HXAJI0"/>
    <n v="1"/>
    <n v="227.61"/>
    <s v="Hot Meal"/>
    <n v="96.22"/>
    <d v="2025-07-15T00:00:00"/>
    <x v="1"/>
    <n v="0.04"/>
    <n v="218.50560000000002"/>
    <s v="July"/>
    <x v="2"/>
    <s v="Cash"/>
    <x v="0"/>
    <s v="OK"/>
    <n v="96.22"/>
    <n v="122.28560000000002"/>
    <s v="Veg Thali"/>
    <s v="Veg Thali+Masala Puff+Veg Sandwich"/>
    <n v="0.55964515325923003"/>
  </r>
  <r>
    <s v="O00324"/>
    <s v="S5NQ4F"/>
    <n v="3"/>
    <n v="50.19"/>
    <s v="Snack"/>
    <n v="22.61"/>
    <d v="2025-07-15T00:00:00"/>
    <x v="1"/>
    <n v="0.04"/>
    <n v="144.54719999999998"/>
    <s v="July"/>
    <x v="2"/>
    <s v="Cash"/>
    <x v="0"/>
    <s v="OK"/>
    <n v="67.83"/>
    <n v="76.717199999999977"/>
    <s v="Masala Puff"/>
    <s v="Veg Thali+Masala Puff+Veg Sandwich"/>
    <n v="0.5307415155741515"/>
  </r>
  <r>
    <s v="O00324"/>
    <s v="SCKW5N"/>
    <n v="2"/>
    <n v="70.540000000000006"/>
    <s v="Snack"/>
    <n v="35.81"/>
    <d v="2025-07-15T00:00:00"/>
    <x v="1"/>
    <n v="0.04"/>
    <n v="135.43680000000001"/>
    <s v="July"/>
    <x v="2"/>
    <s v="Cash"/>
    <x v="0"/>
    <s v="OK"/>
    <n v="71.62"/>
    <n v="63.816800000000001"/>
    <s v="Veg Sandwich"/>
    <s v="Veg Thali+Masala Puff+Veg Sandwich"/>
    <n v="0.4711924676306587"/>
  </r>
  <r>
    <s v="O00325"/>
    <s v="S5NQ4F"/>
    <n v="1"/>
    <n v="50.19"/>
    <s v="Snack"/>
    <n v="22.61"/>
    <d v="2025-08-04T00:00:00"/>
    <x v="2"/>
    <n v="7.0000000000000007E-2"/>
    <n v="46.676699999999997"/>
    <s v="August"/>
    <x v="0"/>
    <s v="Cash"/>
    <x v="0"/>
    <s v="OK"/>
    <n v="22.61"/>
    <n v="24.066699999999997"/>
    <s v="Masala Puff"/>
    <s v="Masala Puff"/>
    <n v="0.51560414510880159"/>
  </r>
  <r>
    <s v="O00326"/>
    <s v="BXO6QJ"/>
    <n v="1"/>
    <n v="20.11"/>
    <s v="Beverage"/>
    <n v="8"/>
    <d v="2025-08-18T00:00:00"/>
    <x v="1"/>
    <n v="0.06"/>
    <n v="18.903399999999998"/>
    <s v="August"/>
    <x v="1"/>
    <s v="Card"/>
    <x v="0"/>
    <s v="OK"/>
    <n v="8"/>
    <n v="10.903399999999998"/>
    <s v="Nimbu Pani"/>
    <s v="Nimbu Pani"/>
    <n v="0.57679570870848629"/>
  </r>
  <r>
    <s v="O00327"/>
    <s v="SZBIKC"/>
    <n v="1"/>
    <n v="38.06"/>
    <s v="Snack"/>
    <n v="19.55"/>
    <d v="2025-08-06T00:00:00"/>
    <x v="2"/>
    <n v="0.06"/>
    <n v="35.776400000000002"/>
    <s v="August"/>
    <x v="2"/>
    <s v="Card"/>
    <x v="0"/>
    <s v="OK"/>
    <n v="19.55"/>
    <n v="16.226400000000002"/>
    <s v="Paneer Roll"/>
    <s v="Paneer Roll+Bottled Water+Masala Puff"/>
    <n v="0.45355038517011215"/>
  </r>
  <r>
    <s v="O00327"/>
    <s v="B0T0PV"/>
    <n v="1"/>
    <n v="28.43"/>
    <s v="Beverage"/>
    <n v="13.89"/>
    <d v="2025-08-06T00:00:00"/>
    <x v="2"/>
    <n v="0.06"/>
    <n v="26.7242"/>
    <s v="August"/>
    <x v="2"/>
    <s v="Card"/>
    <x v="0"/>
    <s v="OK"/>
    <n v="13.89"/>
    <n v="12.834199999999999"/>
    <s v="Bottled Water"/>
    <s v="Paneer Roll+Bottled Water+Masala Puff"/>
    <n v="0.48024636846004742"/>
  </r>
  <r>
    <s v="O00327"/>
    <s v="S5NQ4F"/>
    <n v="1"/>
    <n v="50.19"/>
    <s v="Snack"/>
    <n v="22.61"/>
    <d v="2025-08-06T00:00:00"/>
    <x v="2"/>
    <n v="0.06"/>
    <n v="47.178599999999996"/>
    <s v="August"/>
    <x v="2"/>
    <s v="Card"/>
    <x v="0"/>
    <s v="OK"/>
    <n v="22.61"/>
    <n v="24.568599999999996"/>
    <s v="Masala Puff"/>
    <s v="Paneer Roll+Bottled Water+Masala Puff"/>
    <n v="0.52075729250126113"/>
  </r>
  <r>
    <s v="O00328"/>
    <s v="HUZZPQ"/>
    <n v="2"/>
    <n v="146.4"/>
    <s v="Hot Meal"/>
    <n v="80.92"/>
    <d v="2025-08-02T00:00:00"/>
    <x v="2"/>
    <n v="0.03"/>
    <n v="284.01600000000002"/>
    <s v="August"/>
    <x v="1"/>
    <s v="Cash"/>
    <x v="0"/>
    <s v="OK"/>
    <n v="161.84"/>
    <n v="122.17600000000002"/>
    <s v="Rajma Chawal"/>
    <s v="Rajma Chawal"/>
    <n v="0.43017294800292943"/>
  </r>
  <r>
    <s v="O00329"/>
    <s v="DFFYVN"/>
    <n v="1"/>
    <n v="54.2"/>
    <s v="Dessert"/>
    <n v="21.95"/>
    <d v="2025-08-16T00:00:00"/>
    <x v="0"/>
    <n v="0.06"/>
    <n v="50.948"/>
    <s v="August"/>
    <x v="0"/>
    <s v="UPI"/>
    <x v="0"/>
    <s v="OK"/>
    <n v="21.95"/>
    <n v="28.998000000000001"/>
    <s v="Kheer Cup"/>
    <s v="Kheer Cup+Rajma Chawal+Poha"/>
    <n v="0.56916856402606586"/>
  </r>
  <r>
    <s v="O00329"/>
    <s v="HUZZPQ"/>
    <n v="3"/>
    <n v="146.4"/>
    <s v="Hot Meal"/>
    <n v="80.92"/>
    <d v="2025-08-16T00:00:00"/>
    <x v="0"/>
    <n v="0.06"/>
    <n v="412.84800000000001"/>
    <s v="August"/>
    <x v="0"/>
    <s v="UPI"/>
    <x v="0"/>
    <s v="OK"/>
    <n v="242.76"/>
    <n v="170.08800000000002"/>
    <s v="Rajma Chawal"/>
    <s v="Kheer Cup+Rajma Chawal+Poha"/>
    <n v="0.41198697825834207"/>
  </r>
  <r>
    <s v="O00329"/>
    <s v="SHJ7XV"/>
    <n v="1"/>
    <n v="52.45"/>
    <s v="Snack"/>
    <n v="25.8"/>
    <d v="2025-08-16T00:00:00"/>
    <x v="0"/>
    <n v="0.06"/>
    <n v="49.302999999999997"/>
    <s v="August"/>
    <x v="0"/>
    <s v="UPI"/>
    <x v="0"/>
    <s v="OK"/>
    <n v="25.8"/>
    <n v="23.502999999999997"/>
    <s v="Poha"/>
    <s v="Kheer Cup+Rajma Chawal+Poha"/>
    <n v="0.47670527148449382"/>
  </r>
  <r>
    <s v="O00330"/>
    <s v="BXO6QJ"/>
    <n v="2"/>
    <n v="20.11"/>
    <s v="Beverage"/>
    <n v="8"/>
    <d v="2025-08-13T00:00:00"/>
    <x v="0"/>
    <n v="0.08"/>
    <n v="37.002400000000002"/>
    <s v="August"/>
    <x v="1"/>
    <s v="Cash"/>
    <x v="1"/>
    <s v="HighDisc"/>
    <n v="16"/>
    <n v="21.002400000000002"/>
    <s v="Nimbu Pani"/>
    <s v="Nimbu Pani+Paneer Butter Masala + Naan+Chicken Thali"/>
    <n v="0.5675956154195404"/>
  </r>
  <r>
    <s v="O00330"/>
    <s v="H3A3ZM"/>
    <n v="1"/>
    <n v="170.83"/>
    <s v="Hot Meal"/>
    <n v="74.069999999999993"/>
    <d v="2025-08-13T00:00:00"/>
    <x v="0"/>
    <n v="0.08"/>
    <n v="157.16360000000003"/>
    <s v="August"/>
    <x v="1"/>
    <s v="Cash"/>
    <x v="1"/>
    <s v="HighDisc"/>
    <n v="74.069999999999993"/>
    <n v="83.093600000000038"/>
    <s v="Paneer Butter Masala + Naan"/>
    <s v="Nimbu Pani+Paneer Butter Masala + Naan+Chicken Thali"/>
    <n v="0.52870766513365708"/>
  </r>
  <r>
    <s v="O00330"/>
    <s v="HDPBHS"/>
    <n v="2"/>
    <n v="256.91000000000003"/>
    <s v="Hot Meal"/>
    <n v="121.24"/>
    <d v="2025-08-13T00:00:00"/>
    <x v="0"/>
    <n v="0.08"/>
    <n v="472.71440000000007"/>
    <s v="August"/>
    <x v="1"/>
    <s v="Cash"/>
    <x v="1"/>
    <s v="HighDisc"/>
    <n v="242.48"/>
    <n v="230.23440000000008"/>
    <s v="Chicken Thali"/>
    <s v="Nimbu Pani+Paneer Butter Masala + Naan+Chicken Thali"/>
    <n v="0.48704757037230101"/>
  </r>
  <r>
    <s v="O00331"/>
    <s v="SZBIKC"/>
    <n v="2"/>
    <n v="38.06"/>
    <s v="Snack"/>
    <n v="19.55"/>
    <d v="2025-07-26T00:00:00"/>
    <x v="2"/>
    <n v="0.12"/>
    <n v="66.985600000000005"/>
    <s v="July"/>
    <x v="0"/>
    <s v="UPI"/>
    <x v="0"/>
    <s v="HighDisc"/>
    <n v="39.1"/>
    <n v="27.885600000000004"/>
    <s v="Paneer Roll"/>
    <s v="Paneer Roll+Egg Curry + Rice+Samosa+Fruit Cup"/>
    <n v="0.41629245688625616"/>
  </r>
  <r>
    <s v="O00331"/>
    <s v="HH1DNM"/>
    <n v="1"/>
    <n v="246.09"/>
    <s v="Hot Meal"/>
    <n v="112.08"/>
    <d v="2025-07-26T00:00:00"/>
    <x v="2"/>
    <n v="0.12"/>
    <n v="216.5592"/>
    <s v="July"/>
    <x v="0"/>
    <s v="UPI"/>
    <x v="0"/>
    <s v="HighDisc"/>
    <n v="112.08"/>
    <n v="104.47920000000001"/>
    <s v="Egg Curry + Rice"/>
    <s v="Paneer Roll+Egg Curry + Rice+Samosa+Fruit Cup"/>
    <n v="0.48245098799773922"/>
  </r>
  <r>
    <s v="O00331"/>
    <s v="SV30T9"/>
    <n v="2"/>
    <n v="39.950000000000003"/>
    <s v="Snack"/>
    <n v="15.51"/>
    <d v="2025-07-26T00:00:00"/>
    <x v="2"/>
    <n v="0.12"/>
    <n v="70.312000000000012"/>
    <s v="July"/>
    <x v="0"/>
    <s v="UPI"/>
    <x v="0"/>
    <s v="HighDisc"/>
    <n v="31.02"/>
    <n v="39.292000000000016"/>
    <s v="Samosa"/>
    <s v="Paneer Roll+Egg Curry + Rice+Samosa+Fruit Cup"/>
    <n v="0.55882352941176483"/>
  </r>
  <r>
    <s v="O00331"/>
    <s v="DYTJXE"/>
    <n v="1"/>
    <n v="57.07"/>
    <s v="Dessert"/>
    <n v="29.14"/>
    <d v="2025-07-26T00:00:00"/>
    <x v="2"/>
    <n v="0.12"/>
    <n v="50.221600000000002"/>
    <s v="July"/>
    <x v="0"/>
    <s v="UPI"/>
    <x v="0"/>
    <s v="HighDisc"/>
    <n v="29.14"/>
    <n v="21.081600000000002"/>
    <s v="Fruit Cup"/>
    <s v="Paneer Roll+Egg Curry + Rice+Samosa+Fruit Cup"/>
    <n v="0.41977157239116236"/>
  </r>
  <r>
    <s v="O00332"/>
    <s v="BHL1C3"/>
    <n v="2"/>
    <n v="22.2"/>
    <s v="Beverage"/>
    <n v="9.3800000000000008"/>
    <d v="2025-08-11T00:00:00"/>
    <x v="2"/>
    <n v="0.1"/>
    <n v="39.96"/>
    <s v="August"/>
    <x v="0"/>
    <s v="Cash"/>
    <x v="0"/>
    <s v="OK"/>
    <n v="18.760000000000002"/>
    <n v="21.2"/>
    <s v="Coffee"/>
    <s v="Coffee+Veg Sandwich+Masala Puff+Kheer Cup"/>
    <n v="0.53053053053053045"/>
  </r>
  <r>
    <s v="O00332"/>
    <s v="SCKW5N"/>
    <n v="1"/>
    <n v="70.540000000000006"/>
    <s v="Snack"/>
    <n v="35.81"/>
    <d v="2025-08-11T00:00:00"/>
    <x v="2"/>
    <n v="0.1"/>
    <n v="63.486000000000004"/>
    <s v="August"/>
    <x v="0"/>
    <s v="Cash"/>
    <x v="0"/>
    <s v="OK"/>
    <n v="35.81"/>
    <n v="27.676000000000002"/>
    <s v="Veg Sandwich"/>
    <s v="Coffee+Veg Sandwich+Masala Puff+Kheer Cup"/>
    <n v="0.43593863213936929"/>
  </r>
  <r>
    <s v="O00332"/>
    <s v="S5NQ4F"/>
    <n v="1"/>
    <n v="50.19"/>
    <s v="Snack"/>
    <n v="22.61"/>
    <d v="2025-08-11T00:00:00"/>
    <x v="2"/>
    <n v="0.1"/>
    <n v="45.170999999999999"/>
    <s v="August"/>
    <x v="0"/>
    <s v="Cash"/>
    <x v="0"/>
    <s v="OK"/>
    <n v="22.61"/>
    <n v="22.561"/>
    <s v="Masala Puff"/>
    <s v="Coffee+Veg Sandwich+Masala Puff+Kheer Cup"/>
    <n v="0.49945761661242832"/>
  </r>
  <r>
    <s v="O00332"/>
    <s v="DFFYVN"/>
    <n v="1"/>
    <n v="54.2"/>
    <s v="Dessert"/>
    <n v="21.95"/>
    <d v="2025-08-11T00:00:00"/>
    <x v="2"/>
    <n v="0.1"/>
    <n v="48.78"/>
    <s v="August"/>
    <x v="0"/>
    <s v="Cash"/>
    <x v="0"/>
    <s v="OK"/>
    <n v="21.95"/>
    <n v="26.830000000000002"/>
    <s v="Kheer Cup"/>
    <s v="Coffee+Veg Sandwich+Masala Puff+Kheer Cup"/>
    <n v="0.55002050020500204"/>
  </r>
  <r>
    <s v="O00333"/>
    <s v="BXO6QJ"/>
    <n v="1"/>
    <n v="20.11"/>
    <s v="Beverage"/>
    <n v="8"/>
    <d v="2025-07-13T00:00:00"/>
    <x v="2"/>
    <n v="0.15"/>
    <n v="17.093499999999999"/>
    <s v="July"/>
    <x v="0"/>
    <s v="Card"/>
    <x v="0"/>
    <s v="OK"/>
    <n v="8"/>
    <n v="9.0934999999999988"/>
    <s v="Nimbu Pani"/>
    <s v="Nimbu Pani+Gulab Jamun (2 pc)"/>
    <n v="0.53198584257173775"/>
  </r>
  <r>
    <s v="O00333"/>
    <s v="DH9SDB"/>
    <n v="2"/>
    <n v="76.55"/>
    <s v="Dessert"/>
    <n v="38.229999999999997"/>
    <d v="2025-07-13T00:00:00"/>
    <x v="2"/>
    <n v="0.15"/>
    <n v="130.13499999999999"/>
    <s v="July"/>
    <x v="0"/>
    <s v="Card"/>
    <x v="0"/>
    <s v="OK"/>
    <n v="76.459999999999994"/>
    <n v="53.674999999999997"/>
    <s v="Gulab Jamun (2 pc)"/>
    <s v="Nimbu Pani+Gulab Jamun (2 pc)"/>
    <n v="0.41245629538556117"/>
  </r>
  <r>
    <s v="O00334"/>
    <s v="HXAJI0"/>
    <n v="2"/>
    <n v="227.61"/>
    <s v="Hot Meal"/>
    <n v="96.22"/>
    <d v="2025-07-07T00:00:00"/>
    <x v="2"/>
    <n v="0.03"/>
    <n v="441.5634"/>
    <s v="July"/>
    <x v="0"/>
    <s v="UPI"/>
    <x v="1"/>
    <s v="OK"/>
    <n v="192.44"/>
    <n v="249.1234"/>
    <s v="Veg Thali"/>
    <s v="Veg Thali+Kheer Cup+Masala Puff+Masala Chaas"/>
    <n v="0.56418489394727911"/>
  </r>
  <r>
    <s v="O00334"/>
    <s v="DFFYVN"/>
    <n v="1"/>
    <n v="54.2"/>
    <s v="Dessert"/>
    <n v="21.95"/>
    <d v="2025-07-07T00:00:00"/>
    <x v="2"/>
    <n v="0.03"/>
    <n v="52.573999999999998"/>
    <s v="July"/>
    <x v="0"/>
    <s v="UPI"/>
    <x v="1"/>
    <s v="OK"/>
    <n v="21.95"/>
    <n v="30.623999999999999"/>
    <s v="Kheer Cup"/>
    <s v="Veg Thali+Kheer Cup+Masala Puff+Masala Chaas"/>
    <n v="0.58249324761288845"/>
  </r>
  <r>
    <s v="O00334"/>
    <s v="S5NQ4F"/>
    <n v="2"/>
    <n v="50.19"/>
    <s v="Snack"/>
    <n v="22.61"/>
    <d v="2025-07-07T00:00:00"/>
    <x v="2"/>
    <n v="0.03"/>
    <n v="97.368599999999986"/>
    <s v="July"/>
    <x v="0"/>
    <s v="UPI"/>
    <x v="1"/>
    <s v="OK"/>
    <n v="45.22"/>
    <n v="52.148599999999988"/>
    <s v="Masala Puff"/>
    <s v="Veg Thali+Kheer Cup+Masala Puff+Masala Chaas"/>
    <n v="0.53557923190843859"/>
  </r>
  <r>
    <s v="O00334"/>
    <s v="BOC6UZ"/>
    <n v="2"/>
    <n v="32.979999999999997"/>
    <s v="Beverage"/>
    <n v="11.84"/>
    <d v="2025-07-07T00:00:00"/>
    <x v="2"/>
    <n v="0.03"/>
    <n v="63.981199999999994"/>
    <s v="July"/>
    <x v="0"/>
    <s v="UPI"/>
    <x v="1"/>
    <s v="OK"/>
    <n v="23.68"/>
    <n v="40.301199999999994"/>
    <s v="Masala Chaas"/>
    <s v="Veg Thali+Kheer Cup+Masala Puff+Masala Chaas"/>
    <n v="0.6298912805636655"/>
  </r>
  <r>
    <s v="O00335"/>
    <s v="H3A3ZM"/>
    <n v="2"/>
    <n v="170.83"/>
    <s v="Hot Meal"/>
    <n v="74.069999999999993"/>
    <d v="2025-07-02T00:00:00"/>
    <x v="0"/>
    <n v="0.09"/>
    <n v="310.91060000000004"/>
    <s v="July"/>
    <x v="1"/>
    <s v="UPI"/>
    <x v="0"/>
    <s v="HighDisc"/>
    <n v="148.13999999999999"/>
    <n v="162.77060000000006"/>
    <s v="Paneer Butter Masala + Naan"/>
    <s v="Paneer Butter Masala + Naan+Brownie+Rajma Chawal"/>
    <n v="0.52352862848677417"/>
  </r>
  <r>
    <s v="O00335"/>
    <s v="D9T84A"/>
    <n v="2"/>
    <n v="116.8"/>
    <s v="Dessert"/>
    <n v="48.97"/>
    <d v="2025-07-02T00:00:00"/>
    <x v="0"/>
    <n v="0.09"/>
    <n v="212.57599999999999"/>
    <s v="July"/>
    <x v="1"/>
    <s v="UPI"/>
    <x v="0"/>
    <s v="HighDisc"/>
    <n v="97.94"/>
    <n v="114.636"/>
    <s v="Brownie"/>
    <s v="Paneer Butter Masala + Naan+Brownie+Rajma Chawal"/>
    <n v="0.53927066084600328"/>
  </r>
  <r>
    <s v="O00335"/>
    <s v="HUZZPQ"/>
    <n v="1"/>
    <n v="146.4"/>
    <s v="Hot Meal"/>
    <n v="80.92"/>
    <d v="2025-07-02T00:00:00"/>
    <x v="0"/>
    <n v="0.09"/>
    <n v="133.22400000000002"/>
    <s v="July"/>
    <x v="1"/>
    <s v="UPI"/>
    <x v="0"/>
    <s v="HighDisc"/>
    <n v="80.92"/>
    <n v="52.304000000000016"/>
    <s v="Rajma Chawal"/>
    <s v="Paneer Butter Masala + Naan+Brownie+Rajma Chawal"/>
    <n v="0.39260193358554019"/>
  </r>
  <r>
    <s v="O00336"/>
    <s v="S5NQ4F"/>
    <n v="2"/>
    <n v="50.19"/>
    <s v="Snack"/>
    <n v="22.61"/>
    <d v="2025-07-15T00:00:00"/>
    <x v="1"/>
    <n v="7.0000000000000007E-2"/>
    <n v="93.353399999999993"/>
    <s v="July"/>
    <x v="0"/>
    <s v="Cash"/>
    <x v="0"/>
    <s v="OK"/>
    <n v="45.22"/>
    <n v="48.133399999999995"/>
    <s v="Masala Puff"/>
    <s v="Masala Puff+Fruit Cup"/>
    <n v="0.51560414510880159"/>
  </r>
  <r>
    <s v="O00336"/>
    <s v="DYTJXE"/>
    <n v="2"/>
    <n v="57.07"/>
    <s v="Dessert"/>
    <n v="29.14"/>
    <d v="2025-07-15T00:00:00"/>
    <x v="1"/>
    <n v="7.0000000000000007E-2"/>
    <n v="106.1502"/>
    <s v="July"/>
    <x v="0"/>
    <s v="Cash"/>
    <x v="0"/>
    <s v="OK"/>
    <n v="58.28"/>
    <n v="47.870199999999997"/>
    <s v="Fruit Cup"/>
    <s v="Masala Puff+Fruit Cup"/>
    <n v="0.45096664914432566"/>
  </r>
  <r>
    <s v="O00337"/>
    <s v="HUZZPQ"/>
    <n v="1"/>
    <n v="146.4"/>
    <s v="Hot Meal"/>
    <n v="80.92"/>
    <d v="2025-07-24T00:00:00"/>
    <x v="0"/>
    <n v="0.15"/>
    <n v="124.44"/>
    <s v="July"/>
    <x v="2"/>
    <s v="Cash"/>
    <x v="0"/>
    <s v="OK"/>
    <n v="80.92"/>
    <n v="43.519999999999996"/>
    <s v="Rajma Chawal"/>
    <s v="Rajma Chawal"/>
    <n v="0.34972677595628415"/>
  </r>
  <r>
    <s v="O00338"/>
    <s v="B0T0PV"/>
    <n v="1"/>
    <n v="28.43"/>
    <s v="Beverage"/>
    <n v="13.89"/>
    <d v="2025-08-21T00:00:00"/>
    <x v="1"/>
    <n v="0.03"/>
    <n v="27.577099999999998"/>
    <s v="August"/>
    <x v="0"/>
    <s v="UPI"/>
    <x v="0"/>
    <s v="OK"/>
    <n v="13.89"/>
    <n v="13.687099999999997"/>
    <s v="Bottled Water"/>
    <s v="Bottled Water+Tea+Masala Chaas"/>
    <n v="0.49632122304375725"/>
  </r>
  <r>
    <s v="O00338"/>
    <s v="BTIQJ7"/>
    <n v="1"/>
    <n v="30.34"/>
    <s v="Beverage"/>
    <n v="14.18"/>
    <d v="2025-08-21T00:00:00"/>
    <x v="1"/>
    <n v="0.03"/>
    <n v="29.4298"/>
    <s v="August"/>
    <x v="0"/>
    <s v="UPI"/>
    <x v="0"/>
    <s v="OK"/>
    <n v="14.18"/>
    <n v="15.2498"/>
    <s v="Tea"/>
    <s v="Bottled Water+Tea+Masala Chaas"/>
    <n v="0.51817545481110983"/>
  </r>
  <r>
    <s v="O00338"/>
    <s v="BOC6UZ"/>
    <n v="3"/>
    <n v="32.979999999999997"/>
    <s v="Beverage"/>
    <n v="11.84"/>
    <d v="2025-08-21T00:00:00"/>
    <x v="1"/>
    <n v="0.03"/>
    <n v="95.971800000000002"/>
    <s v="August"/>
    <x v="0"/>
    <s v="UPI"/>
    <x v="0"/>
    <s v="OK"/>
    <n v="35.519999999999996"/>
    <n v="60.451800000000006"/>
    <s v="Masala Chaas"/>
    <s v="Bottled Water+Tea+Masala Chaas"/>
    <n v="0.62989128056366561"/>
  </r>
  <r>
    <s v="O00339"/>
    <s v="D9T84A"/>
    <n v="2"/>
    <n v="116.8"/>
    <s v="Dessert"/>
    <n v="48.97"/>
    <d v="2025-08-19T00:00:00"/>
    <x v="0"/>
    <n v="0.03"/>
    <n v="226.59199999999998"/>
    <s v="August"/>
    <x v="2"/>
    <s v="Cash"/>
    <x v="0"/>
    <s v="OK"/>
    <n v="97.94"/>
    <n v="128.65199999999999"/>
    <s v="Brownie"/>
    <s v="Brownie+Fruit Cup"/>
    <n v="0.56776938285552891"/>
  </r>
  <r>
    <s v="O00339"/>
    <s v="DYTJXE"/>
    <n v="3"/>
    <n v="57.07"/>
    <s v="Dessert"/>
    <n v="29.14"/>
    <d v="2025-08-19T00:00:00"/>
    <x v="0"/>
    <n v="0.03"/>
    <n v="166.0737"/>
    <s v="August"/>
    <x v="2"/>
    <s v="Cash"/>
    <x v="0"/>
    <s v="OK"/>
    <n v="87.42"/>
    <n v="78.653700000000001"/>
    <s v="Fruit Cup"/>
    <s v="Brownie+Fruit Cup"/>
    <n v="0.47360719969507514"/>
  </r>
  <r>
    <s v="O00340"/>
    <s v="SHJ7XV"/>
    <n v="3"/>
    <n v="52.45"/>
    <s v="Snack"/>
    <n v="25.8"/>
    <d v="2025-08-15T00:00:00"/>
    <x v="2"/>
    <n v="0.04"/>
    <n v="151.05600000000001"/>
    <s v="August"/>
    <x v="1"/>
    <s v="Card"/>
    <x v="0"/>
    <s v="OK"/>
    <n v="77.400000000000006"/>
    <n v="73.656000000000006"/>
    <s v="Poha"/>
    <s v="Poha+Masala Chaas+Kheer Cup+Tea"/>
    <n v="0.48760724499523356"/>
  </r>
  <r>
    <s v="O00340"/>
    <s v="BOC6UZ"/>
    <n v="1"/>
    <n v="32.979999999999997"/>
    <s v="Beverage"/>
    <n v="11.84"/>
    <d v="2025-08-15T00:00:00"/>
    <x v="2"/>
    <n v="0.04"/>
    <n v="31.660799999999995"/>
    <s v="August"/>
    <x v="1"/>
    <s v="Card"/>
    <x v="0"/>
    <s v="OK"/>
    <n v="11.84"/>
    <n v="19.820799999999995"/>
    <s v="Masala Chaas"/>
    <s v="Poha+Masala Chaas+Kheer Cup+Tea"/>
    <n v="0.62603598140287042"/>
  </r>
  <r>
    <s v="O00340"/>
    <s v="DFFYVN"/>
    <n v="1"/>
    <n v="54.2"/>
    <s v="Dessert"/>
    <n v="21.95"/>
    <d v="2025-08-15T00:00:00"/>
    <x v="2"/>
    <n v="0.04"/>
    <n v="52.032000000000004"/>
    <s v="August"/>
    <x v="1"/>
    <s v="Card"/>
    <x v="0"/>
    <s v="OK"/>
    <n v="21.95"/>
    <n v="30.082000000000004"/>
    <s v="Kheer Cup"/>
    <s v="Poha+Masala Chaas+Kheer Cup+Tea"/>
    <n v="0.57814421894218948"/>
  </r>
  <r>
    <s v="O00340"/>
    <s v="BTIQJ7"/>
    <n v="1"/>
    <n v="30.34"/>
    <s v="Beverage"/>
    <n v="14.18"/>
    <d v="2025-08-15T00:00:00"/>
    <x v="2"/>
    <n v="0.04"/>
    <n v="29.1264"/>
    <s v="August"/>
    <x v="1"/>
    <s v="Card"/>
    <x v="0"/>
    <s v="OK"/>
    <n v="14.18"/>
    <n v="14.946400000000001"/>
    <s v="Tea"/>
    <s v="Poha+Masala Chaas+Kheer Cup+Tea"/>
    <n v="0.51315644913205893"/>
  </r>
  <r>
    <s v="O00341"/>
    <s v="SV30T9"/>
    <n v="1"/>
    <n v="39.950000000000003"/>
    <s v="Snack"/>
    <n v="15.51"/>
    <d v="2025-07-25T00:00:00"/>
    <x v="0"/>
    <n v="0"/>
    <n v="39.950000000000003"/>
    <s v="July"/>
    <x v="1"/>
    <s v="Card"/>
    <x v="0"/>
    <s v="OK"/>
    <n v="15.51"/>
    <n v="24.440000000000005"/>
    <s v="Samosa"/>
    <s v="Samosa+Gulab Jamun (2 pc)+Rajma Chawal"/>
    <n v="0.61176470588235299"/>
  </r>
  <r>
    <s v="O00341"/>
    <s v="DH9SDB"/>
    <n v="3"/>
    <n v="76.55"/>
    <s v="Dessert"/>
    <n v="38.229999999999997"/>
    <d v="2025-07-25T00:00:00"/>
    <x v="0"/>
    <n v="0"/>
    <n v="229.64999999999998"/>
    <s v="July"/>
    <x v="1"/>
    <s v="Card"/>
    <x v="0"/>
    <s v="OK"/>
    <n v="114.69"/>
    <n v="114.95999999999998"/>
    <s v="Gulab Jamun (2 pc)"/>
    <s v="Samosa+Gulab Jamun (2 pc)+Rajma Chawal"/>
    <n v="0.50058785107772696"/>
  </r>
  <r>
    <s v="O00341"/>
    <s v="HUZZPQ"/>
    <n v="1"/>
    <n v="146.4"/>
    <s v="Hot Meal"/>
    <n v="80.92"/>
    <d v="2025-07-25T00:00:00"/>
    <x v="0"/>
    <n v="0"/>
    <n v="146.4"/>
    <s v="July"/>
    <x v="1"/>
    <s v="Card"/>
    <x v="0"/>
    <s v="OK"/>
    <n v="80.92"/>
    <n v="65.48"/>
    <s v="Rajma Chawal"/>
    <s v="Samosa+Gulab Jamun (2 pc)+Rajma Chawal"/>
    <n v="0.44726775956284154"/>
  </r>
  <r>
    <s v="O00342"/>
    <s v="SHJ7XV"/>
    <n v="1"/>
    <n v="52.45"/>
    <s v="Snack"/>
    <n v="25.8"/>
    <d v="2025-08-03T00:00:00"/>
    <x v="2"/>
    <n v="0.04"/>
    <n v="50.352000000000004"/>
    <s v="August"/>
    <x v="1"/>
    <s v="UPI"/>
    <x v="0"/>
    <s v="OK"/>
    <n v="25.8"/>
    <n v="24.552000000000003"/>
    <s v="Poha"/>
    <s v="Poha+Bottled Water"/>
    <n v="0.48760724499523356"/>
  </r>
  <r>
    <s v="O00342"/>
    <s v="B0T0PV"/>
    <n v="2"/>
    <n v="28.43"/>
    <s v="Beverage"/>
    <n v="13.89"/>
    <d v="2025-08-03T00:00:00"/>
    <x v="2"/>
    <n v="0.04"/>
    <n v="54.585599999999999"/>
    <s v="August"/>
    <x v="1"/>
    <s v="UPI"/>
    <x v="0"/>
    <s v="OK"/>
    <n v="27.78"/>
    <n v="26.805599999999998"/>
    <s v="Bottled Water"/>
    <s v="Poha+Bottled Water"/>
    <n v="0.49107456911712977"/>
  </r>
  <r>
    <s v="O00343"/>
    <s v="DFFYVN"/>
    <n v="2"/>
    <n v="54.2"/>
    <s v="Dessert"/>
    <n v="21.95"/>
    <d v="2025-08-26T00:00:00"/>
    <x v="0"/>
    <n v="0.03"/>
    <n v="105.148"/>
    <s v="August"/>
    <x v="1"/>
    <s v="Cash"/>
    <x v="0"/>
    <s v="OK"/>
    <n v="43.9"/>
    <n v="61.247999999999998"/>
    <s v="Kheer Cup"/>
    <s v="Kheer Cup"/>
    <n v="0.58249324761288845"/>
  </r>
  <r>
    <s v="O00344"/>
    <s v="SZBIKC"/>
    <n v="2"/>
    <n v="38.06"/>
    <s v="Snack"/>
    <n v="19.55"/>
    <d v="2025-08-04T00:00:00"/>
    <x v="0"/>
    <n v="7.0000000000000007E-2"/>
    <n v="70.791600000000003"/>
    <s v="August"/>
    <x v="0"/>
    <s v="UPI"/>
    <x v="0"/>
    <s v="OK"/>
    <n v="39.1"/>
    <n v="31.691600000000001"/>
    <s v="Paneer Roll"/>
    <s v="Paneer Roll+Kheer Cup+Masala Puff"/>
    <n v="0.44767458286011336"/>
  </r>
  <r>
    <s v="O00344"/>
    <s v="DFFYVN"/>
    <n v="1"/>
    <n v="54.2"/>
    <s v="Dessert"/>
    <n v="21.95"/>
    <d v="2025-08-04T00:00:00"/>
    <x v="0"/>
    <n v="7.0000000000000007E-2"/>
    <n v="50.405999999999999"/>
    <s v="August"/>
    <x v="0"/>
    <s v="UPI"/>
    <x v="0"/>
    <s v="OK"/>
    <n v="21.95"/>
    <n v="28.456"/>
    <s v="Kheer Cup"/>
    <s v="Paneer Roll+Kheer Cup+Masala Puff"/>
    <n v="0.56453596794032457"/>
  </r>
  <r>
    <s v="O00344"/>
    <s v="S5NQ4F"/>
    <n v="2"/>
    <n v="50.19"/>
    <s v="Snack"/>
    <n v="22.61"/>
    <d v="2025-08-04T00:00:00"/>
    <x v="0"/>
    <n v="7.0000000000000007E-2"/>
    <n v="93.353399999999993"/>
    <s v="August"/>
    <x v="0"/>
    <s v="UPI"/>
    <x v="0"/>
    <s v="OK"/>
    <n v="45.22"/>
    <n v="48.133399999999995"/>
    <s v="Masala Puff"/>
    <s v="Paneer Roll+Kheer Cup+Masala Puff"/>
    <n v="0.51560414510880159"/>
  </r>
  <r>
    <s v="O00345"/>
    <s v="BHL1C3"/>
    <n v="1"/>
    <n v="22.2"/>
    <s v="Beverage"/>
    <n v="9.3800000000000008"/>
    <d v="2025-08-15T00:00:00"/>
    <x v="0"/>
    <n v="7.0000000000000007E-2"/>
    <n v="20.645999999999997"/>
    <s v="August"/>
    <x v="0"/>
    <s v="UPI"/>
    <x v="1"/>
    <s v="HighDisc"/>
    <n v="9.3800000000000008"/>
    <n v="11.265999999999996"/>
    <s v="Coffee"/>
    <s v="Coffee+Kheer Cup+Veg Thali"/>
    <n v="0.5456747069650294"/>
  </r>
  <r>
    <s v="O00345"/>
    <s v="DFFYVN"/>
    <n v="3"/>
    <n v="54.2"/>
    <s v="Dessert"/>
    <n v="21.95"/>
    <d v="2025-08-15T00:00:00"/>
    <x v="0"/>
    <n v="7.0000000000000007E-2"/>
    <n v="151.21800000000002"/>
    <s v="August"/>
    <x v="0"/>
    <s v="UPI"/>
    <x v="1"/>
    <s v="HighDisc"/>
    <n v="65.849999999999994"/>
    <n v="85.368000000000023"/>
    <s v="Kheer Cup"/>
    <s v="Coffee+Kheer Cup+Veg Thali"/>
    <n v="0.56453596794032468"/>
  </r>
  <r>
    <s v="O00345"/>
    <s v="HXAJI0"/>
    <n v="2"/>
    <n v="227.61"/>
    <s v="Hot Meal"/>
    <n v="96.22"/>
    <d v="2025-08-15T00:00:00"/>
    <x v="0"/>
    <n v="7.0000000000000007E-2"/>
    <n v="423.3546"/>
    <s v="August"/>
    <x v="0"/>
    <s v="UPI"/>
    <x v="1"/>
    <s v="HighDisc"/>
    <n v="192.44"/>
    <n v="230.91460000000001"/>
    <s v="Veg Thali"/>
    <s v="Coffee+Kheer Cup+Veg Thali"/>
    <n v="0.54544015820307612"/>
  </r>
  <r>
    <s v="O00346"/>
    <s v="BXO6QJ"/>
    <n v="1"/>
    <n v="20.11"/>
    <s v="Beverage"/>
    <n v="8"/>
    <d v="2025-07-14T00:00:00"/>
    <x v="2"/>
    <n v="0.14000000000000001"/>
    <n v="17.294599999999999"/>
    <s v="July"/>
    <x v="0"/>
    <s v="Card"/>
    <x v="0"/>
    <s v="OK"/>
    <n v="8"/>
    <n v="9.2945999999999991"/>
    <s v="Nimbu Pani"/>
    <s v="Nimbu Pani+Bottled Water"/>
    <n v="0.5374278676581129"/>
  </r>
  <r>
    <s v="O00346"/>
    <s v="B0T0PV"/>
    <n v="2"/>
    <n v="28.43"/>
    <s v="Beverage"/>
    <n v="13.89"/>
    <d v="2025-07-14T00:00:00"/>
    <x v="2"/>
    <n v="0.14000000000000001"/>
    <n v="48.8996"/>
    <s v="July"/>
    <x v="0"/>
    <s v="Card"/>
    <x v="0"/>
    <s v="OK"/>
    <n v="27.78"/>
    <n v="21.119599999999998"/>
    <s v="Bottled Water"/>
    <s v="Nimbu Pani+Bottled Water"/>
    <n v="0.43189719343307509"/>
  </r>
  <r>
    <s v="O00347"/>
    <s v="HUZZPQ"/>
    <n v="2"/>
    <n v="146.4"/>
    <s v="Hot Meal"/>
    <n v="80.92"/>
    <d v="2025-07-29T00:00:00"/>
    <x v="2"/>
    <n v="0.1"/>
    <n v="263.52000000000004"/>
    <s v="July"/>
    <x v="1"/>
    <s v="Cash"/>
    <x v="0"/>
    <s v="HighDisc"/>
    <n v="161.84"/>
    <n v="101.68000000000004"/>
    <s v="Rajma Chawal"/>
    <s v="Rajma Chawal+Chicken Thali"/>
    <n v="0.38585306618093512"/>
  </r>
  <r>
    <s v="O00347"/>
    <s v="HDPBHS"/>
    <n v="1"/>
    <n v="256.91000000000003"/>
    <s v="Hot Meal"/>
    <n v="121.24"/>
    <d v="2025-07-29T00:00:00"/>
    <x v="2"/>
    <n v="0.1"/>
    <n v="231.21900000000002"/>
    <s v="July"/>
    <x v="1"/>
    <s v="Cash"/>
    <x v="0"/>
    <s v="HighDisc"/>
    <n v="121.24"/>
    <n v="109.97900000000003"/>
    <s v="Chicken Thali"/>
    <s v="Rajma Chawal+Chicken Thali"/>
    <n v="0.47564862749168546"/>
  </r>
  <r>
    <s v="O00348"/>
    <s v="H3A3ZM"/>
    <n v="2"/>
    <n v="170.83"/>
    <s v="Hot Meal"/>
    <n v="74.069999999999993"/>
    <d v="2025-07-31T00:00:00"/>
    <x v="1"/>
    <n v="0.04"/>
    <n v="327.99360000000001"/>
    <s v="July"/>
    <x v="1"/>
    <s v="Card"/>
    <x v="0"/>
    <s v="HighDisc"/>
    <n v="148.13999999999999"/>
    <n v="179.85360000000003"/>
    <s v="Paneer Butter Masala + Naan"/>
    <s v="Paneer Butter Masala + Naan+Chicken Thali+Veg Sandwich+Fruit Cup"/>
    <n v="0.54834484575308795"/>
  </r>
  <r>
    <s v="O00348"/>
    <s v="HDPBHS"/>
    <n v="3"/>
    <n v="256.91000000000003"/>
    <s v="Hot Meal"/>
    <n v="121.24"/>
    <d v="2025-07-31T00:00:00"/>
    <x v="1"/>
    <n v="0.04"/>
    <n v="739.9008"/>
    <s v="July"/>
    <x v="1"/>
    <s v="Card"/>
    <x v="0"/>
    <s v="HighDisc"/>
    <n v="363.71999999999997"/>
    <n v="376.18080000000003"/>
    <s v="Chicken Thali"/>
    <s v="Paneer Butter Masala + Naan+Chicken Thali+Veg Sandwich+Fruit Cup"/>
    <n v="0.50842058827345504"/>
  </r>
  <r>
    <s v="O00348"/>
    <s v="SCKW5N"/>
    <n v="1"/>
    <n v="70.540000000000006"/>
    <s v="Snack"/>
    <n v="35.81"/>
    <d v="2025-07-31T00:00:00"/>
    <x v="1"/>
    <n v="0.04"/>
    <n v="67.718400000000003"/>
    <s v="July"/>
    <x v="1"/>
    <s v="Card"/>
    <x v="0"/>
    <s v="HighDisc"/>
    <n v="35.81"/>
    <n v="31.9084"/>
    <s v="Veg Sandwich"/>
    <s v="Paneer Butter Masala + Naan+Chicken Thali+Veg Sandwich+Fruit Cup"/>
    <n v="0.4711924676306587"/>
  </r>
  <r>
    <s v="O00348"/>
    <s v="DYTJXE"/>
    <n v="2"/>
    <n v="57.07"/>
    <s v="Dessert"/>
    <n v="29.14"/>
    <d v="2025-07-31T00:00:00"/>
    <x v="1"/>
    <n v="0.04"/>
    <n v="109.5744"/>
    <s v="July"/>
    <x v="1"/>
    <s v="Card"/>
    <x v="0"/>
    <s v="HighDisc"/>
    <n v="58.28"/>
    <n v="51.294399999999996"/>
    <s v="Fruit Cup"/>
    <s v="Paneer Butter Masala + Naan+Chicken Thali+Veg Sandwich+Fruit Cup"/>
    <n v="0.4681239413585655"/>
  </r>
  <r>
    <s v="O00349"/>
    <s v="D9T84A"/>
    <n v="1"/>
    <n v="116.8"/>
    <s v="Dessert"/>
    <n v="48.97"/>
    <d v="2025-08-16T00:00:00"/>
    <x v="1"/>
    <n v="0.02"/>
    <n v="114.464"/>
    <s v="August"/>
    <x v="0"/>
    <s v="UPI"/>
    <x v="0"/>
    <s v="OK"/>
    <n v="48.97"/>
    <n v="65.494"/>
    <s v="Brownie"/>
    <s v="Brownie+Egg Curry + Rice+Gulab Jamun (2 pc)+Paneer Butter Masala + Naan"/>
    <n v="0.57217989935700309"/>
  </r>
  <r>
    <s v="O00349"/>
    <s v="HH1DNM"/>
    <n v="1"/>
    <n v="246.09"/>
    <s v="Hot Meal"/>
    <n v="112.08"/>
    <d v="2025-08-16T00:00:00"/>
    <x v="1"/>
    <n v="0.02"/>
    <n v="241.16820000000001"/>
    <s v="August"/>
    <x v="0"/>
    <s v="UPI"/>
    <x v="0"/>
    <s v="OK"/>
    <n v="112.08"/>
    <n v="129.08820000000003"/>
    <s v="Egg Curry + Rice"/>
    <s v="Brownie+Egg Curry + Rice+Gulab Jamun (2 pc)+Paneer Butter Masala + Naan"/>
    <n v="0.53526211167143933"/>
  </r>
  <r>
    <s v="O00349"/>
    <s v="DH9SDB"/>
    <n v="3"/>
    <n v="76.55"/>
    <s v="Dessert"/>
    <n v="38.229999999999997"/>
    <d v="2025-08-16T00:00:00"/>
    <x v="1"/>
    <n v="0.02"/>
    <n v="225.05699999999996"/>
    <s v="August"/>
    <x v="0"/>
    <s v="UPI"/>
    <x v="0"/>
    <s v="OK"/>
    <n v="114.69"/>
    <n v="110.36699999999996"/>
    <s v="Gulab Jamun (2 pc)"/>
    <s v="Brownie+Egg Curry + Rice+Gulab Jamun (2 pc)+Paneer Butter Masala + Naan"/>
    <n v="0.49039576640584376"/>
  </r>
  <r>
    <s v="O00349"/>
    <s v="H3A3ZM"/>
    <n v="2"/>
    <n v="170.83"/>
    <s v="Hot Meal"/>
    <n v="74.069999999999993"/>
    <d v="2025-08-16T00:00:00"/>
    <x v="1"/>
    <n v="0.02"/>
    <n v="334.82679999999999"/>
    <s v="August"/>
    <x v="0"/>
    <s v="UPI"/>
    <x v="0"/>
    <s v="OK"/>
    <n v="148.13999999999999"/>
    <n v="186.68680000000001"/>
    <s v="Paneer Butter Masala + Naan"/>
    <s v="Brownie+Egg Curry + Rice+Gulab Jamun (2 pc)+Paneer Butter Masala + Naan"/>
    <n v="0.55756229788057587"/>
  </r>
  <r>
    <s v="O00350"/>
    <s v="BOC6UZ"/>
    <n v="2"/>
    <n v="32.979999999999997"/>
    <s v="Beverage"/>
    <n v="11.84"/>
    <d v="2025-07-29T00:00:00"/>
    <x v="1"/>
    <n v="0.08"/>
    <n v="60.683199999999999"/>
    <s v="July"/>
    <x v="0"/>
    <s v="UPI"/>
    <x v="1"/>
    <s v="OK"/>
    <n v="23.68"/>
    <n v="37.0032"/>
    <s v="Masala Chaas"/>
    <s v="Masala Chaas+Rajma Chawal+Bottled Water"/>
    <n v="0.60977667624647347"/>
  </r>
  <r>
    <s v="O00350"/>
    <s v="HUZZPQ"/>
    <n v="2"/>
    <n v="146.4"/>
    <s v="Hot Meal"/>
    <n v="80.92"/>
    <d v="2025-07-29T00:00:00"/>
    <x v="1"/>
    <n v="0.08"/>
    <n v="269.37600000000003"/>
    <s v="July"/>
    <x v="0"/>
    <s v="UPI"/>
    <x v="1"/>
    <s v="OK"/>
    <n v="161.84"/>
    <n v="107.53600000000003"/>
    <s v="Rajma Chawal"/>
    <s v="Masala Chaas+Rajma Chawal+Bottled Water"/>
    <n v="0.39920408648134953"/>
  </r>
  <r>
    <s v="O00350"/>
    <s v="B0T0PV"/>
    <n v="1"/>
    <n v="28.43"/>
    <s v="Beverage"/>
    <n v="13.89"/>
    <d v="2025-07-29T00:00:00"/>
    <x v="1"/>
    <n v="0.08"/>
    <n v="26.1556"/>
    <s v="July"/>
    <x v="0"/>
    <s v="UPI"/>
    <x v="1"/>
    <s v="OK"/>
    <n v="13.89"/>
    <n v="12.265599999999999"/>
    <s v="Bottled Water"/>
    <s v="Masala Chaas+Rajma Chawal+Bottled Water"/>
    <n v="0.46894737647004847"/>
  </r>
  <r>
    <s v="O00351"/>
    <s v="BTIQJ7"/>
    <n v="2"/>
    <n v="30.34"/>
    <s v="Beverage"/>
    <n v="14.18"/>
    <d v="2025-07-27T00:00:00"/>
    <x v="2"/>
    <n v="0.01"/>
    <n v="60.0732"/>
    <s v="July"/>
    <x v="1"/>
    <s v="Card"/>
    <x v="0"/>
    <s v="OK"/>
    <n v="28.36"/>
    <n v="31.713200000000001"/>
    <s v="Tea"/>
    <s v="Tea"/>
    <n v="0.527909284006845"/>
  </r>
  <r>
    <s v="O00352"/>
    <s v="BXO6QJ"/>
    <n v="1"/>
    <n v="20.11"/>
    <s v="Beverage"/>
    <n v="8"/>
    <d v="2025-08-12T00:00:00"/>
    <x v="1"/>
    <n v="0.13"/>
    <n v="17.495699999999999"/>
    <s v="August"/>
    <x v="1"/>
    <s v="Cash"/>
    <x v="0"/>
    <s v="OK"/>
    <n v="8"/>
    <n v="9.4956999999999994"/>
    <s v="Nimbu Pani"/>
    <s v="Nimbu Pani+Kheer Cup+Tea+Paneer Roll"/>
    <n v="0.54274478871951393"/>
  </r>
  <r>
    <s v="O00352"/>
    <s v="DFFYVN"/>
    <n v="2"/>
    <n v="54.2"/>
    <s v="Dessert"/>
    <n v="21.95"/>
    <d v="2025-08-12T00:00:00"/>
    <x v="1"/>
    <n v="0.13"/>
    <n v="94.308000000000007"/>
    <s v="August"/>
    <x v="1"/>
    <s v="Cash"/>
    <x v="0"/>
    <s v="OK"/>
    <n v="43.9"/>
    <n v="50.408000000000008"/>
    <s v="Kheer Cup"/>
    <s v="Nimbu Pani+Kheer Cup+Tea+Paneer Roll"/>
    <n v="0.53450396572931247"/>
  </r>
  <r>
    <s v="O00352"/>
    <s v="BTIQJ7"/>
    <n v="1"/>
    <n v="30.34"/>
    <s v="Beverage"/>
    <n v="14.18"/>
    <d v="2025-08-12T00:00:00"/>
    <x v="1"/>
    <n v="0.13"/>
    <n v="26.395800000000001"/>
    <s v="August"/>
    <x v="1"/>
    <s v="Cash"/>
    <x v="0"/>
    <s v="OK"/>
    <n v="14.18"/>
    <n v="12.215800000000002"/>
    <s v="Tea"/>
    <s v="Nimbu Pani+Kheer Cup+Tea+Paneer Roll"/>
    <n v="0.46279332318020294"/>
  </r>
  <r>
    <s v="O00352"/>
    <s v="SZBIKC"/>
    <n v="2"/>
    <n v="38.06"/>
    <s v="Snack"/>
    <n v="19.55"/>
    <d v="2025-08-12T00:00:00"/>
    <x v="1"/>
    <n v="0.13"/>
    <n v="66.224400000000003"/>
    <s v="August"/>
    <x v="1"/>
    <s v="Cash"/>
    <x v="0"/>
    <s v="OK"/>
    <n v="39.1"/>
    <n v="27.124400000000001"/>
    <s v="Paneer Roll"/>
    <s v="Nimbu Pani+Kheer Cup+Tea+Paneer Roll"/>
    <n v="0.40958317478150047"/>
  </r>
  <r>
    <s v="O00353"/>
    <s v="DH9SDB"/>
    <n v="3"/>
    <n v="76.55"/>
    <s v="Dessert"/>
    <n v="38.229999999999997"/>
    <d v="2025-08-18T00:00:00"/>
    <x v="1"/>
    <n v="0.11"/>
    <n v="204.38849999999999"/>
    <s v="August"/>
    <x v="2"/>
    <s v="Card"/>
    <x v="0"/>
    <s v="OK"/>
    <n v="114.69"/>
    <n v="89.698499999999996"/>
    <s v="Gulab Jamun (2 pc)"/>
    <s v="Gulab Jamun (2 pc)"/>
    <n v="0.43886275401991792"/>
  </r>
  <r>
    <s v="O00354"/>
    <s v="DH9SDB"/>
    <n v="2"/>
    <n v="76.55"/>
    <s v="Dessert"/>
    <n v="38.229999999999997"/>
    <d v="2025-08-11T00:00:00"/>
    <x v="2"/>
    <n v="0.04"/>
    <n v="146.976"/>
    <s v="August"/>
    <x v="2"/>
    <s v="UPI"/>
    <x v="0"/>
    <s v="OK"/>
    <n v="76.459999999999994"/>
    <n v="70.516000000000005"/>
    <s v="Gulab Jamun (2 pc)"/>
    <s v="Gulab Jamun (2 pc)+Paneer Roll"/>
    <n v="0.47977901153929897"/>
  </r>
  <r>
    <s v="O00354"/>
    <s v="SZBIKC"/>
    <n v="1"/>
    <n v="38.06"/>
    <s v="Snack"/>
    <n v="19.55"/>
    <d v="2025-08-11T00:00:00"/>
    <x v="2"/>
    <n v="0.04"/>
    <n v="36.537599999999998"/>
    <s v="August"/>
    <x v="2"/>
    <s v="UPI"/>
    <x v="0"/>
    <s v="OK"/>
    <n v="19.55"/>
    <n v="16.987599999999997"/>
    <s v="Paneer Roll"/>
    <s v="Gulab Jamun (2 pc)+Paneer Roll"/>
    <n v="0.46493475214573476"/>
  </r>
  <r>
    <s v="O00355"/>
    <s v="DYTJXE"/>
    <n v="1"/>
    <n v="57.07"/>
    <s v="Dessert"/>
    <n v="29.14"/>
    <d v="2025-08-23T00:00:00"/>
    <x v="1"/>
    <n v="0"/>
    <n v="57.07"/>
    <s v="August"/>
    <x v="0"/>
    <s v="Cash"/>
    <x v="0"/>
    <s v="OK"/>
    <n v="29.14"/>
    <n v="27.93"/>
    <s v="Fruit Cup"/>
    <s v="Fruit Cup+Tea"/>
    <n v="0.48939898370422286"/>
  </r>
  <r>
    <s v="O00355"/>
    <s v="BTIQJ7"/>
    <n v="1"/>
    <n v="30.34"/>
    <s v="Beverage"/>
    <n v="14.18"/>
    <d v="2025-08-23T00:00:00"/>
    <x v="1"/>
    <n v="0"/>
    <n v="30.34"/>
    <s v="August"/>
    <x v="0"/>
    <s v="Cash"/>
    <x v="0"/>
    <s v="OK"/>
    <n v="14.18"/>
    <n v="16.16"/>
    <s v="Tea"/>
    <s v="Fruit Cup+Tea"/>
    <n v="0.53263019116677657"/>
  </r>
  <r>
    <s v="O00356"/>
    <s v="S5NQ4F"/>
    <n v="2"/>
    <n v="50.19"/>
    <s v="Snack"/>
    <n v="22.61"/>
    <d v="2025-08-02T00:00:00"/>
    <x v="0"/>
    <n v="0.11"/>
    <n v="89.338200000000001"/>
    <s v="August"/>
    <x v="0"/>
    <s v="Card"/>
    <x v="1"/>
    <s v="HighDisc"/>
    <n v="45.22"/>
    <n v="44.118200000000002"/>
    <s v="Masala Puff"/>
    <s v="Masala Puff+Veg Thali+Paneer Butter Masala + Naan+Tea"/>
    <n v="0.49383354488897246"/>
  </r>
  <r>
    <s v="O00356"/>
    <s v="HXAJI0"/>
    <n v="2"/>
    <n v="227.61"/>
    <s v="Hot Meal"/>
    <n v="96.22"/>
    <d v="2025-08-02T00:00:00"/>
    <x v="0"/>
    <n v="0.11"/>
    <n v="405.14580000000001"/>
    <s v="August"/>
    <x v="0"/>
    <s v="Card"/>
    <x v="1"/>
    <s v="HighDisc"/>
    <n v="192.44"/>
    <n v="212.70580000000001"/>
    <s v="Veg Thali"/>
    <s v="Masala Puff+Veg Thali+Paneer Butter Masala + Naan+Tea"/>
    <n v="0.52501050239197844"/>
  </r>
  <r>
    <s v="O00356"/>
    <s v="H3A3ZM"/>
    <n v="1"/>
    <n v="170.83"/>
    <s v="Hot Meal"/>
    <n v="74.069999999999993"/>
    <d v="2025-08-02T00:00:00"/>
    <x v="0"/>
    <n v="0.11"/>
    <n v="152.03870000000001"/>
    <s v="August"/>
    <x v="0"/>
    <s v="Card"/>
    <x v="1"/>
    <s v="HighDisc"/>
    <n v="74.069999999999993"/>
    <n v="77.968700000000013"/>
    <s v="Paneer Butter Masala + Naan"/>
    <s v="Masala Puff+Veg Thali+Paneer Butter Masala + Naan+Tea"/>
    <n v="0.51282140665501619"/>
  </r>
  <r>
    <s v="O00356"/>
    <s v="BTIQJ7"/>
    <n v="2"/>
    <n v="30.34"/>
    <s v="Beverage"/>
    <n v="14.18"/>
    <d v="2025-08-02T00:00:00"/>
    <x v="0"/>
    <n v="0.11"/>
    <n v="54.005200000000002"/>
    <s v="August"/>
    <x v="0"/>
    <s v="Card"/>
    <x v="1"/>
    <s v="HighDisc"/>
    <n v="28.36"/>
    <n v="25.645200000000003"/>
    <s v="Tea"/>
    <s v="Masala Puff+Veg Thali+Paneer Butter Masala + Naan+Tea"/>
    <n v="0.47486538333345679"/>
  </r>
  <r>
    <s v="O00357"/>
    <s v="BXO6QJ"/>
    <n v="1"/>
    <n v="20.11"/>
    <s v="Beverage"/>
    <n v="8"/>
    <d v="2025-08-28T00:00:00"/>
    <x v="0"/>
    <n v="0.06"/>
    <n v="18.903399999999998"/>
    <s v="August"/>
    <x v="1"/>
    <s v="Cash"/>
    <x v="0"/>
    <s v="OK"/>
    <n v="8"/>
    <n v="10.903399999999998"/>
    <s v="Nimbu Pani"/>
    <s v="Nimbu Pani+Coffee+Fruit Cup"/>
    <n v="0.57679570870848629"/>
  </r>
  <r>
    <s v="O00357"/>
    <s v="BHL1C3"/>
    <n v="1"/>
    <n v="22.2"/>
    <s v="Beverage"/>
    <n v="9.3800000000000008"/>
    <d v="2025-08-28T00:00:00"/>
    <x v="0"/>
    <n v="0.06"/>
    <n v="20.867999999999999"/>
    <s v="August"/>
    <x v="1"/>
    <s v="Cash"/>
    <x v="0"/>
    <s v="OK"/>
    <n v="9.3800000000000008"/>
    <n v="11.487999999999998"/>
    <s v="Coffee"/>
    <s v="Nimbu Pani+Coffee+Fruit Cup"/>
    <n v="0.55050795476327385"/>
  </r>
  <r>
    <s v="O00357"/>
    <s v="DYTJXE"/>
    <n v="1"/>
    <n v="57.07"/>
    <s v="Dessert"/>
    <n v="29.14"/>
    <d v="2025-08-28T00:00:00"/>
    <x v="0"/>
    <n v="0.06"/>
    <n v="53.645799999999994"/>
    <s v="August"/>
    <x v="1"/>
    <s v="Cash"/>
    <x v="0"/>
    <s v="OK"/>
    <n v="29.14"/>
    <n v="24.505799999999994"/>
    <s v="Fruit Cup"/>
    <s v="Nimbu Pani+Coffee+Fruit Cup"/>
    <n v="0.45680742947257746"/>
  </r>
  <r>
    <s v="O00358"/>
    <s v="SCKW5N"/>
    <n v="1"/>
    <n v="70.540000000000006"/>
    <s v="Snack"/>
    <n v="35.81"/>
    <d v="2025-08-04T00:00:00"/>
    <x v="1"/>
    <n v="0.11"/>
    <n v="62.780600000000007"/>
    <s v="August"/>
    <x v="0"/>
    <s v="UPI"/>
    <x v="0"/>
    <s v="OK"/>
    <n v="35.81"/>
    <n v="26.970600000000005"/>
    <s v="Veg Sandwich"/>
    <s v="Veg Sandwich+Tea"/>
    <n v="0.42960086396115998"/>
  </r>
  <r>
    <s v="O00358"/>
    <s v="BTIQJ7"/>
    <n v="1"/>
    <n v="30.34"/>
    <s v="Beverage"/>
    <n v="14.18"/>
    <d v="2025-08-04T00:00:00"/>
    <x v="1"/>
    <n v="0.11"/>
    <n v="27.002600000000001"/>
    <s v="August"/>
    <x v="0"/>
    <s v="UPI"/>
    <x v="0"/>
    <s v="OK"/>
    <n v="14.18"/>
    <n v="12.822600000000001"/>
    <s v="Tea"/>
    <s v="Veg Sandwich+Tea"/>
    <n v="0.47486538333345679"/>
  </r>
  <r>
    <s v="O00359"/>
    <s v="HXAJI0"/>
    <n v="2"/>
    <n v="227.61"/>
    <s v="Hot Meal"/>
    <n v="96.22"/>
    <d v="2025-08-12T00:00:00"/>
    <x v="1"/>
    <n v="0"/>
    <n v="455.22"/>
    <s v="August"/>
    <x v="2"/>
    <s v="Cash"/>
    <x v="0"/>
    <s v="OK"/>
    <n v="192.44"/>
    <n v="262.78000000000003"/>
    <s v="Veg Thali"/>
    <s v="Veg Thali"/>
    <n v="0.57725934712886084"/>
  </r>
  <r>
    <s v="O00360"/>
    <s v="H3A3ZM"/>
    <n v="1"/>
    <n v="170.83"/>
    <s v="Hot Meal"/>
    <n v="74.069999999999993"/>
    <d v="2025-08-09T00:00:00"/>
    <x v="1"/>
    <n v="0.04"/>
    <n v="163.99680000000001"/>
    <s v="August"/>
    <x v="1"/>
    <s v="UPI"/>
    <x v="1"/>
    <s v="HighDisc"/>
    <n v="74.069999999999993"/>
    <n v="89.926800000000014"/>
    <s v="Paneer Butter Masala + Naan"/>
    <s v="Paneer Butter Masala + Naan+Chicken Thali+Tea"/>
    <n v="0.54834484575308795"/>
  </r>
  <r>
    <s v="O00360"/>
    <s v="HDPBHS"/>
    <n v="3"/>
    <n v="256.91000000000003"/>
    <s v="Hot Meal"/>
    <n v="121.24"/>
    <d v="2025-08-09T00:00:00"/>
    <x v="1"/>
    <n v="0.04"/>
    <n v="739.9008"/>
    <s v="August"/>
    <x v="1"/>
    <s v="UPI"/>
    <x v="1"/>
    <s v="HighDisc"/>
    <n v="363.71999999999997"/>
    <n v="376.18080000000003"/>
    <s v="Chicken Thali"/>
    <s v="Paneer Butter Masala + Naan+Chicken Thali+Tea"/>
    <n v="0.50842058827345504"/>
  </r>
  <r>
    <s v="O00360"/>
    <s v="BTIQJ7"/>
    <n v="2"/>
    <n v="30.34"/>
    <s v="Beverage"/>
    <n v="14.18"/>
    <d v="2025-08-09T00:00:00"/>
    <x v="1"/>
    <n v="0.04"/>
    <n v="58.252800000000001"/>
    <s v="August"/>
    <x v="1"/>
    <s v="UPI"/>
    <x v="1"/>
    <s v="HighDisc"/>
    <n v="28.36"/>
    <n v="29.892800000000001"/>
    <s v="Tea"/>
    <s v="Paneer Butter Masala + Naan+Chicken Thali+Tea"/>
    <n v="0.5131564491320589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d v="2025-07-14T02:18:32"/>
    <x v="0"/>
    <s v="Visitor"/>
    <s v="UPI"/>
    <x v="0"/>
    <n v="0.06"/>
    <d v="2025-07-14T00:00:00"/>
    <s v="no"/>
    <x v="0"/>
    <x v="0"/>
    <n v="77.400000000000006"/>
    <n v="70.509000000000015"/>
    <x v="0"/>
    <s v="OK"/>
  </r>
  <r>
    <x v="1"/>
    <d v="2025-07-24T20:13:28"/>
    <x v="1"/>
    <s v="Staff"/>
    <s v="Cash"/>
    <x v="1"/>
    <n v="0.05"/>
    <d v="2025-07-24T00:00:00"/>
    <s v="yes"/>
    <x v="1"/>
    <x v="1"/>
    <n v="52.41"/>
    <n v="49.135499999999993"/>
    <x v="0"/>
    <s v="OK"/>
  </r>
  <r>
    <x v="2"/>
    <d v="2025-07-10T15:51:54"/>
    <x v="0"/>
    <s v="Staff"/>
    <s v="Card"/>
    <x v="2"/>
    <n v="0"/>
    <d v="2025-07-10T00:00:00"/>
    <s v="yes"/>
    <x v="2"/>
    <x v="2"/>
    <n v="291.24"/>
    <n v="377.72"/>
    <x v="1"/>
    <s v="OK"/>
  </r>
  <r>
    <x v="3"/>
    <d v="2025-08-10T03:56:15"/>
    <x v="1"/>
    <s v="Visitor"/>
    <s v="Cash"/>
    <x v="0"/>
    <n v="0.03"/>
    <d v="2025-08-10T00:00:00"/>
    <s v="no"/>
    <x v="3"/>
    <x v="3"/>
    <n v="224.16"/>
    <n v="253.25460000000001"/>
    <x v="0"/>
    <s v="OK"/>
  </r>
  <r>
    <x v="4"/>
    <d v="2025-07-07T03:14:15"/>
    <x v="1"/>
    <s v="Visitor"/>
    <s v="Card"/>
    <x v="0"/>
    <n v="0.04"/>
    <d v="2025-07-07T00:00:00"/>
    <s v="yes"/>
    <x v="4"/>
    <x v="4"/>
    <n v="49.7"/>
    <n v="45.311199999999999"/>
    <x v="0"/>
    <s v="OK"/>
  </r>
  <r>
    <x v="5"/>
    <d v="2025-07-25T09:24:40"/>
    <x v="2"/>
    <s v="Worker"/>
    <s v="UPI"/>
    <x v="0"/>
    <n v="0.1"/>
    <d v="2025-07-25T00:00:00"/>
    <s v="yes"/>
    <x v="5"/>
    <x v="5"/>
    <n v="24"/>
    <n v="30.296999999999997"/>
    <x v="0"/>
    <s v="OK"/>
  </r>
  <r>
    <x v="6"/>
    <d v="2025-07-14T20:38:54"/>
    <x v="1"/>
    <s v="Worker"/>
    <s v="Card"/>
    <x v="1"/>
    <n v="7.0000000000000007E-2"/>
    <d v="2025-07-14T00:00:00"/>
    <s v="yes"/>
    <x v="6"/>
    <x v="6"/>
    <n v="159.97999999999999"/>
    <n v="188.43520000000004"/>
    <x v="1"/>
    <s v="OK"/>
  </r>
  <r>
    <x v="7"/>
    <d v="2025-07-25T12:05:28"/>
    <x v="2"/>
    <s v="Staff"/>
    <s v="UPI"/>
    <x v="2"/>
    <n v="0"/>
    <d v="2025-07-25T00:00:00"/>
    <s v="yes"/>
    <x v="7"/>
    <x v="1"/>
    <n v="110.97999999999999"/>
    <n v="112.77000000000001"/>
    <x v="0"/>
    <s v="OK"/>
  </r>
  <r>
    <x v="8"/>
    <d v="2025-07-06T03:52:45"/>
    <x v="0"/>
    <s v="Visitor"/>
    <s v="Cash"/>
    <x v="0"/>
    <n v="7.0000000000000007E-2"/>
    <d v="2025-07-06T00:00:00"/>
    <s v="no"/>
    <x v="8"/>
    <x v="7"/>
    <n v="225.97"/>
    <n v="233.31980000000001"/>
    <x v="0"/>
    <s v="OK"/>
  </r>
  <r>
    <x v="9"/>
    <d v="2025-07-24T04:48:14"/>
    <x v="2"/>
    <s v="Staff"/>
    <s v="Card"/>
    <x v="0"/>
    <n v="0.04"/>
    <d v="2025-07-24T00:00:00"/>
    <s v="yes"/>
    <x v="9"/>
    <x v="8"/>
    <n v="204.88"/>
    <n v="215.1968"/>
    <x v="1"/>
    <s v="OK"/>
  </r>
  <r>
    <x v="10"/>
    <d v="2025-07-22T00:04:02"/>
    <x v="1"/>
    <s v="Worker"/>
    <s v="Cash"/>
    <x v="0"/>
    <n v="0.03"/>
    <d v="2025-07-22T00:00:00"/>
    <s v="yes"/>
    <x v="10"/>
    <x v="5"/>
    <n v="13.89"/>
    <n v="13.687099999999997"/>
    <x v="0"/>
    <s v="OK"/>
  </r>
  <r>
    <x v="11"/>
    <d v="2025-07-01T11:01:20"/>
    <x v="1"/>
    <s v="Staff"/>
    <s v="Card"/>
    <x v="2"/>
    <n v="0.08"/>
    <d v="2025-07-01T00:00:00"/>
    <s v="no"/>
    <x v="11"/>
    <x v="9"/>
    <n v="47.75"/>
    <n v="50.368000000000009"/>
    <x v="0"/>
    <s v="OK"/>
  </r>
  <r>
    <x v="12"/>
    <d v="2025-08-11T07:40:43"/>
    <x v="0"/>
    <s v="Visitor"/>
    <s v="UPI"/>
    <x v="0"/>
    <n v="0.1"/>
    <d v="2025-08-11T00:00:00"/>
    <s v="yes"/>
    <x v="12"/>
    <x v="10"/>
    <n v="411.20000000000005"/>
    <n v="396.67599999999993"/>
    <x v="1"/>
    <s v="High Disc"/>
  </r>
  <r>
    <x v="13"/>
    <d v="2025-07-16T06:42:09"/>
    <x v="2"/>
    <s v="Staff"/>
    <s v="Cash"/>
    <x v="0"/>
    <n v="0.1"/>
    <d v="2025-07-16T00:00:00"/>
    <s v="yes"/>
    <x v="13"/>
    <x v="1"/>
    <n v="98.35"/>
    <n v="83.125999999999976"/>
    <x v="0"/>
    <s v="OK"/>
  </r>
  <r>
    <x v="14"/>
    <d v="2025-08-26T11:35:16"/>
    <x v="0"/>
    <s v="Visitor"/>
    <s v="Cash"/>
    <x v="2"/>
    <n v="0.03"/>
    <d v="2025-08-26T00:00:00"/>
    <s v="yes"/>
    <x v="14"/>
    <x v="10"/>
    <n v="186.04999999999998"/>
    <n v="224.13390000000001"/>
    <x v="1"/>
    <s v="OK"/>
  </r>
  <r>
    <x v="15"/>
    <d v="2025-07-06T19:12:17"/>
    <x v="2"/>
    <s v="Visitor"/>
    <s v="Card"/>
    <x v="1"/>
    <n v="0.05"/>
    <d v="2025-07-06T00:00:00"/>
    <s v="no"/>
    <x v="15"/>
    <x v="7"/>
    <n v="238.57000000000002"/>
    <n v="248.3715"/>
    <x v="0"/>
    <s v="OK"/>
  </r>
  <r>
    <x v="16"/>
    <d v="2025-08-21T19:36:48"/>
    <x v="2"/>
    <s v="Worker"/>
    <s v="UPI"/>
    <x v="1"/>
    <n v="7.0000000000000007E-2"/>
    <d v="2025-08-21T00:00:00"/>
    <s v="yes"/>
    <x v="16"/>
    <x v="5"/>
    <n v="11.84"/>
    <n v="18.831399999999995"/>
    <x v="0"/>
    <s v="OK"/>
  </r>
  <r>
    <x v="17"/>
    <d v="2025-07-19T07:00:12"/>
    <x v="2"/>
    <s v="Visitor"/>
    <s v="Cash"/>
    <x v="0"/>
    <n v="0.1"/>
    <d v="2025-07-19T00:00:00"/>
    <s v="yes"/>
    <x v="17"/>
    <x v="1"/>
    <n v="72.650000000000006"/>
    <n v="91.834000000000003"/>
    <x v="0"/>
    <s v="OK"/>
  </r>
  <r>
    <x v="18"/>
    <d v="2025-08-09T10:51:54"/>
    <x v="2"/>
    <s v="Visitor"/>
    <s v="Cash"/>
    <x v="0"/>
    <n v="0.04"/>
    <d v="2025-08-09T00:00:00"/>
    <s v="no"/>
    <x v="18"/>
    <x v="11"/>
    <n v="359.21"/>
    <n v="342.31960000000009"/>
    <x v="0"/>
    <s v="OK"/>
  </r>
  <r>
    <x v="19"/>
    <d v="2025-07-09T05:02:06"/>
    <x v="1"/>
    <s v="Visitor"/>
    <s v="UPI"/>
    <x v="0"/>
    <n v="0.05"/>
    <d v="2025-07-09T00:00:00"/>
    <s v="yes"/>
    <x v="19"/>
    <x v="10"/>
    <n v="212.14"/>
    <n v="262.61300000000006"/>
    <x v="1"/>
    <s v="OK"/>
  </r>
  <r>
    <x v="20"/>
    <d v="2025-07-31T23:11:42"/>
    <x v="1"/>
    <s v="Worker"/>
    <s v="UPI"/>
    <x v="1"/>
    <n v="0.02"/>
    <d v="2025-07-31T00:00:00"/>
    <s v="no"/>
    <x v="20"/>
    <x v="0"/>
    <n v="138.13"/>
    <n v="153.59640000000002"/>
    <x v="0"/>
    <s v="OK"/>
  </r>
  <r>
    <x v="21"/>
    <d v="2025-07-24T10:10:42"/>
    <x v="1"/>
    <s v="Staff"/>
    <s v="Cash"/>
    <x v="0"/>
    <n v="0.01"/>
    <d v="2025-07-24T00:00:00"/>
    <s v="yes"/>
    <x v="21"/>
    <x v="10"/>
    <n v="170.97"/>
    <n v="193.3203"/>
    <x v="1"/>
    <s v="OK"/>
  </r>
  <r>
    <x v="22"/>
    <d v="2025-08-14T15:24:37"/>
    <x v="1"/>
    <s v="Worker"/>
    <s v="Cash"/>
    <x v="2"/>
    <n v="0.09"/>
    <d v="2025-08-14T00:00:00"/>
    <s v="yes"/>
    <x v="22"/>
    <x v="6"/>
    <n v="120.08"/>
    <n v="122.16200000000002"/>
    <x v="1"/>
    <s v="OK"/>
  </r>
  <r>
    <x v="23"/>
    <d v="2025-08-24T21:52:12"/>
    <x v="2"/>
    <s v="Worker"/>
    <s v="UPI"/>
    <x v="1"/>
    <n v="0.11"/>
    <d v="2025-08-24T00:00:00"/>
    <s v="no"/>
    <x v="23"/>
    <x v="3"/>
    <n v="242.76"/>
    <n v="148.12800000000004"/>
    <x v="0"/>
    <s v="High Disc"/>
  </r>
  <r>
    <x v="24"/>
    <d v="2025-08-19T08:47:48"/>
    <x v="1"/>
    <s v="Worker"/>
    <s v="Card"/>
    <x v="0"/>
    <n v="0.06"/>
    <d v="2025-08-19T00:00:00"/>
    <s v="no"/>
    <x v="24"/>
    <x v="0"/>
    <n v="22.61"/>
    <n v="24.568599999999996"/>
    <x v="0"/>
    <s v="OK"/>
  </r>
  <r>
    <x v="25"/>
    <d v="2025-07-24T23:13:26"/>
    <x v="1"/>
    <s v="Staff"/>
    <s v="Cash"/>
    <x v="1"/>
    <n v="0.1"/>
    <d v="2025-07-24T00:00:00"/>
    <s v="no"/>
    <x v="25"/>
    <x v="0"/>
    <n v="45.35"/>
    <n v="36.109000000000002"/>
    <x v="0"/>
    <s v="OK"/>
  </r>
  <r>
    <x v="26"/>
    <d v="2025-08-22T23:47:22"/>
    <x v="0"/>
    <s v="Staff"/>
    <s v="UPI"/>
    <x v="1"/>
    <n v="7.0000000000000007E-2"/>
    <d v="2025-08-22T00:00:00"/>
    <s v="yes"/>
    <x v="26"/>
    <x v="10"/>
    <n v="406.74999999999994"/>
    <n v="433.09580000000011"/>
    <x v="1"/>
    <s v="High Disc"/>
  </r>
  <r>
    <x v="27"/>
    <d v="2025-07-02T00:13:44"/>
    <x v="0"/>
    <s v="Visitor"/>
    <s v="Card"/>
    <x v="0"/>
    <n v="0.03"/>
    <d v="2025-07-02T00:00:00"/>
    <s v="yes"/>
    <x v="27"/>
    <x v="12"/>
    <n v="172.36"/>
    <n v="210.3535"/>
    <x v="0"/>
    <s v="OK"/>
  </r>
  <r>
    <x v="28"/>
    <d v="2025-07-14T06:55:15"/>
    <x v="1"/>
    <s v="Worker"/>
    <s v="Cash"/>
    <x v="0"/>
    <n v="7.0000000000000007E-2"/>
    <d v="2025-07-14T00:00:00"/>
    <s v="no"/>
    <x v="28"/>
    <x v="0"/>
    <n v="67.83"/>
    <n v="72.200099999999978"/>
    <x v="0"/>
    <s v="OK"/>
  </r>
  <r>
    <x v="29"/>
    <d v="2025-07-16T08:13:11"/>
    <x v="1"/>
    <s v="Staff"/>
    <s v="UPI"/>
    <x v="0"/>
    <n v="0.12"/>
    <d v="2025-07-16T00:00:00"/>
    <s v="yes"/>
    <x v="29"/>
    <x v="2"/>
    <n v="197.59"/>
    <n v="168.13800000000001"/>
    <x v="1"/>
    <s v="High Disc"/>
  </r>
  <r>
    <x v="30"/>
    <d v="2025-08-03T12:58:08"/>
    <x v="2"/>
    <s v="Visitor"/>
    <s v="UPI"/>
    <x v="2"/>
    <n v="0.06"/>
    <d v="2025-08-03T00:00:00"/>
    <s v="no"/>
    <x v="30"/>
    <x v="13"/>
    <n v="232.76"/>
    <n v="203.21199999999993"/>
    <x v="0"/>
    <s v="OK"/>
  </r>
  <r>
    <x v="31"/>
    <d v="2025-08-19T07:41:18"/>
    <x v="1"/>
    <s v="Staff"/>
    <s v="Cash"/>
    <x v="0"/>
    <n v="0.12"/>
    <d v="2025-08-19T00:00:00"/>
    <s v="yes"/>
    <x v="31"/>
    <x v="10"/>
    <n v="256.44"/>
    <n v="209.74879999999996"/>
    <x v="1"/>
    <s v="High Disc"/>
  </r>
  <r>
    <x v="32"/>
    <d v="2025-08-11T09:00:11"/>
    <x v="1"/>
    <s v="Worker"/>
    <s v="Cash"/>
    <x v="0"/>
    <n v="0"/>
    <d v="2025-08-11T00:00:00"/>
    <s v="no"/>
    <x v="32"/>
    <x v="9"/>
    <n v="162.41999999999999"/>
    <n v="227.92999999999998"/>
    <x v="0"/>
    <s v="OK"/>
  </r>
  <r>
    <x v="33"/>
    <d v="2025-07-13T22:49:54"/>
    <x v="0"/>
    <s v="Staff"/>
    <s v="Cash"/>
    <x v="1"/>
    <n v="0.09"/>
    <d v="2025-07-13T00:00:00"/>
    <s v="yes"/>
    <x v="33"/>
    <x v="4"/>
    <n v="36.730000000000004"/>
    <n v="49.83829999999999"/>
    <x v="0"/>
    <s v="OK"/>
  </r>
  <r>
    <x v="34"/>
    <d v="2025-08-23T19:30:30"/>
    <x v="0"/>
    <s v="Staff"/>
    <s v="UPI"/>
    <x v="1"/>
    <n v="0.06"/>
    <d v="2025-08-23T00:00:00"/>
    <s v="yes"/>
    <x v="34"/>
    <x v="10"/>
    <n v="293.52999999999997"/>
    <n v="342.85"/>
    <x v="1"/>
    <s v="High Disc"/>
  </r>
  <r>
    <x v="35"/>
    <d v="2025-07-12T02:41:06"/>
    <x v="2"/>
    <s v="Visitor"/>
    <s v="Cash"/>
    <x v="0"/>
    <n v="0.05"/>
    <d v="2025-07-12T00:00:00"/>
    <s v="no"/>
    <x v="35"/>
    <x v="11"/>
    <n v="96.679999999999993"/>
    <n v="113.289"/>
    <x v="0"/>
    <s v="OK"/>
  </r>
  <r>
    <x v="36"/>
    <d v="2025-07-04T17:57:05"/>
    <x v="1"/>
    <s v="Visitor"/>
    <s v="UPI"/>
    <x v="1"/>
    <n v="0.06"/>
    <d v="2025-07-04T00:00:00"/>
    <s v="no"/>
    <x v="36"/>
    <x v="3"/>
    <n v="148.13999999999999"/>
    <n v="173.0204"/>
    <x v="0"/>
    <s v="OK"/>
  </r>
  <r>
    <x v="37"/>
    <d v="2025-08-11T23:28:32"/>
    <x v="2"/>
    <s v="Worker"/>
    <s v="Card"/>
    <x v="1"/>
    <n v="0"/>
    <d v="2025-08-11T00:00:00"/>
    <s v="yes"/>
    <x v="37"/>
    <x v="5"/>
    <n v="33.06"/>
    <n v="55.099999999999994"/>
    <x v="0"/>
    <s v="OK"/>
  </r>
  <r>
    <x v="38"/>
    <d v="2025-07-05T02:57:42"/>
    <x v="1"/>
    <s v="Worker"/>
    <s v="UPI"/>
    <x v="0"/>
    <n v="0.05"/>
    <d v="2025-07-05T00:00:00"/>
    <s v="no"/>
    <x v="38"/>
    <x v="3"/>
    <n v="222.20999999999998"/>
    <n v="264.65550000000002"/>
    <x v="0"/>
    <s v="OK"/>
  </r>
  <r>
    <x v="39"/>
    <d v="2025-07-11T05:31:35"/>
    <x v="1"/>
    <s v="Visitor"/>
    <s v="Card"/>
    <x v="0"/>
    <n v="7.0000000000000007E-2"/>
    <d v="2025-07-11T00:00:00"/>
    <s v="yes"/>
    <x v="39"/>
    <x v="6"/>
    <n v="306.07"/>
    <n v="318.45289999999994"/>
    <x v="1"/>
    <s v="High Disc"/>
  </r>
  <r>
    <x v="40"/>
    <d v="2025-07-24T05:38:16"/>
    <x v="2"/>
    <s v="Worker"/>
    <s v="Card"/>
    <x v="0"/>
    <n v="0.12"/>
    <d v="2025-07-24T00:00:00"/>
    <s v="yes"/>
    <x v="40"/>
    <x v="4"/>
    <n v="71.33"/>
    <n v="77.812400000000011"/>
    <x v="0"/>
    <s v="OK"/>
  </r>
  <r>
    <x v="41"/>
    <d v="2025-07-18T15:56:26"/>
    <x v="0"/>
    <s v="Staff"/>
    <s v="Card"/>
    <x v="2"/>
    <n v="0.04"/>
    <d v="2025-07-18T00:00:00"/>
    <s v="yes"/>
    <x v="41"/>
    <x v="10"/>
    <n v="156.69"/>
    <n v="189.9468"/>
    <x v="1"/>
    <s v="OK"/>
  </r>
  <r>
    <x v="42"/>
    <d v="2025-07-27T03:42:08"/>
    <x v="2"/>
    <s v="Visitor"/>
    <s v="Cash"/>
    <x v="0"/>
    <n v="0.03"/>
    <d v="2025-07-27T00:00:00"/>
    <s v="yes"/>
    <x v="42"/>
    <x v="5"/>
    <n v="9.3800000000000008"/>
    <n v="12.153999999999998"/>
    <x v="0"/>
    <s v="OK"/>
  </r>
  <r>
    <x v="43"/>
    <d v="2025-07-05T00:14:05"/>
    <x v="1"/>
    <s v="Worker"/>
    <s v="Cash"/>
    <x v="0"/>
    <n v="0.04"/>
    <d v="2025-07-05T00:00:00"/>
    <s v="yes"/>
    <x v="43"/>
    <x v="4"/>
    <n v="70.990000000000009"/>
    <n v="68.392400000000009"/>
    <x v="0"/>
    <s v="OK"/>
  </r>
  <r>
    <x v="44"/>
    <d v="2025-08-04T04:45:47"/>
    <x v="1"/>
    <s v="Worker"/>
    <s v="Cash"/>
    <x v="0"/>
    <n v="0.1"/>
    <d v="2025-08-04T00:00:00"/>
    <s v="yes"/>
    <x v="44"/>
    <x v="1"/>
    <n v="145.62"/>
    <n v="178.28100000000001"/>
    <x v="0"/>
    <s v="OK"/>
  </r>
  <r>
    <x v="45"/>
    <d v="2025-07-20T00:01:30"/>
    <x v="1"/>
    <s v="Staff"/>
    <s v="Card"/>
    <x v="0"/>
    <n v="7.0000000000000007E-2"/>
    <d v="2025-07-20T00:00:00"/>
    <s v="no"/>
    <x v="45"/>
    <x v="0"/>
    <n v="15.51"/>
    <n v="21.643500000000003"/>
    <x v="0"/>
    <s v="OK"/>
  </r>
  <r>
    <x v="46"/>
    <d v="2025-07-28T08:24:30"/>
    <x v="1"/>
    <s v="Visitor"/>
    <s v="UPI"/>
    <x v="0"/>
    <n v="0.04"/>
    <d v="2025-07-28T00:00:00"/>
    <s v="no"/>
    <x v="46"/>
    <x v="7"/>
    <n v="290.22999999999996"/>
    <n v="305.42120000000006"/>
    <x v="0"/>
    <s v="OK"/>
  </r>
  <r>
    <x v="47"/>
    <d v="2025-08-22T07:28:23"/>
    <x v="1"/>
    <s v="Worker"/>
    <s v="Cash"/>
    <x v="0"/>
    <n v="0.08"/>
    <d v="2025-08-22T00:00:00"/>
    <s v="yes"/>
    <x v="47"/>
    <x v="4"/>
    <n v="92.55"/>
    <n v="87.125999999999991"/>
    <x v="0"/>
    <s v="OK"/>
  </r>
  <r>
    <x v="48"/>
    <d v="2025-07-18T14:05:35"/>
    <x v="0"/>
    <s v="Staff"/>
    <s v="Cash"/>
    <x v="2"/>
    <n v="0.06"/>
    <d v="2025-07-18T00:00:00"/>
    <s v="yes"/>
    <x v="48"/>
    <x v="6"/>
    <n v="119.9"/>
    <n v="156.05579999999995"/>
    <x v="1"/>
    <s v="OK"/>
  </r>
  <r>
    <x v="49"/>
    <d v="2025-08-28T04:06:42"/>
    <x v="1"/>
    <s v="Staff"/>
    <s v="UPI"/>
    <x v="0"/>
    <n v="0.1"/>
    <d v="2025-08-28T00:00:00"/>
    <s v="yes"/>
    <x v="49"/>
    <x v="1"/>
    <n v="50.069999999999993"/>
    <n v="48.507000000000005"/>
    <x v="0"/>
    <s v="OK"/>
  </r>
  <r>
    <x v="50"/>
    <d v="2025-08-12T14:52:17"/>
    <x v="0"/>
    <s v="Visitor"/>
    <s v="Cash"/>
    <x v="2"/>
    <n v="0.03"/>
    <d v="2025-08-12T00:00:00"/>
    <s v="no"/>
    <x v="50"/>
    <x v="13"/>
    <n v="275.74"/>
    <n v="299.02379999999994"/>
    <x v="0"/>
    <s v="OK"/>
  </r>
  <r>
    <x v="51"/>
    <d v="2025-08-26T05:32:51"/>
    <x v="2"/>
    <s v="Staff"/>
    <s v="Cash"/>
    <x v="0"/>
    <n v="0.05"/>
    <d v="2025-08-26T00:00:00"/>
    <s v="no"/>
    <x v="51"/>
    <x v="0"/>
    <n v="97.42"/>
    <n v="86.433499999999995"/>
    <x v="0"/>
    <s v="OK"/>
  </r>
  <r>
    <x v="52"/>
    <d v="2025-07-01T09:56:27"/>
    <x v="0"/>
    <s v="Visitor"/>
    <s v="UPI"/>
    <x v="0"/>
    <n v="0.04"/>
    <d v="2025-07-01T00:00:00"/>
    <s v="no"/>
    <x v="52"/>
    <x v="0"/>
    <n v="51.6"/>
    <n v="49.104000000000006"/>
    <x v="0"/>
    <s v="OK"/>
  </r>
  <r>
    <x v="53"/>
    <d v="2025-08-05T14:41:51"/>
    <x v="1"/>
    <s v="Worker"/>
    <s v="UPI"/>
    <x v="2"/>
    <n v="0"/>
    <d v="2025-08-05T00:00:00"/>
    <s v="no"/>
    <x v="53"/>
    <x v="9"/>
    <n v="117.49"/>
    <n v="154.16999999999996"/>
    <x v="0"/>
    <s v="OK"/>
  </r>
  <r>
    <x v="54"/>
    <d v="2025-07-31T17:28:35"/>
    <x v="0"/>
    <s v="Worker"/>
    <s v="UPI"/>
    <x v="1"/>
    <n v="7.0000000000000007E-2"/>
    <d v="2025-07-31T00:00:00"/>
    <s v="no"/>
    <x v="54"/>
    <x v="3"/>
    <n v="354.56"/>
    <n v="352.15630000000004"/>
    <x v="0"/>
    <s v="High Disc"/>
  </r>
  <r>
    <x v="55"/>
    <d v="2025-08-19T11:40:51"/>
    <x v="1"/>
    <s v="Visitor"/>
    <s v="Card"/>
    <x v="2"/>
    <n v="7.0000000000000007E-2"/>
    <d v="2025-08-19T00:00:00"/>
    <s v="no"/>
    <x v="55"/>
    <x v="13"/>
    <n v="227.82999999999998"/>
    <n v="234.19399999999996"/>
    <x v="0"/>
    <s v="OK"/>
  </r>
  <r>
    <x v="56"/>
    <d v="2025-08-09T07:39:39"/>
    <x v="0"/>
    <s v="Staff"/>
    <s v="UPI"/>
    <x v="0"/>
    <n v="0.06"/>
    <d v="2025-08-09T00:00:00"/>
    <s v="yes"/>
    <x v="56"/>
    <x v="12"/>
    <n v="122.93"/>
    <n v="117.54079999999996"/>
    <x v="0"/>
    <s v="OK"/>
  </r>
  <r>
    <x v="57"/>
    <d v="2025-07-19T21:01:11"/>
    <x v="1"/>
    <s v="Visitor"/>
    <s v="Card"/>
    <x v="1"/>
    <n v="0.05"/>
    <d v="2025-07-19T00:00:00"/>
    <s v="no"/>
    <x v="57"/>
    <x v="3"/>
    <n v="112.08"/>
    <n v="121.70549999999999"/>
    <x v="0"/>
    <s v="OK"/>
  </r>
  <r>
    <x v="58"/>
    <d v="2025-08-25T12:06:40"/>
    <x v="1"/>
    <s v="Staff"/>
    <s v="UPI"/>
    <x v="2"/>
    <n v="0"/>
    <d v="2025-08-25T00:00:00"/>
    <s v="no"/>
    <x v="58"/>
    <x v="13"/>
    <n v="290.85000000000002"/>
    <n v="371.66999999999996"/>
    <x v="0"/>
    <s v="OK"/>
  </r>
  <r>
    <x v="59"/>
    <d v="2025-07-30T18:04:47"/>
    <x v="1"/>
    <s v="Worker"/>
    <s v="Card"/>
    <x v="1"/>
    <n v="0.04"/>
    <d v="2025-07-30T00:00:00"/>
    <s v="no"/>
    <x v="59"/>
    <x v="11"/>
    <n v="341"/>
    <n v="369.06400000000008"/>
    <x v="0"/>
    <s v="OK"/>
  </r>
  <r>
    <x v="60"/>
    <d v="2025-08-15T09:30:03"/>
    <x v="1"/>
    <s v="Staff"/>
    <s v="UPI"/>
    <x v="0"/>
    <n v="0.05"/>
    <d v="2025-08-15T00:00:00"/>
    <s v="yes"/>
    <x v="60"/>
    <x v="4"/>
    <n v="112.53"/>
    <n v="140.13200000000001"/>
    <x v="0"/>
    <s v="OK"/>
  </r>
  <r>
    <x v="61"/>
    <d v="2025-08-19T21:07:18"/>
    <x v="1"/>
    <s v="Visitor"/>
    <s v="Cash"/>
    <x v="1"/>
    <n v="0.03"/>
    <d v="2025-08-19T00:00:00"/>
    <s v="yes"/>
    <x v="61"/>
    <x v="1"/>
    <n v="126.3"/>
    <n v="159.15159999999997"/>
    <x v="0"/>
    <s v="OK"/>
  </r>
  <r>
    <x v="62"/>
    <d v="2025-07-28T19:16:12"/>
    <x v="0"/>
    <s v="Visitor"/>
    <s v="UPI"/>
    <x v="1"/>
    <n v="0.05"/>
    <d v="2025-07-28T00:00:00"/>
    <s v="no"/>
    <x v="62"/>
    <x v="14"/>
    <n v="76.459999999999994"/>
    <n v="68.984999999999999"/>
    <x v="0"/>
    <s v="OK"/>
  </r>
  <r>
    <x v="63"/>
    <d v="2025-07-10T07:36:28"/>
    <x v="2"/>
    <s v="Visitor"/>
    <s v="Card"/>
    <x v="0"/>
    <n v="0.08"/>
    <d v="2025-07-10T00:00:00"/>
    <s v="yes"/>
    <x v="63"/>
    <x v="5"/>
    <n v="8"/>
    <n v="10.501200000000001"/>
    <x v="0"/>
    <s v="OK"/>
  </r>
  <r>
    <x v="64"/>
    <d v="2025-07-20T14:00:22"/>
    <x v="2"/>
    <s v="Worker"/>
    <s v="Cash"/>
    <x v="2"/>
    <n v="0.14000000000000001"/>
    <d v="2025-07-20T00:00:00"/>
    <s v="yes"/>
    <x v="64"/>
    <x v="2"/>
    <n v="327.99"/>
    <n v="259.67380000000003"/>
    <x v="1"/>
    <s v="High Disc"/>
  </r>
  <r>
    <x v="65"/>
    <d v="2025-08-16T09:08:52"/>
    <x v="0"/>
    <s v="Worker"/>
    <s v="Card"/>
    <x v="0"/>
    <n v="7.0000000000000007E-2"/>
    <d v="2025-08-16T00:00:00"/>
    <s v="no"/>
    <x v="65"/>
    <x v="7"/>
    <n v="531.21"/>
    <n v="478.37939999999992"/>
    <x v="0"/>
    <s v="High Disc"/>
  </r>
  <r>
    <x v="66"/>
    <d v="2025-08-26T03:24:37"/>
    <x v="2"/>
    <s v="Visitor"/>
    <s v="UPI"/>
    <x v="0"/>
    <n v="7.0000000000000007E-2"/>
    <d v="2025-08-26T00:00:00"/>
    <s v="yes"/>
    <x v="66"/>
    <x v="12"/>
    <n v="161.82"/>
    <n v="175.68630000000002"/>
    <x v="0"/>
    <s v="OK"/>
  </r>
  <r>
    <x v="67"/>
    <d v="2025-08-18T05:58:56"/>
    <x v="1"/>
    <s v="Worker"/>
    <s v="Cash"/>
    <x v="0"/>
    <n v="0.06"/>
    <d v="2025-08-18T00:00:00"/>
    <s v="yes"/>
    <x v="67"/>
    <x v="2"/>
    <n v="191.77999999999997"/>
    <n v="182.11439999999999"/>
    <x v="1"/>
    <s v="OK"/>
  </r>
  <r>
    <x v="68"/>
    <d v="2025-07-11T14:21:59"/>
    <x v="1"/>
    <s v="Worker"/>
    <s v="Cash"/>
    <x v="2"/>
    <n v="0"/>
    <d v="2025-07-11T00:00:00"/>
    <s v="no"/>
    <x v="68"/>
    <x v="11"/>
    <n v="731.26"/>
    <n v="808.31000000000017"/>
    <x v="0"/>
    <s v="OK"/>
  </r>
  <r>
    <x v="69"/>
    <d v="2025-08-15T08:28:46"/>
    <x v="2"/>
    <s v="Visitor"/>
    <s v="Cash"/>
    <x v="0"/>
    <n v="0.06"/>
    <d v="2025-08-15T00:00:00"/>
    <s v="yes"/>
    <x v="69"/>
    <x v="5"/>
    <n v="24"/>
    <n v="32.710199999999993"/>
    <x v="0"/>
    <s v="OK"/>
  </r>
  <r>
    <x v="70"/>
    <d v="2025-08-14T13:37:59"/>
    <x v="2"/>
    <s v="Staff"/>
    <s v="UPI"/>
    <x v="2"/>
    <n v="0.06"/>
    <d v="2025-08-14T00:00:00"/>
    <s v="no"/>
    <x v="70"/>
    <x v="13"/>
    <n v="150.52999999999997"/>
    <n v="153.96420000000001"/>
    <x v="0"/>
    <s v="OK"/>
  </r>
  <r>
    <x v="71"/>
    <d v="2025-08-24T12:23:25"/>
    <x v="0"/>
    <s v="Staff"/>
    <s v="Card"/>
    <x v="2"/>
    <n v="0.16"/>
    <d v="2025-08-24T00:00:00"/>
    <s v="yes"/>
    <x v="71"/>
    <x v="6"/>
    <n v="176.20999999999998"/>
    <n v="160.15119999999996"/>
    <x v="1"/>
    <s v="High Disc"/>
  </r>
  <r>
    <x v="72"/>
    <d v="2025-08-11T16:22:40"/>
    <x v="0"/>
    <s v="Staff"/>
    <s v="Cash"/>
    <x v="1"/>
    <n v="0.05"/>
    <d v="2025-08-11T00:00:00"/>
    <s v="no"/>
    <x v="72"/>
    <x v="0"/>
    <n v="45.22"/>
    <n v="50.140999999999991"/>
    <x v="0"/>
    <s v="OK"/>
  </r>
  <r>
    <x v="73"/>
    <d v="2025-08-13T22:44:18"/>
    <x v="1"/>
    <s v="Worker"/>
    <s v="UPI"/>
    <x v="1"/>
    <n v="7.0000000000000007E-2"/>
    <d v="2025-08-13T00:00:00"/>
    <s v="yes"/>
    <x v="73"/>
    <x v="2"/>
    <n v="395.46"/>
    <n v="440.2007999999999"/>
    <x v="1"/>
    <s v="High Disc"/>
  </r>
  <r>
    <x v="74"/>
    <d v="2025-08-20T20:42:59"/>
    <x v="1"/>
    <s v="Visitor"/>
    <s v="Cash"/>
    <x v="1"/>
    <n v="0.06"/>
    <d v="2025-08-20T00:00:00"/>
    <s v="yes"/>
    <x v="74"/>
    <x v="2"/>
    <n v="275.25"/>
    <n v="237.6422"/>
    <x v="1"/>
    <s v="OK"/>
  </r>
  <r>
    <x v="75"/>
    <d v="2025-08-12T22:58:38"/>
    <x v="2"/>
    <s v="Visitor"/>
    <s v="Card"/>
    <x v="1"/>
    <n v="0.01"/>
    <d v="2025-08-12T00:00:00"/>
    <s v="no"/>
    <x v="75"/>
    <x v="7"/>
    <n v="206.4"/>
    <n v="186.81810000000004"/>
    <x v="0"/>
    <s v="OK"/>
  </r>
  <r>
    <x v="76"/>
    <d v="2025-07-27T15:08:31"/>
    <x v="1"/>
    <s v="Staff"/>
    <s v="UPI"/>
    <x v="2"/>
    <n v="0.11"/>
    <d v="2025-07-27T00:00:00"/>
    <s v="yes"/>
    <x v="76"/>
    <x v="4"/>
    <n v="47.650000000000006"/>
    <n v="44.482799999999997"/>
    <x v="0"/>
    <s v="OK"/>
  </r>
  <r>
    <x v="77"/>
    <d v="2025-07-14T16:26:05"/>
    <x v="2"/>
    <s v="Worker"/>
    <s v="Card"/>
    <x v="1"/>
    <n v="0.09"/>
    <d v="2025-07-14T00:00:00"/>
    <s v="yes"/>
    <x v="77"/>
    <x v="4"/>
    <n v="58.129999999999995"/>
    <n v="77.578300000000013"/>
    <x v="0"/>
    <s v="OK"/>
  </r>
  <r>
    <x v="78"/>
    <d v="2025-07-22T00:32:46"/>
    <x v="2"/>
    <s v="Staff"/>
    <s v="Card"/>
    <x v="0"/>
    <n v="0.09"/>
    <d v="2025-07-22T00:00:00"/>
    <s v="yes"/>
    <x v="78"/>
    <x v="4"/>
    <n v="47.33"/>
    <n v="39.047200000000018"/>
    <x v="0"/>
    <s v="OK"/>
  </r>
  <r>
    <x v="79"/>
    <d v="2025-08-22T22:22:32"/>
    <x v="1"/>
    <s v="Staff"/>
    <s v="Cash"/>
    <x v="1"/>
    <n v="0.02"/>
    <d v="2025-08-22T00:00:00"/>
    <s v="yes"/>
    <x v="79"/>
    <x v="6"/>
    <n v="192.04000000000002"/>
    <n v="227.351"/>
    <x v="1"/>
    <s v="OK"/>
  </r>
  <r>
    <x v="80"/>
    <d v="2025-08-11T01:00:19"/>
    <x v="1"/>
    <s v="Visitor"/>
    <s v="UPI"/>
    <x v="0"/>
    <n v="0.12"/>
    <d v="2025-08-11T00:00:00"/>
    <s v="no"/>
    <x v="80"/>
    <x v="0"/>
    <n v="22.61"/>
    <n v="21.557200000000002"/>
    <x v="0"/>
    <s v="OK"/>
  </r>
  <r>
    <x v="81"/>
    <d v="2025-08-26T03:27:20"/>
    <x v="1"/>
    <s v="Staff"/>
    <s v="Cash"/>
    <x v="0"/>
    <n v="0"/>
    <d v="2025-08-26T00:00:00"/>
    <s v="no"/>
    <x v="81"/>
    <x v="0"/>
    <n v="46.53"/>
    <n v="73.320000000000007"/>
    <x v="0"/>
    <s v="OK"/>
  </r>
  <r>
    <x v="82"/>
    <d v="2025-07-30T05:49:04"/>
    <x v="1"/>
    <s v="Staff"/>
    <s v="UPI"/>
    <x v="0"/>
    <n v="0.08"/>
    <d v="2025-07-30T00:00:00"/>
    <s v="yes"/>
    <x v="82"/>
    <x v="6"/>
    <n v="176.02"/>
    <n v="121.26880000000003"/>
    <x v="1"/>
    <s v="OK"/>
  </r>
  <r>
    <x v="83"/>
    <d v="2025-08-28T19:40:49"/>
    <x v="2"/>
    <s v="Staff"/>
    <s v="Cash"/>
    <x v="1"/>
    <n v="0.15"/>
    <d v="2025-08-28T00:00:00"/>
    <s v="yes"/>
    <x v="83"/>
    <x v="12"/>
    <n v="116.43999999999998"/>
    <n v="84.066500000000005"/>
    <x v="0"/>
    <s v="OK"/>
  </r>
  <r>
    <x v="84"/>
    <d v="2025-08-12T13:34:17"/>
    <x v="1"/>
    <s v="Worker"/>
    <s v="Card"/>
    <x v="2"/>
    <n v="0.02"/>
    <d v="2025-08-12T00:00:00"/>
    <s v="no"/>
    <x v="84"/>
    <x v="9"/>
    <n v="67.17"/>
    <n v="84.318400000000011"/>
    <x v="0"/>
    <s v="OK"/>
  </r>
  <r>
    <x v="85"/>
    <d v="2025-08-09T12:07:34"/>
    <x v="0"/>
    <s v="Worker"/>
    <s v="Card"/>
    <x v="2"/>
    <n v="0.04"/>
    <d v="2025-08-09T00:00:00"/>
    <s v="yes"/>
    <x v="85"/>
    <x v="1"/>
    <n v="88.3"/>
    <n v="90.336799999999997"/>
    <x v="0"/>
    <s v="OK"/>
  </r>
  <r>
    <x v="86"/>
    <d v="2025-08-22T02:35:53"/>
    <x v="2"/>
    <s v="Staff"/>
    <s v="UPI"/>
    <x v="0"/>
    <n v="0.06"/>
    <d v="2025-08-22T00:00:00"/>
    <s v="yes"/>
    <x v="86"/>
    <x v="4"/>
    <n v="132.60000000000002"/>
    <n v="119.48919999999998"/>
    <x v="0"/>
    <s v="OK"/>
  </r>
  <r>
    <x v="87"/>
    <d v="2025-07-09T09:36:42"/>
    <x v="0"/>
    <s v="Staff"/>
    <s v="Cash"/>
    <x v="0"/>
    <n v="0.04"/>
    <d v="2025-07-09T00:00:00"/>
    <s v="no"/>
    <x v="87"/>
    <x v="13"/>
    <n v="134.44999999999999"/>
    <n v="157.54360000000003"/>
    <x v="0"/>
    <s v="OK"/>
  </r>
  <r>
    <x v="88"/>
    <d v="2025-07-18T21:27:33"/>
    <x v="2"/>
    <s v="Staff"/>
    <s v="Card"/>
    <x v="1"/>
    <n v="0"/>
    <d v="2025-07-18T00:00:00"/>
    <s v="no"/>
    <x v="88"/>
    <x v="11"/>
    <n v="309.59000000000003"/>
    <n v="349.08000000000004"/>
    <x v="0"/>
    <s v="OK"/>
  </r>
  <r>
    <x v="89"/>
    <d v="2025-07-21T19:12:15"/>
    <x v="1"/>
    <s v="Staff"/>
    <s v="Card"/>
    <x v="1"/>
    <n v="0.06"/>
    <d v="2025-07-21T00:00:00"/>
    <s v="yes"/>
    <x v="89"/>
    <x v="6"/>
    <n v="319.25999999999993"/>
    <n v="395.33740000000006"/>
    <x v="1"/>
    <s v="High Disc"/>
  </r>
  <r>
    <x v="90"/>
    <d v="2025-07-28T06:23:05"/>
    <x v="1"/>
    <s v="Staff"/>
    <s v="Cash"/>
    <x v="0"/>
    <n v="0.02"/>
    <d v="2025-07-28T00:00:00"/>
    <s v="no"/>
    <x v="90"/>
    <x v="3"/>
    <n v="161.84"/>
    <n v="125.10400000000001"/>
    <x v="0"/>
    <s v="OK"/>
  </r>
  <r>
    <x v="91"/>
    <d v="2025-07-03T03:09:58"/>
    <x v="0"/>
    <s v="Visitor"/>
    <s v="Cash"/>
    <x v="0"/>
    <n v="0.08"/>
    <d v="2025-07-03T00:00:00"/>
    <s v="yes"/>
    <x v="91"/>
    <x v="10"/>
    <n v="318.15999999999997"/>
    <n v="367.86560000000009"/>
    <x v="1"/>
    <s v="High Disc"/>
  </r>
  <r>
    <x v="92"/>
    <d v="2025-07-23T00:28:31"/>
    <x v="0"/>
    <s v="Worker"/>
    <s v="UPI"/>
    <x v="0"/>
    <n v="0.02"/>
    <d v="2025-07-23T00:00:00"/>
    <s v="no"/>
    <x v="92"/>
    <x v="13"/>
    <n v="220.12"/>
    <n v="178.68119999999999"/>
    <x v="0"/>
    <s v="OK"/>
  </r>
  <r>
    <x v="93"/>
    <d v="2025-07-04T06:18:18"/>
    <x v="2"/>
    <s v="Worker"/>
    <s v="Cash"/>
    <x v="0"/>
    <n v="0.12"/>
    <d v="2025-07-04T00:00:00"/>
    <s v="yes"/>
    <x v="93"/>
    <x v="12"/>
    <n v="85.47"/>
    <n v="86.499600000000015"/>
    <x v="0"/>
    <s v="OK"/>
  </r>
  <r>
    <x v="94"/>
    <d v="2025-07-24T09:51:00"/>
    <x v="2"/>
    <s v="Staff"/>
    <s v="UPI"/>
    <x v="0"/>
    <n v="0.03"/>
    <d v="2025-07-24T00:00:00"/>
    <s v="no"/>
    <x v="94"/>
    <x v="11"/>
    <n v="319.67999999999995"/>
    <n v="420.16810000000009"/>
    <x v="0"/>
    <s v="OK"/>
  </r>
  <r>
    <x v="95"/>
    <d v="2025-08-25T00:08:39"/>
    <x v="2"/>
    <s v="Staff"/>
    <s v="UPI"/>
    <x v="0"/>
    <n v="0.05"/>
    <d v="2025-08-25T00:00:00"/>
    <s v="no"/>
    <x v="95"/>
    <x v="13"/>
    <n v="396.42"/>
    <n v="429.14899999999994"/>
    <x v="0"/>
    <s v="High Disc"/>
  </r>
  <r>
    <x v="96"/>
    <d v="2025-08-06T01:35:17"/>
    <x v="2"/>
    <s v="Visitor"/>
    <s v="UPI"/>
    <x v="0"/>
    <n v="0.09"/>
    <d v="2025-08-06T00:00:00"/>
    <s v="yes"/>
    <x v="96"/>
    <x v="5"/>
    <n v="27.78"/>
    <n v="23.962600000000002"/>
    <x v="0"/>
    <s v="OK"/>
  </r>
  <r>
    <x v="97"/>
    <d v="2025-07-17T03:36:07"/>
    <x v="1"/>
    <s v="Worker"/>
    <s v="UPI"/>
    <x v="0"/>
    <n v="0.01"/>
    <d v="2025-07-17T00:00:00"/>
    <s v="yes"/>
    <x v="97"/>
    <x v="5"/>
    <n v="77.19"/>
    <n v="105.1977"/>
    <x v="0"/>
    <s v="OK"/>
  </r>
  <r>
    <x v="98"/>
    <d v="2025-07-31T12:54:47"/>
    <x v="0"/>
    <s v="Visitor"/>
    <s v="Card"/>
    <x v="2"/>
    <n v="7.0000000000000007E-2"/>
    <d v="2025-07-31T00:00:00"/>
    <s v="no"/>
    <x v="98"/>
    <x v="13"/>
    <n v="139.19999999999999"/>
    <n v="103.10219999999998"/>
    <x v="0"/>
    <s v="OK"/>
  </r>
  <r>
    <x v="99"/>
    <d v="2025-07-20T12:08:30"/>
    <x v="2"/>
    <s v="Visitor"/>
    <s v="UPI"/>
    <x v="2"/>
    <n v="0.11"/>
    <d v="2025-07-20T00:00:00"/>
    <s v="no"/>
    <x v="99"/>
    <x v="11"/>
    <n v="166.45999999999998"/>
    <n v="151.52810000000005"/>
    <x v="0"/>
    <s v="OK"/>
  </r>
  <r>
    <x v="100"/>
    <d v="2025-07-11T03:26:50"/>
    <x v="0"/>
    <s v="Staff"/>
    <s v="UPI"/>
    <x v="0"/>
    <n v="0"/>
    <d v="2025-07-11T00:00:00"/>
    <s v="yes"/>
    <x v="100"/>
    <x v="4"/>
    <n v="65.5"/>
    <n v="75.330000000000013"/>
    <x v="0"/>
    <s v="OK"/>
  </r>
  <r>
    <x v="101"/>
    <d v="2025-08-25T04:43:06"/>
    <x v="2"/>
    <s v="Staff"/>
    <s v="UPI"/>
    <x v="0"/>
    <n v="7.0000000000000007E-2"/>
    <d v="2025-08-25T00:00:00"/>
    <s v="no"/>
    <x v="101"/>
    <x v="0"/>
    <n v="39.1"/>
    <n v="31.691600000000001"/>
    <x v="0"/>
    <s v="OK"/>
  </r>
  <r>
    <x v="102"/>
    <d v="2025-08-06T05:29:33"/>
    <x v="2"/>
    <s v="Visitor"/>
    <s v="UPI"/>
    <x v="0"/>
    <n v="7.0000000000000007E-2"/>
    <d v="2025-08-06T00:00:00"/>
    <s v="no"/>
    <x v="102"/>
    <x v="0"/>
    <n v="71.62"/>
    <n v="59.584399999999988"/>
    <x v="0"/>
    <s v="OK"/>
  </r>
  <r>
    <x v="103"/>
    <d v="2025-07-02T11:28:53"/>
    <x v="1"/>
    <s v="Staff"/>
    <s v="Cash"/>
    <x v="2"/>
    <n v="0.09"/>
    <d v="2025-07-02T00:00:00"/>
    <s v="no"/>
    <x v="103"/>
    <x v="14"/>
    <n v="21.95"/>
    <n v="27.372000000000003"/>
    <x v="0"/>
    <s v="OK"/>
  </r>
  <r>
    <x v="104"/>
    <d v="2025-08-05T09:57:33"/>
    <x v="0"/>
    <s v="Staff"/>
    <s v="UPI"/>
    <x v="0"/>
    <n v="0.01"/>
    <d v="2025-08-05T00:00:00"/>
    <s v="yes"/>
    <x v="104"/>
    <x v="5"/>
    <n v="14.18"/>
    <n v="15.8566"/>
    <x v="0"/>
    <s v="OK"/>
  </r>
  <r>
    <x v="105"/>
    <d v="2025-08-12T12:45:30"/>
    <x v="2"/>
    <s v="Visitor"/>
    <s v="UPI"/>
    <x v="2"/>
    <n v="0.01"/>
    <d v="2025-08-12T00:00:00"/>
    <s v="yes"/>
    <x v="105"/>
    <x v="2"/>
    <n v="207.67000000000002"/>
    <n v="216.00050000000005"/>
    <x v="1"/>
    <s v="OK"/>
  </r>
  <r>
    <x v="106"/>
    <d v="2025-08-22T12:02:01"/>
    <x v="1"/>
    <s v="Staff"/>
    <s v="Card"/>
    <x v="2"/>
    <n v="0.08"/>
    <d v="2025-08-22T00:00:00"/>
    <s v="yes"/>
    <x v="106"/>
    <x v="5"/>
    <n v="25.380000000000003"/>
    <n v="32.046399999999998"/>
    <x v="0"/>
    <s v="OK"/>
  </r>
  <r>
    <x v="107"/>
    <d v="2025-08-01T13:01:26"/>
    <x v="2"/>
    <s v="Worker"/>
    <s v="Card"/>
    <x v="2"/>
    <n v="7.0000000000000007E-2"/>
    <d v="2025-08-01T00:00:00"/>
    <s v="yes"/>
    <x v="107"/>
    <x v="12"/>
    <n v="103.44000000000001"/>
    <n v="96.947099999999963"/>
    <x v="0"/>
    <s v="OK"/>
  </r>
  <r>
    <x v="108"/>
    <d v="2025-07-24T22:14:34"/>
    <x v="1"/>
    <s v="Visitor"/>
    <s v="UPI"/>
    <x v="1"/>
    <n v="7.0000000000000007E-2"/>
    <d v="2025-07-24T00:00:00"/>
    <s v="yes"/>
    <x v="108"/>
    <x v="5"/>
    <n v="28.36"/>
    <n v="28.072399999999995"/>
    <x v="0"/>
    <s v="OK"/>
  </r>
  <r>
    <x v="109"/>
    <d v="2025-08-02T21:51:39"/>
    <x v="2"/>
    <s v="Staff"/>
    <s v="Card"/>
    <x v="1"/>
    <n v="7.0000000000000007E-2"/>
    <d v="2025-08-02T00:00:00"/>
    <s v="yes"/>
    <x v="109"/>
    <x v="10"/>
    <n v="362.02"/>
    <n v="399.70579999999995"/>
    <x v="1"/>
    <s v="High Disc"/>
  </r>
  <r>
    <x v="110"/>
    <d v="2025-08-17T14:04:25"/>
    <x v="2"/>
    <s v="Staff"/>
    <s v="Card"/>
    <x v="2"/>
    <n v="0.03"/>
    <d v="2025-08-17T00:00:00"/>
    <s v="yes"/>
    <x v="110"/>
    <x v="6"/>
    <n v="181.68"/>
    <n v="153.83330000000001"/>
    <x v="1"/>
    <s v="OK"/>
  </r>
  <r>
    <x v="111"/>
    <d v="2025-07-28T09:39:05"/>
    <x v="0"/>
    <s v="Visitor"/>
    <s v="Card"/>
    <x v="0"/>
    <n v="7.0000000000000007E-2"/>
    <d v="2025-07-28T00:00:00"/>
    <s v="yes"/>
    <x v="111"/>
    <x v="10"/>
    <n v="224.99"/>
    <n v="184.1542"/>
    <x v="1"/>
    <s v="OK"/>
  </r>
  <r>
    <x v="112"/>
    <d v="2025-07-02T05:39:13"/>
    <x v="0"/>
    <s v="Worker"/>
    <s v="Cash"/>
    <x v="0"/>
    <n v="7.0000000000000007E-2"/>
    <d v="2025-07-02T00:00:00"/>
    <s v="no"/>
    <x v="112"/>
    <x v="13"/>
    <n v="262.24"/>
    <n v="247.55810000000002"/>
    <x v="0"/>
    <s v="OK"/>
  </r>
  <r>
    <x v="113"/>
    <d v="2025-08-09T17:02:46"/>
    <x v="1"/>
    <s v="Visitor"/>
    <s v="Cash"/>
    <x v="1"/>
    <n v="0.03"/>
    <d v="2025-08-09T00:00:00"/>
    <s v="no"/>
    <x v="113"/>
    <x v="9"/>
    <n v="111.72999999999999"/>
    <n v="139.4709"/>
    <x v="0"/>
    <s v="OK"/>
  </r>
  <r>
    <x v="114"/>
    <d v="2025-08-17T21:41:47"/>
    <x v="1"/>
    <s v="Worker"/>
    <s v="Cash"/>
    <x v="1"/>
    <n v="0.13"/>
    <d v="2025-08-17T00:00:00"/>
    <s v="yes"/>
    <x v="114"/>
    <x v="10"/>
    <n v="394.59"/>
    <n v="356.40269999999992"/>
    <x v="1"/>
    <s v="High Disc"/>
  </r>
  <r>
    <x v="115"/>
    <d v="2025-07-22T18:21:25"/>
    <x v="1"/>
    <s v="Visitor"/>
    <s v="Cash"/>
    <x v="1"/>
    <n v="0.08"/>
    <d v="2025-07-22T00:00:00"/>
    <s v="yes"/>
    <x v="115"/>
    <x v="2"/>
    <n v="179.60999999999999"/>
    <n v="197.35080000000008"/>
    <x v="1"/>
    <s v="OK"/>
  </r>
  <r>
    <x v="116"/>
    <d v="2025-08-26T17:07:21"/>
    <x v="1"/>
    <s v="Staff"/>
    <s v="UPI"/>
    <x v="1"/>
    <n v="0.01"/>
    <d v="2025-08-26T00:00:00"/>
    <s v="yes"/>
    <x v="116"/>
    <x v="12"/>
    <n v="304.45999999999998"/>
    <n v="362.94850000000002"/>
    <x v="0"/>
    <s v="OK"/>
  </r>
  <r>
    <x v="117"/>
    <d v="2025-08-03T15:00:46"/>
    <x v="1"/>
    <s v="Visitor"/>
    <s v="UPI"/>
    <x v="2"/>
    <n v="0.09"/>
    <d v="2025-08-03T00:00:00"/>
    <s v="no"/>
    <x v="117"/>
    <x v="0"/>
    <n v="25.8"/>
    <n v="21.929500000000001"/>
    <x v="0"/>
    <s v="OK"/>
  </r>
  <r>
    <x v="118"/>
    <d v="2025-08-04T09:46:40"/>
    <x v="0"/>
    <s v="Staff"/>
    <s v="Card"/>
    <x v="0"/>
    <n v="0.02"/>
    <d v="2025-08-04T00:00:00"/>
    <s v="no"/>
    <x v="118"/>
    <x v="0"/>
    <n v="35.81"/>
    <n v="33.319200000000009"/>
    <x v="0"/>
    <s v="OK"/>
  </r>
  <r>
    <x v="119"/>
    <d v="2025-07-25T15:48:46"/>
    <x v="2"/>
    <s v="Worker"/>
    <s v="UPI"/>
    <x v="2"/>
    <n v="0.09"/>
    <d v="2025-07-25T00:00:00"/>
    <s v="yes"/>
    <x v="119"/>
    <x v="4"/>
    <n v="43.81"/>
    <n v="38.6815"/>
    <x v="0"/>
    <s v="OK"/>
  </r>
  <r>
    <x v="120"/>
    <d v="2025-07-31T21:16:48"/>
    <x v="2"/>
    <s v="Visitor"/>
    <s v="UPI"/>
    <x v="1"/>
    <n v="0.11"/>
    <d v="2025-07-31T00:00:00"/>
    <s v="no"/>
    <x v="120"/>
    <x v="9"/>
    <n v="275.83999999999997"/>
    <n v="265.25330000000002"/>
    <x v="0"/>
    <s v="High Disc"/>
  </r>
  <r>
    <x v="121"/>
    <d v="2025-07-19T20:19:22"/>
    <x v="2"/>
    <s v="Visitor"/>
    <s v="Card"/>
    <x v="1"/>
    <n v="0.03"/>
    <d v="2025-07-19T00:00:00"/>
    <s v="yes"/>
    <x v="121"/>
    <x v="10"/>
    <n v="291.64"/>
    <n v="324.30029999999999"/>
    <x v="1"/>
    <s v="OK"/>
  </r>
  <r>
    <x v="122"/>
    <d v="2025-08-27T11:50:13"/>
    <x v="0"/>
    <s v="Visitor"/>
    <s v="Card"/>
    <x v="2"/>
    <n v="0.1"/>
    <d v="2025-08-27T00:00:00"/>
    <s v="no"/>
    <x v="122"/>
    <x v="7"/>
    <n v="516.5100000000001"/>
    <n v="470.08799999999985"/>
    <x v="0"/>
    <s v="High Disc"/>
  </r>
  <r>
    <x v="123"/>
    <d v="2025-07-20T02:19:36"/>
    <x v="1"/>
    <s v="Worker"/>
    <s v="Card"/>
    <x v="0"/>
    <n v="0.08"/>
    <d v="2025-07-20T00:00:00"/>
    <s v="yes"/>
    <x v="123"/>
    <x v="10"/>
    <n v="412.05"/>
    <n v="445.96959999999996"/>
    <x v="1"/>
    <s v="High Disc"/>
  </r>
  <r>
    <x v="124"/>
    <d v="2025-07-30T14:20:04"/>
    <x v="2"/>
    <s v="Visitor"/>
    <s v="UPI"/>
    <x v="2"/>
    <n v="0.09"/>
    <d v="2025-07-30T00:00:00"/>
    <s v="no"/>
    <x v="124"/>
    <x v="14"/>
    <n v="70.92"/>
    <n v="84.690000000000012"/>
    <x v="0"/>
    <s v="OK"/>
  </r>
  <r>
    <x v="125"/>
    <d v="2025-07-27T21:11:30"/>
    <x v="2"/>
    <s v="Worker"/>
    <s v="UPI"/>
    <x v="1"/>
    <n v="0.14000000000000001"/>
    <d v="2025-07-27T00:00:00"/>
    <s v="no"/>
    <x v="125"/>
    <x v="7"/>
    <n v="194.14"/>
    <n v="124.11160000000001"/>
    <x v="0"/>
    <s v="High Disc"/>
  </r>
  <r>
    <x v="126"/>
    <d v="2025-07-13T12:15:09"/>
    <x v="0"/>
    <s v="Staff"/>
    <s v="Cash"/>
    <x v="2"/>
    <n v="0.05"/>
    <d v="2025-07-13T00:00:00"/>
    <s v="yes"/>
    <x v="126"/>
    <x v="4"/>
    <n v="99.98"/>
    <n v="91.691999999999993"/>
    <x v="0"/>
    <s v="OK"/>
  </r>
  <r>
    <x v="127"/>
    <d v="2025-08-25T23:39:59"/>
    <x v="1"/>
    <s v="Staff"/>
    <s v="Card"/>
    <x v="1"/>
    <n v="0.03"/>
    <d v="2025-08-25T00:00:00"/>
    <s v="yes"/>
    <x v="127"/>
    <x v="2"/>
    <n v="337.78000000000003"/>
    <n v="361.45419999999996"/>
    <x v="1"/>
    <s v="OK"/>
  </r>
  <r>
    <x v="128"/>
    <d v="2025-08-03T07:54:08"/>
    <x v="2"/>
    <s v="Worker"/>
    <s v="Card"/>
    <x v="0"/>
    <n v="0.02"/>
    <d v="2025-08-03T00:00:00"/>
    <s v="no"/>
    <x v="128"/>
    <x v="13"/>
    <n v="326.07"/>
    <n v="409.27300000000008"/>
    <x v="0"/>
    <s v="OK"/>
  </r>
  <r>
    <x v="129"/>
    <d v="2025-07-12T07:50:32"/>
    <x v="2"/>
    <s v="Staff"/>
    <s v="Card"/>
    <x v="0"/>
    <n v="0.03"/>
    <d v="2025-07-12T00:00:00"/>
    <s v="no"/>
    <x v="129"/>
    <x v="9"/>
    <n v="199.47"/>
    <n v="205.01029999999994"/>
    <x v="0"/>
    <s v="OK"/>
  </r>
  <r>
    <x v="130"/>
    <d v="2025-08-26T06:33:24"/>
    <x v="0"/>
    <s v="Visitor"/>
    <s v="Cash"/>
    <x v="0"/>
    <n v="0.06"/>
    <d v="2025-08-26T00:00:00"/>
    <s v="yes"/>
    <x v="130"/>
    <x v="6"/>
    <n v="304.01"/>
    <n v="289.13"/>
    <x v="1"/>
    <s v="OK"/>
  </r>
  <r>
    <x v="131"/>
    <d v="2025-07-15T17:39:20"/>
    <x v="0"/>
    <s v="Staff"/>
    <s v="Cash"/>
    <x v="1"/>
    <n v="7.0000000000000007E-2"/>
    <d v="2025-07-15T00:00:00"/>
    <s v="no"/>
    <x v="131"/>
    <x v="13"/>
    <n v="219.18"/>
    <n v="236.99430000000001"/>
    <x v="0"/>
    <s v="OK"/>
  </r>
  <r>
    <x v="132"/>
    <d v="2025-07-12T18:00:43"/>
    <x v="0"/>
    <s v="Staff"/>
    <s v="UPI"/>
    <x v="1"/>
    <n v="7.0000000000000007E-2"/>
    <d v="2025-07-12T00:00:00"/>
    <s v="yes"/>
    <x v="132"/>
    <x v="1"/>
    <n v="170.11"/>
    <n v="179.72809999999998"/>
    <x v="0"/>
    <s v="OK"/>
  </r>
  <r>
    <x v="133"/>
    <d v="2025-08-20T23:40:56"/>
    <x v="1"/>
    <s v="Staff"/>
    <s v="Card"/>
    <x v="1"/>
    <n v="0.09"/>
    <d v="2025-08-20T00:00:00"/>
    <s v="yes"/>
    <x v="133"/>
    <x v="5"/>
    <n v="35.519999999999996"/>
    <n v="54.5154"/>
    <x v="0"/>
    <s v="OK"/>
  </r>
  <r>
    <x v="134"/>
    <d v="2025-08-27T09:21:46"/>
    <x v="1"/>
    <s v="Staff"/>
    <s v="UPI"/>
    <x v="0"/>
    <n v="0.06"/>
    <d v="2025-08-27T00:00:00"/>
    <s v="yes"/>
    <x v="134"/>
    <x v="1"/>
    <n v="89.960000000000008"/>
    <n v="98.23739999999998"/>
    <x v="0"/>
    <s v="OK"/>
  </r>
  <r>
    <x v="135"/>
    <d v="2025-08-29T10:32:34"/>
    <x v="0"/>
    <s v="Worker"/>
    <s v="Cash"/>
    <x v="0"/>
    <n v="0.12"/>
    <d v="2025-08-29T00:00:00"/>
    <s v="no"/>
    <x v="135"/>
    <x v="11"/>
    <n v="244.04"/>
    <n v="248.86560000000006"/>
    <x v="0"/>
    <s v="High Disc"/>
  </r>
  <r>
    <x v="136"/>
    <d v="2025-07-26T22:40:12"/>
    <x v="0"/>
    <s v="Worker"/>
    <s v="Cash"/>
    <x v="1"/>
    <n v="0.05"/>
    <d v="2025-07-26T00:00:00"/>
    <s v="yes"/>
    <x v="136"/>
    <x v="10"/>
    <n v="160.42000000000002"/>
    <n v="139.51399999999995"/>
    <x v="1"/>
    <s v="OK"/>
  </r>
  <r>
    <x v="137"/>
    <d v="2025-07-18T03:00:53"/>
    <x v="0"/>
    <s v="Worker"/>
    <s v="Cash"/>
    <x v="0"/>
    <n v="0.17"/>
    <d v="2025-07-18T00:00:00"/>
    <s v="no"/>
    <x v="137"/>
    <x v="0"/>
    <n v="45.22"/>
    <n v="38.095399999999998"/>
    <x v="0"/>
    <s v="OK"/>
  </r>
  <r>
    <x v="138"/>
    <d v="2025-08-09T21:54:53"/>
    <x v="1"/>
    <s v="Visitor"/>
    <s v="UPI"/>
    <x v="1"/>
    <n v="0.09"/>
    <d v="2025-08-09T00:00:00"/>
    <s v="no"/>
    <x v="138"/>
    <x v="7"/>
    <n v="328.12"/>
    <n v="333.18610000000001"/>
    <x v="0"/>
    <s v="High Disc"/>
  </r>
  <r>
    <x v="139"/>
    <d v="2025-07-29T12:41:00"/>
    <x v="2"/>
    <s v="Worker"/>
    <s v="Card"/>
    <x v="2"/>
    <n v="0.03"/>
    <d v="2025-07-29T00:00:00"/>
    <s v="yes"/>
    <x v="139"/>
    <x v="4"/>
    <n v="147.13"/>
    <n v="163.60950000000003"/>
    <x v="0"/>
    <s v="OK"/>
  </r>
  <r>
    <x v="140"/>
    <d v="2025-08-14T07:58:10"/>
    <x v="2"/>
    <s v="Visitor"/>
    <s v="Cash"/>
    <x v="0"/>
    <n v="0.02"/>
    <d v="2025-08-14T00:00:00"/>
    <s v="yes"/>
    <x v="140"/>
    <x v="4"/>
    <n v="39.69"/>
    <n v="39.572400000000002"/>
    <x v="0"/>
    <s v="OK"/>
  </r>
  <r>
    <x v="141"/>
    <d v="2025-08-27T12:18:33"/>
    <x v="0"/>
    <s v="Worker"/>
    <s v="Card"/>
    <x v="2"/>
    <n v="0.08"/>
    <d v="2025-08-27T00:00:00"/>
    <s v="yes"/>
    <x v="141"/>
    <x v="4"/>
    <n v="81.72"/>
    <n v="82.95999999999998"/>
    <x v="0"/>
    <s v="OK"/>
  </r>
  <r>
    <x v="142"/>
    <d v="2025-08-23T02:55:20"/>
    <x v="2"/>
    <s v="Visitor"/>
    <s v="Cash"/>
    <x v="0"/>
    <n v="0.05"/>
    <d v="2025-08-23T00:00:00"/>
    <s v="yes"/>
    <x v="142"/>
    <x v="5"/>
    <n v="16"/>
    <n v="22.208999999999996"/>
    <x v="0"/>
    <s v="OK"/>
  </r>
  <r>
    <x v="143"/>
    <d v="2025-07-15T01:26:04"/>
    <x v="2"/>
    <s v="Worker"/>
    <s v="Cash"/>
    <x v="0"/>
    <n v="0.09"/>
    <d v="2025-07-15T00:00:00"/>
    <s v="no"/>
    <x v="117"/>
    <x v="0"/>
    <n v="25.8"/>
    <n v="21.929500000000001"/>
    <x v="0"/>
    <s v="OK"/>
  </r>
  <r>
    <x v="144"/>
    <d v="2025-08-28T00:33:11"/>
    <x v="0"/>
    <s v="Visitor"/>
    <s v="Card"/>
    <x v="0"/>
    <n v="0.08"/>
    <d v="2025-08-28T00:00:00"/>
    <s v="yes"/>
    <x v="143"/>
    <x v="1"/>
    <n v="150.76"/>
    <n v="177.33960000000002"/>
    <x v="0"/>
    <s v="OK"/>
  </r>
  <r>
    <x v="145"/>
    <d v="2025-07-13T07:45:54"/>
    <x v="1"/>
    <s v="Visitor"/>
    <s v="Card"/>
    <x v="0"/>
    <n v="0.06"/>
    <d v="2025-07-13T00:00:00"/>
    <s v="yes"/>
    <x v="144"/>
    <x v="10"/>
    <n v="767.68999999999994"/>
    <n v="802.29799999999989"/>
    <x v="1"/>
    <s v="High Disc"/>
  </r>
  <r>
    <x v="146"/>
    <d v="2025-07-27T16:22:46"/>
    <x v="0"/>
    <s v="Visitor"/>
    <s v="Card"/>
    <x v="1"/>
    <n v="0.03"/>
    <d v="2025-07-27T00:00:00"/>
    <s v="yes"/>
    <x v="145"/>
    <x v="2"/>
    <n v="159.28999999999996"/>
    <n v="198.38780000000003"/>
    <x v="1"/>
    <s v="OK"/>
  </r>
  <r>
    <x v="147"/>
    <d v="2025-07-09T01:26:35"/>
    <x v="0"/>
    <s v="Worker"/>
    <s v="Card"/>
    <x v="0"/>
    <n v="0"/>
    <d v="2025-07-09T00:00:00"/>
    <s v="yes"/>
    <x v="146"/>
    <x v="4"/>
    <n v="29.689999999999998"/>
    <n v="40.600000000000009"/>
    <x v="0"/>
    <s v="OK"/>
  </r>
  <r>
    <x v="148"/>
    <d v="2025-08-28T20:45:17"/>
    <x v="1"/>
    <s v="Worker"/>
    <s v="Cash"/>
    <x v="1"/>
    <n v="0.04"/>
    <d v="2025-08-28T00:00:00"/>
    <s v="no"/>
    <x v="147"/>
    <x v="11"/>
    <n v="132.03"/>
    <n v="154.19400000000005"/>
    <x v="0"/>
    <s v="OK"/>
  </r>
  <r>
    <x v="149"/>
    <d v="2025-08-26T02:18:39"/>
    <x v="0"/>
    <s v="Worker"/>
    <s v="UPI"/>
    <x v="0"/>
    <n v="0.09"/>
    <d v="2025-08-26T00:00:00"/>
    <s v="no"/>
    <x v="148"/>
    <x v="3"/>
    <n v="356.43999999999994"/>
    <n v="385.53760000000023"/>
    <x v="0"/>
    <s v="High Disc"/>
  </r>
  <r>
    <x v="150"/>
    <d v="2025-08-26T04:45:10"/>
    <x v="2"/>
    <s v="Worker"/>
    <s v="Card"/>
    <x v="0"/>
    <n v="7.0000000000000007E-2"/>
    <d v="2025-08-26T00:00:00"/>
    <s v="no"/>
    <x v="149"/>
    <x v="3"/>
    <n v="771.44"/>
    <n v="746.96169999999984"/>
    <x v="0"/>
    <s v="High Disc"/>
  </r>
  <r>
    <x v="151"/>
    <d v="2025-08-13T04:28:09"/>
    <x v="1"/>
    <s v="Worker"/>
    <s v="UPI"/>
    <x v="0"/>
    <n v="0.01"/>
    <d v="2025-08-13T00:00:00"/>
    <s v="yes"/>
    <x v="150"/>
    <x v="6"/>
    <n v="123.46000000000001"/>
    <n v="111.58579999999998"/>
    <x v="1"/>
    <s v="OK"/>
  </r>
  <r>
    <x v="152"/>
    <d v="2025-08-17T23:48:14"/>
    <x v="2"/>
    <s v="Staff"/>
    <s v="Card"/>
    <x v="1"/>
    <n v="7.0000000000000007E-2"/>
    <d v="2025-08-17T00:00:00"/>
    <s v="yes"/>
    <x v="151"/>
    <x v="5"/>
    <n v="35.78"/>
    <n v="35.802099999999996"/>
    <x v="0"/>
    <s v="OK"/>
  </r>
  <r>
    <x v="153"/>
    <d v="2025-08-02T14:39:53"/>
    <x v="1"/>
    <s v="Visitor"/>
    <s v="Cash"/>
    <x v="2"/>
    <n v="0.08"/>
    <d v="2025-08-02T00:00:00"/>
    <s v="yes"/>
    <x v="152"/>
    <x v="12"/>
    <n v="160.16999999999999"/>
    <n v="183.56960000000001"/>
    <x v="0"/>
    <s v="OK"/>
  </r>
  <r>
    <x v="154"/>
    <d v="2025-08-02T06:29:53"/>
    <x v="1"/>
    <s v="Visitor"/>
    <s v="Card"/>
    <x v="0"/>
    <n v="0.02"/>
    <d v="2025-08-02T00:00:00"/>
    <s v="no"/>
    <x v="153"/>
    <x v="7"/>
    <n v="380.03999999999996"/>
    <n v="411.93720000000008"/>
    <x v="0"/>
    <s v="OK"/>
  </r>
  <r>
    <x v="155"/>
    <d v="2025-08-09T03:07:16"/>
    <x v="0"/>
    <s v="Worker"/>
    <s v="Card"/>
    <x v="0"/>
    <n v="7.0000000000000007E-2"/>
    <d v="2025-08-09T00:00:00"/>
    <s v="yes"/>
    <x v="154"/>
    <x v="8"/>
    <n v="426.69999999999993"/>
    <n v="513.06500000000005"/>
    <x v="1"/>
    <s v="High Disc"/>
  </r>
  <r>
    <x v="156"/>
    <d v="2025-07-31T18:52:41"/>
    <x v="1"/>
    <s v="Staff"/>
    <s v="Cash"/>
    <x v="1"/>
    <n v="0.06"/>
    <d v="2025-07-31T00:00:00"/>
    <s v="no"/>
    <x v="155"/>
    <x v="7"/>
    <n v="411.90999999999997"/>
    <n v="448.36860000000001"/>
    <x v="0"/>
    <s v="High Disc"/>
  </r>
  <r>
    <x v="157"/>
    <d v="2025-08-20T05:05:46"/>
    <x v="2"/>
    <s v="Visitor"/>
    <s v="UPI"/>
    <x v="0"/>
    <n v="0.01"/>
    <d v="2025-08-20T00:00:00"/>
    <s v="yes"/>
    <x v="156"/>
    <x v="12"/>
    <n v="158.87"/>
    <n v="175.53219999999999"/>
    <x v="0"/>
    <s v="OK"/>
  </r>
  <r>
    <x v="158"/>
    <d v="2025-08-10T08:56:11"/>
    <x v="2"/>
    <s v="Worker"/>
    <s v="UPI"/>
    <x v="0"/>
    <n v="7.0000000000000007E-2"/>
    <d v="2025-08-10T00:00:00"/>
    <s v="no"/>
    <x v="157"/>
    <x v="3"/>
    <n v="112.08"/>
    <n v="116.7837"/>
    <x v="0"/>
    <s v="OK"/>
  </r>
  <r>
    <x v="159"/>
    <d v="2025-08-18T15:34:23"/>
    <x v="0"/>
    <s v="Staff"/>
    <s v="Cash"/>
    <x v="2"/>
    <n v="0.08"/>
    <d v="2025-08-18T00:00:00"/>
    <s v="no"/>
    <x v="158"/>
    <x v="3"/>
    <n v="148.13999999999999"/>
    <n v="166.18720000000008"/>
    <x v="0"/>
    <s v="OK"/>
  </r>
  <r>
    <x v="160"/>
    <d v="2025-07-27T04:17:10"/>
    <x v="0"/>
    <s v="Worker"/>
    <s v="Card"/>
    <x v="0"/>
    <n v="0.1"/>
    <d v="2025-07-27T00:00:00"/>
    <s v="yes"/>
    <x v="159"/>
    <x v="10"/>
    <n v="329.40999999999997"/>
    <n v="307.53800000000012"/>
    <x v="1"/>
    <s v="High Disc"/>
  </r>
  <r>
    <x v="161"/>
    <d v="2025-08-17T07:27:37"/>
    <x v="2"/>
    <s v="Worker"/>
    <s v="UPI"/>
    <x v="0"/>
    <n v="0.1"/>
    <d v="2025-08-17T00:00:00"/>
    <s v="no"/>
    <x v="160"/>
    <x v="7"/>
    <n v="221.31"/>
    <n v="185.22899999999998"/>
    <x v="0"/>
    <s v="High Disc"/>
  </r>
  <r>
    <x v="162"/>
    <d v="2025-07-16T15:02:52"/>
    <x v="1"/>
    <s v="Visitor"/>
    <s v="Cash"/>
    <x v="2"/>
    <n v="0"/>
    <d v="2025-07-16T00:00:00"/>
    <s v="no"/>
    <x v="161"/>
    <x v="11"/>
    <n v="289.01"/>
    <n v="344.66000000000008"/>
    <x v="0"/>
    <s v="OK"/>
  </r>
  <r>
    <x v="163"/>
    <d v="2025-08-09T20:41:13"/>
    <x v="2"/>
    <s v="Worker"/>
    <s v="Cash"/>
    <x v="1"/>
    <n v="0.02"/>
    <d v="2025-08-09T00:00:00"/>
    <s v="no"/>
    <x v="162"/>
    <x v="9"/>
    <n v="100.76"/>
    <n v="93.427000000000007"/>
    <x v="0"/>
    <s v="OK"/>
  </r>
  <r>
    <x v="164"/>
    <d v="2025-07-12T15:42:57"/>
    <x v="0"/>
    <s v="Worker"/>
    <s v="Card"/>
    <x v="2"/>
    <n v="0.08"/>
    <d v="2025-07-12T00:00:00"/>
    <s v="yes"/>
    <x v="163"/>
    <x v="4"/>
    <n v="68.87"/>
    <n v="77.134000000000015"/>
    <x v="0"/>
    <s v="OK"/>
  </r>
  <r>
    <x v="165"/>
    <d v="2025-08-19T15:45:27"/>
    <x v="0"/>
    <s v="Staff"/>
    <s v="Card"/>
    <x v="2"/>
    <n v="0.08"/>
    <d v="2025-08-19T00:00:00"/>
    <s v="yes"/>
    <x v="164"/>
    <x v="5"/>
    <n v="35.519999999999996"/>
    <n v="55.504800000000003"/>
    <x v="0"/>
    <s v="OK"/>
  </r>
  <r>
    <x v="166"/>
    <d v="2025-08-16T02:21:06"/>
    <x v="2"/>
    <s v="Staff"/>
    <s v="UPI"/>
    <x v="0"/>
    <n v="0.08"/>
    <d v="2025-08-16T00:00:00"/>
    <s v="yes"/>
    <x v="165"/>
    <x v="5"/>
    <n v="16"/>
    <n v="21.002400000000002"/>
    <x v="0"/>
    <s v="OK"/>
  </r>
  <r>
    <x v="167"/>
    <d v="2025-08-07T11:49:12"/>
    <x v="2"/>
    <s v="Visitor"/>
    <s v="UPI"/>
    <x v="2"/>
    <n v="0.21"/>
    <d v="2025-08-07T00:00:00"/>
    <s v="no"/>
    <x v="166"/>
    <x v="7"/>
    <n v="222.67999999999998"/>
    <n v="108.75660000000002"/>
    <x v="0"/>
    <s v="High Disc"/>
  </r>
  <r>
    <x v="168"/>
    <d v="2025-07-08T00:40:09"/>
    <x v="1"/>
    <s v="Staff"/>
    <s v="Card"/>
    <x v="0"/>
    <n v="0.08"/>
    <d v="2025-07-08T00:00:00"/>
    <s v="yes"/>
    <x v="167"/>
    <x v="10"/>
    <n v="151.08999999999997"/>
    <n v="167.31280000000004"/>
    <x v="1"/>
    <s v="OK"/>
  </r>
  <r>
    <x v="169"/>
    <d v="2025-07-27T04:33:26"/>
    <x v="2"/>
    <s v="Staff"/>
    <s v="UPI"/>
    <x v="0"/>
    <n v="0.11"/>
    <d v="2025-07-27T00:00:00"/>
    <s v="yes"/>
    <x v="168"/>
    <x v="4"/>
    <n v="76.430000000000007"/>
    <n v="77.183999999999997"/>
    <x v="0"/>
    <s v="OK"/>
  </r>
  <r>
    <x v="170"/>
    <d v="2025-08-27T05:39:50"/>
    <x v="0"/>
    <s v="Visitor"/>
    <s v="Card"/>
    <x v="0"/>
    <n v="0.1"/>
    <d v="2025-08-27T00:00:00"/>
    <s v="no"/>
    <x v="169"/>
    <x v="11"/>
    <n v="264.87"/>
    <n v="237.87000000000006"/>
    <x v="0"/>
    <s v="High Disc"/>
  </r>
  <r>
    <x v="171"/>
    <d v="2025-08-13T14:31:51"/>
    <x v="0"/>
    <s v="Staff"/>
    <s v="Card"/>
    <x v="2"/>
    <n v="0.09"/>
    <d v="2025-08-13T00:00:00"/>
    <s v="no"/>
    <x v="170"/>
    <x v="3"/>
    <n v="192.44"/>
    <n v="221.81020000000007"/>
    <x v="0"/>
    <s v="High Disc"/>
  </r>
  <r>
    <x v="172"/>
    <d v="2025-08-23T20:03:38"/>
    <x v="0"/>
    <s v="Staff"/>
    <s v="Card"/>
    <x v="1"/>
    <n v="0.05"/>
    <d v="2025-08-23T00:00:00"/>
    <s v="no"/>
    <x v="171"/>
    <x v="3"/>
    <n v="242.48"/>
    <n v="245.64900000000003"/>
    <x v="0"/>
    <s v="OK"/>
  </r>
  <r>
    <x v="173"/>
    <d v="2025-07-19T13:35:30"/>
    <x v="0"/>
    <s v="Worker"/>
    <s v="UPI"/>
    <x v="2"/>
    <n v="0.09"/>
    <d v="2025-07-19T00:00:00"/>
    <s v="yes"/>
    <x v="172"/>
    <x v="1"/>
    <n v="119.58"/>
    <n v="124.3182"/>
    <x v="0"/>
    <s v="OK"/>
  </r>
  <r>
    <x v="174"/>
    <d v="2025-07-23T22:14:23"/>
    <x v="1"/>
    <s v="Worker"/>
    <s v="Card"/>
    <x v="1"/>
    <n v="0.03"/>
    <d v="2025-07-23T00:00:00"/>
    <s v="no"/>
    <x v="173"/>
    <x v="11"/>
    <n v="141.44"/>
    <n v="176.71030000000002"/>
    <x v="0"/>
    <s v="OK"/>
  </r>
  <r>
    <x v="175"/>
    <d v="2025-08-07T06:19:58"/>
    <x v="1"/>
    <s v="Visitor"/>
    <s v="UPI"/>
    <x v="0"/>
    <n v="0.05"/>
    <d v="2025-08-07T00:00:00"/>
    <s v="yes"/>
    <x v="174"/>
    <x v="6"/>
    <n v="225.46"/>
    <n v="253.9385"/>
    <x v="1"/>
    <s v="OK"/>
  </r>
  <r>
    <x v="176"/>
    <d v="2025-08-18T08:11:57"/>
    <x v="2"/>
    <s v="Worker"/>
    <s v="UPI"/>
    <x v="0"/>
    <n v="0.04"/>
    <d v="2025-08-18T00:00:00"/>
    <s v="yes"/>
    <x v="175"/>
    <x v="12"/>
    <n v="76.47"/>
    <n v="69.440399999999983"/>
    <x v="0"/>
    <s v="OK"/>
  </r>
  <r>
    <x v="177"/>
    <d v="2025-07-10T23:51:59"/>
    <x v="1"/>
    <s v="Worker"/>
    <s v="UPI"/>
    <x v="1"/>
    <n v="0.06"/>
    <d v="2025-07-10T00:00:00"/>
    <s v="no"/>
    <x v="176"/>
    <x v="13"/>
    <n v="478.83999999999992"/>
    <n v="497.87639999999999"/>
    <x v="0"/>
    <s v="High Disc"/>
  </r>
  <r>
    <x v="178"/>
    <d v="2025-07-02T17:45:44"/>
    <x v="0"/>
    <s v="Worker"/>
    <s v="Card"/>
    <x v="1"/>
    <n v="0.15"/>
    <d v="2025-07-02T00:00:00"/>
    <s v="no"/>
    <x v="177"/>
    <x v="11"/>
    <n v="183.10000000000002"/>
    <n v="155.98199999999997"/>
    <x v="0"/>
    <s v="High Disc"/>
  </r>
  <r>
    <x v="179"/>
    <d v="2025-07-08T12:21:44"/>
    <x v="1"/>
    <s v="Staff"/>
    <s v="Card"/>
    <x v="2"/>
    <n v="0"/>
    <d v="2025-07-08T00:00:00"/>
    <s v="yes"/>
    <x v="178"/>
    <x v="5"/>
    <n v="13.89"/>
    <n v="14.54"/>
    <x v="0"/>
    <s v="OK"/>
  </r>
  <r>
    <x v="180"/>
    <d v="2025-07-09T01:08:53"/>
    <x v="1"/>
    <s v="Visitor"/>
    <s v="UPI"/>
    <x v="0"/>
    <n v="0.09"/>
    <d v="2025-07-09T00:00:00"/>
    <s v="no"/>
    <x v="179"/>
    <x v="13"/>
    <n v="580.25999999999988"/>
    <n v="602.71270000000038"/>
    <x v="0"/>
    <s v="High Disc"/>
  </r>
  <r>
    <x v="181"/>
    <d v="2025-07-31T23:52:26"/>
    <x v="0"/>
    <s v="Visitor"/>
    <s v="Card"/>
    <x v="1"/>
    <n v="0"/>
    <d v="2025-07-31T00:00:00"/>
    <s v="no"/>
    <x v="180"/>
    <x v="0"/>
    <n v="25.8"/>
    <n v="26.650000000000002"/>
    <x v="0"/>
    <s v="OK"/>
  </r>
  <r>
    <x v="182"/>
    <d v="2025-07-04T17:39:03"/>
    <x v="0"/>
    <s v="Worker"/>
    <s v="Cash"/>
    <x v="1"/>
    <n v="0.04"/>
    <d v="2025-07-04T00:00:00"/>
    <s v="yes"/>
    <x v="181"/>
    <x v="5"/>
    <n v="66.22"/>
    <n v="84.480799999999988"/>
    <x v="0"/>
    <s v="OK"/>
  </r>
  <r>
    <x v="183"/>
    <d v="2025-07-23T08:04:53"/>
    <x v="0"/>
    <s v="Worker"/>
    <s v="Card"/>
    <x v="0"/>
    <n v="0.1"/>
    <d v="2025-07-23T00:00:00"/>
    <s v="no"/>
    <x v="182"/>
    <x v="9"/>
    <n v="71.3"/>
    <n v="59.488000000000014"/>
    <x v="0"/>
    <s v="OK"/>
  </r>
  <r>
    <x v="184"/>
    <d v="2025-07-11T00:11:55"/>
    <x v="1"/>
    <s v="Worker"/>
    <s v="UPI"/>
    <x v="0"/>
    <n v="0.06"/>
    <d v="2025-07-11T00:00:00"/>
    <s v="yes"/>
    <x v="183"/>
    <x v="12"/>
    <n v="72.95"/>
    <n v="65.90679999999999"/>
    <x v="0"/>
    <s v="OK"/>
  </r>
  <r>
    <x v="185"/>
    <d v="2025-07-04T01:27:07"/>
    <x v="2"/>
    <s v="Staff"/>
    <s v="Cash"/>
    <x v="0"/>
    <n v="0.02"/>
    <d v="2025-07-04T00:00:00"/>
    <s v="yes"/>
    <x v="184"/>
    <x v="5"/>
    <n v="28.36"/>
    <n v="31.106400000000001"/>
    <x v="0"/>
    <s v="OK"/>
  </r>
  <r>
    <x v="186"/>
    <d v="2025-08-05T01:16:48"/>
    <x v="1"/>
    <s v="Staff"/>
    <s v="Cash"/>
    <x v="0"/>
    <n v="0.03"/>
    <d v="2025-08-05T00:00:00"/>
    <s v="yes"/>
    <x v="185"/>
    <x v="8"/>
    <n v="177.45999999999998"/>
    <n v="225.79810000000003"/>
    <x v="1"/>
    <s v="OK"/>
  </r>
  <r>
    <x v="187"/>
    <d v="2025-08-21T19:42:26"/>
    <x v="1"/>
    <s v="Visitor"/>
    <s v="UPI"/>
    <x v="1"/>
    <n v="0.09"/>
    <d v="2025-08-21T00:00:00"/>
    <s v="yes"/>
    <x v="186"/>
    <x v="4"/>
    <n v="93.18"/>
    <n v="93.688500000000005"/>
    <x v="0"/>
    <s v="OK"/>
  </r>
  <r>
    <x v="188"/>
    <d v="2025-07-17T18:05:26"/>
    <x v="2"/>
    <s v="Worker"/>
    <s v="UPI"/>
    <x v="1"/>
    <n v="0.03"/>
    <d v="2025-07-17T00:00:00"/>
    <s v="yes"/>
    <x v="187"/>
    <x v="2"/>
    <n v="275.97000000000003"/>
    <n v="308.8818"/>
    <x v="1"/>
    <s v="OK"/>
  </r>
  <r>
    <x v="189"/>
    <d v="2025-07-24T15:10:26"/>
    <x v="1"/>
    <s v="Visitor"/>
    <s v="Cash"/>
    <x v="2"/>
    <n v="7.0000000000000007E-2"/>
    <d v="2025-07-24T00:00:00"/>
    <s v="no"/>
    <x v="188"/>
    <x v="3"/>
    <n v="80.92"/>
    <n v="55.231999999999985"/>
    <x v="0"/>
    <s v="OK"/>
  </r>
  <r>
    <x v="190"/>
    <d v="2025-08-15T00:33:25"/>
    <x v="0"/>
    <s v="Staff"/>
    <s v="Card"/>
    <x v="0"/>
    <n v="0.06"/>
    <d v="2025-08-15T00:00:00"/>
    <s v="no"/>
    <x v="189"/>
    <x v="9"/>
    <n v="132.63999999999999"/>
    <n v="122.65460000000002"/>
    <x v="0"/>
    <s v="OK"/>
  </r>
  <r>
    <x v="191"/>
    <d v="2025-07-02T03:53:51"/>
    <x v="1"/>
    <s v="Staff"/>
    <s v="UPI"/>
    <x v="0"/>
    <n v="0.03"/>
    <d v="2025-07-02T00:00:00"/>
    <s v="no"/>
    <x v="190"/>
    <x v="3"/>
    <n v="242.48"/>
    <n v="255.92540000000005"/>
    <x v="0"/>
    <s v="OK"/>
  </r>
  <r>
    <x v="192"/>
    <d v="2025-07-16T14:06:35"/>
    <x v="2"/>
    <s v="Staff"/>
    <s v="Card"/>
    <x v="2"/>
    <n v="0.15"/>
    <d v="2025-07-16T00:00:00"/>
    <s v="yes"/>
    <x v="191"/>
    <x v="12"/>
    <n v="108.47"/>
    <n v="101.191"/>
    <x v="0"/>
    <s v="OK"/>
  </r>
  <r>
    <x v="193"/>
    <d v="2025-08-11T10:42:41"/>
    <x v="0"/>
    <s v="Staff"/>
    <s v="Card"/>
    <x v="0"/>
    <n v="0.09"/>
    <d v="2025-08-11T00:00:00"/>
    <s v="yes"/>
    <x v="192"/>
    <x v="4"/>
    <n v="115.58000000000001"/>
    <n v="111.62879999999998"/>
    <x v="0"/>
    <s v="OK"/>
  </r>
  <r>
    <x v="194"/>
    <d v="2025-07-20T14:12:33"/>
    <x v="1"/>
    <s v="Staff"/>
    <s v="Cash"/>
    <x v="2"/>
    <n v="0"/>
    <d v="2025-07-20T00:00:00"/>
    <s v="no"/>
    <x v="193"/>
    <x v="7"/>
    <n v="336.66999999999996"/>
    <n v="394.33000000000004"/>
    <x v="0"/>
    <s v="OK"/>
  </r>
  <r>
    <x v="195"/>
    <d v="2025-08-07T06:38:35"/>
    <x v="0"/>
    <s v="Staff"/>
    <s v="UPI"/>
    <x v="0"/>
    <n v="7.0000000000000007E-2"/>
    <d v="2025-08-07T00:00:00"/>
    <s v="no"/>
    <x v="194"/>
    <x v="7"/>
    <n v="165.68"/>
    <n v="153.12399999999997"/>
    <x v="0"/>
    <s v="OK"/>
  </r>
  <r>
    <x v="196"/>
    <d v="2025-07-29T21:56:15"/>
    <x v="2"/>
    <s v="Visitor"/>
    <s v="Card"/>
    <x v="1"/>
    <n v="0.03"/>
    <d v="2025-07-29T00:00:00"/>
    <s v="yes"/>
    <x v="195"/>
    <x v="6"/>
    <n v="149.6"/>
    <n v="158.46230000000006"/>
    <x v="1"/>
    <s v="OK"/>
  </r>
  <r>
    <x v="197"/>
    <d v="2025-07-02T00:52:10"/>
    <x v="0"/>
    <s v="Visitor"/>
    <s v="UPI"/>
    <x v="0"/>
    <n v="0.09"/>
    <d v="2025-07-02T00:00:00"/>
    <s v="yes"/>
    <x v="196"/>
    <x v="1"/>
    <n v="57.5"/>
    <n v="49.652500000000003"/>
    <x v="0"/>
    <s v="OK"/>
  </r>
  <r>
    <x v="198"/>
    <d v="2025-08-29T03:01:46"/>
    <x v="0"/>
    <s v="Staff"/>
    <s v="Card"/>
    <x v="0"/>
    <n v="0.03"/>
    <d v="2025-08-29T00:00:00"/>
    <s v="yes"/>
    <x v="197"/>
    <x v="6"/>
    <n v="393.29999999999995"/>
    <n v="458.01080000000013"/>
    <x v="1"/>
    <s v="OK"/>
  </r>
  <r>
    <x v="199"/>
    <d v="2025-08-29T04:33:50"/>
    <x v="1"/>
    <s v="Worker"/>
    <s v="UPI"/>
    <x v="0"/>
    <n v="0.06"/>
    <d v="2025-08-29T00:00:00"/>
    <s v="no"/>
    <x v="198"/>
    <x v="0"/>
    <n v="15.51"/>
    <n v="22.042999999999999"/>
    <x v="0"/>
    <s v="OK"/>
  </r>
  <r>
    <x v="200"/>
    <d v="2025-07-25T14:00:09"/>
    <x v="0"/>
    <s v="Visitor"/>
    <s v="UPI"/>
    <x v="2"/>
    <n v="0.08"/>
    <d v="2025-07-25T00:00:00"/>
    <s v="no"/>
    <x v="199"/>
    <x v="0"/>
    <n v="19.55"/>
    <n v="15.465199999999999"/>
    <x v="0"/>
    <s v="OK"/>
  </r>
  <r>
    <x v="201"/>
    <d v="2025-07-10T16:24:30"/>
    <x v="0"/>
    <s v="Visitor"/>
    <s v="Cash"/>
    <x v="1"/>
    <n v="0.09"/>
    <d v="2025-07-10T00:00:00"/>
    <s v="no"/>
    <x v="200"/>
    <x v="3"/>
    <n v="74.069999999999993"/>
    <n v="81.385300000000029"/>
    <x v="0"/>
    <s v="OK"/>
  </r>
  <r>
    <x v="202"/>
    <d v="2025-08-13T01:11:32"/>
    <x v="2"/>
    <s v="Visitor"/>
    <s v="Card"/>
    <x v="0"/>
    <n v="0.01"/>
    <d v="2025-08-13T00:00:00"/>
    <s v="no"/>
    <x v="201"/>
    <x v="13"/>
    <n v="124.82"/>
    <n v="127.43200000000002"/>
    <x v="0"/>
    <s v="OK"/>
  </r>
  <r>
    <x v="203"/>
    <d v="2025-07-10T00:01:33"/>
    <x v="1"/>
    <s v="Staff"/>
    <s v="UPI"/>
    <x v="0"/>
    <n v="0.05"/>
    <d v="2025-07-10T00:00:00"/>
    <s v="yes"/>
    <x v="202"/>
    <x v="6"/>
    <n v="410.11999999999995"/>
    <n v="493.44400000000002"/>
    <x v="1"/>
    <s v="High Disc"/>
  </r>
  <r>
    <x v="204"/>
    <d v="2025-07-18T07:16:15"/>
    <x v="2"/>
    <s v="Worker"/>
    <s v="UPI"/>
    <x v="0"/>
    <n v="0.04"/>
    <d v="2025-07-18T00:00:00"/>
    <s v="yes"/>
    <x v="203"/>
    <x v="2"/>
    <n v="151.92000000000002"/>
    <n v="144.8064"/>
    <x v="1"/>
    <s v="OK"/>
  </r>
  <r>
    <x v="205"/>
    <d v="2025-08-21T18:58:32"/>
    <x v="0"/>
    <s v="Staff"/>
    <s v="Cash"/>
    <x v="1"/>
    <n v="0.03"/>
    <d v="2025-08-21T00:00:00"/>
    <s v="yes"/>
    <x v="204"/>
    <x v="4"/>
    <n v="99.080000000000013"/>
    <n v="113.98049999999998"/>
    <x v="0"/>
    <s v="OK"/>
  </r>
  <r>
    <x v="206"/>
    <d v="2025-08-17T00:47:12"/>
    <x v="1"/>
    <s v="Visitor"/>
    <s v="Card"/>
    <x v="0"/>
    <n v="0.13"/>
    <d v="2025-08-17T00:00:00"/>
    <s v="no"/>
    <x v="205"/>
    <x v="13"/>
    <n v="199.5"/>
    <n v="163.55099999999999"/>
    <x v="0"/>
    <s v="High Disc"/>
  </r>
  <r>
    <x v="207"/>
    <d v="2025-08-15T17:17:28"/>
    <x v="2"/>
    <s v="Worker"/>
    <s v="Cash"/>
    <x v="1"/>
    <n v="0.08"/>
    <d v="2025-08-15T00:00:00"/>
    <s v="yes"/>
    <x v="206"/>
    <x v="4"/>
    <n v="67.240000000000009"/>
    <n v="64.062399999999997"/>
    <x v="0"/>
    <s v="OK"/>
  </r>
  <r>
    <x v="208"/>
    <d v="2025-08-24T08:37:57"/>
    <x v="1"/>
    <s v="Worker"/>
    <s v="Card"/>
    <x v="0"/>
    <n v="0.01"/>
    <d v="2025-08-24T00:00:00"/>
    <s v="yes"/>
    <x v="207"/>
    <x v="4"/>
    <n v="103.61"/>
    <n v="121.65459999999997"/>
    <x v="0"/>
    <s v="OK"/>
  </r>
  <r>
    <x v="209"/>
    <d v="2025-07-26T22:13:59"/>
    <x v="0"/>
    <s v="Worker"/>
    <s v="Card"/>
    <x v="1"/>
    <n v="0.1"/>
    <d v="2025-07-26T00:00:00"/>
    <s v="yes"/>
    <x v="208"/>
    <x v="6"/>
    <n v="241.54"/>
    <n v="239.501"/>
    <x v="1"/>
    <s v="High Disc"/>
  </r>
  <r>
    <x v="210"/>
    <d v="2025-07-26T16:52:49"/>
    <x v="0"/>
    <s v="Staff"/>
    <s v="UPI"/>
    <x v="1"/>
    <n v="0.14000000000000001"/>
    <d v="2025-07-26T00:00:00"/>
    <s v="no"/>
    <x v="209"/>
    <x v="11"/>
    <n v="471.15"/>
    <n v="373.67100000000005"/>
    <x v="0"/>
    <s v="High Disc"/>
  </r>
  <r>
    <x v="211"/>
    <d v="2025-07-11T18:27:52"/>
    <x v="0"/>
    <s v="Worker"/>
    <s v="Card"/>
    <x v="1"/>
    <n v="0.1"/>
    <d v="2025-07-11T00:00:00"/>
    <s v="yes"/>
    <x v="210"/>
    <x v="8"/>
    <n v="154.76"/>
    <n v="162.99400000000003"/>
    <x v="1"/>
    <s v="OK"/>
  </r>
  <r>
    <x v="212"/>
    <d v="2025-08-24T18:10:26"/>
    <x v="1"/>
    <s v="Visitor"/>
    <s v="Cash"/>
    <x v="1"/>
    <n v="0"/>
    <d v="2025-08-24T00:00:00"/>
    <s v="no"/>
    <x v="211"/>
    <x v="11"/>
    <n v="200.09"/>
    <n v="242.08"/>
    <x v="0"/>
    <s v="OK"/>
  </r>
  <r>
    <x v="213"/>
    <d v="2025-08-15T07:49:18"/>
    <x v="0"/>
    <s v="Staff"/>
    <s v="UPI"/>
    <x v="0"/>
    <n v="0.04"/>
    <d v="2025-08-15T00:00:00"/>
    <s v="yes"/>
    <x v="212"/>
    <x v="10"/>
    <n v="327.17999999999995"/>
    <n v="404.43600000000004"/>
    <x v="1"/>
    <s v="OK"/>
  </r>
  <r>
    <x v="214"/>
    <d v="2025-07-12T13:52:28"/>
    <x v="2"/>
    <s v="Worker"/>
    <s v="Cash"/>
    <x v="2"/>
    <n v="0.11"/>
    <d v="2025-07-12T00:00:00"/>
    <s v="yes"/>
    <x v="213"/>
    <x v="8"/>
    <n v="187.99"/>
    <n v="141.13199999999995"/>
    <x v="1"/>
    <s v="High Disc"/>
  </r>
  <r>
    <x v="215"/>
    <d v="2025-08-18T01:53:54"/>
    <x v="2"/>
    <s v="Worker"/>
    <s v="Cash"/>
    <x v="0"/>
    <n v="0.03"/>
    <d v="2025-08-18T00:00:00"/>
    <s v="yes"/>
    <x v="214"/>
    <x v="4"/>
    <n v="80.17"/>
    <n v="86.126799999999989"/>
    <x v="0"/>
    <s v="OK"/>
  </r>
  <r>
    <x v="216"/>
    <d v="2025-07-14T10:07:12"/>
    <x v="1"/>
    <s v="Staff"/>
    <s v="Card"/>
    <x v="0"/>
    <n v="0.08"/>
    <d v="2025-07-14T00:00:00"/>
    <s v="no"/>
    <x v="215"/>
    <x v="11"/>
    <n v="303.73"/>
    <n v="308.06080000000009"/>
    <x v="0"/>
    <s v="High Disc"/>
  </r>
  <r>
    <x v="217"/>
    <d v="2025-08-10T22:38:10"/>
    <x v="0"/>
    <s v="Visitor"/>
    <s v="UPI"/>
    <x v="1"/>
    <n v="0.09"/>
    <d v="2025-08-10T00:00:00"/>
    <s v="yes"/>
    <x v="216"/>
    <x v="5"/>
    <n v="13.89"/>
    <n v="11.981300000000001"/>
    <x v="0"/>
    <s v="OK"/>
  </r>
  <r>
    <x v="218"/>
    <d v="2025-08-10T12:45:03"/>
    <x v="0"/>
    <s v="Worker"/>
    <s v="Card"/>
    <x v="2"/>
    <n v="0.02"/>
    <d v="2025-08-10T00:00:00"/>
    <s v="no"/>
    <x v="217"/>
    <x v="13"/>
    <n v="302.64"/>
    <n v="367.10180000000003"/>
    <x v="0"/>
    <s v="OK"/>
  </r>
  <r>
    <x v="219"/>
    <d v="2025-07-28T09:50:30"/>
    <x v="2"/>
    <s v="Visitor"/>
    <s v="Card"/>
    <x v="0"/>
    <n v="0.06"/>
    <d v="2025-07-28T00:00:00"/>
    <s v="no"/>
    <x v="218"/>
    <x v="13"/>
    <n v="276.76"/>
    <n v="305.90840000000003"/>
    <x v="0"/>
    <s v="OK"/>
  </r>
  <r>
    <x v="220"/>
    <d v="2025-08-13T07:09:26"/>
    <x v="1"/>
    <s v="Worker"/>
    <s v="Card"/>
    <x v="0"/>
    <n v="0"/>
    <d v="2025-08-13T00:00:00"/>
    <s v="no"/>
    <x v="219"/>
    <x v="14"/>
    <n v="29.14"/>
    <n v="27.93"/>
    <x v="0"/>
    <s v="OK"/>
  </r>
  <r>
    <x v="221"/>
    <d v="2025-08-05T21:57:08"/>
    <x v="0"/>
    <s v="Visitor"/>
    <s v="Card"/>
    <x v="1"/>
    <n v="0.02"/>
    <d v="2025-08-05T00:00:00"/>
    <s v="yes"/>
    <x v="220"/>
    <x v="12"/>
    <n v="125.72"/>
    <n v="171.66099999999997"/>
    <x v="0"/>
    <s v="OK"/>
  </r>
  <r>
    <x v="222"/>
    <d v="2025-08-08T21:43:57"/>
    <x v="1"/>
    <s v="Worker"/>
    <s v="Cash"/>
    <x v="1"/>
    <n v="0.05"/>
    <d v="2025-08-08T00:00:00"/>
    <s v="yes"/>
    <x v="221"/>
    <x v="1"/>
    <n v="81.06"/>
    <n v="97.026999999999987"/>
    <x v="0"/>
    <s v="OK"/>
  </r>
  <r>
    <x v="223"/>
    <d v="2025-07-10T03:36:52"/>
    <x v="0"/>
    <s v="Worker"/>
    <s v="UPI"/>
    <x v="0"/>
    <n v="0.01"/>
    <d v="2025-07-10T00:00:00"/>
    <s v="no"/>
    <x v="222"/>
    <x v="0"/>
    <n v="77.400000000000006"/>
    <n v="78.376500000000021"/>
    <x v="0"/>
    <s v="OK"/>
  </r>
  <r>
    <x v="224"/>
    <d v="2025-07-06T03:51:23"/>
    <x v="1"/>
    <s v="Worker"/>
    <s v="Cash"/>
    <x v="0"/>
    <n v="0.13"/>
    <d v="2025-07-06T00:00:00"/>
    <s v="yes"/>
    <x v="223"/>
    <x v="2"/>
    <n v="455.66999999999996"/>
    <n v="378.49470000000008"/>
    <x v="1"/>
    <s v="High Disc"/>
  </r>
  <r>
    <x v="225"/>
    <d v="2025-07-07T21:52:23"/>
    <x v="0"/>
    <s v="Worker"/>
    <s v="UPI"/>
    <x v="1"/>
    <n v="0"/>
    <d v="2025-07-07T00:00:00"/>
    <s v="yes"/>
    <x v="224"/>
    <x v="10"/>
    <n v="171.56"/>
    <n v="158.28000000000003"/>
    <x v="1"/>
    <s v="OK"/>
  </r>
  <r>
    <x v="226"/>
    <d v="2025-07-23T20:55:34"/>
    <x v="1"/>
    <s v="Worker"/>
    <s v="UPI"/>
    <x v="1"/>
    <n v="0.04"/>
    <d v="2025-07-23T00:00:00"/>
    <s v="no"/>
    <x v="225"/>
    <x v="13"/>
    <n v="170.08999999999997"/>
    <n v="209.93560000000002"/>
    <x v="0"/>
    <s v="OK"/>
  </r>
  <r>
    <x v="227"/>
    <d v="2025-07-28T04:05:49"/>
    <x v="2"/>
    <s v="Worker"/>
    <s v="UPI"/>
    <x v="0"/>
    <n v="7.0000000000000007E-2"/>
    <d v="2025-07-28T00:00:00"/>
    <s v="no"/>
    <x v="226"/>
    <x v="14"/>
    <n v="43.9"/>
    <n v="56.911999999999999"/>
    <x v="0"/>
    <s v="OK"/>
  </r>
  <r>
    <x v="228"/>
    <d v="2025-07-18T04:36:27"/>
    <x v="2"/>
    <s v="Visitor"/>
    <s v="Cash"/>
    <x v="0"/>
    <n v="0.12"/>
    <d v="2025-07-18T00:00:00"/>
    <s v="no"/>
    <x v="227"/>
    <x v="7"/>
    <n v="233.29000000000002"/>
    <n v="221.92519999999996"/>
    <x v="0"/>
    <s v="High Disc"/>
  </r>
  <r>
    <x v="229"/>
    <d v="2025-07-02T16:37:37"/>
    <x v="1"/>
    <s v="Worker"/>
    <s v="UPI"/>
    <x v="1"/>
    <n v="0"/>
    <d v="2025-07-02T00:00:00"/>
    <s v="yes"/>
    <x v="228"/>
    <x v="6"/>
    <n v="87.96"/>
    <n v="111.30000000000003"/>
    <x v="1"/>
    <s v="OK"/>
  </r>
  <r>
    <x v="230"/>
    <d v="2025-07-02T18:46:21"/>
    <x v="2"/>
    <s v="Staff"/>
    <s v="Cash"/>
    <x v="1"/>
    <n v="0.11"/>
    <d v="2025-07-02T00:00:00"/>
    <s v="yes"/>
    <x v="229"/>
    <x v="12"/>
    <n v="238.94"/>
    <n v="221.46589999999998"/>
    <x v="0"/>
    <s v="High Disc"/>
  </r>
  <r>
    <x v="231"/>
    <d v="2025-08-11T02:54:33"/>
    <x v="0"/>
    <s v="Worker"/>
    <s v="UPI"/>
    <x v="0"/>
    <n v="0.06"/>
    <d v="2025-08-11T00:00:00"/>
    <s v="yes"/>
    <x v="230"/>
    <x v="6"/>
    <n v="233.54"/>
    <n v="249.97720000000001"/>
    <x v="1"/>
    <s v="OK"/>
  </r>
  <r>
    <x v="232"/>
    <d v="2025-08-16T11:44:00"/>
    <x v="1"/>
    <s v="Staff"/>
    <s v="UPI"/>
    <x v="2"/>
    <n v="0.02"/>
    <d v="2025-08-16T00:00:00"/>
    <s v="yes"/>
    <x v="231"/>
    <x v="4"/>
    <n v="59.4"/>
    <n v="68.705600000000004"/>
    <x v="0"/>
    <s v="OK"/>
  </r>
  <r>
    <x v="233"/>
    <d v="2025-08-14T03:14:56"/>
    <x v="0"/>
    <s v="Worker"/>
    <s v="UPI"/>
    <x v="0"/>
    <n v="0.08"/>
    <d v="2025-08-14T00:00:00"/>
    <s v="no"/>
    <x v="232"/>
    <x v="0"/>
    <n v="15.51"/>
    <n v="21.244000000000007"/>
    <x v="0"/>
    <s v="OK"/>
  </r>
  <r>
    <x v="234"/>
    <d v="2025-08-20T21:04:09"/>
    <x v="1"/>
    <s v="Staff"/>
    <s v="UPI"/>
    <x v="1"/>
    <n v="7.0000000000000007E-2"/>
    <d v="2025-08-20T00:00:00"/>
    <s v="no"/>
    <x v="188"/>
    <x v="3"/>
    <n v="80.92"/>
    <n v="55.231999999999985"/>
    <x v="0"/>
    <s v="OK"/>
  </r>
  <r>
    <x v="235"/>
    <d v="2025-07-07T03:44:00"/>
    <x v="1"/>
    <s v="Staff"/>
    <s v="Card"/>
    <x v="0"/>
    <n v="0.04"/>
    <d v="2025-07-07T00:00:00"/>
    <s v="no"/>
    <x v="233"/>
    <x v="9"/>
    <n v="100.76"/>
    <n v="89.463999999999984"/>
    <x v="0"/>
    <s v="OK"/>
  </r>
  <r>
    <x v="236"/>
    <d v="2025-08-17T20:24:33"/>
    <x v="0"/>
    <s v="Staff"/>
    <s v="Cash"/>
    <x v="1"/>
    <n v="0.06"/>
    <d v="2025-08-17T00:00:00"/>
    <s v="no"/>
    <x v="234"/>
    <x v="0"/>
    <n v="31.02"/>
    <n v="44.085999999999999"/>
    <x v="0"/>
    <s v="OK"/>
  </r>
  <r>
    <x v="237"/>
    <d v="2025-08-01T12:34:29"/>
    <x v="0"/>
    <s v="Worker"/>
    <s v="Cash"/>
    <x v="2"/>
    <n v="0.04"/>
    <d v="2025-08-01T00:00:00"/>
    <s v="yes"/>
    <x v="235"/>
    <x v="12"/>
    <n v="185.23999999999998"/>
    <n v="173.07040000000003"/>
    <x v="0"/>
    <s v="OK"/>
  </r>
  <r>
    <x v="238"/>
    <d v="2025-07-27T22:50:01"/>
    <x v="0"/>
    <s v="Visitor"/>
    <s v="UPI"/>
    <x v="1"/>
    <n v="0.06"/>
    <d v="2025-07-27T00:00:00"/>
    <s v="yes"/>
    <x v="236"/>
    <x v="10"/>
    <n v="224.07"/>
    <n v="179.82919999999996"/>
    <x v="1"/>
    <s v="OK"/>
  </r>
  <r>
    <x v="239"/>
    <d v="2025-08-01T19:44:13"/>
    <x v="1"/>
    <s v="Visitor"/>
    <s v="UPI"/>
    <x v="1"/>
    <n v="0.09"/>
    <d v="2025-08-01T00:00:00"/>
    <s v="no"/>
    <x v="237"/>
    <x v="7"/>
    <n v="612.74"/>
    <n v="567.30250000000001"/>
    <x v="0"/>
    <s v="High Disc"/>
  </r>
  <r>
    <x v="240"/>
    <d v="2025-08-14T07:14:00"/>
    <x v="0"/>
    <s v="Visitor"/>
    <s v="Card"/>
    <x v="0"/>
    <n v="0.12"/>
    <d v="2025-08-14T00:00:00"/>
    <s v="yes"/>
    <x v="238"/>
    <x v="1"/>
    <n v="63.15"/>
    <n v="66.333199999999977"/>
    <x v="0"/>
    <s v="OK"/>
  </r>
  <r>
    <x v="241"/>
    <d v="2025-07-12T08:36:14"/>
    <x v="0"/>
    <s v="Visitor"/>
    <s v="UPI"/>
    <x v="0"/>
    <n v="0.01"/>
    <d v="2025-07-12T00:00:00"/>
    <s v="no"/>
    <x v="239"/>
    <x v="11"/>
    <n v="517.20999999999992"/>
    <n v="595.51040000000023"/>
    <x v="0"/>
    <s v="OK"/>
  </r>
  <r>
    <x v="242"/>
    <d v="2025-08-12T00:08:08"/>
    <x v="1"/>
    <s v="Worker"/>
    <s v="Card"/>
    <x v="0"/>
    <n v="0.15"/>
    <d v="2025-08-12T00:00:00"/>
    <s v="no"/>
    <x v="240"/>
    <x v="14"/>
    <n v="107.25"/>
    <n v="89.048999999999978"/>
    <x v="0"/>
    <s v="OK"/>
  </r>
  <r>
    <x v="243"/>
    <d v="2025-08-14T06:43:44"/>
    <x v="1"/>
    <s v="Staff"/>
    <s v="UPI"/>
    <x v="0"/>
    <n v="0"/>
    <d v="2025-08-14T00:00:00"/>
    <s v="yes"/>
    <x v="241"/>
    <x v="2"/>
    <n v="176.55"/>
    <n v="243.47000000000003"/>
    <x v="1"/>
    <s v="OK"/>
  </r>
  <r>
    <x v="244"/>
    <d v="2025-07-31T14:17:25"/>
    <x v="1"/>
    <s v="Staff"/>
    <s v="UPI"/>
    <x v="2"/>
    <n v="0.05"/>
    <d v="2025-07-31T00:00:00"/>
    <s v="no"/>
    <x v="242"/>
    <x v="11"/>
    <n v="306.47000000000003"/>
    <n v="285.4274999999999"/>
    <x v="0"/>
    <s v="OK"/>
  </r>
  <r>
    <x v="245"/>
    <d v="2025-08-06T14:11:04"/>
    <x v="2"/>
    <s v="Visitor"/>
    <s v="Card"/>
    <x v="2"/>
    <n v="0.08"/>
    <d v="2025-08-06T00:00:00"/>
    <s v="no"/>
    <x v="243"/>
    <x v="0"/>
    <n v="107.43"/>
    <n v="87.260400000000004"/>
    <x v="0"/>
    <s v="OK"/>
  </r>
  <r>
    <x v="246"/>
    <d v="2025-07-10T02:34:08"/>
    <x v="2"/>
    <s v="Worker"/>
    <s v="Card"/>
    <x v="0"/>
    <n v="7.0000000000000007E-2"/>
    <d v="2025-07-10T00:00:00"/>
    <s v="no"/>
    <x v="244"/>
    <x v="3"/>
    <n v="372.29999999999995"/>
    <n v="403.1712"/>
    <x v="0"/>
    <s v="High Disc"/>
  </r>
  <r>
    <x v="247"/>
    <d v="2025-08-06T10:19:48"/>
    <x v="2"/>
    <s v="Visitor"/>
    <s v="Cash"/>
    <x v="0"/>
    <n v="0.04"/>
    <d v="2025-08-06T00:00:00"/>
    <s v="no"/>
    <x v="245"/>
    <x v="11"/>
    <n v="127.59"/>
    <n v="147.00839999999997"/>
    <x v="0"/>
    <s v="OK"/>
  </r>
  <r>
    <x v="248"/>
    <d v="2025-08-24T18:49:01"/>
    <x v="1"/>
    <s v="Visitor"/>
    <s v="Cash"/>
    <x v="1"/>
    <n v="0.05"/>
    <d v="2025-08-24T00:00:00"/>
    <s v="no"/>
    <x v="246"/>
    <x v="13"/>
    <n v="289.35999999999996"/>
    <n v="323.21899999999999"/>
    <x v="0"/>
    <s v="OK"/>
  </r>
  <r>
    <x v="249"/>
    <d v="2025-08-04T13:56:35"/>
    <x v="0"/>
    <s v="Staff"/>
    <s v="UPI"/>
    <x v="2"/>
    <n v="0.04"/>
    <d v="2025-08-04T00:00:00"/>
    <s v="yes"/>
    <x v="247"/>
    <x v="10"/>
    <n v="498.88"/>
    <n v="578.11519999999985"/>
    <x v="1"/>
    <s v="High Disc"/>
  </r>
  <r>
    <x v="250"/>
    <d v="2025-07-29T04:13:30"/>
    <x v="0"/>
    <s v="Staff"/>
    <s v="Card"/>
    <x v="0"/>
    <n v="0.04"/>
    <d v="2025-07-29T00:00:00"/>
    <s v="no"/>
    <x v="248"/>
    <x v="11"/>
    <n v="715.59"/>
    <n v="762.46439999999996"/>
    <x v="0"/>
    <s v="High Disc"/>
  </r>
  <r>
    <x v="251"/>
    <d v="2025-08-26T08:38:51"/>
    <x v="0"/>
    <s v="Worker"/>
    <s v="Cash"/>
    <x v="0"/>
    <n v="0.09"/>
    <d v="2025-08-26T00:00:00"/>
    <s v="no"/>
    <x v="249"/>
    <x v="11"/>
    <n v="449"/>
    <n v="475.43260000000009"/>
    <x v="0"/>
    <s v="High Disc"/>
  </r>
  <r>
    <x v="252"/>
    <d v="2025-07-23T00:31:42"/>
    <x v="2"/>
    <s v="Staff"/>
    <s v="UPI"/>
    <x v="0"/>
    <n v="7.0000000000000007E-2"/>
    <d v="2025-07-23T00:00:00"/>
    <s v="no"/>
    <x v="250"/>
    <x v="11"/>
    <n v="122.02"/>
    <n v="138.43580000000003"/>
    <x v="0"/>
    <s v="OK"/>
  </r>
  <r>
    <x v="253"/>
    <d v="2025-07-12T09:42:07"/>
    <x v="1"/>
    <s v="Visitor"/>
    <s v="Cash"/>
    <x v="0"/>
    <n v="0.03"/>
    <d v="2025-07-12T00:00:00"/>
    <s v="yes"/>
    <x v="251"/>
    <x v="2"/>
    <n v="225.7"/>
    <n v="248.83370000000002"/>
    <x v="1"/>
    <s v="OK"/>
  </r>
  <r>
    <x v="254"/>
    <d v="2025-08-24T17:08:41"/>
    <x v="0"/>
    <s v="Visitor"/>
    <s v="UPI"/>
    <x v="1"/>
    <n v="0.1"/>
    <d v="2025-08-24T00:00:00"/>
    <s v="no"/>
    <x v="252"/>
    <x v="11"/>
    <n v="248.48"/>
    <n v="259.49800000000005"/>
    <x v="0"/>
    <s v="High Disc"/>
  </r>
  <r>
    <x v="255"/>
    <d v="2025-07-03T19:10:33"/>
    <x v="0"/>
    <s v="Visitor"/>
    <s v="UPI"/>
    <x v="1"/>
    <n v="7.0000000000000007E-2"/>
    <d v="2025-07-03T00:00:00"/>
    <s v="yes"/>
    <x v="253"/>
    <x v="2"/>
    <n v="197.02"/>
    <n v="144.70849999999993"/>
    <x v="1"/>
    <s v="OK"/>
  </r>
  <r>
    <x v="256"/>
    <d v="2025-07-04T01:27:56"/>
    <x v="2"/>
    <s v="Staff"/>
    <s v="UPI"/>
    <x v="0"/>
    <n v="0.09"/>
    <d v="2025-07-04T00:00:00"/>
    <s v="yes"/>
    <x v="254"/>
    <x v="12"/>
    <n v="79.89"/>
    <n v="78.322600000000008"/>
    <x v="0"/>
    <s v="OK"/>
  </r>
  <r>
    <x v="257"/>
    <d v="2025-08-03T05:50:55"/>
    <x v="1"/>
    <s v="Worker"/>
    <s v="Cash"/>
    <x v="0"/>
    <n v="0.09"/>
    <d v="2025-08-03T00:00:00"/>
    <s v="yes"/>
    <x v="255"/>
    <x v="2"/>
    <n v="306.84000000000003"/>
    <n v="238.07710000000009"/>
    <x v="1"/>
    <s v="High Disc"/>
  </r>
  <r>
    <x v="258"/>
    <d v="2025-08-25T05:37:25"/>
    <x v="0"/>
    <s v="Staff"/>
    <s v="Cash"/>
    <x v="0"/>
    <n v="0.03"/>
    <d v="2025-08-25T00:00:00"/>
    <s v="no"/>
    <x v="256"/>
    <x v="11"/>
    <n v="183.7"/>
    <n v="191.85489999999999"/>
    <x v="0"/>
    <s v="OK"/>
  </r>
  <r>
    <x v="259"/>
    <d v="2025-07-04T05:26:10"/>
    <x v="2"/>
    <s v="Visitor"/>
    <s v="UPI"/>
    <x v="0"/>
    <n v="0.04"/>
    <d v="2025-07-04T00:00:00"/>
    <s v="no"/>
    <x v="257"/>
    <x v="3"/>
    <n v="258.06"/>
    <n v="241.53360000000004"/>
    <x v="0"/>
    <s v="OK"/>
  </r>
  <r>
    <x v="260"/>
    <d v="2025-08-06T18:35:47"/>
    <x v="1"/>
    <s v="Staff"/>
    <s v="Card"/>
    <x v="1"/>
    <n v="0.09"/>
    <d v="2025-08-06T00:00:00"/>
    <s v="yes"/>
    <x v="258"/>
    <x v="2"/>
    <n v="134.5"/>
    <n v="98.19610000000003"/>
    <x v="1"/>
    <s v="OK"/>
  </r>
  <r>
    <x v="261"/>
    <d v="2025-08-06T04:17:10"/>
    <x v="1"/>
    <s v="Visitor"/>
    <s v="Card"/>
    <x v="0"/>
    <n v="0.08"/>
    <d v="2025-08-06T00:00:00"/>
    <s v="no"/>
    <x v="259"/>
    <x v="13"/>
    <n v="340.89"/>
    <n v="322.54040000000009"/>
    <x v="0"/>
    <s v="High Disc"/>
  </r>
  <r>
    <x v="262"/>
    <d v="2025-07-06T08:35:14"/>
    <x v="2"/>
    <s v="Worker"/>
    <s v="UPI"/>
    <x v="0"/>
    <n v="0.06"/>
    <d v="2025-07-06T00:00:00"/>
    <s v="no"/>
    <x v="260"/>
    <x v="13"/>
    <n v="197.7"/>
    <n v="187.70940000000002"/>
    <x v="0"/>
    <s v="OK"/>
  </r>
  <r>
    <x v="263"/>
    <d v="2025-07-09T04:05:55"/>
    <x v="1"/>
    <s v="Staff"/>
    <s v="UPI"/>
    <x v="0"/>
    <n v="0.06"/>
    <d v="2025-07-09T00:00:00"/>
    <s v="yes"/>
    <x v="261"/>
    <x v="1"/>
    <n v="237.26"/>
    <n v="262.75419999999997"/>
    <x v="0"/>
    <s v="OK"/>
  </r>
  <r>
    <x v="264"/>
    <d v="2025-08-17T09:40:25"/>
    <x v="0"/>
    <s v="Staff"/>
    <s v="Card"/>
    <x v="0"/>
    <n v="0.11"/>
    <d v="2025-08-17T00:00:00"/>
    <s v="yes"/>
    <x v="262"/>
    <x v="6"/>
    <n v="268.52"/>
    <n v="259.32120000000009"/>
    <x v="1"/>
    <s v="High Disc"/>
  </r>
  <r>
    <x v="265"/>
    <d v="2025-07-22T04:18:43"/>
    <x v="0"/>
    <s v="Worker"/>
    <s v="Card"/>
    <x v="0"/>
    <n v="0.04"/>
    <d v="2025-07-22T00:00:00"/>
    <s v="no"/>
    <x v="263"/>
    <x v="13"/>
    <n v="194.16"/>
    <n v="248.60160000000005"/>
    <x v="0"/>
    <s v="OK"/>
  </r>
  <r>
    <x v="266"/>
    <d v="2025-07-12T00:23:30"/>
    <x v="1"/>
    <s v="Visitor"/>
    <s v="UPI"/>
    <x v="0"/>
    <n v="0.08"/>
    <d v="2025-07-12T00:00:00"/>
    <s v="yes"/>
    <x v="264"/>
    <x v="6"/>
    <n v="257.97000000000003"/>
    <n v="274.80200000000002"/>
    <x v="1"/>
    <s v="High Disc"/>
  </r>
  <r>
    <x v="267"/>
    <d v="2025-08-21T09:50:43"/>
    <x v="0"/>
    <s v="Staff"/>
    <s v="Cash"/>
    <x v="0"/>
    <n v="0.05"/>
    <d v="2025-08-21T00:00:00"/>
    <s v="no"/>
    <x v="265"/>
    <x v="7"/>
    <n v="473.75"/>
    <n v="468.77350000000001"/>
    <x v="0"/>
    <s v="High Disc"/>
  </r>
  <r>
    <x v="268"/>
    <d v="2025-08-08T15:01:49"/>
    <x v="0"/>
    <s v="Worker"/>
    <s v="Cash"/>
    <x v="2"/>
    <n v="0.05"/>
    <d v="2025-08-08T00:00:00"/>
    <s v="yes"/>
    <x v="266"/>
    <x v="2"/>
    <n v="545.44999999999993"/>
    <n v="564.00750000000005"/>
    <x v="1"/>
    <s v="High Disc"/>
  </r>
  <r>
    <x v="269"/>
    <d v="2025-07-30T12:21:28"/>
    <x v="2"/>
    <s v="Worker"/>
    <s v="Card"/>
    <x v="2"/>
    <n v="0.1"/>
    <d v="2025-07-30T00:00:00"/>
    <s v="no"/>
    <x v="267"/>
    <x v="11"/>
    <n v="771.58"/>
    <n v="713.49199999999985"/>
    <x v="0"/>
    <s v="High Disc"/>
  </r>
  <r>
    <x v="270"/>
    <d v="2025-08-02T02:34:49"/>
    <x v="2"/>
    <s v="Worker"/>
    <s v="Card"/>
    <x v="0"/>
    <n v="0.09"/>
    <d v="2025-08-02T00:00:00"/>
    <s v="yes"/>
    <x v="268"/>
    <x v="1"/>
    <n v="69.56"/>
    <n v="69.624500000000012"/>
    <x v="0"/>
    <s v="OK"/>
  </r>
  <r>
    <x v="271"/>
    <d v="2025-07-18T07:23:54"/>
    <x v="2"/>
    <s v="Staff"/>
    <s v="UPI"/>
    <x v="0"/>
    <n v="0.09"/>
    <d v="2025-07-18T00:00:00"/>
    <s v="yes"/>
    <x v="269"/>
    <x v="2"/>
    <n v="128.61000000000001"/>
    <n v="99.854600000000005"/>
    <x v="1"/>
    <s v="OK"/>
  </r>
  <r>
    <x v="272"/>
    <d v="2025-08-18T19:41:44"/>
    <x v="0"/>
    <s v="Visitor"/>
    <s v="Card"/>
    <x v="1"/>
    <n v="0.11"/>
    <d v="2025-08-18T00:00:00"/>
    <s v="no"/>
    <x v="270"/>
    <x v="14"/>
    <n v="146.91"/>
    <n v="164.946"/>
    <x v="0"/>
    <s v="OK"/>
  </r>
  <r>
    <x v="273"/>
    <d v="2025-08-08T19:14:34"/>
    <x v="0"/>
    <s v="Worker"/>
    <s v="Card"/>
    <x v="1"/>
    <n v="0.06"/>
    <d v="2025-08-08T00:00:00"/>
    <s v="yes"/>
    <x v="271"/>
    <x v="2"/>
    <n v="316.63"/>
    <n v="317.36240000000009"/>
    <x v="1"/>
    <s v="High Disc"/>
  </r>
  <r>
    <x v="274"/>
    <d v="2025-08-14T21:18:18"/>
    <x v="2"/>
    <s v="Staff"/>
    <s v="UPI"/>
    <x v="1"/>
    <n v="0.09"/>
    <d v="2025-08-14T00:00:00"/>
    <s v="yes"/>
    <x v="272"/>
    <x v="8"/>
    <n v="391.23999999999995"/>
    <n v="430.77210000000008"/>
    <x v="1"/>
    <s v="High Disc"/>
  </r>
  <r>
    <x v="275"/>
    <d v="2025-08-25T22:07:05"/>
    <x v="1"/>
    <s v="Visitor"/>
    <s v="UPI"/>
    <x v="1"/>
    <n v="0.05"/>
    <d v="2025-08-25T00:00:00"/>
    <s v="yes"/>
    <x v="273"/>
    <x v="12"/>
    <n v="182.45999999999998"/>
    <n v="224.78599999999994"/>
    <x v="0"/>
    <s v="OK"/>
  </r>
  <r>
    <x v="276"/>
    <d v="2025-07-29T08:37:09"/>
    <x v="2"/>
    <s v="Staff"/>
    <s v="Cash"/>
    <x v="0"/>
    <n v="7.0000000000000007E-2"/>
    <d v="2025-07-29T00:00:00"/>
    <s v="no"/>
    <x v="274"/>
    <x v="0"/>
    <n v="35.06"/>
    <n v="37.4893"/>
    <x v="0"/>
    <s v="OK"/>
  </r>
  <r>
    <x v="277"/>
    <d v="2025-07-17T22:29:36"/>
    <x v="0"/>
    <s v="Staff"/>
    <s v="UPI"/>
    <x v="1"/>
    <n v="0.05"/>
    <d v="2025-07-17T00:00:00"/>
    <s v="yes"/>
    <x v="275"/>
    <x v="10"/>
    <n v="186.19"/>
    <n v="226.8415"/>
    <x v="1"/>
    <s v="OK"/>
  </r>
  <r>
    <x v="278"/>
    <d v="2025-07-09T19:21:27"/>
    <x v="1"/>
    <s v="Worker"/>
    <s v="Cash"/>
    <x v="1"/>
    <n v="0.06"/>
    <d v="2025-07-09T00:00:00"/>
    <s v="yes"/>
    <x v="276"/>
    <x v="5"/>
    <n v="14.18"/>
    <n v="14.339599999999997"/>
    <x v="0"/>
    <s v="OK"/>
  </r>
  <r>
    <x v="279"/>
    <d v="2025-08-27T10:10:10"/>
    <x v="1"/>
    <s v="Visitor"/>
    <s v="Cash"/>
    <x v="0"/>
    <n v="0.08"/>
    <d v="2025-08-27T00:00:00"/>
    <s v="yes"/>
    <x v="277"/>
    <x v="6"/>
    <n v="130.5"/>
    <n v="136.55760000000004"/>
    <x v="1"/>
    <s v="OK"/>
  </r>
  <r>
    <x v="280"/>
    <d v="2025-07-31T08:59:31"/>
    <x v="0"/>
    <s v="Staff"/>
    <s v="Cash"/>
    <x v="0"/>
    <n v="0.03"/>
    <d v="2025-07-31T00:00:00"/>
    <s v="yes"/>
    <x v="278"/>
    <x v="5"/>
    <n v="14.18"/>
    <n v="15.2498"/>
    <x v="0"/>
    <s v="OK"/>
  </r>
  <r>
    <x v="281"/>
    <d v="2025-07-17T13:46:39"/>
    <x v="2"/>
    <s v="Visitor"/>
    <s v="UPI"/>
    <x v="2"/>
    <n v="0.14000000000000001"/>
    <d v="2025-07-17T00:00:00"/>
    <s v="yes"/>
    <x v="279"/>
    <x v="4"/>
    <n v="152.63000000000002"/>
    <n v="124.16959999999997"/>
    <x v="0"/>
    <s v="High Disc"/>
  </r>
  <r>
    <x v="282"/>
    <d v="2025-08-21T18:23:55"/>
    <x v="0"/>
    <s v="Worker"/>
    <s v="Card"/>
    <x v="1"/>
    <n v="0.02"/>
    <d v="2025-08-21T00:00:00"/>
    <s v="yes"/>
    <x v="280"/>
    <x v="2"/>
    <n v="481.99999999999994"/>
    <n v="630.03539999999998"/>
    <x v="1"/>
    <s v="OK"/>
  </r>
  <r>
    <x v="283"/>
    <d v="2025-07-15T14:08:32"/>
    <x v="2"/>
    <s v="Worker"/>
    <s v="Cash"/>
    <x v="2"/>
    <n v="0.01"/>
    <d v="2025-07-15T00:00:00"/>
    <s v="no"/>
    <x v="281"/>
    <x v="9"/>
    <n v="157.66"/>
    <n v="171.03979999999999"/>
    <x v="0"/>
    <s v="OK"/>
  </r>
  <r>
    <x v="284"/>
    <d v="2025-07-20T09:40:35"/>
    <x v="2"/>
    <s v="Visitor"/>
    <s v="Cash"/>
    <x v="0"/>
    <n v="0.11"/>
    <d v="2025-07-20T00:00:00"/>
    <s v="no"/>
    <x v="282"/>
    <x v="7"/>
    <n v="189.64999999999998"/>
    <n v="191.31450000000001"/>
    <x v="0"/>
    <s v="High Disc"/>
  </r>
  <r>
    <x v="285"/>
    <d v="2025-07-18T10:46:49"/>
    <x v="0"/>
    <s v="Staff"/>
    <s v="Card"/>
    <x v="0"/>
    <n v="0.09"/>
    <d v="2025-07-18T00:00:00"/>
    <s v="no"/>
    <x v="283"/>
    <x v="13"/>
    <n v="150.52999999999997"/>
    <n v="144.24630000000002"/>
    <x v="0"/>
    <s v="OK"/>
  </r>
  <r>
    <x v="286"/>
    <d v="2025-08-25T01:21:40"/>
    <x v="0"/>
    <s v="Visitor"/>
    <s v="UPI"/>
    <x v="0"/>
    <n v="0.08"/>
    <d v="2025-08-25T00:00:00"/>
    <s v="no"/>
    <x v="284"/>
    <x v="3"/>
    <n v="202.16"/>
    <n v="168.88520000000003"/>
    <x v="0"/>
    <s v="OK"/>
  </r>
  <r>
    <x v="287"/>
    <d v="2025-07-31T22:39:25"/>
    <x v="2"/>
    <s v="Staff"/>
    <s v="Cash"/>
    <x v="1"/>
    <n v="0.09"/>
    <d v="2025-07-31T00:00:00"/>
    <s v="yes"/>
    <x v="285"/>
    <x v="2"/>
    <n v="144.42999999999998"/>
    <n v="146.88830000000004"/>
    <x v="1"/>
    <s v="OK"/>
  </r>
  <r>
    <x v="288"/>
    <d v="2025-08-13T04:25:10"/>
    <x v="0"/>
    <s v="Staff"/>
    <s v="Card"/>
    <x v="0"/>
    <n v="0.06"/>
    <d v="2025-08-13T00:00:00"/>
    <s v="yes"/>
    <x v="286"/>
    <x v="12"/>
    <n v="153.66"/>
    <n v="136.12319999999997"/>
    <x v="0"/>
    <s v="OK"/>
  </r>
  <r>
    <x v="289"/>
    <d v="2025-08-04T10:05:05"/>
    <x v="0"/>
    <s v="Worker"/>
    <s v="Card"/>
    <x v="0"/>
    <n v="0.02"/>
    <d v="2025-08-04T00:00:00"/>
    <s v="yes"/>
    <x v="287"/>
    <x v="5"/>
    <n v="19.84"/>
    <n v="32.188199999999995"/>
    <x v="0"/>
    <s v="OK"/>
  </r>
  <r>
    <x v="290"/>
    <d v="2025-08-14T03:02:08"/>
    <x v="2"/>
    <s v="Worker"/>
    <s v="Card"/>
    <x v="0"/>
    <n v="0.06"/>
    <d v="2025-08-14T00:00:00"/>
    <s v="no"/>
    <x v="288"/>
    <x v="3"/>
    <n v="242.48"/>
    <n v="240.51080000000005"/>
    <x v="0"/>
    <s v="OK"/>
  </r>
  <r>
    <x v="291"/>
    <d v="2025-07-08T16:47:46"/>
    <x v="0"/>
    <s v="Worker"/>
    <s v="UPI"/>
    <x v="1"/>
    <n v="0.03"/>
    <d v="2025-07-08T00:00:00"/>
    <s v="yes"/>
    <x v="289"/>
    <x v="5"/>
    <n v="36.36"/>
    <n v="42.006299999999996"/>
    <x v="0"/>
    <s v="OK"/>
  </r>
  <r>
    <x v="292"/>
    <d v="2025-08-07T13:54:32"/>
    <x v="1"/>
    <s v="Visitor"/>
    <s v="UPI"/>
    <x v="2"/>
    <n v="0.1"/>
    <d v="2025-08-07T00:00:00"/>
    <s v="yes"/>
    <x v="290"/>
    <x v="6"/>
    <n v="220.8"/>
    <n v="243.51000000000005"/>
    <x v="1"/>
    <s v="High Disc"/>
  </r>
  <r>
    <x v="293"/>
    <d v="2025-08-13T21:57:19"/>
    <x v="0"/>
    <s v="Visitor"/>
    <s v="Cash"/>
    <x v="1"/>
    <n v="0.05"/>
    <d v="2025-08-13T00:00:00"/>
    <s v="yes"/>
    <x v="291"/>
    <x v="5"/>
    <n v="27.78"/>
    <n v="26.236999999999995"/>
    <x v="0"/>
    <s v="OK"/>
  </r>
  <r>
    <x v="294"/>
    <d v="2025-08-28T23:45:56"/>
    <x v="1"/>
    <s v="Visitor"/>
    <s v="Cash"/>
    <x v="1"/>
    <n v="0.03"/>
    <d v="2025-08-28T00:00:00"/>
    <s v="yes"/>
    <x v="292"/>
    <x v="1"/>
    <n v="38.520000000000003"/>
    <n v="38.371899999999989"/>
    <x v="0"/>
    <s v="OK"/>
  </r>
  <r>
    <x v="295"/>
    <d v="2025-08-13T23:47:41"/>
    <x v="2"/>
    <s v="Staff"/>
    <s v="UPI"/>
    <x v="1"/>
    <n v="0.05"/>
    <d v="2025-08-13T00:00:00"/>
    <s v="no"/>
    <x v="293"/>
    <x v="0"/>
    <n v="69.14"/>
    <n v="92.39800000000001"/>
    <x v="0"/>
    <s v="OK"/>
  </r>
  <r>
    <x v="296"/>
    <d v="2025-08-19T05:41:03"/>
    <x v="0"/>
    <s v="Worker"/>
    <s v="Cash"/>
    <x v="0"/>
    <n v="0.08"/>
    <d v="2025-08-19T00:00:00"/>
    <s v="no"/>
    <x v="243"/>
    <x v="0"/>
    <n v="107.43"/>
    <n v="87.260400000000004"/>
    <x v="0"/>
    <s v="OK"/>
  </r>
  <r>
    <x v="297"/>
    <d v="2025-08-12T18:03:02"/>
    <x v="1"/>
    <s v="Visitor"/>
    <s v="UPI"/>
    <x v="1"/>
    <n v="0.04"/>
    <d v="2025-08-12T00:00:00"/>
    <s v="no"/>
    <x v="294"/>
    <x v="3"/>
    <n v="121.24"/>
    <n v="125.39360000000001"/>
    <x v="0"/>
    <s v="OK"/>
  </r>
  <r>
    <x v="298"/>
    <d v="2025-08-05T13:56:37"/>
    <x v="1"/>
    <s v="Staff"/>
    <s v="Card"/>
    <x v="2"/>
    <n v="0.03"/>
    <d v="2025-08-05T00:00:00"/>
    <s v="yes"/>
    <x v="295"/>
    <x v="8"/>
    <n v="238.36"/>
    <n v="215.37690000000003"/>
    <x v="1"/>
    <s v="OK"/>
  </r>
  <r>
    <x v="299"/>
    <d v="2025-08-03T02:27:09"/>
    <x v="0"/>
    <s v="Visitor"/>
    <s v="Cash"/>
    <x v="0"/>
    <n v="7.0000000000000007E-2"/>
    <d v="2025-08-03T00:00:00"/>
    <s v="no"/>
    <x v="296"/>
    <x v="7"/>
    <n v="185.63"/>
    <n v="191.19670000000002"/>
    <x v="0"/>
    <s v="OK"/>
  </r>
  <r>
    <x v="300"/>
    <d v="2025-07-07T15:35:08"/>
    <x v="1"/>
    <s v="Worker"/>
    <s v="UPI"/>
    <x v="2"/>
    <n v="7.0000000000000007E-2"/>
    <d v="2025-07-07T00:00:00"/>
    <s v="no"/>
    <x v="297"/>
    <x v="9"/>
    <n v="164.47"/>
    <n v="184.59619999999998"/>
    <x v="0"/>
    <s v="OK"/>
  </r>
  <r>
    <x v="301"/>
    <d v="2025-07-28T20:06:37"/>
    <x v="1"/>
    <s v="Visitor"/>
    <s v="UPI"/>
    <x v="1"/>
    <n v="0.04"/>
    <d v="2025-07-28T00:00:00"/>
    <s v="yes"/>
    <x v="298"/>
    <x v="5"/>
    <n v="28.14"/>
    <n v="35.795999999999992"/>
    <x v="0"/>
    <s v="OK"/>
  </r>
  <r>
    <x v="302"/>
    <d v="2025-08-02T14:47:23"/>
    <x v="2"/>
    <s v="Visitor"/>
    <s v="UPI"/>
    <x v="2"/>
    <n v="0.04"/>
    <d v="2025-08-02T00:00:00"/>
    <s v="no"/>
    <x v="299"/>
    <x v="0"/>
    <n v="70.12"/>
    <n v="79.659199999999998"/>
    <x v="0"/>
    <s v="OK"/>
  </r>
  <r>
    <x v="303"/>
    <d v="2025-08-04T05:08:29"/>
    <x v="1"/>
    <s v="Visitor"/>
    <s v="UPI"/>
    <x v="0"/>
    <n v="7.0000000000000007E-2"/>
    <d v="2025-08-04T00:00:00"/>
    <s v="yes"/>
    <x v="16"/>
    <x v="5"/>
    <n v="11.84"/>
    <n v="18.831399999999995"/>
    <x v="0"/>
    <s v="OK"/>
  </r>
  <r>
    <x v="304"/>
    <d v="2025-07-13T18:28:44"/>
    <x v="0"/>
    <s v="Visitor"/>
    <s v="Cash"/>
    <x v="1"/>
    <n v="0"/>
    <d v="2025-07-13T00:00:00"/>
    <s v="no"/>
    <x v="300"/>
    <x v="11"/>
    <n v="255.18"/>
    <n v="316.90000000000003"/>
    <x v="0"/>
    <s v="OK"/>
  </r>
  <r>
    <x v="305"/>
    <d v="2025-08-24T12:22:58"/>
    <x v="1"/>
    <s v="Visitor"/>
    <s v="Card"/>
    <x v="2"/>
    <n v="0"/>
    <d v="2025-08-24T00:00:00"/>
    <s v="yes"/>
    <x v="301"/>
    <x v="2"/>
    <n v="347.44"/>
    <n v="332.89000000000004"/>
    <x v="1"/>
    <s v="OK"/>
  </r>
  <r>
    <x v="306"/>
    <d v="2025-08-21T08:35:07"/>
    <x v="2"/>
    <s v="Visitor"/>
    <s v="UPI"/>
    <x v="0"/>
    <n v="0.03"/>
    <d v="2025-08-21T00:00:00"/>
    <s v="yes"/>
    <x v="302"/>
    <x v="10"/>
    <n v="197.43"/>
    <n v="217.45839999999998"/>
    <x v="1"/>
    <s v="OK"/>
  </r>
  <r>
    <x v="307"/>
    <d v="2025-08-19T14:51:50"/>
    <x v="1"/>
    <s v="Worker"/>
    <s v="Card"/>
    <x v="2"/>
    <n v="0.05"/>
    <d v="2025-08-19T00:00:00"/>
    <s v="no"/>
    <x v="303"/>
    <x v="13"/>
    <n v="460.21999999999997"/>
    <n v="516.8454999999999"/>
    <x v="0"/>
    <s v="High Disc"/>
  </r>
  <r>
    <x v="308"/>
    <d v="2025-07-18T18:02:34"/>
    <x v="2"/>
    <s v="Staff"/>
    <s v="Card"/>
    <x v="1"/>
    <n v="7.0000000000000007E-2"/>
    <d v="2025-07-18T00:00:00"/>
    <s v="yes"/>
    <x v="304"/>
    <x v="4"/>
    <n v="50.94"/>
    <n v="50.522999999999996"/>
    <x v="0"/>
    <s v="OK"/>
  </r>
  <r>
    <x v="309"/>
    <d v="2025-07-23T05:53:00"/>
    <x v="2"/>
    <s v="Worker"/>
    <s v="Cash"/>
    <x v="0"/>
    <n v="0.12"/>
    <d v="2025-07-23T00:00:00"/>
    <s v="yes"/>
    <x v="305"/>
    <x v="12"/>
    <n v="88.89"/>
    <n v="73.417199999999994"/>
    <x v="0"/>
    <s v="OK"/>
  </r>
  <r>
    <x v="310"/>
    <d v="2025-07-11T01:40:30"/>
    <x v="0"/>
    <s v="Visitor"/>
    <s v="UPI"/>
    <x v="0"/>
    <n v="0.09"/>
    <d v="2025-07-11T00:00:00"/>
    <s v="no"/>
    <x v="306"/>
    <x v="9"/>
    <n v="164.53"/>
    <n v="150.34819999999999"/>
    <x v="0"/>
    <s v="OK"/>
  </r>
  <r>
    <x v="311"/>
    <d v="2025-07-04T21:57:28"/>
    <x v="0"/>
    <s v="Staff"/>
    <s v="UPI"/>
    <x v="1"/>
    <n v="0.05"/>
    <d v="2025-07-04T00:00:00"/>
    <s v="no"/>
    <x v="307"/>
    <x v="9"/>
    <n v="138.99"/>
    <n v="121.97500000000002"/>
    <x v="0"/>
    <s v="OK"/>
  </r>
  <r>
    <x v="312"/>
    <d v="2025-08-28T05:41:06"/>
    <x v="1"/>
    <s v="Worker"/>
    <s v="Cash"/>
    <x v="0"/>
    <n v="0.06"/>
    <d v="2025-08-28T00:00:00"/>
    <s v="no"/>
    <x v="308"/>
    <x v="14"/>
    <n v="21.95"/>
    <n v="28.998000000000001"/>
    <x v="0"/>
    <s v="OK"/>
  </r>
  <r>
    <x v="313"/>
    <d v="2025-07-17T07:44:03"/>
    <x v="0"/>
    <s v="Staff"/>
    <s v="Cash"/>
    <x v="0"/>
    <n v="0.02"/>
    <d v="2025-07-17T00:00:00"/>
    <s v="yes"/>
    <x v="309"/>
    <x v="5"/>
    <n v="11.84"/>
    <n v="20.480399999999999"/>
    <x v="0"/>
    <s v="OK"/>
  </r>
  <r>
    <x v="314"/>
    <d v="2025-08-05T14:52:44"/>
    <x v="0"/>
    <s v="Visitor"/>
    <s v="Cash"/>
    <x v="2"/>
    <n v="0.06"/>
    <d v="2025-08-05T00:00:00"/>
    <s v="no"/>
    <x v="310"/>
    <x v="14"/>
    <n v="163.66"/>
    <n v="162.00299999999996"/>
    <x v="0"/>
    <s v="OK"/>
  </r>
  <r>
    <x v="315"/>
    <d v="2025-08-29T12:47:25"/>
    <x v="1"/>
    <s v="Visitor"/>
    <s v="Card"/>
    <x v="2"/>
    <n v="0.05"/>
    <d v="2025-08-29T00:00:00"/>
    <s v="yes"/>
    <x v="311"/>
    <x v="5"/>
    <n v="28.14"/>
    <n v="35.129999999999988"/>
    <x v="0"/>
    <s v="OK"/>
  </r>
  <r>
    <x v="316"/>
    <d v="2025-08-22T02:20:10"/>
    <x v="2"/>
    <s v="Staff"/>
    <s v="Card"/>
    <x v="0"/>
    <n v="7.0000000000000007E-2"/>
    <d v="2025-08-22T00:00:00"/>
    <s v="no"/>
    <x v="312"/>
    <x v="11"/>
    <n v="132.52000000000001"/>
    <n v="101.18899999999999"/>
    <x v="0"/>
    <s v="OK"/>
  </r>
  <r>
    <x v="317"/>
    <d v="2025-08-05T23:07:53"/>
    <x v="0"/>
    <s v="Visitor"/>
    <s v="Card"/>
    <x v="1"/>
    <n v="0.03"/>
    <d v="2025-08-05T00:00:00"/>
    <s v="yes"/>
    <x v="313"/>
    <x v="10"/>
    <n v="179.1"/>
    <n v="207.09579999999997"/>
    <x v="1"/>
    <s v="OK"/>
  </r>
  <r>
    <x v="318"/>
    <d v="2025-07-28T14:34:32"/>
    <x v="1"/>
    <s v="Visitor"/>
    <s v="UPI"/>
    <x v="2"/>
    <n v="0.08"/>
    <d v="2025-07-28T00:00:00"/>
    <s v="yes"/>
    <x v="314"/>
    <x v="1"/>
    <n v="45.14"/>
    <n v="44.366799999999998"/>
    <x v="0"/>
    <s v="OK"/>
  </r>
  <r>
    <x v="319"/>
    <d v="2025-07-16T23:37:22"/>
    <x v="2"/>
    <s v="Visitor"/>
    <s v="Cash"/>
    <x v="1"/>
    <n v="0.12"/>
    <d v="2025-07-16T00:00:00"/>
    <s v="no"/>
    <x v="315"/>
    <x v="3"/>
    <n v="148.13999999999999"/>
    <n v="152.52080000000007"/>
    <x v="0"/>
    <s v="High Disc"/>
  </r>
  <r>
    <x v="320"/>
    <d v="2025-07-06T07:35:15"/>
    <x v="0"/>
    <s v="Staff"/>
    <s v="Card"/>
    <x v="0"/>
    <n v="0.06"/>
    <d v="2025-07-06T00:00:00"/>
    <s v="yes"/>
    <x v="316"/>
    <x v="8"/>
    <n v="293.32"/>
    <n v="299.00219999999996"/>
    <x v="1"/>
    <s v="OK"/>
  </r>
  <r>
    <x v="321"/>
    <d v="2025-07-11T05:03:05"/>
    <x v="0"/>
    <s v="Visitor"/>
    <s v="Cash"/>
    <x v="0"/>
    <n v="0.08"/>
    <d v="2025-07-11T00:00:00"/>
    <s v="yes"/>
    <x v="317"/>
    <x v="10"/>
    <n v="319.41999999999996"/>
    <n v="348.66560000000004"/>
    <x v="1"/>
    <s v="High Disc"/>
  </r>
  <r>
    <x v="322"/>
    <d v="2025-07-09T09:26:35"/>
    <x v="2"/>
    <s v="Staff"/>
    <s v="Card"/>
    <x v="0"/>
    <n v="0.09"/>
    <d v="2025-07-09T00:00:00"/>
    <s v="yes"/>
    <x v="318"/>
    <x v="1"/>
    <n v="76.75"/>
    <n v="81.280599999999993"/>
    <x v="0"/>
    <s v="OK"/>
  </r>
  <r>
    <x v="323"/>
    <d v="2025-07-15T13:20:50"/>
    <x v="1"/>
    <s v="Worker"/>
    <s v="Cash"/>
    <x v="2"/>
    <n v="0.04"/>
    <d v="2025-07-15T00:00:00"/>
    <s v="no"/>
    <x v="319"/>
    <x v="11"/>
    <n v="235.67000000000002"/>
    <n v="262.81959999999998"/>
    <x v="0"/>
    <s v="OK"/>
  </r>
  <r>
    <x v="324"/>
    <d v="2025-08-04T04:35:32"/>
    <x v="2"/>
    <s v="Staff"/>
    <s v="Cash"/>
    <x v="0"/>
    <n v="7.0000000000000007E-2"/>
    <d v="2025-08-04T00:00:00"/>
    <s v="no"/>
    <x v="320"/>
    <x v="0"/>
    <n v="22.61"/>
    <n v="24.066699999999997"/>
    <x v="0"/>
    <s v="OK"/>
  </r>
  <r>
    <x v="325"/>
    <d v="2025-08-18T23:45:40"/>
    <x v="1"/>
    <s v="Worker"/>
    <s v="Card"/>
    <x v="1"/>
    <n v="0.06"/>
    <d v="2025-08-18T00:00:00"/>
    <s v="yes"/>
    <x v="321"/>
    <x v="5"/>
    <n v="8"/>
    <n v="10.903399999999998"/>
    <x v="0"/>
    <s v="OK"/>
  </r>
  <r>
    <x v="326"/>
    <d v="2025-08-06T15:36:35"/>
    <x v="2"/>
    <s v="Worker"/>
    <s v="Card"/>
    <x v="2"/>
    <n v="0.06"/>
    <d v="2025-08-06T00:00:00"/>
    <s v="yes"/>
    <x v="322"/>
    <x v="4"/>
    <n v="56.05"/>
    <n v="53.629200000000012"/>
    <x v="0"/>
    <s v="OK"/>
  </r>
  <r>
    <x v="327"/>
    <d v="2025-08-02T19:16:59"/>
    <x v="2"/>
    <s v="Worker"/>
    <s v="Cash"/>
    <x v="1"/>
    <n v="0.03"/>
    <d v="2025-08-02T00:00:00"/>
    <s v="no"/>
    <x v="323"/>
    <x v="3"/>
    <n v="161.84"/>
    <n v="122.17600000000002"/>
    <x v="0"/>
    <s v="OK"/>
  </r>
  <r>
    <x v="328"/>
    <d v="2025-08-16T02:53:59"/>
    <x v="0"/>
    <s v="Worker"/>
    <s v="UPI"/>
    <x v="0"/>
    <n v="0.06"/>
    <d v="2025-08-16T00:00:00"/>
    <s v="no"/>
    <x v="324"/>
    <x v="7"/>
    <n v="290.51"/>
    <n v="222.58899999999994"/>
    <x v="0"/>
    <s v="OK"/>
  </r>
  <r>
    <x v="329"/>
    <d v="2025-08-13T19:19:01"/>
    <x v="0"/>
    <s v="Worker"/>
    <s v="Cash"/>
    <x v="1"/>
    <n v="0.08"/>
    <d v="2025-08-13T00:00:00"/>
    <s v="yes"/>
    <x v="325"/>
    <x v="6"/>
    <n v="332.54999999999995"/>
    <n v="334.33040000000017"/>
    <x v="1"/>
    <s v="High Disc"/>
  </r>
  <r>
    <x v="330"/>
    <d v="2025-07-26T02:20:45"/>
    <x v="2"/>
    <s v="Worker"/>
    <s v="UPI"/>
    <x v="0"/>
    <n v="0.12"/>
    <d v="2025-07-26T00:00:00"/>
    <s v="no"/>
    <x v="326"/>
    <x v="7"/>
    <n v="211.34000000000003"/>
    <n v="192.73840000000001"/>
    <x v="0"/>
    <s v="High Disc"/>
  </r>
  <r>
    <x v="331"/>
    <d v="2025-08-11T08:15:18"/>
    <x v="2"/>
    <s v="Staff"/>
    <s v="Cash"/>
    <x v="0"/>
    <n v="0.1"/>
    <d v="2025-08-11T00:00:00"/>
    <s v="yes"/>
    <x v="327"/>
    <x v="12"/>
    <n v="99.13000000000001"/>
    <n v="98.266999999999982"/>
    <x v="0"/>
    <s v="OK"/>
  </r>
  <r>
    <x v="332"/>
    <d v="2025-07-13T01:55:38"/>
    <x v="2"/>
    <s v="Worker"/>
    <s v="Card"/>
    <x v="0"/>
    <n v="0.15"/>
    <d v="2025-07-13T00:00:00"/>
    <s v="yes"/>
    <x v="328"/>
    <x v="1"/>
    <n v="84.46"/>
    <n v="62.768500000000003"/>
    <x v="0"/>
    <s v="OK"/>
  </r>
  <r>
    <x v="333"/>
    <d v="2025-07-07T08:21:04"/>
    <x v="2"/>
    <s v="Staff"/>
    <s v="UPI"/>
    <x v="0"/>
    <n v="0.03"/>
    <d v="2025-07-07T00:00:00"/>
    <s v="yes"/>
    <x v="329"/>
    <x v="8"/>
    <n v="283.29000000000002"/>
    <n v="372.1971999999999"/>
    <x v="1"/>
    <s v="OK"/>
  </r>
  <r>
    <x v="334"/>
    <d v="2025-07-02T20:17:49"/>
    <x v="0"/>
    <s v="Visitor"/>
    <s v="UPI"/>
    <x v="1"/>
    <n v="0.09"/>
    <d v="2025-07-02T00:00:00"/>
    <s v="no"/>
    <x v="330"/>
    <x v="13"/>
    <n v="327"/>
    <n v="329.71060000000011"/>
    <x v="0"/>
    <s v="High Disc"/>
  </r>
  <r>
    <x v="335"/>
    <d v="2025-07-15T04:33:29"/>
    <x v="1"/>
    <s v="Staff"/>
    <s v="Cash"/>
    <x v="0"/>
    <n v="7.0000000000000007E-2"/>
    <d v="2025-07-15T00:00:00"/>
    <s v="no"/>
    <x v="331"/>
    <x v="9"/>
    <n v="103.5"/>
    <n v="96.003600000000006"/>
    <x v="0"/>
    <s v="OK"/>
  </r>
  <r>
    <x v="336"/>
    <d v="2025-07-24T14:33:19"/>
    <x v="0"/>
    <s v="Staff"/>
    <s v="Cash"/>
    <x v="2"/>
    <n v="0.15"/>
    <d v="2025-07-24T00:00:00"/>
    <s v="no"/>
    <x v="332"/>
    <x v="3"/>
    <n v="80.92"/>
    <n v="43.519999999999996"/>
    <x v="0"/>
    <s v="OK"/>
  </r>
  <r>
    <x v="337"/>
    <d v="2025-08-21T01:48:26"/>
    <x v="1"/>
    <s v="Worker"/>
    <s v="UPI"/>
    <x v="0"/>
    <n v="0.03"/>
    <d v="2025-08-21T00:00:00"/>
    <s v="yes"/>
    <x v="333"/>
    <x v="5"/>
    <n v="63.589999999999996"/>
    <n v="89.3887"/>
    <x v="0"/>
    <s v="OK"/>
  </r>
  <r>
    <x v="338"/>
    <d v="2025-08-19T12:09:33"/>
    <x v="0"/>
    <s v="Visitor"/>
    <s v="Cash"/>
    <x v="2"/>
    <n v="0.03"/>
    <d v="2025-08-19T00:00:00"/>
    <s v="no"/>
    <x v="334"/>
    <x v="14"/>
    <n v="185.36"/>
    <n v="207.3057"/>
    <x v="0"/>
    <s v="OK"/>
  </r>
  <r>
    <x v="339"/>
    <d v="2025-08-15T21:29:38"/>
    <x v="2"/>
    <s v="Visitor"/>
    <s v="Card"/>
    <x v="1"/>
    <n v="0.04"/>
    <d v="2025-08-15T00:00:00"/>
    <s v="yes"/>
    <x v="335"/>
    <x v="12"/>
    <n v="125.37"/>
    <n v="138.5052"/>
    <x v="0"/>
    <s v="OK"/>
  </r>
  <r>
    <x v="340"/>
    <d v="2025-07-25T21:02:52"/>
    <x v="0"/>
    <s v="Worker"/>
    <s v="Card"/>
    <x v="1"/>
    <n v="0"/>
    <d v="2025-07-25T00:00:00"/>
    <s v="no"/>
    <x v="336"/>
    <x v="7"/>
    <n v="211.12"/>
    <n v="204.88"/>
    <x v="0"/>
    <s v="OK"/>
  </r>
  <r>
    <x v="341"/>
    <d v="2025-08-03T17:26:52"/>
    <x v="2"/>
    <s v="Visitor"/>
    <s v="UPI"/>
    <x v="1"/>
    <n v="0.04"/>
    <d v="2025-08-03T00:00:00"/>
    <s v="yes"/>
    <x v="337"/>
    <x v="4"/>
    <n v="53.58"/>
    <n v="51.357600000000005"/>
    <x v="0"/>
    <s v="OK"/>
  </r>
  <r>
    <x v="342"/>
    <d v="2025-08-26T17:55:58"/>
    <x v="0"/>
    <s v="Staff"/>
    <s v="Cash"/>
    <x v="1"/>
    <n v="0.03"/>
    <d v="2025-08-26T00:00:00"/>
    <s v="no"/>
    <x v="338"/>
    <x v="14"/>
    <n v="43.9"/>
    <n v="61.247999999999998"/>
    <x v="0"/>
    <s v="OK"/>
  </r>
  <r>
    <x v="343"/>
    <d v="2025-08-04T10:54:58"/>
    <x v="0"/>
    <s v="Staff"/>
    <s v="UPI"/>
    <x v="0"/>
    <n v="7.0000000000000007E-2"/>
    <d v="2025-08-04T00:00:00"/>
    <s v="no"/>
    <x v="339"/>
    <x v="9"/>
    <n v="106.27"/>
    <n v="108.28099999999999"/>
    <x v="0"/>
    <s v="OK"/>
  </r>
  <r>
    <x v="344"/>
    <d v="2025-08-15T08:38:59"/>
    <x v="0"/>
    <s v="Staff"/>
    <s v="UPI"/>
    <x v="0"/>
    <n v="7.0000000000000007E-2"/>
    <d v="2025-08-15T00:00:00"/>
    <s v="yes"/>
    <x v="340"/>
    <x v="10"/>
    <n v="267.66999999999996"/>
    <n v="327.54860000000008"/>
    <x v="1"/>
    <s v="High Disc"/>
  </r>
  <r>
    <x v="345"/>
    <d v="2025-07-14T08:13:45"/>
    <x v="2"/>
    <s v="Visitor"/>
    <s v="Card"/>
    <x v="0"/>
    <n v="0.14000000000000001"/>
    <d v="2025-07-14T00:00:00"/>
    <s v="yes"/>
    <x v="341"/>
    <x v="5"/>
    <n v="35.78"/>
    <n v="30.414199999999994"/>
    <x v="0"/>
    <s v="OK"/>
  </r>
  <r>
    <x v="346"/>
    <d v="2025-07-29T17:46:14"/>
    <x v="2"/>
    <s v="Worker"/>
    <s v="Cash"/>
    <x v="1"/>
    <n v="0.1"/>
    <d v="2025-07-29T00:00:00"/>
    <s v="no"/>
    <x v="342"/>
    <x v="3"/>
    <n v="283.08"/>
    <n v="211.65900000000005"/>
    <x v="0"/>
    <s v="High Disc"/>
  </r>
  <r>
    <x v="347"/>
    <d v="2025-07-31T21:23:29"/>
    <x v="1"/>
    <s v="Visitor"/>
    <s v="Card"/>
    <x v="1"/>
    <n v="0.04"/>
    <d v="2025-07-31T00:00:00"/>
    <s v="no"/>
    <x v="343"/>
    <x v="7"/>
    <n v="605.94999999999993"/>
    <n v="639.23720000000014"/>
    <x v="0"/>
    <s v="High Disc"/>
  </r>
  <r>
    <x v="348"/>
    <d v="2025-08-16T05:06:05"/>
    <x v="1"/>
    <s v="Worker"/>
    <s v="UPI"/>
    <x v="0"/>
    <n v="0.02"/>
    <d v="2025-08-16T00:00:00"/>
    <s v="no"/>
    <x v="344"/>
    <x v="13"/>
    <n v="423.88"/>
    <n v="491.63600000000008"/>
    <x v="0"/>
    <s v="OK"/>
  </r>
  <r>
    <x v="349"/>
    <d v="2025-07-29T00:41:12"/>
    <x v="1"/>
    <s v="Worker"/>
    <s v="UPI"/>
    <x v="0"/>
    <n v="0.08"/>
    <d v="2025-07-29T00:00:00"/>
    <s v="yes"/>
    <x v="345"/>
    <x v="6"/>
    <n v="199.41000000000003"/>
    <n v="156.8048"/>
    <x v="1"/>
    <s v="OK"/>
  </r>
  <r>
    <x v="350"/>
    <d v="2025-07-27T18:38:27"/>
    <x v="2"/>
    <s v="Staff"/>
    <s v="Card"/>
    <x v="1"/>
    <n v="0.01"/>
    <d v="2025-07-27T00:00:00"/>
    <s v="yes"/>
    <x v="346"/>
    <x v="5"/>
    <n v="28.36"/>
    <n v="31.713200000000001"/>
    <x v="0"/>
    <s v="OK"/>
  </r>
  <r>
    <x v="351"/>
    <d v="2025-08-12T22:39:38"/>
    <x v="1"/>
    <s v="Staff"/>
    <s v="Cash"/>
    <x v="1"/>
    <n v="0.13"/>
    <d v="2025-08-12T00:00:00"/>
    <s v="yes"/>
    <x v="347"/>
    <x v="12"/>
    <n v="105.18"/>
    <n v="99.243899999999996"/>
    <x v="0"/>
    <s v="OK"/>
  </r>
  <r>
    <x v="352"/>
    <d v="2025-08-18T13:18:48"/>
    <x v="1"/>
    <s v="Visitor"/>
    <s v="Card"/>
    <x v="2"/>
    <n v="0.11"/>
    <d v="2025-08-18T00:00:00"/>
    <s v="no"/>
    <x v="348"/>
    <x v="14"/>
    <n v="114.69"/>
    <n v="89.698499999999996"/>
    <x v="0"/>
    <s v="OK"/>
  </r>
  <r>
    <x v="353"/>
    <d v="2025-08-11T11:09:21"/>
    <x v="2"/>
    <s v="Staff"/>
    <s v="UPI"/>
    <x v="2"/>
    <n v="0.04"/>
    <d v="2025-08-11T00:00:00"/>
    <s v="no"/>
    <x v="349"/>
    <x v="9"/>
    <n v="96.009999999999991"/>
    <n v="87.503600000000006"/>
    <x v="0"/>
    <s v="OK"/>
  </r>
  <r>
    <x v="354"/>
    <d v="2025-08-23T05:02:50"/>
    <x v="1"/>
    <s v="Staff"/>
    <s v="Cash"/>
    <x v="0"/>
    <n v="0"/>
    <d v="2025-08-23T00:00:00"/>
    <s v="yes"/>
    <x v="350"/>
    <x v="1"/>
    <n v="43.32"/>
    <n v="44.089999999999996"/>
    <x v="0"/>
    <s v="OK"/>
  </r>
  <r>
    <x v="355"/>
    <d v="2025-08-02T02:06:31"/>
    <x v="0"/>
    <s v="Staff"/>
    <s v="Card"/>
    <x v="0"/>
    <n v="0.11"/>
    <d v="2025-08-02T00:00:00"/>
    <s v="yes"/>
    <x v="351"/>
    <x v="2"/>
    <n v="340.09000000000003"/>
    <n v="360.43790000000001"/>
    <x v="1"/>
    <s v="High Disc"/>
  </r>
  <r>
    <x v="356"/>
    <d v="2025-08-28T18:12:36"/>
    <x v="0"/>
    <s v="Staff"/>
    <s v="Cash"/>
    <x v="1"/>
    <n v="0.06"/>
    <d v="2025-08-28T00:00:00"/>
    <s v="yes"/>
    <x v="352"/>
    <x v="1"/>
    <n v="46.52"/>
    <n v="46.897199999999991"/>
    <x v="0"/>
    <s v="OK"/>
  </r>
  <r>
    <x v="357"/>
    <d v="2025-08-04T09:09:49"/>
    <x v="1"/>
    <s v="Worker"/>
    <s v="UPI"/>
    <x v="0"/>
    <n v="0.11"/>
    <d v="2025-08-04T00:00:00"/>
    <s v="yes"/>
    <x v="353"/>
    <x v="4"/>
    <n v="49.99"/>
    <n v="39.793200000000006"/>
    <x v="0"/>
    <s v="OK"/>
  </r>
  <r>
    <x v="358"/>
    <d v="2025-08-12T11:29:05"/>
    <x v="1"/>
    <s v="Visitor"/>
    <s v="Cash"/>
    <x v="2"/>
    <n v="0"/>
    <d v="2025-08-12T00:00:00"/>
    <s v="no"/>
    <x v="354"/>
    <x v="3"/>
    <n v="192.44"/>
    <n v="262.78000000000003"/>
    <x v="0"/>
    <s v="OK"/>
  </r>
  <r>
    <x v="359"/>
    <d v="2025-08-09T16:32:18"/>
    <x v="1"/>
    <s v="Visitor"/>
    <s v="UPI"/>
    <x v="1"/>
    <n v="0.04"/>
    <d v="2025-08-09T00:00:00"/>
    <s v="yes"/>
    <x v="355"/>
    <x v="6"/>
    <n v="466.15"/>
    <n v="496.00040000000001"/>
    <x v="1"/>
    <s v="High Dis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D31FAB-9D2E-4D93-AE2C-C821015DC7C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C43" firstHeaderRow="0" firstDataRow="1" firstDataCol="1" rowPageCount="1" colPageCount="1"/>
  <pivotFields count="15">
    <pivotField showAll="0"/>
    <pivotField showAll="0"/>
    <pivotField showAll="0"/>
    <pivotField numFmtId="2" showAll="0"/>
    <pivotField axis="axisRow" showAll="0">
      <items count="5">
        <item x="1"/>
        <item x="2"/>
        <item x="3"/>
        <item x="0"/>
        <item t="default"/>
      </items>
    </pivotField>
    <pivotField numFmtId="2" showAll="0"/>
    <pivotField numFmtId="166" showAll="0"/>
    <pivotField axis="axisRow" showAll="0">
      <items count="4">
        <item x="0"/>
        <item x="2"/>
        <item x="1"/>
        <item t="default"/>
      </items>
    </pivotField>
    <pivotField showAll="0"/>
    <pivotField dataField="1" showAll="0"/>
    <pivotField axis="axisPage" showAll="0">
      <items count="3">
        <item x="0"/>
        <item x="1"/>
        <item t="default"/>
      </items>
    </pivotField>
    <pivotField showAll="0"/>
    <pivotField showAll="0"/>
    <pivotField showAll="0"/>
    <pivotField showAll="0"/>
  </pivotFields>
  <rowFields count="2">
    <field x="4"/>
    <field x="7"/>
  </rowFields>
  <rowItems count="17">
    <i>
      <x/>
    </i>
    <i r="1">
      <x/>
    </i>
    <i r="1">
      <x v="1"/>
    </i>
    <i r="1">
      <x v="2"/>
    </i>
    <i>
      <x v="1"/>
    </i>
    <i r="1">
      <x/>
    </i>
    <i r="1">
      <x v="1"/>
    </i>
    <i r="1">
      <x v="2"/>
    </i>
    <i>
      <x v="2"/>
    </i>
    <i r="1">
      <x/>
    </i>
    <i r="1">
      <x v="1"/>
    </i>
    <i r="1">
      <x v="2"/>
    </i>
    <i>
      <x v="3"/>
    </i>
    <i r="1">
      <x/>
    </i>
    <i r="1">
      <x v="1"/>
    </i>
    <i r="1">
      <x v="2"/>
    </i>
    <i t="grand">
      <x/>
    </i>
  </rowItems>
  <colFields count="1">
    <field x="-2"/>
  </colFields>
  <colItems count="2">
    <i>
      <x/>
    </i>
    <i i="1">
      <x v="1"/>
    </i>
  </colItems>
  <pageFields count="1">
    <pageField fld="10" hier="-1"/>
  </pageFields>
  <dataFields count="2">
    <dataField name="Total Revenue" fld="9" baseField="4" baseItem="0"/>
    <dataField name="% contribution" fld="9" baseField="0"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0CF382-15C4-4FCD-A442-73632B72A8D7}"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41:AA45"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Distinct Count of OrderID" fld="2" subtotal="count" baseField="0" baseItem="0">
      <extLst>
        <ext xmlns:x15="http://schemas.microsoft.com/office/spreadsheetml/2010/11/main" uri="{FABC7310-3BB5-11E1-824E-6D434824019B}">
          <x15:dataField isCountDistinct="1"/>
        </ext>
      </extLst>
    </dataField>
    <dataField name="Sum of LineNetAmount" fld="1"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OrderI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Lines!$A$1:$M$925">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E86FB7-7A95-4563-866E-14602FD6FA8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0:AA13" firstHeaderRow="0" firstDataRow="1" firstDataCol="1"/>
  <pivotFields count="11">
    <pivotField showAll="0"/>
    <pivotField showAll="0"/>
    <pivotField showAll="0"/>
    <pivotField showAll="0"/>
    <pivotField showAll="0"/>
    <pivotField showAll="0"/>
    <pivotField numFmtId="166" showAll="0"/>
    <pivotField showAll="0"/>
    <pivotField showAll="0"/>
    <pivotField dataField="1" showAll="0">
      <items count="510">
        <item x="337"/>
        <item x="495"/>
        <item x="502"/>
        <item x="472"/>
        <item x="369"/>
        <item x="30"/>
        <item x="50"/>
        <item x="128"/>
        <item x="281"/>
        <item x="257"/>
        <item x="320"/>
        <item x="210"/>
        <item x="458"/>
        <item x="290"/>
        <item x="360"/>
        <item x="407"/>
        <item x="78"/>
        <item x="204"/>
        <item x="150"/>
        <item x="180"/>
        <item x="260"/>
        <item x="92"/>
        <item x="95"/>
        <item x="13"/>
        <item x="148"/>
        <item x="131"/>
        <item x="64"/>
        <item x="147"/>
        <item x="28"/>
        <item x="173"/>
        <item x="374"/>
        <item x="446"/>
        <item x="270"/>
        <item x="503"/>
        <item x="87"/>
        <item x="401"/>
        <item x="81"/>
        <item x="506"/>
        <item x="435"/>
        <item x="9"/>
        <item x="21"/>
        <item x="269"/>
        <item x="171"/>
        <item x="57"/>
        <item x="327"/>
        <item x="138"/>
        <item x="217"/>
        <item x="1"/>
        <item x="352"/>
        <item x="159"/>
        <item x="235"/>
        <item x="105"/>
        <item x="395"/>
        <item x="76"/>
        <item x="201"/>
        <item x="15"/>
        <item x="222"/>
        <item x="11"/>
        <item x="184"/>
        <item x="43"/>
        <item x="177"/>
        <item x="209"/>
        <item x="457"/>
        <item x="389"/>
        <item x="307"/>
        <item x="55"/>
        <item x="163"/>
        <item x="99"/>
        <item x="17"/>
        <item x="310"/>
        <item x="116"/>
        <item x="428"/>
        <item x="363"/>
        <item x="441"/>
        <item x="77"/>
        <item x="323"/>
        <item x="314"/>
        <item x="396"/>
        <item x="354"/>
        <item x="203"/>
        <item x="98"/>
        <item x="348"/>
        <item x="293"/>
        <item x="6"/>
        <item x="272"/>
        <item x="411"/>
        <item x="62"/>
        <item x="45"/>
        <item x="379"/>
        <item x="308"/>
        <item x="304"/>
        <item x="74"/>
        <item x="485"/>
        <item x="334"/>
        <item x="477"/>
        <item x="185"/>
        <item x="18"/>
        <item x="421"/>
        <item x="165"/>
        <item x="169"/>
        <item x="175"/>
        <item x="309"/>
        <item x="245"/>
        <item x="332"/>
        <item x="161"/>
        <item x="283"/>
        <item x="479"/>
        <item x="451"/>
        <item x="53"/>
        <item x="54"/>
        <item x="82"/>
        <item x="70"/>
        <item x="227"/>
        <item x="417"/>
        <item x="450"/>
        <item x="23"/>
        <item x="340"/>
        <item x="59"/>
        <item x="151"/>
        <item x="240"/>
        <item x="496"/>
        <item x="481"/>
        <item x="200"/>
        <item x="384"/>
        <item x="157"/>
        <item x="110"/>
        <item x="22"/>
        <item x="467"/>
        <item x="484"/>
        <item x="96"/>
        <item x="461"/>
        <item x="67"/>
        <item x="295"/>
        <item x="268"/>
        <item x="193"/>
        <item x="164"/>
        <item x="345"/>
        <item x="94"/>
        <item x="101"/>
        <item x="4"/>
        <item x="242"/>
        <item x="487"/>
        <item x="386"/>
        <item x="282"/>
        <item x="207"/>
        <item x="176"/>
        <item x="154"/>
        <item x="289"/>
        <item x="47"/>
        <item x="427"/>
        <item x="381"/>
        <item x="119"/>
        <item x="34"/>
        <item x="10"/>
        <item x="322"/>
        <item x="25"/>
        <item x="91"/>
        <item x="346"/>
        <item x="460"/>
        <item x="286"/>
        <item x="48"/>
        <item x="206"/>
        <item x="144"/>
        <item x="378"/>
        <item x="124"/>
        <item x="413"/>
        <item x="72"/>
        <item x="508"/>
        <item x="392"/>
        <item x="126"/>
        <item x="39"/>
        <item x="168"/>
        <item x="225"/>
        <item x="338"/>
        <item x="316"/>
        <item x="501"/>
        <item x="305"/>
        <item x="422"/>
        <item x="273"/>
        <item x="357"/>
        <item x="383"/>
        <item x="103"/>
        <item x="90"/>
        <item x="160"/>
        <item x="474"/>
        <item x="331"/>
        <item x="311"/>
        <item x="463"/>
        <item x="250"/>
        <item x="229"/>
        <item x="166"/>
        <item x="301"/>
        <item x="135"/>
        <item x="3"/>
        <item x="504"/>
        <item x="333"/>
        <item x="482"/>
        <item x="35"/>
        <item x="8"/>
        <item x="232"/>
        <item x="231"/>
        <item x="61"/>
        <item x="445"/>
        <item x="104"/>
        <item x="228"/>
        <item x="419"/>
        <item x="315"/>
        <item x="358"/>
        <item x="483"/>
        <item x="198"/>
        <item x="199"/>
        <item x="205"/>
        <item x="155"/>
        <item x="298"/>
        <item x="80"/>
        <item x="2"/>
        <item x="464"/>
        <item x="20"/>
        <item x="372"/>
        <item x="267"/>
        <item x="469"/>
        <item x="397"/>
        <item x="448"/>
        <item x="351"/>
        <item x="190"/>
        <item x="317"/>
        <item x="284"/>
        <item x="432"/>
        <item x="403"/>
        <item x="465"/>
        <item x="353"/>
        <item x="263"/>
        <item x="444"/>
        <item x="339"/>
        <item x="195"/>
        <item x="287"/>
        <item x="326"/>
        <item x="115"/>
        <item x="89"/>
        <item x="330"/>
        <item x="196"/>
        <item x="162"/>
        <item x="280"/>
        <item x="302"/>
        <item x="341"/>
        <item x="86"/>
        <item x="258"/>
        <item x="100"/>
        <item x="489"/>
        <item x="233"/>
        <item x="219"/>
        <item x="335"/>
        <item x="149"/>
        <item x="342"/>
        <item x="32"/>
        <item x="405"/>
        <item x="318"/>
        <item x="462"/>
        <item x="297"/>
        <item x="194"/>
        <item x="46"/>
        <item x="179"/>
        <item x="406"/>
        <item x="344"/>
        <item x="473"/>
        <item x="111"/>
        <item x="387"/>
        <item x="71"/>
        <item x="380"/>
        <item x="449"/>
        <item x="264"/>
        <item x="391"/>
        <item x="182"/>
        <item x="38"/>
        <item x="215"/>
        <item x="16"/>
        <item x="244"/>
        <item x="256"/>
        <item x="291"/>
        <item x="261"/>
        <item x="211"/>
        <item x="415"/>
        <item x="69"/>
        <item x="220"/>
        <item x="236"/>
        <item x="470"/>
        <item x="288"/>
        <item x="189"/>
        <item x="156"/>
        <item x="202"/>
        <item x="107"/>
        <item x="125"/>
        <item x="365"/>
        <item x="499"/>
        <item x="343"/>
        <item x="170"/>
        <item x="130"/>
        <item x="66"/>
        <item x="490"/>
        <item x="246"/>
        <item x="437"/>
        <item x="174"/>
        <item x="368"/>
        <item x="152"/>
        <item x="237"/>
        <item x="181"/>
        <item x="424"/>
        <item x="453"/>
        <item x="109"/>
        <item x="455"/>
        <item x="123"/>
        <item x="114"/>
        <item x="370"/>
        <item x="248"/>
        <item x="440"/>
        <item x="139"/>
        <item x="29"/>
        <item x="300"/>
        <item x="271"/>
        <item x="262"/>
        <item x="454"/>
        <item x="63"/>
        <item x="40"/>
        <item x="425"/>
        <item x="142"/>
        <item x="239"/>
        <item x="475"/>
        <item x="133"/>
        <item x="388"/>
        <item x="266"/>
        <item x="145"/>
        <item x="478"/>
        <item x="373"/>
        <item x="279"/>
        <item x="127"/>
        <item x="214"/>
        <item x="143"/>
        <item x="178"/>
        <item x="247"/>
        <item x="0"/>
        <item x="33"/>
        <item x="356"/>
        <item x="224"/>
        <item x="36"/>
        <item x="492"/>
        <item x="494"/>
        <item x="452"/>
        <item x="377"/>
        <item x="118"/>
        <item x="299"/>
        <item x="44"/>
        <item x="42"/>
        <item x="349"/>
        <item x="382"/>
        <item x="371"/>
        <item x="213"/>
        <item x="252"/>
        <item x="137"/>
        <item x="336"/>
        <item x="83"/>
        <item x="434"/>
        <item x="507"/>
        <item x="31"/>
        <item x="491"/>
        <item x="292"/>
        <item x="390"/>
        <item x="14"/>
        <item x="362"/>
        <item x="398"/>
        <item x="409"/>
        <item x="456"/>
        <item x="218"/>
        <item x="393"/>
        <item x="364"/>
        <item x="24"/>
        <item x="277"/>
        <item x="399"/>
        <item x="325"/>
        <item x="306"/>
        <item x="97"/>
        <item x="420"/>
        <item x="488"/>
        <item x="102"/>
        <item x="355"/>
        <item x="188"/>
        <item x="376"/>
        <item x="37"/>
        <item x="65"/>
        <item x="136"/>
        <item x="93"/>
        <item x="319"/>
        <item x="443"/>
        <item x="108"/>
        <item x="375"/>
        <item x="51"/>
        <item x="430"/>
        <item x="500"/>
        <item x="431"/>
        <item x="60"/>
        <item x="226"/>
        <item x="366"/>
        <item x="197"/>
        <item x="58"/>
        <item x="493"/>
        <item x="27"/>
        <item x="223"/>
        <item x="303"/>
        <item x="112"/>
        <item x="117"/>
        <item x="329"/>
        <item x="19"/>
        <item x="221"/>
        <item x="106"/>
        <item x="255"/>
        <item x="253"/>
        <item x="254"/>
        <item x="321"/>
        <item x="122"/>
        <item x="234"/>
        <item x="167"/>
        <item x="49"/>
        <item x="73"/>
        <item x="497"/>
        <item x="423"/>
        <item x="172"/>
        <item x="212"/>
        <item x="68"/>
        <item x="408"/>
        <item x="418"/>
        <item x="208"/>
        <item x="186"/>
        <item x="146"/>
        <item x="158"/>
        <item x="476"/>
        <item x="312"/>
        <item x="276"/>
        <item x="230"/>
        <item x="294"/>
        <item x="26"/>
        <item x="12"/>
        <item x="439"/>
        <item x="84"/>
        <item x="241"/>
        <item x="412"/>
        <item x="113"/>
        <item x="121"/>
        <item x="324"/>
        <item x="347"/>
        <item x="442"/>
        <item x="251"/>
        <item x="75"/>
        <item x="52"/>
        <item x="259"/>
        <item x="505"/>
        <item x="132"/>
        <item x="459"/>
        <item x="480"/>
        <item x="265"/>
        <item x="187"/>
        <item x="134"/>
        <item x="79"/>
        <item x="216"/>
        <item x="414"/>
        <item x="429"/>
        <item x="468"/>
        <item x="486"/>
        <item x="129"/>
        <item x="359"/>
        <item x="243"/>
        <item x="120"/>
        <item x="410"/>
        <item x="296"/>
        <item x="394"/>
        <item x="471"/>
        <item x="400"/>
        <item x="416"/>
        <item x="426"/>
        <item x="56"/>
        <item x="7"/>
        <item x="88"/>
        <item x="438"/>
        <item x="85"/>
        <item x="404"/>
        <item x="313"/>
        <item x="466"/>
        <item x="41"/>
        <item x="249"/>
        <item x="285"/>
        <item x="402"/>
        <item x="5"/>
        <item x="141"/>
        <item x="328"/>
        <item x="153"/>
        <item x="183"/>
        <item x="350"/>
        <item x="367"/>
        <item x="191"/>
        <item x="361"/>
        <item x="238"/>
        <item x="447"/>
        <item x="385"/>
        <item x="278"/>
        <item x="436"/>
        <item x="275"/>
        <item x="192"/>
        <item x="274"/>
        <item x="433"/>
        <item x="140"/>
        <item x="498"/>
        <item t="default"/>
      </items>
    </pivotField>
    <pivotField axis="axisRow" showAll="0">
      <items count="3">
        <item x="0"/>
        <item x="1"/>
        <item t="default"/>
      </items>
    </pivotField>
  </pivotFields>
  <rowFields count="1">
    <field x="10"/>
  </rowFields>
  <rowItems count="3">
    <i>
      <x/>
    </i>
    <i>
      <x v="1"/>
    </i>
    <i t="grand">
      <x/>
    </i>
  </rowItems>
  <colFields count="1">
    <field x="-2"/>
  </colFields>
  <colItems count="2">
    <i>
      <x/>
    </i>
    <i i="1">
      <x v="1"/>
    </i>
  </colItems>
  <dataFields count="2">
    <dataField name="Sum of LineNetAmount" fld="9" baseField="0" baseItem="0"/>
    <dataField name="Sum of LineNetAmount2" fld="9" showDataAs="percentDiff" baseField="10"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6C5610-C9C7-45E7-A173-E81E977595F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4:Y5" firstHeaderRow="1" firstDataRow="1" firstDataCol="0"/>
  <pivotFields count="10">
    <pivotField showAll="0"/>
    <pivotField showAll="0"/>
    <pivotField showAll="0"/>
    <pivotField showAll="0"/>
    <pivotField showAll="0"/>
    <pivotField showAll="0"/>
    <pivotField numFmtId="14" showAll="0"/>
    <pivotField showAll="0"/>
    <pivotField showAll="0"/>
    <pivotField dataField="1" showAll="0"/>
  </pivotFields>
  <rowItems count="1">
    <i/>
  </rowItems>
  <colItems count="1">
    <i/>
  </colItems>
  <dataFields count="1">
    <dataField name="Sum of LineNetAmount" fld="9" baseField="0" baseItem="0"/>
  </dataField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078C40-4A50-405F-819E-65C60438AB61}" name="avg gross profit of combo kpi"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5:B88" firstHeaderRow="1" firstDataRow="1" firstDataCol="1"/>
  <pivotFields count="16">
    <pivotField showAll="0"/>
    <pivotField numFmtId="22" showAll="0"/>
    <pivotField showAll="0">
      <items count="4">
        <item x="0"/>
        <item x="2"/>
        <item x="1"/>
        <item t="default"/>
      </items>
    </pivotField>
    <pivotField showAll="0"/>
    <pivotField showAll="0"/>
    <pivotField showAll="0">
      <items count="4">
        <item x="0"/>
        <item x="1"/>
        <item x="2"/>
        <item t="default"/>
      </items>
    </pivotField>
    <pivotField showAll="0"/>
    <pivotField numFmtId="14" showAll="0"/>
    <pivotField showAll="0"/>
    <pivotField showAll="0"/>
    <pivotField showAll="0"/>
    <pivotField numFmtId="2" showAll="0"/>
    <pivotField dataField="1" numFmtId="2" showAll="0"/>
    <pivotField axis="axisRow" showAll="0">
      <items count="3">
        <item x="1"/>
        <item x="0"/>
        <item t="default"/>
      </items>
    </pivotField>
    <pivotField showAll="0"/>
    <pivotField dragToRow="0" dragToCol="0" dragToPage="0" showAll="0" defaultSubtotal="0"/>
  </pivotFields>
  <rowFields count="1">
    <field x="13"/>
  </rowFields>
  <rowItems count="3">
    <i>
      <x/>
    </i>
    <i>
      <x v="1"/>
    </i>
    <i t="grand">
      <x/>
    </i>
  </rowItems>
  <colItems count="1">
    <i/>
  </colItems>
  <dataFields count="1">
    <dataField name="Average of GrossProfit" fld="12" subtotal="average" baseField="1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A16F99-BCA6-4585-9010-AF59EE153A59}" name="combo % branch"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104:C108" firstHeaderRow="1" firstDataRow="2" firstDataCol="1"/>
  <pivotFields count="16">
    <pivotField dataField="1" showAll="0">
      <items count="3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t="default"/>
      </items>
    </pivotField>
    <pivotField numFmtId="22" showAll="0"/>
    <pivotField axis="axisRow" showAll="0">
      <items count="4">
        <item x="0"/>
        <item x="2"/>
        <item x="1"/>
        <item t="default"/>
      </items>
    </pivotField>
    <pivotField showAll="0"/>
    <pivotField showAll="0"/>
    <pivotField showAll="0">
      <items count="4">
        <item x="0"/>
        <item x="1"/>
        <item x="2"/>
        <item t="default"/>
      </items>
    </pivotField>
    <pivotField showAll="0"/>
    <pivotField numFmtId="14" showAll="0"/>
    <pivotField showAll="0"/>
    <pivotField showAll="0"/>
    <pivotField showAll="0"/>
    <pivotField numFmtId="2" showAll="0"/>
    <pivotField numFmtId="2" showAll="0"/>
    <pivotField axis="axisCol" showAll="0">
      <items count="3">
        <item x="1"/>
        <item x="0"/>
        <item t="default"/>
      </items>
    </pivotField>
    <pivotField showAll="0"/>
    <pivotField dragToRow="0" dragToCol="0" dragToPage="0" showAll="0" defaultSubtotal="0"/>
  </pivotFields>
  <rowFields count="1">
    <field x="2"/>
  </rowFields>
  <rowItems count="3">
    <i>
      <x/>
    </i>
    <i>
      <x v="1"/>
    </i>
    <i>
      <x v="2"/>
    </i>
  </rowItems>
  <colFields count="1">
    <field x="13"/>
  </colFields>
  <colItems count="2">
    <i>
      <x/>
    </i>
    <i>
      <x v="1"/>
    </i>
  </colItems>
  <dataFields count="1">
    <dataField name="Count of OrderID" fld="0" subtotal="count" showDataAs="percentOfRow" baseField="2" baseItem="0" numFmtId="10"/>
  </dataFields>
  <formats count="2">
    <format dxfId="26">
      <pivotArea dataOnly="0" outline="0" fieldPosition="0">
        <references count="1">
          <reference field="13" count="1">
            <x v="0"/>
          </reference>
        </references>
      </pivotArea>
    </format>
    <format dxfId="25">
      <pivotArea outline="0" fieldPosition="0">
        <references count="1">
          <reference field="4294967294" count="1">
            <x v="0"/>
          </reference>
        </references>
      </pivotArea>
    </format>
  </formats>
  <chartFormats count="7">
    <chartFormat chart="0" format="2" series="1">
      <pivotArea type="data" outline="0" fieldPosition="0">
        <references count="1">
          <reference field="13" count="1" selected="0">
            <x v="0"/>
          </reference>
        </references>
      </pivotArea>
    </chartFormat>
    <chartFormat chart="0" format="3" series="1">
      <pivotArea type="data" outline="0" fieldPosition="0">
        <references count="1">
          <reference field="13" count="1" selected="0">
            <x v="1"/>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 chart="0" format="5" series="1">
      <pivotArea type="data" outline="0" fieldPosition="0">
        <references count="2">
          <reference field="4294967294" count="1" selected="0">
            <x v="0"/>
          </reference>
          <reference field="13" count="1" selected="0">
            <x v="0"/>
          </reference>
        </references>
      </pivotArea>
    </chartFormat>
    <chartFormat chart="18" format="8" series="1">
      <pivotArea type="data" outline="0" fieldPosition="0">
        <references count="2">
          <reference field="4294967294" count="1" selected="0">
            <x v="0"/>
          </reference>
          <reference field="13" count="1" selected="0">
            <x v="0"/>
          </reference>
        </references>
      </pivotArea>
    </chartFormat>
    <chartFormat chart="18" format="9" series="1">
      <pivotArea type="data" outline="0" fieldPosition="0">
        <references count="2">
          <reference field="4294967294" count="1" selected="0">
            <x v="0"/>
          </reference>
          <reference field="13" count="1" selected="0">
            <x v="1"/>
          </reference>
        </references>
      </pivotArea>
    </chartFormat>
    <chartFormat chart="18" format="10">
      <pivotArea type="data" outline="0" fieldPosition="0">
        <references count="3">
          <reference field="4294967294" count="1" selected="0">
            <x v="0"/>
          </reference>
          <reference field="2" count="1" selected="0">
            <x v="1"/>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CEC120-49EF-4AF9-9B30-BE5BCCD2CE54}" name="Total combos KPI"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A61" firstHeaderRow="1" firstDataRow="1" firstDataCol="0" rowPageCount="1" colPageCount="1"/>
  <pivotFields count="16">
    <pivotField dataField="1" showAll="0"/>
    <pivotField numFmtId="22" showAll="0"/>
    <pivotField showAll="0">
      <items count="4">
        <item x="0"/>
        <item x="2"/>
        <item x="1"/>
        <item t="default"/>
      </items>
    </pivotField>
    <pivotField showAll="0"/>
    <pivotField showAll="0"/>
    <pivotField showAll="0">
      <items count="4">
        <item x="0"/>
        <item x="1"/>
        <item x="2"/>
        <item t="default"/>
      </items>
    </pivotField>
    <pivotField showAll="0"/>
    <pivotField numFmtId="14" showAll="0"/>
    <pivotField showAll="0"/>
    <pivotField showAll="0"/>
    <pivotField showAll="0"/>
    <pivotField numFmtId="2" showAll="0"/>
    <pivotField numFmtId="2" showAll="0"/>
    <pivotField axis="axisPage" multipleItemSelectionAllowed="1" showAll="0">
      <items count="3">
        <item x="1"/>
        <item h="1" x="0"/>
        <item t="default"/>
      </items>
    </pivotField>
    <pivotField showAll="0"/>
    <pivotField dragToRow="0" dragToCol="0" dragToPage="0" showAll="0" defaultSubtotal="0"/>
  </pivotFields>
  <rowItems count="1">
    <i/>
  </rowItems>
  <colItems count="1">
    <i/>
  </colItems>
  <pageFields count="1">
    <pageField fld="13" hier="-1"/>
  </pageField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34B58F-82F5-4AB5-9B1C-6D2BAF4A074D}" name="% of combo orders kpi"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7:B70" firstHeaderRow="1" firstDataRow="1" firstDataCol="1"/>
  <pivotFields count="16">
    <pivotField dataField="1" showAll="0"/>
    <pivotField numFmtId="22" showAll="0"/>
    <pivotField showAll="0">
      <items count="4">
        <item x="0"/>
        <item x="2"/>
        <item x="1"/>
        <item t="default"/>
      </items>
    </pivotField>
    <pivotField showAll="0"/>
    <pivotField showAll="0"/>
    <pivotField showAll="0">
      <items count="4">
        <item x="0"/>
        <item x="1"/>
        <item x="2"/>
        <item t="default"/>
      </items>
    </pivotField>
    <pivotField showAll="0"/>
    <pivotField numFmtId="14" showAll="0"/>
    <pivotField showAll="0"/>
    <pivotField showAll="0"/>
    <pivotField showAll="0"/>
    <pivotField numFmtId="2" showAll="0"/>
    <pivotField numFmtId="2" showAll="0"/>
    <pivotField axis="axisRow" showAll="0">
      <items count="3">
        <item x="1"/>
        <item x="0"/>
        <item t="default"/>
      </items>
    </pivotField>
    <pivotField showAll="0"/>
    <pivotField dragToRow="0" dragToCol="0" dragToPage="0" showAll="0" defaultSubtotal="0"/>
  </pivotFields>
  <rowFields count="1">
    <field x="13"/>
  </rowFields>
  <rowItems count="3">
    <i>
      <x/>
    </i>
    <i>
      <x v="1"/>
    </i>
    <i t="grand">
      <x/>
    </i>
  </rowItems>
  <colItems count="1">
    <i/>
  </colItems>
  <dataFields count="1">
    <dataField name="Count of OrderID" fld="0" subtotal="count" showDataAs="percentOfTotal"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E3EF95-EB26-4045-9E1B-DDEC2139DD47}" name="combo % shift"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115:C119" firstHeaderRow="1" firstDataRow="2" firstDataCol="1"/>
  <pivotFields count="16">
    <pivotField dataField="1" showAll="0"/>
    <pivotField numFmtId="22" showAll="0"/>
    <pivotField showAll="0">
      <items count="4">
        <item x="0"/>
        <item x="2"/>
        <item x="1"/>
        <item t="default"/>
      </items>
    </pivotField>
    <pivotField showAll="0"/>
    <pivotField showAll="0"/>
    <pivotField axis="axisRow" showAll="0">
      <items count="4">
        <item x="0"/>
        <item x="1"/>
        <item x="2"/>
        <item t="default"/>
      </items>
    </pivotField>
    <pivotField showAll="0"/>
    <pivotField numFmtId="14" showAll="0"/>
    <pivotField showAll="0"/>
    <pivotField showAll="0"/>
    <pivotField showAll="0"/>
    <pivotField numFmtId="2" showAll="0"/>
    <pivotField numFmtId="2" showAll="0"/>
    <pivotField axis="axisCol" showAll="0">
      <items count="3">
        <item x="1"/>
        <item x="0"/>
        <item t="default"/>
      </items>
    </pivotField>
    <pivotField showAll="0"/>
    <pivotField dragToRow="0" dragToCol="0" dragToPage="0" showAll="0" defaultSubtotal="0"/>
  </pivotFields>
  <rowFields count="1">
    <field x="5"/>
  </rowFields>
  <rowItems count="3">
    <i>
      <x/>
    </i>
    <i>
      <x v="1"/>
    </i>
    <i>
      <x v="2"/>
    </i>
  </rowItems>
  <colFields count="1">
    <field x="13"/>
  </colFields>
  <colItems count="2">
    <i>
      <x/>
    </i>
    <i>
      <x v="1"/>
    </i>
  </colItems>
  <dataFields count="1">
    <dataField name="Count of OrderID" fld="0" subtotal="count" showDataAs="percentOfRow" baseField="5" baseItem="0" numFmtId="1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AF610C-3FF6-4BA0-918F-1C3619BF86FD}" name="combo to single matrix" cacheId="1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93:C98" firstHeaderRow="1" firstDataRow="2" firstDataCol="1"/>
  <pivotFields count="16">
    <pivotField showAll="0"/>
    <pivotField numFmtId="22" showAll="0"/>
    <pivotField showAll="0">
      <items count="4">
        <item x="0"/>
        <item x="2"/>
        <item x="1"/>
        <item t="default"/>
      </items>
    </pivotField>
    <pivotField showAll="0"/>
    <pivotField showAll="0"/>
    <pivotField showAll="0">
      <items count="4">
        <item x="0"/>
        <item x="1"/>
        <item x="2"/>
        <item t="default"/>
      </items>
    </pivotField>
    <pivotField showAll="0"/>
    <pivotField numFmtId="14" showAll="0"/>
    <pivotField showAll="0"/>
    <pivotField dataField="1" showAll="0">
      <items count="357">
        <item x="63"/>
        <item x="321"/>
        <item x="42"/>
        <item x="216"/>
        <item x="10"/>
        <item x="178"/>
        <item x="276"/>
        <item x="278"/>
        <item x="104"/>
        <item x="16"/>
        <item x="309"/>
        <item x="199"/>
        <item x="232"/>
        <item x="165"/>
        <item x="45"/>
        <item x="198"/>
        <item x="142"/>
        <item x="80"/>
        <item x="320"/>
        <item x="24"/>
        <item x="117"/>
        <item x="103"/>
        <item x="308"/>
        <item x="96"/>
        <item x="287"/>
        <item x="180"/>
        <item x="291"/>
        <item x="5"/>
        <item x="108"/>
        <item x="69"/>
        <item x="219"/>
        <item x="106"/>
        <item x="184"/>
        <item x="346"/>
        <item x="311"/>
        <item x="298"/>
        <item x="341"/>
        <item x="118"/>
        <item x="146"/>
        <item x="101"/>
        <item x="151"/>
        <item x="274"/>
        <item x="234"/>
        <item x="292"/>
        <item x="289"/>
        <item x="140"/>
        <item x="25"/>
        <item x="119"/>
        <item x="137"/>
        <item x="78"/>
        <item x="33"/>
        <item x="350"/>
        <item x="37"/>
        <item x="314"/>
        <item x="353"/>
        <item x="133"/>
        <item x="164"/>
        <item x="76"/>
        <item x="352"/>
        <item x="4"/>
        <item x="72"/>
        <item x="11"/>
        <item x="49"/>
        <item x="52"/>
        <item x="226"/>
        <item x="304"/>
        <item x="1"/>
        <item x="337"/>
        <item x="338"/>
        <item x="196"/>
        <item x="322"/>
        <item x="81"/>
        <item x="332"/>
        <item x="231"/>
        <item x="238"/>
        <item x="182"/>
        <item x="102"/>
        <item x="206"/>
        <item x="77"/>
        <item x="188"/>
        <item x="183"/>
        <item x="268"/>
        <item x="43"/>
        <item x="28"/>
        <item x="100"/>
        <item x="62"/>
        <item x="175"/>
        <item x="163"/>
        <item x="328"/>
        <item x="0"/>
        <item x="40"/>
        <item x="299"/>
        <item x="181"/>
        <item x="84"/>
        <item x="333"/>
        <item x="168"/>
        <item x="200"/>
        <item x="124"/>
        <item x="222"/>
        <item x="318"/>
        <item x="254"/>
        <item x="293"/>
        <item x="305"/>
        <item x="17"/>
        <item x="141"/>
        <item x="214"/>
        <item x="93"/>
        <item x="221"/>
        <item x="85"/>
        <item x="47"/>
        <item x="13"/>
        <item x="97"/>
        <item x="349"/>
        <item x="51"/>
        <item x="186"/>
        <item x="134"/>
        <item x="233"/>
        <item x="126"/>
        <item x="162"/>
        <item x="243"/>
        <item x="240"/>
        <item x="327"/>
        <item x="228"/>
        <item x="331"/>
        <item x="107"/>
        <item x="83"/>
        <item x="348"/>
        <item x="347"/>
        <item x="191"/>
        <item x="35"/>
        <item x="204"/>
        <item x="339"/>
        <item x="7"/>
        <item x="207"/>
        <item x="192"/>
        <item x="269"/>
        <item x="157"/>
        <item x="258"/>
        <item x="312"/>
        <item x="57"/>
        <item x="150"/>
        <item x="56"/>
        <item x="22"/>
        <item x="98"/>
        <item x="172"/>
        <item x="294"/>
        <item x="113"/>
        <item x="86"/>
        <item x="201"/>
        <item x="60"/>
        <item x="189"/>
        <item x="250"/>
        <item x="307"/>
        <item x="335"/>
        <item x="277"/>
        <item x="53"/>
        <item x="245"/>
        <item x="48"/>
        <item x="279"/>
        <item x="323"/>
        <item x="61"/>
        <item x="147"/>
        <item x="90"/>
        <item x="286"/>
        <item x="285"/>
        <item x="20"/>
        <item x="87"/>
        <item x="283"/>
        <item x="203"/>
        <item x="82"/>
        <item x="220"/>
        <item x="136"/>
        <item x="315"/>
        <item x="70"/>
        <item x="195"/>
        <item x="139"/>
        <item x="270"/>
        <item x="158"/>
        <item x="306"/>
        <item x="210"/>
        <item x="99"/>
        <item x="173"/>
        <item x="125"/>
        <item x="167"/>
        <item x="194"/>
        <item x="36"/>
        <item x="44"/>
        <item x="310"/>
        <item x="143"/>
        <item x="281"/>
        <item x="213"/>
        <item x="224"/>
        <item x="166"/>
        <item x="156"/>
        <item x="110"/>
        <item x="71"/>
        <item x="66"/>
        <item x="177"/>
        <item x="253"/>
        <item x="152"/>
        <item x="41"/>
        <item x="6"/>
        <item x="297"/>
        <item x="132"/>
        <item x="345"/>
        <item x="145"/>
        <item x="235"/>
        <item x="205"/>
        <item x="21"/>
        <item x="29"/>
        <item x="284"/>
        <item x="67"/>
        <item x="256"/>
        <item x="296"/>
        <item x="115"/>
        <item x="225"/>
        <item x="282"/>
        <item x="27"/>
        <item x="260"/>
        <item x="313"/>
        <item x="32"/>
        <item x="23"/>
        <item x="334"/>
        <item x="75"/>
        <item x="92"/>
        <item x="185"/>
        <item x="236"/>
        <item x="326"/>
        <item x="129"/>
        <item x="160"/>
        <item x="273"/>
        <item x="111"/>
        <item x="14"/>
        <item x="275"/>
        <item x="170"/>
        <item x="302"/>
        <item x="336"/>
        <item x="79"/>
        <item x="241"/>
        <item x="9"/>
        <item x="105"/>
        <item x="30"/>
        <item x="211"/>
        <item x="263"/>
        <item x="295"/>
        <item x="227"/>
        <item x="354"/>
        <item x="131"/>
        <item x="8"/>
        <item x="229"/>
        <item x="55"/>
        <item x="290"/>
        <item x="31"/>
        <item x="251"/>
        <item x="19"/>
        <item x="3"/>
        <item x="174"/>
        <item x="208"/>
        <item x="288"/>
        <item x="230"/>
        <item x="38"/>
        <item x="15"/>
        <item x="171"/>
        <item x="135"/>
        <item x="342"/>
        <item x="190"/>
        <item x="319"/>
        <item x="257"/>
        <item x="261"/>
        <item x="169"/>
        <item x="252"/>
        <item x="112"/>
        <item x="74"/>
        <item x="324"/>
        <item x="262"/>
        <item x="264"/>
        <item x="120"/>
        <item x="255"/>
        <item x="300"/>
        <item x="50"/>
        <item x="218"/>
        <item x="187"/>
        <item x="64"/>
        <item x="242"/>
        <item x="316"/>
        <item x="130"/>
        <item x="340"/>
        <item x="46"/>
        <item x="215"/>
        <item x="246"/>
        <item x="121"/>
        <item x="39"/>
        <item x="161"/>
        <item x="271"/>
        <item x="34"/>
        <item x="159"/>
        <item x="329"/>
        <item x="330"/>
        <item x="88"/>
        <item x="138"/>
        <item x="58"/>
        <item x="259"/>
        <item x="325"/>
        <item x="116"/>
        <item x="317"/>
        <item x="2"/>
        <item x="217"/>
        <item x="301"/>
        <item x="91"/>
        <item x="127"/>
        <item x="351"/>
        <item x="18"/>
        <item x="54"/>
        <item x="59"/>
        <item x="89"/>
        <item x="193"/>
        <item x="212"/>
        <item x="128"/>
        <item x="94"/>
        <item x="148"/>
        <item x="114"/>
        <item x="109"/>
        <item x="244"/>
        <item x="153"/>
        <item x="12"/>
        <item x="272"/>
        <item x="95"/>
        <item x="223"/>
        <item x="73"/>
        <item x="26"/>
        <item x="209"/>
        <item x="197"/>
        <item x="123"/>
        <item x="155"/>
        <item x="202"/>
        <item x="344"/>
        <item x="249"/>
        <item x="154"/>
        <item x="265"/>
        <item x="355"/>
        <item x="176"/>
        <item x="303"/>
        <item x="122"/>
        <item x="65"/>
        <item x="247"/>
        <item x="266"/>
        <item x="280"/>
        <item x="239"/>
        <item x="237"/>
        <item x="179"/>
        <item x="343"/>
        <item x="248"/>
        <item x="267"/>
        <item x="149"/>
        <item x="68"/>
        <item x="144"/>
        <item t="default"/>
      </items>
    </pivotField>
    <pivotField showAll="0"/>
    <pivotField dataField="1" numFmtId="2" showAll="0"/>
    <pivotField dataField="1" numFmtId="2" showAll="0"/>
    <pivotField axis="axisCol" showAll="0">
      <items count="3">
        <item x="1"/>
        <item x="0"/>
        <item t="default"/>
      </items>
    </pivotField>
    <pivotField showAll="0"/>
    <pivotField dataField="1" dragToRow="0" dragToCol="0" dragToPage="0" showAll="0" defaultSubtotal="0"/>
  </pivotFields>
  <rowFields count="1">
    <field x="-2"/>
  </rowFields>
  <rowItems count="4">
    <i>
      <x/>
    </i>
    <i i="1">
      <x v="1"/>
    </i>
    <i i="2">
      <x v="2"/>
    </i>
    <i i="3">
      <x v="3"/>
    </i>
  </rowItems>
  <colFields count="1">
    <field x="13"/>
  </colFields>
  <colItems count="2">
    <i>
      <x/>
    </i>
    <i>
      <x v="1"/>
    </i>
  </colItems>
  <dataFields count="4">
    <dataField name="Average of LineAmount" fld="9" subtotal="average" baseField="13" baseItem="0" numFmtId="2"/>
    <dataField name="Average of TotalCost" fld="11" subtotal="average" baseField="13" baseItem="0" numFmtId="2"/>
    <dataField name="Average of GrossProfit" fld="12" subtotal="average" baseField="13" baseItem="0" numFmtId="2"/>
    <dataField name="Sum of GM%" fld="15" baseField="13" baseItem="0" numFmtId="168"/>
  </dataFields>
  <formats count="2">
    <format dxfId="28">
      <pivotArea collapsedLevelsAreSubtotals="1" fieldPosition="0">
        <references count="2">
          <reference field="4294967294" count="1">
            <x v="3"/>
          </reference>
          <reference field="13" count="1" selected="0">
            <x v="0"/>
          </reference>
        </references>
      </pivotArea>
    </format>
    <format dxfId="27">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9E3996-9C87-43FF-BA0C-C46EE640349C}" name="grp order freq"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27:B139" firstHeaderRow="1" firstDataRow="1" firstDataCol="1"/>
  <pivotFields count="16">
    <pivotField showAll="0"/>
    <pivotField numFmtId="22" showAll="0"/>
    <pivotField showAll="0">
      <items count="4">
        <item x="0"/>
        <item x="2"/>
        <item x="1"/>
        <item t="default"/>
      </items>
    </pivotField>
    <pivotField showAll="0"/>
    <pivotField showAll="0"/>
    <pivotField showAll="0">
      <items count="4">
        <item x="0"/>
        <item x="1"/>
        <item x="2"/>
        <item t="default"/>
      </items>
    </pivotField>
    <pivotField showAll="0"/>
    <pivotField numFmtId="14" showAll="0"/>
    <pivotField showAll="0"/>
    <pivotField showAll="0"/>
    <pivotField axis="axisRow" dataField="1" showAll="0" sortType="ascending">
      <items count="16">
        <item x="0"/>
        <item x="11"/>
        <item x="3"/>
        <item x="9"/>
        <item x="7"/>
        <item x="13"/>
        <item x="14"/>
        <item x="4"/>
        <item x="2"/>
        <item x="6"/>
        <item x="12"/>
        <item x="8"/>
        <item x="10"/>
        <item x="1"/>
        <item x="5"/>
        <item t="default"/>
      </items>
      <autoSortScope>
        <pivotArea dataOnly="0" outline="0" fieldPosition="0">
          <references count="1">
            <reference field="4294967294" count="1" selected="0">
              <x v="0"/>
            </reference>
          </references>
        </pivotArea>
      </autoSortScope>
    </pivotField>
    <pivotField numFmtId="2" showAll="0"/>
    <pivotField numFmtId="2" showAll="0"/>
    <pivotField showAll="0"/>
    <pivotField showAll="0"/>
    <pivotField dragToRow="0" dragToCol="0" dragToPage="0" showAll="0" defaultSubtotal="0"/>
  </pivotFields>
  <rowFields count="1">
    <field x="10"/>
  </rowFields>
  <rowItems count="12">
    <i>
      <x v="11"/>
    </i>
    <i>
      <x v="3"/>
    </i>
    <i>
      <x v="10"/>
    </i>
    <i>
      <x v="4"/>
    </i>
    <i>
      <x v="13"/>
    </i>
    <i>
      <x v="8"/>
    </i>
    <i>
      <x v="9"/>
    </i>
    <i>
      <x v="5"/>
    </i>
    <i>
      <x v="12"/>
    </i>
    <i>
      <x v="1"/>
    </i>
    <i>
      <x v="7"/>
    </i>
    <i t="grand">
      <x/>
    </i>
  </rowItems>
  <colItems count="1">
    <i/>
  </colItems>
  <dataFields count="1">
    <dataField name="Count of ItemList" fld="10" subtotal="count" baseField="0" baseItem="0"/>
  </dataFields>
  <chartFormats count="7">
    <chartFormat chart="0"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aptionContains" evalOrder="-1" id="1" stringValue1="+">
      <autoFilter ref="A1">
        <filterColumn colId="0">
          <customFilters>
            <customFilter val="*+*"/>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D6FE8D6-05D7-4BEF-B867-E87C361AC280}"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C42"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Distinct Count of OrderID" fld="1" subtotal="count" baseField="0" baseItem="0">
      <extLst>
        <ext xmlns:x15="http://schemas.microsoft.com/office/spreadsheetml/2010/11/main" uri="{FABC7310-3BB5-11E1-824E-6D434824019B}">
          <x15:dataField isCountDistinct="1"/>
        </ext>
      </extLst>
    </dataField>
    <dataField name="Distinct Count of OrderID2" fld="3" subtotal="count" showDataAs="percentOfTotal" baseField="0" baseItem="0" numFmtId="10">
      <extLst>
        <ext xmlns:x14="http://schemas.microsoft.com/office/spreadsheetml/2009/9/main" uri="{E15A36E0-9728-4e99-A89B-3F7291B0FE68}">
          <x14:dataField sourceField="1" uniqueName="[__Xl2].[Measures].[Distinct Count of OrderID 2]"/>
        </ext>
        <ext xmlns:x15="http://schemas.microsoft.com/office/spreadsheetml/2010/11/main" uri="{FABC7310-3BB5-11E1-824E-6D434824019B}">
          <x15:dataField isCountDistinct="1"/>
        </ext>
      </extLst>
    </dataField>
  </dataField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ID2"/>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yantikaChowdhury_Answers_Day6.xlsx!orderlinesTABLE">
        <x15:activeTabTopLevelEntity name="[orderlin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92B6D17-C126-4061-BE80-1F1EB2C66ABC}" name="avg ticket size of combo kpi"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6:B79" firstHeaderRow="1" firstDataRow="1" firstDataCol="1"/>
  <pivotFields count="16">
    <pivotField showAll="0"/>
    <pivotField numFmtId="22" showAll="0"/>
    <pivotField showAll="0">
      <items count="4">
        <item x="0"/>
        <item x="2"/>
        <item x="1"/>
        <item t="default"/>
      </items>
    </pivotField>
    <pivotField showAll="0"/>
    <pivotField showAll="0"/>
    <pivotField showAll="0">
      <items count="4">
        <item x="0"/>
        <item x="1"/>
        <item x="2"/>
        <item t="default"/>
      </items>
    </pivotField>
    <pivotField showAll="0"/>
    <pivotField numFmtId="14" showAll="0"/>
    <pivotField showAll="0"/>
    <pivotField dataField="1" showAll="0"/>
    <pivotField showAll="0"/>
    <pivotField numFmtId="2" showAll="0"/>
    <pivotField numFmtId="2" showAll="0"/>
    <pivotField axis="axisRow" showAll="0">
      <items count="3">
        <item x="1"/>
        <item x="0"/>
        <item t="default"/>
      </items>
    </pivotField>
    <pivotField showAll="0"/>
    <pivotField dragToRow="0" dragToCol="0" dragToPage="0" showAll="0" defaultSubtotal="0"/>
  </pivotFields>
  <rowFields count="1">
    <field x="13"/>
  </rowFields>
  <rowItems count="3">
    <i>
      <x/>
    </i>
    <i>
      <x v="1"/>
    </i>
    <i t="grand">
      <x/>
    </i>
  </rowItems>
  <colItems count="1">
    <i/>
  </colItems>
  <dataFields count="1">
    <dataField name="Average of LineAmount" fld="9" subtotal="average" baseField="1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BC6316A-872C-45C1-9878-77943897E72A}"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B56" firstHeaderRow="1" firstDataRow="1" firstDataCol="1"/>
  <pivotFields count="3">
    <pivotField dataField="1" subtotalTop="0" showAll="0" defaultSubtotal="0"/>
    <pivotField axis="axisRow" allDrilled="1" subtotalTop="0" showAll="0"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4">
        <item x="0"/>
        <item x="1"/>
        <item x="2"/>
        <item x="3"/>
      </items>
    </pivotField>
  </pivotFields>
  <rowFields count="2">
    <field x="2"/>
    <field x="1"/>
  </rowFields>
  <rowItems count="24">
    <i>
      <x/>
    </i>
    <i r="1">
      <x v="4"/>
    </i>
    <i r="1">
      <x/>
    </i>
    <i r="1">
      <x v="2"/>
    </i>
    <i r="1">
      <x v="3"/>
    </i>
    <i r="1">
      <x v="1"/>
    </i>
    <i>
      <x v="1"/>
    </i>
    <i r="1">
      <x v="6"/>
    </i>
    <i r="1">
      <x v="5"/>
    </i>
    <i r="1">
      <x v="7"/>
    </i>
    <i r="1">
      <x v="8"/>
    </i>
    <i>
      <x v="2"/>
    </i>
    <i r="1">
      <x v="12"/>
    </i>
    <i r="1">
      <x v="9"/>
    </i>
    <i r="1">
      <x v="13"/>
    </i>
    <i r="1">
      <x v="10"/>
    </i>
    <i r="1">
      <x v="11"/>
    </i>
    <i>
      <x v="3"/>
    </i>
    <i r="1">
      <x v="18"/>
    </i>
    <i r="1">
      <x v="14"/>
    </i>
    <i r="1">
      <x v="16"/>
    </i>
    <i r="1">
      <x v="17"/>
    </i>
    <i r="1">
      <x v="15"/>
    </i>
    <i t="grand">
      <x/>
    </i>
  </rowItems>
  <colItems count="1">
    <i/>
  </colItems>
  <dataFields count="1">
    <dataField name="Distinct Count of OrderID" fld="0" subtotal="count" baseField="2" baseItem="0">
      <extLst>
        <ext xmlns:x15="http://schemas.microsoft.com/office/spreadsheetml/2010/11/main" uri="{FABC7310-3BB5-11E1-824E-6D434824019B}">
          <x15:dataField isCountDistinct="1"/>
        </ext>
      </extLst>
    </dataField>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ID"/>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yantikaChowdhury_Answers_Day6.xlsx!orderlinesTABLE">
        <x15:activeTabTopLevelEntity name="[orderlin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EB974DC-43B0-4B06-BF17-67190404C50B}"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E27" firstHeaderRow="0" firstDataRow="1" firstDataCol="1"/>
  <pivotFields count="20">
    <pivotField showAll="0"/>
    <pivotField showAll="0"/>
    <pivotField showAll="0"/>
    <pivotField numFmtId="2" showAll="0"/>
    <pivotField showAll="0"/>
    <pivotField numFmtId="2" showAll="0"/>
    <pivotField numFmtId="166" showAll="0"/>
    <pivotField showAll="0">
      <items count="4">
        <item x="0"/>
        <item x="2"/>
        <item x="1"/>
        <item t="default"/>
      </items>
    </pivotField>
    <pivotField showAll="0"/>
    <pivotField dataField="1" showAll="0"/>
    <pivotField showAll="0"/>
    <pivotField showAll="0">
      <items count="4">
        <item x="0"/>
        <item x="1"/>
        <item x="2"/>
        <item t="default"/>
      </items>
    </pivotField>
    <pivotField showAll="0"/>
    <pivotField axis="axisRow" showAll="0">
      <items count="3">
        <item x="1"/>
        <item x="0"/>
        <item t="default"/>
      </items>
    </pivotField>
    <pivotField showAll="0"/>
    <pivotField dataField="1" showAll="0"/>
    <pivotField dataField="1" showAll="0"/>
    <pivotField showAll="0"/>
    <pivotField showAll="0"/>
    <pivotField dataField="1" numFmtId="9" showAll="0"/>
  </pivotFields>
  <rowFields count="1">
    <field x="13"/>
  </rowFields>
  <rowItems count="3">
    <i>
      <x/>
    </i>
    <i>
      <x v="1"/>
    </i>
    <i t="grand">
      <x/>
    </i>
  </rowItems>
  <colFields count="1">
    <field x="-2"/>
  </colFields>
  <colItems count="4">
    <i>
      <x/>
    </i>
    <i i="1">
      <x v="1"/>
    </i>
    <i i="2">
      <x v="2"/>
    </i>
    <i i="3">
      <x v="3"/>
    </i>
  </colItems>
  <dataFields count="4">
    <dataField name="Average of LineNetAmount" fld="9" subtotal="average" baseField="13" baseItem="0" numFmtId="167"/>
    <dataField name="Average of totalCOST" fld="15" subtotal="average" baseField="13" baseItem="0" numFmtId="167"/>
    <dataField name="Average of Profit" fld="16" subtotal="average" baseField="13" baseItem="0" numFmtId="167"/>
    <dataField name="Average of GM%" fld="19" subtotal="average" baseField="13" baseItem="0" numFmtId="9"/>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1CCD13E-FFA7-4773-BCA4-93C98E4A871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E19"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pageFields count="1">
    <pageField fld="0" hier="13" name="[orderlinesTABLE].[ComboFlag].&amp;[Combo]" cap="Combo"/>
  </pageFields>
  <dataFields count="1">
    <dataField name="Distinct Count of OrderID" fld="2" subtotal="count" showDataAs="percentOfCol" baseField="1" baseItem="0" numFmtId="10">
      <extLst>
        <ext xmlns:x15="http://schemas.microsoft.com/office/spreadsheetml/2010/11/main" uri="{FABC7310-3BB5-11E1-824E-6D434824019B}">
          <x15:dataField isCountDistinct="1"/>
        </ext>
      </extLst>
    </dataField>
  </dataField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members count="1" level="1">
        <member name="[orderlinesTABLE].[ComboFlag].&amp;[Comb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OrderID"/>
    <pivotHierarchy dragToData="1"/>
    <pivotHierarchy dragToData="1"/>
    <pivotHierarchy dragToData="1"/>
  </pivotHierarchies>
  <pivotTableStyleInfo name="PivotStyleMedium12"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yantikaChowdhury_Answers_Day6.xlsx!orderlinesTABLE">
        <x15:activeTabTopLevelEntity name="[orderlin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FBBA350-7ED6-47D3-8610-C2BF93E618DD}"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19" firstHeaderRow="1" firstDataRow="1" firstDataCol="1" rowPageCount="1" colPageCount="1"/>
  <pivotFields count="4">
    <pivotField axis="axisRow" allDrilled="1" subtotalTop="0" showAll="0" dataSourceSort="1" defaultSubtotal="0" defaultAttributeDrillState="1">
      <items count="3">
        <item x="0"/>
        <item x="1"/>
        <item x="2"/>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pageFields count="1">
    <pageField fld="1" hier="13" name="[orderlinesTABLE].[ComboFlag].&amp;[Combo]" cap="Combo"/>
  </pageFields>
  <dataFields count="1">
    <dataField name="Distinct Count of OrderID" fld="2" subtotal="count" showDataAs="percentOfCol" baseField="0" baseItem="0" numFmtId="10">
      <extLst>
        <ext xmlns:x15="http://schemas.microsoft.com/office/spreadsheetml/2010/11/main" uri="{FABC7310-3BB5-11E1-824E-6D434824019B}">
          <x15:dataField isCountDistinct="1"/>
        </ext>
      </extLst>
    </dataField>
  </dataFields>
  <pivotHierarchies count="4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members count="1" level="1">
        <member name="[orderlinesTABLE].[ComboFlag].&amp;[Comb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OrderID"/>
    <pivotHierarchy dragToData="1" caption="Distinct Count of OrderID"/>
    <pivotHierarchy dragToData="1"/>
    <pivotHierarchy dragToData="1"/>
    <pivotHierarchy dragToData="1"/>
  </pivotHierarchies>
  <pivotTableStyleInfo name="PivotStyleMedium5"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yantikaChowdhury_Answers_Day6.xlsx!orderlinesTABLE">
        <x15:activeTabTopLevelEntity name="[orderlin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3B29D18-DCC6-4B03-A12B-5836FE3EE259}"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K6" firstHeaderRow="1" firstDataRow="1" firstDataCol="0" rowPageCount="3"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Items count="1">
    <i/>
  </rowItems>
  <colItems count="1">
    <i/>
  </colItems>
  <pageFields count="3">
    <pageField fld="0" hier="11" name="[orderlinesTABLE].[Shift].&amp;[Lunch]" cap="Lunch"/>
    <pageField fld="1" hier="7" name="[orderlinesTABLE].[Branch].&amp;[Head Office Café]" cap="Head Office Café"/>
    <pageField fld="2" hier="10" name="[orderlinesTABLE].[MonthName].&amp;[August]" cap="August"/>
  </pageFields>
  <dataFields count="1">
    <dataField name="Sum of LineNetAmount" fld="3" baseField="0" baseItem="0"/>
  </dataFields>
  <pivotHierarchies count="43">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linesTABLE].[Branch].&amp;[Head Office Café]"/>
      </members>
    </pivotHierarchy>
    <pivotHierarchy dragToData="1"/>
    <pivotHierarchy dragToData="1"/>
    <pivotHierarchy multipleItemSelectionAllowed="1" dragToData="1">
      <members count="1" level="1">
        <member name="[orderlinesTABLE].[MonthName].&amp;[August]"/>
      </members>
    </pivotHierarchy>
    <pivotHierarchy multipleItemSelectionAllowed="1" dragToData="1">
      <members count="1" level="1">
        <member name="[orderlinesTABLE].[Shift].&amp;[Lunc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yantikaChowdhury_Answers_Day6.xlsx!orderlinesTABLE">
        <x15:activeTabTopLevelEntity name="[orderlines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A2C10414-D284-45A7-8A59-C3E1C27CDF0D}" sourceName="[orderlinesTABLE].[Shift]">
  <pivotTables>
    <pivotTable tabId="13" name="PivotTable2"/>
    <pivotTable tabId="14" name="PivotTable5"/>
    <pivotTable tabId="14" name="PivotTable1"/>
  </pivotTables>
  <data>
    <olap pivotCacheId="910870656">
      <levels count="2">
        <level uniqueName="[orderlinesTABLE].[Shift].[(All)]" sourceCaption="(All)" count="0"/>
        <level uniqueName="[orderlinesTABLE].[Shift].[Shift]" sourceCaption="Shift" count="3">
          <ranges>
            <range startItem="0">
              <i n="[orderlinesTABLE].[Shift].&amp;[Breakfast]" c="Breakfast"/>
              <i n="[orderlinesTABLE].[Shift].&amp;[Dinner]" c="Dinner"/>
              <i n="[orderlinesTABLE].[Shift].&amp;[Lunch]" c="Lunch"/>
            </range>
          </ranges>
        </level>
      </levels>
      <selections count="1">
        <selection n="[orderlinesTABLE].[Shif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0F097219-1827-4219-AA89-9559726CAC01}" sourceName="[orderlinesTABLE].[Branch]">
  <pivotTables>
    <pivotTable tabId="13" name="PivotTable2"/>
    <pivotTable tabId="14" name="PivotTable5"/>
    <pivotTable tabId="14" name="PivotTable1"/>
  </pivotTables>
  <data>
    <olap pivotCacheId="910870656">
      <levels count="2">
        <level uniqueName="[orderlinesTABLE].[Branch].[(All)]" sourceCaption="(All)" count="0"/>
        <level uniqueName="[orderlinesTABLE].[Branch].[Branch]" sourceCaption="Branch" count="3">
          <ranges>
            <range startItem="0">
              <i n="[orderlinesTABLE].[Branch].&amp;[Head Office Café]" c="Head Office Café"/>
              <i n="[orderlinesTABLE].[Branch].&amp;[Plant 1 Canteen]" c="Plant 1 Canteen"/>
              <i n="[orderlinesTABLE].[Branch].&amp;[Plant 2 Canteen]" c="Plant 2 Canteen"/>
            </range>
          </ranges>
        </level>
      </levels>
      <selections count="1">
        <selection n="[orderlinesTABLE].[Branc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1DB5B4F7-024E-43D7-BE25-D18020C94EAD}" sourceName="Branch">
  <pivotTables>
    <pivotTable tabId="14" name="PivotTable6"/>
  </pivotTables>
  <data>
    <tabular pivotCacheId="152894223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 xr10:uid="{B9BE372E-3BB0-4924-9FFA-2F80387264DF}" sourceName="Shift">
  <pivotTables>
    <pivotTable tabId="14" name="PivotTable6"/>
  </pivotTables>
  <data>
    <tabular pivotCacheId="1528942237">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2" xr10:uid="{7831DB4C-4508-48F7-AC73-A2AFA901BADA}" sourceName="Branch">
  <pivotTables>
    <pivotTable tabId="13" name="avg ticket size of combo kpi"/>
    <pivotTable tabId="13" name="% of combo orders kpi"/>
    <pivotTable tabId="13" name="avg gross profit of combo kpi"/>
    <pivotTable tabId="13" name="combo % shift"/>
    <pivotTable tabId="13" name="combo to single matrix"/>
    <pivotTable tabId="13" name="grp order freq"/>
    <pivotTable tabId="13" name="Total combos KPI"/>
  </pivotTables>
  <data>
    <tabular pivotCacheId="762917309">
      <items count="3">
        <i x="0"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2" xr10:uid="{8D25B39A-E502-4708-BDF2-40598FFED155}" sourceName="Shift">
  <pivotTables>
    <pivotTable tabId="13" name="avg ticket size of combo kpi"/>
    <pivotTable tabId="13" name="% of combo orders kpi"/>
    <pivotTable tabId="13" name="avg gross profit of combo kpi"/>
    <pivotTable tabId="13" name="combo % branch"/>
    <pivotTable tabId="13" name="combo to single matrix"/>
    <pivotTable tabId="13" name="grp order freq"/>
    <pivotTable tabId="13" name="Total combos KPI"/>
  </pivotTables>
  <data>
    <tabular pivotCacheId="7629173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1491ABE8-4042-4B8B-9B59-F69FD5B25416}" cache="Slicer_Branch2" caption="Branch" rowHeight="234950"/>
  <slicer name="Shift" xr10:uid="{6A320D2D-C62F-4735-BAE5-2499C1FB608F}" cache="Slicer_Shift2" caption="Shif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3" xr10:uid="{76F1367C-B1B7-4710-86D1-EA2E11362342}" cache="Slicer_Branch2" caption="Branch" style="SlicerStyleLight2" rowHeight="234950"/>
  <slicer name="Shift 3" xr10:uid="{83C9392A-3E39-4E33-95CD-FEE01DB46FC1}" cache="Slicer_Shift2" caption="Shift" style="SlicerStyleLigh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 1" xr10:uid="{A45DDBE8-4728-41DE-9ACF-A2F9B7713866}" cache="Slicer_Shift" caption="Shift" level="1" style="SlicerStyleDark4" rowHeight="234950"/>
  <slicer name="Branch 1" xr10:uid="{0C8FB620-6EFE-4A59-9449-4C70C9E5F937}" cache="Slicer_Branch" caption="Branch" level="1" style="SlicerStyleDark4" rowHeight="234950"/>
  <slicer name="Branch 2" xr10:uid="{605B7762-182D-4522-A7BF-21063F2CFDDE}" cache="Slicer_Branch1" caption="Branch" style="SlicerStyleDark4" rowHeight="234950"/>
  <slicer name="Shift 2" xr10:uid="{9DD5AB05-ED95-4645-9AA7-2F825B20BDAE}" cache="Slicer_Shift1" caption="Shift"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6D6A96-8361-4C5F-80C7-3326F80A7731}" name="Table3" displayName="Table3" ref="A1:O361" totalsRowShown="0" headerRowDxfId="55">
  <autoFilter ref="A1:O361" xr:uid="{9F6D6A96-8361-4C5F-80C7-3326F80A7731}"/>
  <tableColumns count="15">
    <tableColumn id="1" xr3:uid="{6EB9C4C3-ADAD-4CC6-BF72-658E2BC5B508}" name="OrderID"/>
    <tableColumn id="2" xr3:uid="{B42AA900-F566-46C6-A4E1-35B4E0E45449}" name="OrderDateTime" dataDxfId="54"/>
    <tableColumn id="3" xr3:uid="{4CC5D2E4-8183-443A-9BDA-459C9BE63295}" name="Branch"/>
    <tableColumn id="4" xr3:uid="{8184322F-9215-4380-A74C-0B56C86DDFB1}" name="CustomerType"/>
    <tableColumn id="5" xr3:uid="{6B2E002E-CDAD-425B-97C4-3E8B003912AE}" name="PaymentType"/>
    <tableColumn id="6" xr3:uid="{F10E959B-1064-495C-BA0F-91FC2F189532}" name="Shift"/>
    <tableColumn id="7" xr3:uid="{BD5D199B-0DC1-48FF-A815-2EF2DD9EBC13}" name="DiscountPct"/>
    <tableColumn id="8" xr3:uid="{5647773C-10A3-4149-B624-F2C3242206FA}" name="OrderDate" dataDxfId="53">
      <calculatedColumnFormula>INT($B2)</calculatedColumnFormula>
    </tableColumn>
    <tableColumn id="9" xr3:uid="{0546C36F-05EA-42DC-BBD1-99F96FC4B3FA}" name="Has beverage" dataDxfId="52">
      <calculatedColumnFormula>IF(COUNTIFS([0]!OrderID,Table3[[#This Row],[OrderID]],[0]!Category,"beverage")&gt;0,"yes","no")</calculatedColumnFormula>
    </tableColumn>
    <tableColumn id="13" xr3:uid="{0F0530BE-6513-43BC-811F-D0D1FC6D8B7A}" name="LineAmount" dataDxfId="51">
      <calculatedColumnFormula>SUMIFS([0]!LineNetAmount,[0]!OrderID,Table3[[#This Row],[OrderID]])</calculatedColumnFormula>
    </tableColumn>
    <tableColumn id="10" xr3:uid="{2414DD50-2CE0-4F2E-A235-4E39396CD2F1}" name="ItemList" dataDxfId="50">
      <calculatedColumnFormula array="1">_xlfn.TEXTJOIN("+",,_xlfn._xlws.SORT(_xlfn.UNIQUE(_xlfn._xlws.FILTER([0]!Category,[0]!OrderID=Table3[[#This Row],[OrderID]]))))</calculatedColumnFormula>
    </tableColumn>
    <tableColumn id="11" xr3:uid="{48CB4F6F-2C54-4BC6-AFD6-91BE56C99DB7}" name="TotalCost" dataDxfId="49">
      <calculatedColumnFormula>SUMIFS([0]!FoodCost,[0]!OrderID,Table3[[#This Row],[OrderID]])</calculatedColumnFormula>
    </tableColumn>
    <tableColumn id="12" xr3:uid="{547E6656-7E21-4592-A028-E5665BF80B1A}" name="GrossProfit" dataDxfId="48">
      <calculatedColumnFormula>Table3[[#This Row],[LineAmount]]-Table3[[#This Row],[TotalCost]]</calculatedColumnFormula>
    </tableColumn>
    <tableColumn id="14" xr3:uid="{8FB115A1-BEBB-4004-B48B-CC91A07A465F}" name="combo flag" dataDxfId="47">
      <calculatedColumnFormula>IF(AND(COUNTIFS([0]!OrderID,Table3[[#This Row],[OrderID]],[0]!Category,"hot meal")&gt;0,COUNTIFS([0]!OrderID,Table3[[#This Row],[OrderID]],[0]!Category,"beverage")&gt;0),"combo","single")</calculatedColumnFormula>
    </tableColumn>
    <tableColumn id="15" xr3:uid="{05300855-9FDD-4FC5-A392-D00EDD80A5E8}" name="discount flag" dataDxfId="46">
      <calculatedColumnFormula>IF((Table3[[#This Row],[LineAmount]]/(1-Table3[[#This Row],[DiscountPct]]))*Table3[[#This Row],[DiscountPct]]&gt;40,"High Disc","OK")</calculatedColumnFormula>
    </tableColumn>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5DCFD5-9BFA-494A-960B-82963B289895}" name="orderlinesTABLE" displayName="orderlinesTABLE" ref="A1:U925" totalsRowShown="0">
  <autoFilter ref="A1:U925" xr:uid="{AA5DCFD5-9BFA-494A-960B-82963B289895}"/>
  <tableColumns count="21">
    <tableColumn id="1" xr3:uid="{2D681013-4362-430D-9609-E690C0C759A6}" name="OrderID" dataDxfId="45"/>
    <tableColumn id="2" xr3:uid="{BD282D50-3337-489B-9156-4CC6AB9AC771}" name="SKU" dataDxfId="44"/>
    <tableColumn id="3" xr3:uid="{C81618E2-A440-4EBF-8765-FA5073EA08EE}" name="Qty" dataDxfId="43"/>
    <tableColumn id="4" xr3:uid="{EC5345DD-F35C-4262-A67A-2B5C9123768F}" name="UnitPrice" dataDxfId="42">
      <calculatedColumnFormula>VLOOKUP($B2,Menu!$A$1:$F$20,MATCH($D$1,Menu!$A$1:$F$1,0),0)</calculatedColumnFormula>
    </tableColumn>
    <tableColumn id="5" xr3:uid="{DEE70CF7-C3ED-4B90-8B0B-F80AF82FFDB9}" name="Category" dataDxfId="41">
      <calculatedColumnFormula>VLOOKUP($B2,Menu!$A$1:$F$20,MATCH(OrderLines!E$1,Menu!$A$1:$F$1,0),0)</calculatedColumnFormula>
    </tableColumn>
    <tableColumn id="6" xr3:uid="{52D981A5-54D1-42C0-B086-6BF6761165AB}" name="UnitCost" dataDxfId="40">
      <calculatedColumnFormula>VLOOKUP($B2,Menu!$A$1:$F$20,MATCH(OrderLines!F$1,Menu!$A$1:$F$1,0),0)</calculatedColumnFormula>
    </tableColumn>
    <tableColumn id="7" xr3:uid="{2217AACA-CC4B-4501-8B8B-D83CDC04A69A}" name="OrderDate" dataDxfId="39">
      <calculatedColumnFormula>VLOOKUP($A2,Orders!$A$1:$H$361,MATCH($G$1,Orders!$A$1:$H$1,0),0)</calculatedColumnFormula>
    </tableColumn>
    <tableColumn id="8" xr3:uid="{89A5DE39-A014-4E24-A63C-717B5E44AF7C}" name="Branch" dataDxfId="38">
      <calculatedColumnFormula>VLOOKUP($A2,Orders!$A$1:$H$361,MATCH(OrderLines!$H$1,Orders!$A$1:$H$1,0),0)</calculatedColumnFormula>
    </tableColumn>
    <tableColumn id="9" xr3:uid="{3DC485CD-1396-41E2-925C-2F15EF071AA5}" name="DiscountPct" dataDxfId="37">
      <calculatedColumnFormula>VLOOKUP($A2,Orders!$A$1:$H$361,MATCH(OrderLines!$I$1,Orders!$A$1:$H$1,0),0)</calculatedColumnFormula>
    </tableColumn>
    <tableColumn id="10" xr3:uid="{AB61BBD1-6CC0-4D1E-B206-3711EF9AE208}" name="LineNetAmount" dataDxfId="36">
      <calculatedColumnFormula>$C2*$D2*(1-$I2)</calculatedColumnFormula>
    </tableColumn>
    <tableColumn id="11" xr3:uid="{73E02B5D-B5C2-4F10-B1BF-17B46FF86CB8}" name="MonthName" dataDxfId="35">
      <calculatedColumnFormula>TEXT($G2,"mmmm")</calculatedColumnFormula>
    </tableColumn>
    <tableColumn id="12" xr3:uid="{44D84C67-5D3E-40ED-BBC6-54591336AA74}" name="Shift" dataDxfId="34">
      <calculatedColumnFormula>VLOOKUP(OrderLines!$A2,Orders!$A$1:$H$361,MATCH(OrderLines!$L$1,Orders!$A$1:$H$1,0),0)</calculatedColumnFormula>
    </tableColumn>
    <tableColumn id="13" xr3:uid="{08B57935-A641-4092-82F9-7233AF58BF6D}" name="PaymentType">
      <calculatedColumnFormula>VLOOKUP($A2,Orders!$A$1:$H$361,MATCH(OrderLines!$M$1,Orders!$A$1:$H$1,0),0)</calculatedColumnFormula>
    </tableColumn>
    <tableColumn id="14" xr3:uid="{66298D11-F8A7-4049-AEF9-03B2E005E672}" name="ComboFlag">
      <calculatedColumnFormula>IF(AND(COUNTIFS(OrderID,$A2,Category,"hot meal")&gt;=1,COUNTIFS(OrderID,$A2,Category,"beverage")&gt;=1),"Combo","Single")</calculatedColumnFormula>
    </tableColumn>
    <tableColumn id="15" xr3:uid="{C3F19AC5-C56C-4B0E-A95F-F7F5511D0508}" name="DiscountFlag">
      <calculatedColumnFormula array="1">IF((SUMPRODUCT((OrderID=OrderLines!$A2)*Qty*UnitPrice*DiscountPct))&gt;40,"HighDisc","OK")</calculatedColumnFormula>
    </tableColumn>
    <tableColumn id="16" xr3:uid="{04FECA2A-727B-4966-9E95-ECA3F12228DA}" name="totalCOST" dataDxfId="33">
      <calculatedColumnFormula>(orderlinesTABLE[[#This Row],[UnitCost]]*orderlinesTABLE[[#This Row],[Qty]])</calculatedColumnFormula>
    </tableColumn>
    <tableColumn id="17" xr3:uid="{21423A1E-6D58-414A-BD89-5B1E27E4EC78}" name="Profit" dataDxfId="32">
      <calculatedColumnFormula>(orderlinesTABLE[[#This Row],[LineNetAmount]]-orderlinesTABLE[[#This Row],[totalCOST]])</calculatedColumnFormula>
    </tableColumn>
    <tableColumn id="18" xr3:uid="{9E0C7DFD-5170-4F0E-B721-3E5741068160}" name="ItemName" dataDxfId="31">
      <calculatedColumnFormula>VLOOKUP($B2,Menu!$A$1:$F$20,MATCH(OrderLines!R$1,Menu!$A$1:$F$1,0),0)</calculatedColumnFormula>
    </tableColumn>
    <tableColumn id="19" xr3:uid="{B6FF413F-15E0-47BD-9B39-919E3D864D73}" name="Combination" dataDxfId="30">
      <calculatedColumnFormula array="1">_xlfn.TEXTJOIN("+",TRUE,_xlfn._xlws.FILTER(orderlinesTABLE[ItemName],OrderID=orderlinesTABLE[[#This Row],[OrderID]]))</calculatedColumnFormula>
    </tableColumn>
    <tableColumn id="20" xr3:uid="{870CD85A-EA0A-45F4-9CAA-35DA56A59DF6}" name="GM%" dataCellStyle="Percent">
      <calculatedColumnFormula>orderlinesTABLE[[#This Row],[Profit]]/orderlinesTABLE[[#This Row],[LineNetAmount]]</calculatedColumnFormula>
    </tableColumn>
    <tableColumn id="21" xr3:uid="{990AA302-42FE-4BC1-9D9E-1BD716C2EF7B}" name="FoodCost" dataDxfId="29">
      <calculatedColumnFormula>(orderlinesTABLE[[#This Row],[Qty]]*orderlinesTABLE[[#This Row],[UnitCost]])</calculatedColumnFormula>
    </tableColumn>
  </tableColumns>
  <tableStyleInfo name="TableStyleLight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CA0FA9-ACDB-44DD-B491-FDD9634E44C5}" name="Table2" displayName="Table2" ref="A47:D51" totalsRowShown="0">
  <autoFilter ref="A47:D51" xr:uid="{01CA0FA9-ACDB-44DD-B491-FDD9634E44C5}"/>
  <tableColumns count="4">
    <tableColumn id="1" xr3:uid="{3246B758-9D93-4FD1-83A1-4EF6A20D9AA6}" name="Column1"/>
    <tableColumn id="2" xr3:uid="{93DA8CB7-92CD-42AA-BD8B-F3D1873A6EAB}" name="combo" dataDxfId="24"/>
    <tableColumn id="3" xr3:uid="{3B92CCD3-9AF0-4AC9-B71B-6D4BBCDD728E}" name="single" dataDxfId="23"/>
    <tableColumn id="4" xr3:uid="{5FA726A8-C6D2-4E77-BA33-B036D6D01503}" name="gap" dataDxfId="22">
      <calculatedColumnFormula>B48-C48</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24CA97-0CCA-4681-A74F-E82978F7060E}" name="Table5" displayName="Table5" ref="A1:F20" totalsRowShown="0" headerRowBorderDxfId="12" tableBorderDxfId="13">
  <autoFilter ref="A1:F20" xr:uid="{2C24CA97-0CCA-4681-A74F-E82978F7060E}"/>
  <tableColumns count="6">
    <tableColumn id="1" xr3:uid="{2AAC88B6-5341-47BD-9CFD-B7528845779E}" name="SKU"/>
    <tableColumn id="2" xr3:uid="{67D88C48-5267-472D-8141-C9FDEE2A8220}" name="ItemName"/>
    <tableColumn id="3" xr3:uid="{54FE06FB-094F-4C5C-9EAE-8D80DFDF6269}" name="Category"/>
    <tableColumn id="4" xr3:uid="{7F89331A-7CE2-4CDD-808E-50F016F45D0A}" name="SupplierID"/>
    <tableColumn id="5" xr3:uid="{1E80BE00-9E22-4B97-9BC0-797B5B6F6B92}" name="UnitCost"/>
    <tableColumn id="6" xr3:uid="{0D407C3D-6C57-4500-87D2-E219A0D666DE}" name="UnitPrice"/>
  </tableColumns>
  <tableStyleInfo name="TableStyleLight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834E20-9D53-4578-B398-C4C1D1D8882B}" name="Table4" displayName="Table4" ref="A1:E20" totalsRowShown="0" headerRowDxfId="14" headerRowBorderDxfId="16" tableBorderDxfId="17">
  <autoFilter ref="A1:E20" xr:uid="{13834E20-9D53-4578-B398-C4C1D1D8882B}"/>
  <tableColumns count="5">
    <tableColumn id="1" xr3:uid="{924156FA-7142-4C62-8BC3-23EF0DED3E3F}" name="SKU"/>
    <tableColumn id="2" xr3:uid="{2A0B24F5-CCFA-4211-9F01-2FD20B79F912}" name="OnHandQty"/>
    <tableColumn id="3" xr3:uid="{0CEAB24D-D98C-4364-BD7F-25DB5791F7AA}" name="ReorderPoint"/>
    <tableColumn id="4" xr3:uid="{6EE00D1F-CC3D-4409-9A93-6D8D5664C858}" name="LeadTimeDays"/>
    <tableColumn id="5" xr3:uid="{F102A34F-94E4-42EB-8D28-7EBA6F42A7D9}" name="LastRestockDate" dataDxfId="15"/>
  </tableColumns>
  <tableStyleInfo name="TableStyleLight3"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microsoft.com/office/2007/relationships/slicer" Target="../slicers/slicer1.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table" Target="../tables/table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drawing" Target="../drawings/drawing1.xml"/><Relationship Id="rId5" Type="http://schemas.openxmlformats.org/officeDocument/2006/relationships/pivotTable" Target="../pivotTables/pivotTable9.xml"/><Relationship Id="rId10" Type="http://schemas.openxmlformats.org/officeDocument/2006/relationships/printerSettings" Target="../printerSettings/printerSettings1.bin"/><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1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1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EBC0-0F11-45B2-8A82-CAFF1D8A612A}">
  <dimension ref="A1:Y361"/>
  <sheetViews>
    <sheetView topLeftCell="A2" workbookViewId="0">
      <selection activeCell="B7" sqref="A2:O361"/>
    </sheetView>
  </sheetViews>
  <sheetFormatPr defaultRowHeight="14.4" x14ac:dyDescent="0.3"/>
  <cols>
    <col min="1" max="1" width="9.44140625" customWidth="1"/>
    <col min="2" max="2" width="18.77734375" style="7" customWidth="1"/>
    <col min="3" max="3" width="14.77734375" bestFit="1" customWidth="1"/>
    <col min="4" max="4" width="16.77734375" customWidth="1"/>
    <col min="5" max="5" width="16.5546875" customWidth="1"/>
    <col min="7" max="7" width="14.44140625" customWidth="1"/>
    <col min="8" max="8" width="13.44140625" style="3" customWidth="1"/>
    <col min="9" max="9" width="16.109375" customWidth="1"/>
    <col min="10" max="10" width="14.88671875" customWidth="1"/>
    <col min="11" max="11" width="16.21875" customWidth="1"/>
    <col min="12" max="12" width="13.21875" style="39" customWidth="1"/>
    <col min="13" max="13" width="14.88671875" style="39" customWidth="1"/>
    <col min="14" max="14" width="14.88671875" customWidth="1"/>
    <col min="15" max="15" width="14.88671875" style="39" customWidth="1"/>
    <col min="16" max="16" width="15.44140625" bestFit="1" customWidth="1"/>
    <col min="17" max="17" width="10.33203125" bestFit="1" customWidth="1"/>
    <col min="19" max="19" width="10.6640625" customWidth="1"/>
    <col min="25" max="25" width="12.6640625" style="3" customWidth="1"/>
  </cols>
  <sheetData>
    <row r="1" spans="1:23" x14ac:dyDescent="0.3">
      <c r="A1" s="1" t="s">
        <v>0</v>
      </c>
      <c r="B1" s="6" t="s">
        <v>1</v>
      </c>
      <c r="C1" s="1" t="s">
        <v>2</v>
      </c>
      <c r="D1" s="1" t="s">
        <v>3</v>
      </c>
      <c r="E1" s="1" t="s">
        <v>4</v>
      </c>
      <c r="F1" s="1" t="s">
        <v>5</v>
      </c>
      <c r="G1" s="1" t="s">
        <v>7</v>
      </c>
      <c r="H1" s="8" t="s">
        <v>522</v>
      </c>
      <c r="I1" s="42" t="s">
        <v>610</v>
      </c>
      <c r="J1" s="42" t="s">
        <v>615</v>
      </c>
      <c r="K1" s="51" t="s">
        <v>611</v>
      </c>
      <c r="L1" s="71" t="s">
        <v>612</v>
      </c>
      <c r="M1" s="71" t="s">
        <v>613</v>
      </c>
      <c r="N1" s="51" t="s">
        <v>616</v>
      </c>
      <c r="O1" s="71" t="s">
        <v>617</v>
      </c>
      <c r="T1" t="s">
        <v>545</v>
      </c>
    </row>
    <row r="2" spans="1:23" x14ac:dyDescent="0.3">
      <c r="A2" t="s">
        <v>8</v>
      </c>
      <c r="B2" s="7">
        <v>45852.096203703702</v>
      </c>
      <c r="C2" t="s">
        <v>9</v>
      </c>
      <c r="D2" t="s">
        <v>10</v>
      </c>
      <c r="E2" t="s">
        <v>11</v>
      </c>
      <c r="F2" t="s">
        <v>12</v>
      </c>
      <c r="G2">
        <v>0.06</v>
      </c>
      <c r="H2" s="3">
        <f>INT($B2)</f>
        <v>45852</v>
      </c>
      <c r="I2" t="str">
        <f>IF(COUNTIFS([0]!OrderID,Table3[[#This Row],[OrderID]],[0]!Category,"beverage")&gt;0,"yes","no")</f>
        <v>no</v>
      </c>
      <c r="J2">
        <f>SUMIFS([0]!LineNetAmount,[0]!OrderID,Table3[[#This Row],[OrderID]])</f>
        <v>147.90900000000002</v>
      </c>
      <c r="K2" t="str" cm="1">
        <f t="array" ref="K2">_xlfn.TEXTJOIN("+",,_xlfn._xlws.SORT(_xlfn.UNIQUE(_xlfn._xlws.FILTER([0]!Category,[0]!OrderID=Table3[[#This Row],[OrderID]]))))</f>
        <v>Snack</v>
      </c>
      <c r="L2" s="39">
        <f>SUMIFS([0]!FoodCost,[0]!OrderID,Table3[[#This Row],[OrderID]])</f>
        <v>77.400000000000006</v>
      </c>
      <c r="M2" s="39">
        <f>Table3[[#This Row],[LineAmount]]-Table3[[#This Row],[TotalCost]]</f>
        <v>70.509000000000015</v>
      </c>
      <c r="N2" t="str">
        <f>IF(AND(COUNTIFS([0]!OrderID,Table3[[#This Row],[OrderID]],[0]!Category,"hot meal")&gt;0,COUNTIFS([0]!OrderID,Table3[[#This Row],[OrderID]],[0]!Category,"beverage")&gt;0),"combo","single")</f>
        <v>single</v>
      </c>
      <c r="O2" t="str">
        <f>IF((Table3[[#This Row],[LineAmount]]/(1-Table3[[#This Row],[DiscountPct]]))*Table3[[#This Row],[DiscountPct]]&gt;40,"High Disc","OK")</f>
        <v>OK</v>
      </c>
      <c r="P2" s="5"/>
      <c r="T2" t="s">
        <v>544</v>
      </c>
    </row>
    <row r="3" spans="1:23" x14ac:dyDescent="0.3">
      <c r="A3" t="s">
        <v>14</v>
      </c>
      <c r="B3" s="7">
        <v>45862.842685185176</v>
      </c>
      <c r="C3" t="s">
        <v>15</v>
      </c>
      <c r="D3" t="s">
        <v>16</v>
      </c>
      <c r="E3" t="s">
        <v>17</v>
      </c>
      <c r="F3" t="s">
        <v>18</v>
      </c>
      <c r="G3">
        <v>0.05</v>
      </c>
      <c r="H3" s="3">
        <f t="shared" ref="H3:H66" si="0">INT($B3)</f>
        <v>45862</v>
      </c>
      <c r="I3" t="str">
        <f>IF(COUNTIFS([0]!OrderID,Table3[[#This Row],[OrderID]],[0]!Category,"beverage")&gt;0,"yes","no")</f>
        <v>yes</v>
      </c>
      <c r="J3">
        <f>SUMIFS([0]!LineNetAmount,[0]!OrderID,Table3[[#This Row],[OrderID]])</f>
        <v>101.54549999999999</v>
      </c>
      <c r="K3" t="str" cm="1">
        <f t="array" ref="K3">_xlfn.TEXTJOIN("+",,_xlfn._xlws.SORT(_xlfn.UNIQUE(_xlfn._xlws.FILTER([0]!Category,[0]!OrderID=Table3[[#This Row],[OrderID]]))))</f>
        <v>Beverage+Dessert</v>
      </c>
      <c r="L3" s="39">
        <f>SUMIFS([0]!FoodCost,[0]!OrderID,Table3[[#This Row],[OrderID]])</f>
        <v>52.41</v>
      </c>
      <c r="M3" s="39">
        <f>Table3[[#This Row],[LineAmount]]-Table3[[#This Row],[TotalCost]]</f>
        <v>49.135499999999993</v>
      </c>
      <c r="N3" t="str">
        <f>IF(AND(COUNTIFS([0]!OrderID,Table3[[#This Row],[OrderID]],[0]!Category,"hot meal")&gt;0,COUNTIFS([0]!OrderID,Table3[[#This Row],[OrderID]],[0]!Category,"beverage")&gt;0),"combo","single")</f>
        <v>single</v>
      </c>
      <c r="O3" t="str">
        <f>IF((Table3[[#This Row],[LineAmount]]/(1-Table3[[#This Row],[DiscountPct]]))*Table3[[#This Row],[DiscountPct]]&gt;40,"High Disc","OK")</f>
        <v>OK</v>
      </c>
      <c r="P3" s="5"/>
      <c r="Q3" t="s">
        <v>607</v>
      </c>
    </row>
    <row r="4" spans="1:23" x14ac:dyDescent="0.3">
      <c r="A4" t="s">
        <v>20</v>
      </c>
      <c r="B4" s="7">
        <v>45848.661041666674</v>
      </c>
      <c r="C4" t="s">
        <v>9</v>
      </c>
      <c r="D4" t="s">
        <v>16</v>
      </c>
      <c r="E4" t="s">
        <v>21</v>
      </c>
      <c r="F4" t="s">
        <v>22</v>
      </c>
      <c r="G4">
        <v>0</v>
      </c>
      <c r="H4" s="3">
        <f t="shared" si="0"/>
        <v>45848</v>
      </c>
      <c r="I4" t="str">
        <f>IF(COUNTIFS([0]!OrderID,Table3[[#This Row],[OrderID]],[0]!Category,"beverage")&gt;0,"yes","no")</f>
        <v>yes</v>
      </c>
      <c r="J4">
        <f>SUMIFS([0]!LineNetAmount,[0]!OrderID,Table3[[#This Row],[OrderID]])</f>
        <v>668.96</v>
      </c>
      <c r="K4" t="str" cm="1">
        <f t="array" ref="K4">_xlfn.TEXTJOIN("+",,_xlfn._xlws.SORT(_xlfn.UNIQUE(_xlfn._xlws.FILTER([0]!Category,[0]!OrderID=Table3[[#This Row],[OrderID]]))))</f>
        <v>Beverage+Hot Meal+Snack</v>
      </c>
      <c r="L4" s="39">
        <f>SUMIFS([0]!FoodCost,[0]!OrderID,Table3[[#This Row],[OrderID]])</f>
        <v>291.24</v>
      </c>
      <c r="M4" s="39">
        <f>Table3[[#This Row],[LineAmount]]-Table3[[#This Row],[TotalCost]]</f>
        <v>377.72</v>
      </c>
      <c r="N4" t="str">
        <f>IF(AND(COUNTIFS([0]!OrderID,Table3[[#This Row],[OrderID]],[0]!Category,"hot meal")&gt;0,COUNTIFS([0]!OrderID,Table3[[#This Row],[OrderID]],[0]!Category,"beverage")&gt;0),"combo","single")</f>
        <v>combo</v>
      </c>
      <c r="O4" t="str">
        <f>IF((Table3[[#This Row],[LineAmount]]/(1-Table3[[#This Row],[DiscountPct]]))*Table3[[#This Row],[DiscountPct]]&gt;40,"High Disc","OK")</f>
        <v>OK</v>
      </c>
      <c r="P4" s="5"/>
      <c r="Q4">
        <v>1</v>
      </c>
      <c r="R4">
        <v>1</v>
      </c>
      <c r="S4" s="4"/>
    </row>
    <row r="5" spans="1:23" x14ac:dyDescent="0.3">
      <c r="A5" t="s">
        <v>24</v>
      </c>
      <c r="B5" s="7">
        <v>45879.1640625</v>
      </c>
      <c r="C5" t="s">
        <v>15</v>
      </c>
      <c r="D5" t="s">
        <v>10</v>
      </c>
      <c r="E5" t="s">
        <v>17</v>
      </c>
      <c r="F5" t="s">
        <v>12</v>
      </c>
      <c r="G5">
        <v>0.03</v>
      </c>
      <c r="H5" s="3">
        <f t="shared" si="0"/>
        <v>45879</v>
      </c>
      <c r="I5" t="str">
        <f>IF(COUNTIFS([0]!OrderID,Table3[[#This Row],[OrderID]],[0]!Category,"beverage")&gt;0,"yes","no")</f>
        <v>no</v>
      </c>
      <c r="J5">
        <f>SUMIFS([0]!LineNetAmount,[0]!OrderID,Table3[[#This Row],[OrderID]])</f>
        <v>477.41460000000001</v>
      </c>
      <c r="K5" t="str" cm="1">
        <f t="array" ref="K5">_xlfn.TEXTJOIN("+",,_xlfn._xlws.SORT(_xlfn.UNIQUE(_xlfn._xlws.FILTER([0]!Category,[0]!OrderID=Table3[[#This Row],[OrderID]]))))</f>
        <v>Hot Meal</v>
      </c>
      <c r="L5" s="39">
        <f>SUMIFS([0]!FoodCost,[0]!OrderID,Table3[[#This Row],[OrderID]])</f>
        <v>224.16</v>
      </c>
      <c r="M5" s="39">
        <f>Table3[[#This Row],[LineAmount]]-Table3[[#This Row],[TotalCost]]</f>
        <v>253.25460000000001</v>
      </c>
      <c r="N5" t="str">
        <f>IF(AND(COUNTIFS([0]!OrderID,Table3[[#This Row],[OrderID]],[0]!Category,"hot meal")&gt;0,COUNTIFS([0]!OrderID,Table3[[#This Row],[OrderID]],[0]!Category,"beverage")&gt;0),"combo","single")</f>
        <v>single</v>
      </c>
      <c r="O5" t="str">
        <f>IF((Table3[[#This Row],[LineAmount]]/(1-Table3[[#This Row],[DiscountPct]]))*Table3[[#This Row],[DiscountPct]]&gt;40,"High Disc","OK")</f>
        <v>OK</v>
      </c>
      <c r="P5" s="5"/>
      <c r="Q5" s="13">
        <v>2</v>
      </c>
      <c r="R5" s="13">
        <v>0</v>
      </c>
      <c r="T5" t="s">
        <v>548</v>
      </c>
    </row>
    <row r="6" spans="1:23" x14ac:dyDescent="0.3">
      <c r="A6" t="s">
        <v>25</v>
      </c>
      <c r="B6" s="7">
        <v>45845.134895833333</v>
      </c>
      <c r="C6" t="s">
        <v>15</v>
      </c>
      <c r="D6" t="s">
        <v>10</v>
      </c>
      <c r="E6" t="s">
        <v>21</v>
      </c>
      <c r="F6" t="s">
        <v>12</v>
      </c>
      <c r="G6">
        <v>0.04</v>
      </c>
      <c r="H6" s="3">
        <f t="shared" si="0"/>
        <v>45845</v>
      </c>
      <c r="I6" t="str">
        <f>IF(COUNTIFS([0]!OrderID,Table3[[#This Row],[OrderID]],[0]!Category,"beverage")&gt;0,"yes","no")</f>
        <v>yes</v>
      </c>
      <c r="J6">
        <f>SUMIFS([0]!LineNetAmount,[0]!OrderID,Table3[[#This Row],[OrderID]])</f>
        <v>95.011200000000002</v>
      </c>
      <c r="K6" t="str" cm="1">
        <f t="array" ref="K6">_xlfn.TEXTJOIN("+",,_xlfn._xlws.SORT(_xlfn.UNIQUE(_xlfn._xlws.FILTER([0]!Category,[0]!OrderID=Table3[[#This Row],[OrderID]]))))</f>
        <v>Beverage+Snack</v>
      </c>
      <c r="L6" s="39">
        <f>SUMIFS([0]!FoodCost,[0]!OrderID,Table3[[#This Row],[OrderID]])</f>
        <v>49.7</v>
      </c>
      <c r="M6" s="39">
        <f>Table3[[#This Row],[LineAmount]]-Table3[[#This Row],[TotalCost]]</f>
        <v>45.311199999999999</v>
      </c>
      <c r="N6" t="str">
        <f>IF(AND(COUNTIFS([0]!OrderID,Table3[[#This Row],[OrderID]],[0]!Category,"hot meal")&gt;0,COUNTIFS([0]!OrderID,Table3[[#This Row],[OrderID]],[0]!Category,"beverage")&gt;0),"combo","single")</f>
        <v>single</v>
      </c>
      <c r="O6" t="str">
        <f>IF((Table3[[#This Row],[LineAmount]]/(1-Table3[[#This Row],[DiscountPct]]))*Table3[[#This Row],[DiscountPct]]&gt;40,"High Disc","OK")</f>
        <v>OK</v>
      </c>
      <c r="P6" s="5"/>
      <c r="Q6">
        <v>3</v>
      </c>
      <c r="R6">
        <v>1</v>
      </c>
      <c r="T6" t="s">
        <v>551</v>
      </c>
    </row>
    <row r="7" spans="1:23" x14ac:dyDescent="0.3">
      <c r="A7" t="s">
        <v>26</v>
      </c>
      <c r="B7" s="7">
        <v>45863.392129629632</v>
      </c>
      <c r="C7" t="s">
        <v>27</v>
      </c>
      <c r="D7" t="s">
        <v>28</v>
      </c>
      <c r="E7" t="s">
        <v>11</v>
      </c>
      <c r="F7" t="s">
        <v>12</v>
      </c>
      <c r="G7">
        <v>0.1</v>
      </c>
      <c r="H7" s="3">
        <f t="shared" si="0"/>
        <v>45863</v>
      </c>
      <c r="I7" t="str">
        <f>IF(COUNTIFS([0]!OrderID,Table3[[#This Row],[OrderID]],[0]!Category,"beverage")&gt;0,"yes","no")</f>
        <v>yes</v>
      </c>
      <c r="J7">
        <f>SUMIFS([0]!LineNetAmount,[0]!OrderID,Table3[[#This Row],[OrderID]])</f>
        <v>54.296999999999997</v>
      </c>
      <c r="K7" t="str" cm="1">
        <f t="array" ref="K7">_xlfn.TEXTJOIN("+",,_xlfn._xlws.SORT(_xlfn.UNIQUE(_xlfn._xlws.FILTER([0]!Category,[0]!OrderID=Table3[[#This Row],[OrderID]]))))</f>
        <v>Beverage</v>
      </c>
      <c r="L7" s="39">
        <f>SUMIFS([0]!FoodCost,[0]!OrderID,Table3[[#This Row],[OrderID]])</f>
        <v>24</v>
      </c>
      <c r="M7" s="39">
        <f>Table3[[#This Row],[LineAmount]]-Table3[[#This Row],[TotalCost]]</f>
        <v>30.296999999999997</v>
      </c>
      <c r="N7" t="str">
        <f>IF(AND(COUNTIFS([0]!OrderID,Table3[[#This Row],[OrderID]],[0]!Category,"hot meal")&gt;0,COUNTIFS([0]!OrderID,Table3[[#This Row],[OrderID]],[0]!Category,"beverage")&gt;0),"combo","single")</f>
        <v>single</v>
      </c>
      <c r="O7" t="str">
        <f>IF((Table3[[#This Row],[LineAmount]]/(1-Table3[[#This Row],[DiscountPct]]))*Table3[[#This Row],[DiscountPct]]&gt;40,"High Disc","OK")</f>
        <v>OK</v>
      </c>
      <c r="P7" s="5"/>
      <c r="Q7">
        <v>4</v>
      </c>
      <c r="R7">
        <v>1</v>
      </c>
    </row>
    <row r="8" spans="1:23" x14ac:dyDescent="0.3">
      <c r="A8" t="s">
        <v>30</v>
      </c>
      <c r="B8" s="7">
        <v>45852.860347222217</v>
      </c>
      <c r="C8" t="s">
        <v>15</v>
      </c>
      <c r="D8" t="s">
        <v>28</v>
      </c>
      <c r="E8" t="s">
        <v>21</v>
      </c>
      <c r="F8" t="s">
        <v>18</v>
      </c>
      <c r="G8">
        <v>7.0000000000000007E-2</v>
      </c>
      <c r="H8" s="3">
        <f t="shared" si="0"/>
        <v>45852</v>
      </c>
      <c r="I8" t="str">
        <f>IF(COUNTIFS([0]!OrderID,Table3[[#This Row],[OrderID]],[0]!Category,"beverage")&gt;0,"yes","no")</f>
        <v>yes</v>
      </c>
      <c r="J8">
        <f>SUMIFS([0]!LineNetAmount,[0]!OrderID,Table3[[#This Row],[OrderID]])</f>
        <v>348.41520000000003</v>
      </c>
      <c r="K8" t="str" cm="1">
        <f t="array" ref="K8">_xlfn.TEXTJOIN("+",,_xlfn._xlws.SORT(_xlfn.UNIQUE(_xlfn._xlws.FILTER([0]!Category,[0]!OrderID=Table3[[#This Row],[OrderID]]))))</f>
        <v>Beverage+Hot Meal</v>
      </c>
      <c r="L8" s="39">
        <f>SUMIFS([0]!FoodCost,[0]!OrderID,Table3[[#This Row],[OrderID]])</f>
        <v>159.97999999999999</v>
      </c>
      <c r="M8" s="39">
        <f>Table3[[#This Row],[LineAmount]]-Table3[[#This Row],[TotalCost]]</f>
        <v>188.43520000000004</v>
      </c>
      <c r="N8" t="str">
        <f>IF(AND(COUNTIFS([0]!OrderID,Table3[[#This Row],[OrderID]],[0]!Category,"hot meal")&gt;0,COUNTIFS([0]!OrderID,Table3[[#This Row],[OrderID]],[0]!Category,"beverage")&gt;0),"combo","single")</f>
        <v>combo</v>
      </c>
      <c r="O8" t="str">
        <f>IF((Table3[[#This Row],[LineAmount]]/(1-Table3[[#This Row],[DiscountPct]]))*Table3[[#This Row],[DiscountPct]]&gt;40,"High Disc","OK")</f>
        <v>OK</v>
      </c>
      <c r="P8" t="s">
        <v>547</v>
      </c>
      <c r="Q8">
        <v>5</v>
      </c>
      <c r="R8">
        <v>1</v>
      </c>
      <c r="S8" s="3"/>
    </row>
    <row r="9" spans="1:23" x14ac:dyDescent="0.3">
      <c r="A9" t="s">
        <v>31</v>
      </c>
      <c r="B9" s="7">
        <v>45863.503796296303</v>
      </c>
      <c r="C9" t="s">
        <v>27</v>
      </c>
      <c r="D9" t="s">
        <v>16</v>
      </c>
      <c r="E9" t="s">
        <v>11</v>
      </c>
      <c r="F9" t="s">
        <v>22</v>
      </c>
      <c r="G9">
        <v>0</v>
      </c>
      <c r="H9" s="3">
        <f t="shared" si="0"/>
        <v>45863</v>
      </c>
      <c r="I9" t="str">
        <f>IF(COUNTIFS([0]!OrderID,Table3[[#This Row],[OrderID]],[0]!Category,"beverage")&gt;0,"yes","no")</f>
        <v>yes</v>
      </c>
      <c r="J9">
        <f>SUMIFS([0]!LineNetAmount,[0]!OrderID,Table3[[#This Row],[OrderID]])</f>
        <v>223.75</v>
      </c>
      <c r="K9" t="str" cm="1">
        <f t="array" ref="K9">_xlfn.TEXTJOIN("+",,_xlfn._xlws.SORT(_xlfn.UNIQUE(_xlfn._xlws.FILTER([0]!Category,[0]!OrderID=Table3[[#This Row],[OrderID]]))))</f>
        <v>Beverage+Dessert</v>
      </c>
      <c r="L9" s="39">
        <f>SUMIFS([0]!FoodCost,[0]!OrderID,Table3[[#This Row],[OrderID]])</f>
        <v>110.97999999999999</v>
      </c>
      <c r="M9" s="39">
        <f>Table3[[#This Row],[LineAmount]]-Table3[[#This Row],[TotalCost]]</f>
        <v>112.77000000000001</v>
      </c>
      <c r="N9" t="str">
        <f>IF(AND(COUNTIFS([0]!OrderID,Table3[[#This Row],[OrderID]],[0]!Category,"hot meal")&gt;0,COUNTIFS([0]!OrderID,Table3[[#This Row],[OrderID]],[0]!Category,"beverage")&gt;0),"combo","single")</f>
        <v>single</v>
      </c>
      <c r="O9" t="str">
        <f>IF((Table3[[#This Row],[LineAmount]]/(1-Table3[[#This Row],[DiscountPct]]))*Table3[[#This Row],[DiscountPct]]&gt;40,"High Disc","OK")</f>
        <v>OK</v>
      </c>
      <c r="Q9">
        <v>6</v>
      </c>
      <c r="R9">
        <v>1</v>
      </c>
    </row>
    <row r="10" spans="1:23" x14ac:dyDescent="0.3">
      <c r="A10" t="s">
        <v>32</v>
      </c>
      <c r="B10" s="7">
        <v>45844.161631944437</v>
      </c>
      <c r="C10" t="s">
        <v>9</v>
      </c>
      <c r="D10" t="s">
        <v>10</v>
      </c>
      <c r="E10" t="s">
        <v>17</v>
      </c>
      <c r="F10" t="s">
        <v>12</v>
      </c>
      <c r="G10">
        <v>7.0000000000000007E-2</v>
      </c>
      <c r="H10" s="3">
        <f t="shared" si="0"/>
        <v>45844</v>
      </c>
      <c r="I10" t="str">
        <f>IF(COUNTIFS([0]!OrderID,Table3[[#This Row],[OrderID]],[0]!Category,"beverage")&gt;0,"yes","no")</f>
        <v>no</v>
      </c>
      <c r="J10">
        <f>SUMIFS([0]!LineNetAmount,[0]!OrderID,Table3[[#This Row],[OrderID]])</f>
        <v>459.28980000000001</v>
      </c>
      <c r="K10" t="str" cm="1">
        <f t="array" ref="K10">_xlfn.TEXTJOIN("+",,_xlfn._xlws.SORT(_xlfn.UNIQUE(_xlfn._xlws.FILTER([0]!Category,[0]!OrderID=Table3[[#This Row],[OrderID]]))))</f>
        <v>Dessert+Hot Meal+Snack</v>
      </c>
      <c r="L10" s="39">
        <f>SUMIFS([0]!FoodCost,[0]!OrderID,Table3[[#This Row],[OrderID]])</f>
        <v>225.97</v>
      </c>
      <c r="M10" s="39">
        <f>Table3[[#This Row],[LineAmount]]-Table3[[#This Row],[TotalCost]]</f>
        <v>233.31980000000001</v>
      </c>
      <c r="N10" t="str">
        <f>IF(AND(COUNTIFS([0]!OrderID,Table3[[#This Row],[OrderID]],[0]!Category,"hot meal")&gt;0,COUNTIFS([0]!OrderID,Table3[[#This Row],[OrderID]],[0]!Category,"beverage")&gt;0),"combo","single")</f>
        <v>single</v>
      </c>
      <c r="O10" t="str">
        <f>IF((Table3[[#This Row],[LineAmount]]/(1-Table3[[#This Row],[DiscountPct]]))*Table3[[#This Row],[DiscountPct]]&gt;40,"High Disc","OK")</f>
        <v>OK</v>
      </c>
      <c r="Q10" s="13">
        <v>7</v>
      </c>
      <c r="R10" s="13">
        <v>0</v>
      </c>
    </row>
    <row r="11" spans="1:23" x14ac:dyDescent="0.3">
      <c r="A11" t="s">
        <v>34</v>
      </c>
      <c r="B11" s="7">
        <v>45862.200162037043</v>
      </c>
      <c r="C11" t="s">
        <v>27</v>
      </c>
      <c r="D11" t="s">
        <v>16</v>
      </c>
      <c r="E11" t="s">
        <v>21</v>
      </c>
      <c r="F11" t="s">
        <v>12</v>
      </c>
      <c r="G11">
        <v>0.04</v>
      </c>
      <c r="H11" s="3">
        <f t="shared" si="0"/>
        <v>45862</v>
      </c>
      <c r="I11" t="str">
        <f>IF(COUNTIFS([0]!OrderID,Table3[[#This Row],[OrderID]],[0]!Category,"beverage")&gt;0,"yes","no")</f>
        <v>yes</v>
      </c>
      <c r="J11">
        <f>SUMIFS([0]!LineNetAmount,[0]!OrderID,Table3[[#This Row],[OrderID]])</f>
        <v>420.07679999999999</v>
      </c>
      <c r="K11" t="str" cm="1">
        <f t="array" ref="K11">_xlfn.TEXTJOIN("+",,_xlfn._xlws.SORT(_xlfn.UNIQUE(_xlfn._xlws.FILTER([0]!Category,[0]!OrderID=Table3[[#This Row],[OrderID]]))))</f>
        <v>Beverage+Dessert+Hot Meal+Snack</v>
      </c>
      <c r="L11" s="39">
        <f>SUMIFS([0]!FoodCost,[0]!OrderID,Table3[[#This Row],[OrderID]])</f>
        <v>204.88</v>
      </c>
      <c r="M11" s="39">
        <f>Table3[[#This Row],[LineAmount]]-Table3[[#This Row],[TotalCost]]</f>
        <v>215.1968</v>
      </c>
      <c r="N11" t="str">
        <f>IF(AND(COUNTIFS([0]!OrderID,Table3[[#This Row],[OrderID]],[0]!Category,"hot meal")&gt;0,COUNTIFS([0]!OrderID,Table3[[#This Row],[OrderID]],[0]!Category,"beverage")&gt;0),"combo","single")</f>
        <v>combo</v>
      </c>
      <c r="O11" t="str">
        <f>IF((Table3[[#This Row],[LineAmount]]/(1-Table3[[#This Row],[DiscountPct]]))*Table3[[#This Row],[DiscountPct]]&gt;40,"High Disc","OK")</f>
        <v>OK</v>
      </c>
      <c r="T11" t="s">
        <v>549</v>
      </c>
    </row>
    <row r="12" spans="1:23" x14ac:dyDescent="0.3">
      <c r="A12" t="s">
        <v>35</v>
      </c>
      <c r="B12" s="7">
        <v>45860.002800925933</v>
      </c>
      <c r="C12" t="s">
        <v>15</v>
      </c>
      <c r="D12" t="s">
        <v>28</v>
      </c>
      <c r="E12" t="s">
        <v>17</v>
      </c>
      <c r="F12" t="s">
        <v>12</v>
      </c>
      <c r="G12">
        <v>0.03</v>
      </c>
      <c r="H12" s="3">
        <f t="shared" si="0"/>
        <v>45860</v>
      </c>
      <c r="I12" t="str">
        <f>IF(COUNTIFS([0]!OrderID,Table3[[#This Row],[OrderID]],[0]!Category,"beverage")&gt;0,"yes","no")</f>
        <v>yes</v>
      </c>
      <c r="J12">
        <f>SUMIFS([0]!LineNetAmount,[0]!OrderID,Table3[[#This Row],[OrderID]])</f>
        <v>27.577099999999998</v>
      </c>
      <c r="K12" t="str" cm="1">
        <f t="array" ref="K12">_xlfn.TEXTJOIN("+",,_xlfn._xlws.SORT(_xlfn.UNIQUE(_xlfn._xlws.FILTER([0]!Category,[0]!OrderID=Table3[[#This Row],[OrderID]]))))</f>
        <v>Beverage</v>
      </c>
      <c r="L12" s="39">
        <f>SUMIFS([0]!FoodCost,[0]!OrderID,Table3[[#This Row],[OrderID]])</f>
        <v>13.89</v>
      </c>
      <c r="M12" s="39">
        <f>Table3[[#This Row],[LineAmount]]-Table3[[#This Row],[TotalCost]]</f>
        <v>13.687099999999997</v>
      </c>
      <c r="N12" t="str">
        <f>IF(AND(COUNTIFS([0]!OrderID,Table3[[#This Row],[OrderID]],[0]!Category,"hot meal")&gt;0,COUNTIFS([0]!OrderID,Table3[[#This Row],[OrderID]],[0]!Category,"beverage")&gt;0),"combo","single")</f>
        <v>single</v>
      </c>
      <c r="O12" t="str">
        <f>IF((Table3[[#This Row],[LineAmount]]/(1-Table3[[#This Row],[DiscountPct]]))*Table3[[#This Row],[DiscountPct]]&gt;40,"High Disc","OK")</f>
        <v>OK</v>
      </c>
      <c r="W12" t="s">
        <v>550</v>
      </c>
    </row>
    <row r="13" spans="1:23" x14ac:dyDescent="0.3">
      <c r="A13" t="s">
        <v>37</v>
      </c>
      <c r="B13" s="7">
        <v>45839.45925925926</v>
      </c>
      <c r="C13" t="s">
        <v>15</v>
      </c>
      <c r="D13" t="s">
        <v>16</v>
      </c>
      <c r="E13" t="s">
        <v>21</v>
      </c>
      <c r="F13" t="s">
        <v>22</v>
      </c>
      <c r="G13">
        <v>0.08</v>
      </c>
      <c r="H13" s="3">
        <f t="shared" si="0"/>
        <v>45839</v>
      </c>
      <c r="I13" t="str">
        <f>IF(COUNTIFS([0]!OrderID,Table3[[#This Row],[OrderID]],[0]!Category,"beverage")&gt;0,"yes","no")</f>
        <v>no</v>
      </c>
      <c r="J13">
        <f>SUMIFS([0]!LineNetAmount,[0]!OrderID,Table3[[#This Row],[OrderID]])</f>
        <v>98.118000000000009</v>
      </c>
      <c r="K13" t="str" cm="1">
        <f t="array" ref="K13">_xlfn.TEXTJOIN("+",,_xlfn._xlws.SORT(_xlfn.UNIQUE(_xlfn._xlws.FILTER([0]!Category,[0]!OrderID=Table3[[#This Row],[OrderID]]))))</f>
        <v>Dessert+Snack</v>
      </c>
      <c r="L13" s="39">
        <f>SUMIFS([0]!FoodCost,[0]!OrderID,Table3[[#This Row],[OrderID]])</f>
        <v>47.75</v>
      </c>
      <c r="M13" s="39">
        <f>Table3[[#This Row],[LineAmount]]-Table3[[#This Row],[TotalCost]]</f>
        <v>50.368000000000009</v>
      </c>
      <c r="N13" t="str">
        <f>IF(AND(COUNTIFS([0]!OrderID,Table3[[#This Row],[OrderID]],[0]!Category,"hot meal")&gt;0,COUNTIFS([0]!OrderID,Table3[[#This Row],[OrderID]],[0]!Category,"beverage")&gt;0),"combo","single")</f>
        <v>single</v>
      </c>
      <c r="O13" t="str">
        <f>IF((Table3[[#This Row],[LineAmount]]/(1-Table3[[#This Row],[DiscountPct]]))*Table3[[#This Row],[DiscountPct]]&gt;40,"High Disc","OK")</f>
        <v>OK</v>
      </c>
    </row>
    <row r="14" spans="1:23" x14ac:dyDescent="0.3">
      <c r="A14" t="s">
        <v>39</v>
      </c>
      <c r="B14" s="7">
        <v>45880.31994212963</v>
      </c>
      <c r="C14" t="s">
        <v>9</v>
      </c>
      <c r="D14" t="s">
        <v>10</v>
      </c>
      <c r="E14" t="s">
        <v>11</v>
      </c>
      <c r="F14" t="s">
        <v>12</v>
      </c>
      <c r="G14">
        <v>0.1</v>
      </c>
      <c r="H14" s="3">
        <f t="shared" si="0"/>
        <v>45880</v>
      </c>
      <c r="I14" t="str">
        <f>IF(COUNTIFS([0]!OrderID,Table3[[#This Row],[OrderID]],[0]!Category,"beverage")&gt;0,"yes","no")</f>
        <v>yes</v>
      </c>
      <c r="J14">
        <f>SUMIFS([0]!LineNetAmount,[0]!OrderID,Table3[[#This Row],[OrderID]])</f>
        <v>807.87599999999998</v>
      </c>
      <c r="K14" t="str" cm="1">
        <f t="array" ref="K14">_xlfn.TEXTJOIN("+",,_xlfn._xlws.SORT(_xlfn.UNIQUE(_xlfn._xlws.FILTER([0]!Category,[0]!OrderID=Table3[[#This Row],[OrderID]]))))</f>
        <v>Beverage+Dessert+Hot Meal</v>
      </c>
      <c r="L14" s="39">
        <f>SUMIFS([0]!FoodCost,[0]!OrderID,Table3[[#This Row],[OrderID]])</f>
        <v>411.20000000000005</v>
      </c>
      <c r="M14" s="39">
        <f>Table3[[#This Row],[LineAmount]]-Table3[[#This Row],[TotalCost]]</f>
        <v>396.67599999999993</v>
      </c>
      <c r="N14" t="str">
        <f>IF(AND(COUNTIFS([0]!OrderID,Table3[[#This Row],[OrderID]],[0]!Category,"hot meal")&gt;0,COUNTIFS([0]!OrderID,Table3[[#This Row],[OrderID]],[0]!Category,"beverage")&gt;0),"combo","single")</f>
        <v>combo</v>
      </c>
      <c r="O14" t="str">
        <f>IF((Table3[[#This Row],[LineAmount]]/(1-Table3[[#This Row],[DiscountPct]]))*Table3[[#This Row],[DiscountPct]]&gt;40,"High Disc","OK")</f>
        <v>High Disc</v>
      </c>
    </row>
    <row r="15" spans="1:23" x14ac:dyDescent="0.3">
      <c r="A15" t="s">
        <v>40</v>
      </c>
      <c r="B15" s="7">
        <v>45854.279270833344</v>
      </c>
      <c r="C15" t="s">
        <v>27</v>
      </c>
      <c r="D15" t="s">
        <v>16</v>
      </c>
      <c r="E15" t="s">
        <v>17</v>
      </c>
      <c r="F15" t="s">
        <v>12</v>
      </c>
      <c r="G15">
        <v>0.1</v>
      </c>
      <c r="H15" s="3">
        <f t="shared" si="0"/>
        <v>45854</v>
      </c>
      <c r="I15" t="str">
        <f>IF(COUNTIFS([0]!OrderID,Table3[[#This Row],[OrderID]],[0]!Category,"beverage")&gt;0,"yes","no")</f>
        <v>yes</v>
      </c>
      <c r="J15">
        <f>SUMIFS([0]!LineNetAmount,[0]!OrderID,Table3[[#This Row],[OrderID]])</f>
        <v>181.47599999999997</v>
      </c>
      <c r="K15" t="str" cm="1">
        <f t="array" ref="K15">_xlfn.TEXTJOIN("+",,_xlfn._xlws.SORT(_xlfn.UNIQUE(_xlfn._xlws.FILTER([0]!Category,[0]!OrderID=Table3[[#This Row],[OrderID]]))))</f>
        <v>Beverage+Dessert</v>
      </c>
      <c r="L15" s="39">
        <f>SUMIFS([0]!FoodCost,[0]!OrderID,Table3[[#This Row],[OrderID]])</f>
        <v>98.35</v>
      </c>
      <c r="M15" s="39">
        <f>Table3[[#This Row],[LineAmount]]-Table3[[#This Row],[TotalCost]]</f>
        <v>83.125999999999976</v>
      </c>
      <c r="N15" t="str">
        <f>IF(AND(COUNTIFS([0]!OrderID,Table3[[#This Row],[OrderID]],[0]!Category,"hot meal")&gt;0,COUNTIFS([0]!OrderID,Table3[[#This Row],[OrderID]],[0]!Category,"beverage")&gt;0),"combo","single")</f>
        <v>single</v>
      </c>
      <c r="O15" t="str">
        <f>IF((Table3[[#This Row],[LineAmount]]/(1-Table3[[#This Row],[DiscountPct]]))*Table3[[#This Row],[DiscountPct]]&gt;40,"High Disc","OK")</f>
        <v>OK</v>
      </c>
    </row>
    <row r="16" spans="1:23" x14ac:dyDescent="0.3">
      <c r="A16" t="s">
        <v>42</v>
      </c>
      <c r="B16" s="7">
        <v>45895.482824074083</v>
      </c>
      <c r="C16" t="s">
        <v>9</v>
      </c>
      <c r="D16" t="s">
        <v>10</v>
      </c>
      <c r="E16" t="s">
        <v>17</v>
      </c>
      <c r="F16" t="s">
        <v>22</v>
      </c>
      <c r="G16">
        <v>0.03</v>
      </c>
      <c r="H16" s="3">
        <f t="shared" si="0"/>
        <v>45895</v>
      </c>
      <c r="I16" t="str">
        <f>IF(COUNTIFS([0]!OrderID,Table3[[#This Row],[OrderID]],[0]!Category,"beverage")&gt;0,"yes","no")</f>
        <v>yes</v>
      </c>
      <c r="J16">
        <f>SUMIFS([0]!LineNetAmount,[0]!OrderID,Table3[[#This Row],[OrderID]])</f>
        <v>410.18389999999999</v>
      </c>
      <c r="K16" t="str" cm="1">
        <f t="array" ref="K16">_xlfn.TEXTJOIN("+",,_xlfn._xlws.SORT(_xlfn.UNIQUE(_xlfn._xlws.FILTER([0]!Category,[0]!OrderID=Table3[[#This Row],[OrderID]]))))</f>
        <v>Beverage+Dessert+Hot Meal</v>
      </c>
      <c r="L16" s="39">
        <f>SUMIFS([0]!FoodCost,[0]!OrderID,Table3[[#This Row],[OrderID]])</f>
        <v>186.04999999999998</v>
      </c>
      <c r="M16" s="39">
        <f>Table3[[#This Row],[LineAmount]]-Table3[[#This Row],[TotalCost]]</f>
        <v>224.13390000000001</v>
      </c>
      <c r="N16" t="str">
        <f>IF(AND(COUNTIFS([0]!OrderID,Table3[[#This Row],[OrderID]],[0]!Category,"hot meal")&gt;0,COUNTIFS([0]!OrderID,Table3[[#This Row],[OrderID]],[0]!Category,"beverage")&gt;0),"combo","single")</f>
        <v>combo</v>
      </c>
      <c r="O16" t="str">
        <f>IF((Table3[[#This Row],[LineAmount]]/(1-Table3[[#This Row],[DiscountPct]]))*Table3[[#This Row],[DiscountPct]]&gt;40,"High Disc","OK")</f>
        <v>OK</v>
      </c>
    </row>
    <row r="17" spans="1:23" x14ac:dyDescent="0.3">
      <c r="A17" t="s">
        <v>44</v>
      </c>
      <c r="B17" s="7">
        <v>45844.800196759257</v>
      </c>
      <c r="C17" t="s">
        <v>27</v>
      </c>
      <c r="D17" t="s">
        <v>10</v>
      </c>
      <c r="E17" t="s">
        <v>21</v>
      </c>
      <c r="F17" t="s">
        <v>18</v>
      </c>
      <c r="G17">
        <v>0.05</v>
      </c>
      <c r="H17" s="3">
        <f t="shared" si="0"/>
        <v>45844</v>
      </c>
      <c r="I17" t="str">
        <f>IF(COUNTIFS([0]!OrderID,Table3[[#This Row],[OrderID]],[0]!Category,"beverage")&gt;0,"yes","no")</f>
        <v>no</v>
      </c>
      <c r="J17">
        <f>SUMIFS([0]!LineNetAmount,[0]!OrderID,Table3[[#This Row],[OrderID]])</f>
        <v>486.94150000000002</v>
      </c>
      <c r="K17" t="str" cm="1">
        <f t="array" ref="K17">_xlfn.TEXTJOIN("+",,_xlfn._xlws.SORT(_xlfn.UNIQUE(_xlfn._xlws.FILTER([0]!Category,[0]!OrderID=Table3[[#This Row],[OrderID]]))))</f>
        <v>Dessert+Hot Meal+Snack</v>
      </c>
      <c r="L17" s="39">
        <f>SUMIFS([0]!FoodCost,[0]!OrderID,Table3[[#This Row],[OrderID]])</f>
        <v>238.57000000000002</v>
      </c>
      <c r="M17" s="39">
        <f>Table3[[#This Row],[LineAmount]]-Table3[[#This Row],[TotalCost]]</f>
        <v>248.3715</v>
      </c>
      <c r="N17" t="str">
        <f>IF(AND(COUNTIFS([0]!OrderID,Table3[[#This Row],[OrderID]],[0]!Category,"hot meal")&gt;0,COUNTIFS([0]!OrderID,Table3[[#This Row],[OrderID]],[0]!Category,"beverage")&gt;0),"combo","single")</f>
        <v>single</v>
      </c>
      <c r="O17" t="str">
        <f>IF((Table3[[#This Row],[LineAmount]]/(1-Table3[[#This Row],[DiscountPct]]))*Table3[[#This Row],[DiscountPct]]&gt;40,"High Disc","OK")</f>
        <v>OK</v>
      </c>
    </row>
    <row r="18" spans="1:23" x14ac:dyDescent="0.3">
      <c r="A18" t="s">
        <v>46</v>
      </c>
      <c r="B18" s="7">
        <v>45890.81722222222</v>
      </c>
      <c r="C18" t="s">
        <v>27</v>
      </c>
      <c r="D18" t="s">
        <v>28</v>
      </c>
      <c r="E18" t="s">
        <v>11</v>
      </c>
      <c r="F18" t="s">
        <v>18</v>
      </c>
      <c r="G18">
        <v>7.0000000000000007E-2</v>
      </c>
      <c r="H18" s="3">
        <f t="shared" si="0"/>
        <v>45890</v>
      </c>
      <c r="I18" t="str">
        <f>IF(COUNTIFS([0]!OrderID,Table3[[#This Row],[OrderID]],[0]!Category,"beverage")&gt;0,"yes","no")</f>
        <v>yes</v>
      </c>
      <c r="J18">
        <f>SUMIFS([0]!LineNetAmount,[0]!OrderID,Table3[[#This Row],[OrderID]])</f>
        <v>30.671399999999995</v>
      </c>
      <c r="K18" t="str" cm="1">
        <f t="array" ref="K18">_xlfn.TEXTJOIN("+",,_xlfn._xlws.SORT(_xlfn.UNIQUE(_xlfn._xlws.FILTER([0]!Category,[0]!OrderID=Table3[[#This Row],[OrderID]]))))</f>
        <v>Beverage</v>
      </c>
      <c r="L18" s="39">
        <f>SUMIFS([0]!FoodCost,[0]!OrderID,Table3[[#This Row],[OrderID]])</f>
        <v>11.84</v>
      </c>
      <c r="M18" s="39">
        <f>Table3[[#This Row],[LineAmount]]-Table3[[#This Row],[TotalCost]]</f>
        <v>18.831399999999995</v>
      </c>
      <c r="N18" t="str">
        <f>IF(AND(COUNTIFS([0]!OrderID,Table3[[#This Row],[OrderID]],[0]!Category,"hot meal")&gt;0,COUNTIFS([0]!OrderID,Table3[[#This Row],[OrderID]],[0]!Category,"beverage")&gt;0),"combo","single")</f>
        <v>single</v>
      </c>
      <c r="O18" t="str">
        <f>IF((Table3[[#This Row],[LineAmount]]/(1-Table3[[#This Row],[DiscountPct]]))*Table3[[#This Row],[DiscountPct]]&gt;40,"High Disc","OK")</f>
        <v>OK</v>
      </c>
      <c r="R18">
        <v>450</v>
      </c>
      <c r="S18" t="s">
        <v>605</v>
      </c>
      <c r="V18">
        <v>32</v>
      </c>
      <c r="W18">
        <v>1000</v>
      </c>
    </row>
    <row r="19" spans="1:23" x14ac:dyDescent="0.3">
      <c r="A19" t="s">
        <v>47</v>
      </c>
      <c r="B19" s="7">
        <v>45857.291805555556</v>
      </c>
      <c r="C19" t="s">
        <v>27</v>
      </c>
      <c r="D19" t="s">
        <v>10</v>
      </c>
      <c r="E19" t="s">
        <v>17</v>
      </c>
      <c r="F19" t="s">
        <v>12</v>
      </c>
      <c r="G19">
        <v>0.1</v>
      </c>
      <c r="H19" s="3">
        <f t="shared" si="0"/>
        <v>45857</v>
      </c>
      <c r="I19" t="str">
        <f>IF(COUNTIFS([0]!OrderID,Table3[[#This Row],[OrderID]],[0]!Category,"beverage")&gt;0,"yes","no")</f>
        <v>yes</v>
      </c>
      <c r="J19">
        <f>SUMIFS([0]!LineNetAmount,[0]!OrderID,Table3[[#This Row],[OrderID]])</f>
        <v>164.48400000000001</v>
      </c>
      <c r="K19" t="str" cm="1">
        <f t="array" ref="K19">_xlfn.TEXTJOIN("+",,_xlfn._xlws.SORT(_xlfn.UNIQUE(_xlfn._xlws.FILTER([0]!Category,[0]!OrderID=Table3[[#This Row],[OrderID]]))))</f>
        <v>Beverage+Dessert</v>
      </c>
      <c r="L19" s="39">
        <f>SUMIFS([0]!FoodCost,[0]!OrderID,Table3[[#This Row],[OrderID]])</f>
        <v>72.650000000000006</v>
      </c>
      <c r="M19" s="39">
        <f>Table3[[#This Row],[LineAmount]]-Table3[[#This Row],[TotalCost]]</f>
        <v>91.834000000000003</v>
      </c>
      <c r="N19" t="str">
        <f>IF(AND(COUNTIFS([0]!OrderID,Table3[[#This Row],[OrderID]],[0]!Category,"hot meal")&gt;0,COUNTIFS([0]!OrderID,Table3[[#This Row],[OrderID]],[0]!Category,"beverage")&gt;0),"combo","single")</f>
        <v>single</v>
      </c>
      <c r="O19" t="str">
        <f>IF((Table3[[#This Row],[LineAmount]]/(1-Table3[[#This Row],[DiscountPct]]))*Table3[[#This Row],[DiscountPct]]&gt;40,"High Disc","OK")</f>
        <v>OK</v>
      </c>
      <c r="R19" s="66" t="s">
        <v>604</v>
      </c>
      <c r="S19" t="s">
        <v>606</v>
      </c>
      <c r="V19" s="66" t="s">
        <v>604</v>
      </c>
      <c r="W19">
        <v>120</v>
      </c>
    </row>
    <row r="20" spans="1:23" x14ac:dyDescent="0.3">
      <c r="A20" t="s">
        <v>49</v>
      </c>
      <c r="B20" s="7">
        <v>45878.452708333331</v>
      </c>
      <c r="C20" t="s">
        <v>27</v>
      </c>
      <c r="D20" t="s">
        <v>10</v>
      </c>
      <c r="E20" t="s">
        <v>17</v>
      </c>
      <c r="F20" t="s">
        <v>12</v>
      </c>
      <c r="G20">
        <v>0.04</v>
      </c>
      <c r="H20" s="3">
        <f t="shared" si="0"/>
        <v>45878</v>
      </c>
      <c r="I20" t="str">
        <f>IF(COUNTIFS([0]!OrderID,Table3[[#This Row],[OrderID]],[0]!Category,"beverage")&gt;0,"yes","no")</f>
        <v>no</v>
      </c>
      <c r="J20">
        <f>SUMIFS([0]!LineNetAmount,[0]!OrderID,Table3[[#This Row],[OrderID]])</f>
        <v>701.52960000000007</v>
      </c>
      <c r="K20" t="str" cm="1">
        <f t="array" ref="K20">_xlfn.TEXTJOIN("+",,_xlfn._xlws.SORT(_xlfn.UNIQUE(_xlfn._xlws.FILTER([0]!Category,[0]!OrderID=Table3[[#This Row],[OrderID]]))))</f>
        <v>Hot Meal+Snack</v>
      </c>
      <c r="L20" s="39">
        <f>SUMIFS([0]!FoodCost,[0]!OrderID,Table3[[#This Row],[OrderID]])</f>
        <v>359.21</v>
      </c>
      <c r="M20" s="39">
        <f>Table3[[#This Row],[LineAmount]]-Table3[[#This Row],[TotalCost]]</f>
        <v>342.31960000000009</v>
      </c>
      <c r="N20" t="str">
        <f>IF(AND(COUNTIFS([0]!OrderID,Table3[[#This Row],[OrderID]],[0]!Category,"hot meal")&gt;0,COUNTIFS([0]!OrderID,Table3[[#This Row],[OrderID]],[0]!Category,"beverage")&gt;0),"combo","single")</f>
        <v>single</v>
      </c>
      <c r="O20" t="str">
        <f>IF((Table3[[#This Row],[LineAmount]]/(1-Table3[[#This Row],[DiscountPct]]))*Table3[[#This Row],[DiscountPct]]&gt;40,"High Disc","OK")</f>
        <v>OK</v>
      </c>
    </row>
    <row r="21" spans="1:23" x14ac:dyDescent="0.3">
      <c r="A21" t="s">
        <v>50</v>
      </c>
      <c r="B21" s="7">
        <v>45847.209791666668</v>
      </c>
      <c r="C21" t="s">
        <v>15</v>
      </c>
      <c r="D21" t="s">
        <v>10</v>
      </c>
      <c r="E21" t="s">
        <v>11</v>
      </c>
      <c r="F21" t="s">
        <v>12</v>
      </c>
      <c r="G21">
        <v>0.05</v>
      </c>
      <c r="H21" s="3">
        <f t="shared" si="0"/>
        <v>45847</v>
      </c>
      <c r="I21" t="str">
        <f>IF(COUNTIFS([0]!OrderID,Table3[[#This Row],[OrderID]],[0]!Category,"beverage")&gt;0,"yes","no")</f>
        <v>yes</v>
      </c>
      <c r="J21">
        <f>SUMIFS([0]!LineNetAmount,[0]!OrderID,Table3[[#This Row],[OrderID]])</f>
        <v>474.75300000000004</v>
      </c>
      <c r="K21" t="str" cm="1">
        <f t="array" ref="K21">_xlfn.TEXTJOIN("+",,_xlfn._xlws.SORT(_xlfn.UNIQUE(_xlfn._xlws.FILTER([0]!Category,[0]!OrderID=Table3[[#This Row],[OrderID]]))))</f>
        <v>Beverage+Dessert+Hot Meal</v>
      </c>
      <c r="L21" s="39">
        <f>SUMIFS([0]!FoodCost,[0]!OrderID,Table3[[#This Row],[OrderID]])</f>
        <v>212.14</v>
      </c>
      <c r="M21" s="39">
        <f>Table3[[#This Row],[LineAmount]]-Table3[[#This Row],[TotalCost]]</f>
        <v>262.61300000000006</v>
      </c>
      <c r="N21" t="str">
        <f>IF(AND(COUNTIFS([0]!OrderID,Table3[[#This Row],[OrderID]],[0]!Category,"hot meal")&gt;0,COUNTIFS([0]!OrderID,Table3[[#This Row],[OrderID]],[0]!Category,"beverage")&gt;0),"combo","single")</f>
        <v>combo</v>
      </c>
      <c r="O21" t="str">
        <f>IF((Table3[[#This Row],[LineAmount]]/(1-Table3[[#This Row],[DiscountPct]]))*Table3[[#This Row],[DiscountPct]]&gt;40,"High Disc","OK")</f>
        <v>OK</v>
      </c>
    </row>
    <row r="22" spans="1:23" x14ac:dyDescent="0.3">
      <c r="A22" t="s">
        <v>51</v>
      </c>
      <c r="B22" s="7">
        <v>45869.966458333343</v>
      </c>
      <c r="C22" t="s">
        <v>15</v>
      </c>
      <c r="D22" t="s">
        <v>28</v>
      </c>
      <c r="E22" t="s">
        <v>11</v>
      </c>
      <c r="F22" t="s">
        <v>18</v>
      </c>
      <c r="G22">
        <v>0.02</v>
      </c>
      <c r="H22" s="3">
        <f t="shared" si="0"/>
        <v>45869</v>
      </c>
      <c r="I22" t="str">
        <f>IF(COUNTIFS([0]!OrderID,Table3[[#This Row],[OrderID]],[0]!Category,"beverage")&gt;0,"yes","no")</f>
        <v>no</v>
      </c>
      <c r="J22">
        <f>SUMIFS([0]!LineNetAmount,[0]!OrderID,Table3[[#This Row],[OrderID]])</f>
        <v>291.72640000000001</v>
      </c>
      <c r="K22" t="str" cm="1">
        <f t="array" ref="K22">_xlfn.TEXTJOIN("+",,_xlfn._xlws.SORT(_xlfn.UNIQUE(_xlfn._xlws.FILTER([0]!Category,[0]!OrderID=Table3[[#This Row],[OrderID]]))))</f>
        <v>Snack</v>
      </c>
      <c r="L22" s="39">
        <f>SUMIFS([0]!FoodCost,[0]!OrderID,Table3[[#This Row],[OrderID]])</f>
        <v>138.13</v>
      </c>
      <c r="M22" s="39">
        <f>Table3[[#This Row],[LineAmount]]-Table3[[#This Row],[TotalCost]]</f>
        <v>153.59640000000002</v>
      </c>
      <c r="N22" t="str">
        <f>IF(AND(COUNTIFS([0]!OrderID,Table3[[#This Row],[OrderID]],[0]!Category,"hot meal")&gt;0,COUNTIFS([0]!OrderID,Table3[[#This Row],[OrderID]],[0]!Category,"beverage")&gt;0),"combo","single")</f>
        <v>single</v>
      </c>
      <c r="O22" t="str">
        <f>IF((Table3[[#This Row],[LineAmount]]/(1-Table3[[#This Row],[DiscountPct]]))*Table3[[#This Row],[DiscountPct]]&gt;40,"High Disc","OK")</f>
        <v>OK</v>
      </c>
      <c r="R22">
        <f>450/2</f>
        <v>225</v>
      </c>
    </row>
    <row r="23" spans="1:23" x14ac:dyDescent="0.3">
      <c r="A23" t="s">
        <v>52</v>
      </c>
      <c r="B23" s="7">
        <v>45862.424097222232</v>
      </c>
      <c r="C23" t="s">
        <v>15</v>
      </c>
      <c r="D23" t="s">
        <v>16</v>
      </c>
      <c r="E23" t="s">
        <v>17</v>
      </c>
      <c r="F23" t="s">
        <v>12</v>
      </c>
      <c r="G23">
        <v>0.01</v>
      </c>
      <c r="H23" s="3">
        <f t="shared" si="0"/>
        <v>45862</v>
      </c>
      <c r="I23" t="str">
        <f>IF(COUNTIFS([0]!OrderID,Table3[[#This Row],[OrderID]],[0]!Category,"beverage")&gt;0,"yes","no")</f>
        <v>yes</v>
      </c>
      <c r="J23">
        <f>SUMIFS([0]!LineNetAmount,[0]!OrderID,Table3[[#This Row],[OrderID]])</f>
        <v>364.2903</v>
      </c>
      <c r="K23" t="str" cm="1">
        <f t="array" ref="K23">_xlfn.TEXTJOIN("+",,_xlfn._xlws.SORT(_xlfn.UNIQUE(_xlfn._xlws.FILTER([0]!Category,[0]!OrderID=Table3[[#This Row],[OrderID]]))))</f>
        <v>Beverage+Dessert+Hot Meal</v>
      </c>
      <c r="L23" s="39">
        <f>SUMIFS([0]!FoodCost,[0]!OrderID,Table3[[#This Row],[OrderID]])</f>
        <v>170.97</v>
      </c>
      <c r="M23" s="39">
        <f>Table3[[#This Row],[LineAmount]]-Table3[[#This Row],[TotalCost]]</f>
        <v>193.3203</v>
      </c>
      <c r="N23" t="str">
        <f>IF(AND(COUNTIFS([0]!OrderID,Table3[[#This Row],[OrderID]],[0]!Category,"hot meal")&gt;0,COUNTIFS([0]!OrderID,Table3[[#This Row],[OrderID]],[0]!Category,"beverage")&gt;0),"combo","single")</f>
        <v>combo</v>
      </c>
      <c r="O23" t="str">
        <f>IF((Table3[[#This Row],[LineAmount]]/(1-Table3[[#This Row],[DiscountPct]]))*Table3[[#This Row],[DiscountPct]]&gt;40,"High Disc","OK")</f>
        <v>OK</v>
      </c>
    </row>
    <row r="24" spans="1:23" x14ac:dyDescent="0.3">
      <c r="A24" t="s">
        <v>53</v>
      </c>
      <c r="B24" s="7">
        <v>45883.642094907409</v>
      </c>
      <c r="C24" t="s">
        <v>15</v>
      </c>
      <c r="D24" t="s">
        <v>28</v>
      </c>
      <c r="E24" t="s">
        <v>17</v>
      </c>
      <c r="F24" t="s">
        <v>22</v>
      </c>
      <c r="G24">
        <v>0.09</v>
      </c>
      <c r="H24" s="3">
        <f t="shared" si="0"/>
        <v>45883</v>
      </c>
      <c r="I24" t="str">
        <f>IF(COUNTIFS([0]!OrderID,Table3[[#This Row],[OrderID]],[0]!Category,"beverage")&gt;0,"yes","no")</f>
        <v>yes</v>
      </c>
      <c r="J24">
        <f>SUMIFS([0]!LineNetAmount,[0]!OrderID,Table3[[#This Row],[OrderID]])</f>
        <v>242.24200000000002</v>
      </c>
      <c r="K24" t="str" cm="1">
        <f t="array" ref="K24">_xlfn.TEXTJOIN("+",,_xlfn._xlws.SORT(_xlfn.UNIQUE(_xlfn._xlws.FILTER([0]!Category,[0]!OrderID=Table3[[#This Row],[OrderID]]))))</f>
        <v>Beverage+Hot Meal</v>
      </c>
      <c r="L24" s="39">
        <f>SUMIFS([0]!FoodCost,[0]!OrderID,Table3[[#This Row],[OrderID]])</f>
        <v>120.08</v>
      </c>
      <c r="M24" s="39">
        <f>Table3[[#This Row],[LineAmount]]-Table3[[#This Row],[TotalCost]]</f>
        <v>122.16200000000002</v>
      </c>
      <c r="N24" t="str">
        <f>IF(AND(COUNTIFS([0]!OrderID,Table3[[#This Row],[OrderID]],[0]!Category,"hot meal")&gt;0,COUNTIFS([0]!OrderID,Table3[[#This Row],[OrderID]],[0]!Category,"beverage")&gt;0),"combo","single")</f>
        <v>combo</v>
      </c>
      <c r="O24" t="str">
        <f>IF((Table3[[#This Row],[LineAmount]]/(1-Table3[[#This Row],[DiscountPct]]))*Table3[[#This Row],[DiscountPct]]&gt;40,"High Disc","OK")</f>
        <v>OK</v>
      </c>
      <c r="Q24" s="3"/>
    </row>
    <row r="25" spans="1:23" x14ac:dyDescent="0.3">
      <c r="A25" t="s">
        <v>54</v>
      </c>
      <c r="B25" s="7">
        <v>45893.911249999997</v>
      </c>
      <c r="C25" t="s">
        <v>27</v>
      </c>
      <c r="D25" t="s">
        <v>28</v>
      </c>
      <c r="E25" t="s">
        <v>11</v>
      </c>
      <c r="F25" t="s">
        <v>18</v>
      </c>
      <c r="G25">
        <v>0.11</v>
      </c>
      <c r="H25" s="3">
        <f t="shared" si="0"/>
        <v>45893</v>
      </c>
      <c r="I25" t="str">
        <f>IF(COUNTIFS([0]!OrderID,Table3[[#This Row],[OrderID]],[0]!Category,"beverage")&gt;0,"yes","no")</f>
        <v>no</v>
      </c>
      <c r="J25">
        <f>SUMIFS([0]!LineNetAmount,[0]!OrderID,Table3[[#This Row],[OrderID]])</f>
        <v>390.88800000000003</v>
      </c>
      <c r="K25" t="str" cm="1">
        <f t="array" ref="K25">_xlfn.TEXTJOIN("+",,_xlfn._xlws.SORT(_xlfn.UNIQUE(_xlfn._xlws.FILTER([0]!Category,[0]!OrderID=Table3[[#This Row],[OrderID]]))))</f>
        <v>Hot Meal</v>
      </c>
      <c r="L25" s="39">
        <f>SUMIFS([0]!FoodCost,[0]!OrderID,Table3[[#This Row],[OrderID]])</f>
        <v>242.76</v>
      </c>
      <c r="M25" s="39">
        <f>Table3[[#This Row],[LineAmount]]-Table3[[#This Row],[TotalCost]]</f>
        <v>148.12800000000004</v>
      </c>
      <c r="N25" t="str">
        <f>IF(AND(COUNTIFS([0]!OrderID,Table3[[#This Row],[OrderID]],[0]!Category,"hot meal")&gt;0,COUNTIFS([0]!OrderID,Table3[[#This Row],[OrderID]],[0]!Category,"beverage")&gt;0),"combo","single")</f>
        <v>single</v>
      </c>
      <c r="O25" t="str">
        <f>IF((Table3[[#This Row],[LineAmount]]/(1-Table3[[#This Row],[DiscountPct]]))*Table3[[#This Row],[DiscountPct]]&gt;40,"High Disc","OK")</f>
        <v>High Disc</v>
      </c>
    </row>
    <row r="26" spans="1:23" x14ac:dyDescent="0.3">
      <c r="A26" t="s">
        <v>56</v>
      </c>
      <c r="B26" s="7">
        <v>45888.366527777784</v>
      </c>
      <c r="C26" t="s">
        <v>15</v>
      </c>
      <c r="D26" t="s">
        <v>28</v>
      </c>
      <c r="E26" t="s">
        <v>21</v>
      </c>
      <c r="F26" t="s">
        <v>12</v>
      </c>
      <c r="G26">
        <v>0.06</v>
      </c>
      <c r="H26" s="3">
        <f t="shared" si="0"/>
        <v>45888</v>
      </c>
      <c r="I26" t="str">
        <f>IF(COUNTIFS([0]!OrderID,Table3[[#This Row],[OrderID]],[0]!Category,"beverage")&gt;0,"yes","no")</f>
        <v>no</v>
      </c>
      <c r="J26">
        <f>SUMIFS([0]!LineNetAmount,[0]!OrderID,Table3[[#This Row],[OrderID]])</f>
        <v>47.178599999999996</v>
      </c>
      <c r="K26" t="str" cm="1">
        <f t="array" ref="K26">_xlfn.TEXTJOIN("+",,_xlfn._xlws.SORT(_xlfn.UNIQUE(_xlfn._xlws.FILTER([0]!Category,[0]!OrderID=Table3[[#This Row],[OrderID]]))))</f>
        <v>Snack</v>
      </c>
      <c r="L26" s="39">
        <f>SUMIFS([0]!FoodCost,[0]!OrderID,Table3[[#This Row],[OrderID]])</f>
        <v>22.61</v>
      </c>
      <c r="M26" s="39">
        <f>Table3[[#This Row],[LineAmount]]-Table3[[#This Row],[TotalCost]]</f>
        <v>24.568599999999996</v>
      </c>
      <c r="N26" t="str">
        <f>IF(AND(COUNTIFS([0]!OrderID,Table3[[#This Row],[OrderID]],[0]!Category,"hot meal")&gt;0,COUNTIFS([0]!OrderID,Table3[[#This Row],[OrderID]],[0]!Category,"beverage")&gt;0),"combo","single")</f>
        <v>single</v>
      </c>
      <c r="O26" t="str">
        <f>IF((Table3[[#This Row],[LineAmount]]/(1-Table3[[#This Row],[DiscountPct]]))*Table3[[#This Row],[DiscountPct]]&gt;40,"High Disc","OK")</f>
        <v>OK</v>
      </c>
    </row>
    <row r="27" spans="1:23" x14ac:dyDescent="0.3">
      <c r="A27" t="s">
        <v>57</v>
      </c>
      <c r="B27" s="7">
        <v>45862.967662037037</v>
      </c>
      <c r="C27" t="s">
        <v>15</v>
      </c>
      <c r="D27" t="s">
        <v>16</v>
      </c>
      <c r="E27" t="s">
        <v>17</v>
      </c>
      <c r="F27" t="s">
        <v>18</v>
      </c>
      <c r="G27">
        <v>0.1</v>
      </c>
      <c r="H27" s="3">
        <f t="shared" si="0"/>
        <v>45862</v>
      </c>
      <c r="I27" t="str">
        <f>IF(COUNTIFS([0]!OrderID,Table3[[#This Row],[OrderID]],[0]!Category,"beverage")&gt;0,"yes","no")</f>
        <v>no</v>
      </c>
      <c r="J27">
        <f>SUMIFS([0]!LineNetAmount,[0]!OrderID,Table3[[#This Row],[OrderID]])</f>
        <v>81.459000000000003</v>
      </c>
      <c r="K27" t="str" cm="1">
        <f t="array" ref="K27">_xlfn.TEXTJOIN("+",,_xlfn._xlws.SORT(_xlfn.UNIQUE(_xlfn._xlws.FILTER([0]!Category,[0]!OrderID=Table3[[#This Row],[OrderID]]))))</f>
        <v>Snack</v>
      </c>
      <c r="L27" s="39">
        <f>SUMIFS([0]!FoodCost,[0]!OrderID,Table3[[#This Row],[OrderID]])</f>
        <v>45.35</v>
      </c>
      <c r="M27" s="39">
        <f>Table3[[#This Row],[LineAmount]]-Table3[[#This Row],[TotalCost]]</f>
        <v>36.109000000000002</v>
      </c>
      <c r="N27" t="str">
        <f>IF(AND(COUNTIFS([0]!OrderID,Table3[[#This Row],[OrderID]],[0]!Category,"hot meal")&gt;0,COUNTIFS([0]!OrderID,Table3[[#This Row],[OrderID]],[0]!Category,"beverage")&gt;0),"combo","single")</f>
        <v>single</v>
      </c>
      <c r="O27" t="str">
        <f>IF((Table3[[#This Row],[LineAmount]]/(1-Table3[[#This Row],[DiscountPct]]))*Table3[[#This Row],[DiscountPct]]&gt;40,"High Disc","OK")</f>
        <v>OK</v>
      </c>
    </row>
    <row r="28" spans="1:23" x14ac:dyDescent="0.3">
      <c r="A28" t="s">
        <v>58</v>
      </c>
      <c r="B28" s="7">
        <v>45891.991226851853</v>
      </c>
      <c r="C28" t="s">
        <v>9</v>
      </c>
      <c r="D28" t="s">
        <v>16</v>
      </c>
      <c r="E28" t="s">
        <v>11</v>
      </c>
      <c r="F28" t="s">
        <v>18</v>
      </c>
      <c r="G28">
        <v>7.0000000000000007E-2</v>
      </c>
      <c r="H28" s="3">
        <f t="shared" si="0"/>
        <v>45891</v>
      </c>
      <c r="I28" t="str">
        <f>IF(COUNTIFS([0]!OrderID,Table3[[#This Row],[OrderID]],[0]!Category,"beverage")&gt;0,"yes","no")</f>
        <v>yes</v>
      </c>
      <c r="J28">
        <f>SUMIFS([0]!LineNetAmount,[0]!OrderID,Table3[[#This Row],[OrderID]])</f>
        <v>839.84580000000005</v>
      </c>
      <c r="K28" t="str" cm="1">
        <f t="array" ref="K28">_xlfn.TEXTJOIN("+",,_xlfn._xlws.SORT(_xlfn.UNIQUE(_xlfn._xlws.FILTER([0]!Category,[0]!OrderID=Table3[[#This Row],[OrderID]]))))</f>
        <v>Beverage+Dessert+Hot Meal</v>
      </c>
      <c r="L28" s="39">
        <f>SUMIFS([0]!FoodCost,[0]!OrderID,Table3[[#This Row],[OrderID]])</f>
        <v>406.74999999999994</v>
      </c>
      <c r="M28" s="39">
        <f>Table3[[#This Row],[LineAmount]]-Table3[[#This Row],[TotalCost]]</f>
        <v>433.09580000000011</v>
      </c>
      <c r="N28" t="str">
        <f>IF(AND(COUNTIFS([0]!OrderID,Table3[[#This Row],[OrderID]],[0]!Category,"hot meal")&gt;0,COUNTIFS([0]!OrderID,Table3[[#This Row],[OrderID]],[0]!Category,"beverage")&gt;0),"combo","single")</f>
        <v>combo</v>
      </c>
      <c r="O28" t="str">
        <f>IF((Table3[[#This Row],[LineAmount]]/(1-Table3[[#This Row],[DiscountPct]]))*Table3[[#This Row],[DiscountPct]]&gt;40,"High Disc","OK")</f>
        <v>High Disc</v>
      </c>
    </row>
    <row r="29" spans="1:23" x14ac:dyDescent="0.3">
      <c r="A29" t="s">
        <v>59</v>
      </c>
      <c r="B29" s="7">
        <v>45840.00953703704</v>
      </c>
      <c r="C29" t="s">
        <v>9</v>
      </c>
      <c r="D29" t="s">
        <v>10</v>
      </c>
      <c r="E29" t="s">
        <v>21</v>
      </c>
      <c r="F29" t="s">
        <v>12</v>
      </c>
      <c r="G29">
        <v>0.03</v>
      </c>
      <c r="H29" s="3">
        <f t="shared" si="0"/>
        <v>45840</v>
      </c>
      <c r="I29" t="str">
        <f>IF(COUNTIFS([0]!OrderID,Table3[[#This Row],[OrderID]],[0]!Category,"beverage")&gt;0,"yes","no")</f>
        <v>yes</v>
      </c>
      <c r="J29">
        <f>SUMIFS([0]!LineNetAmount,[0]!OrderID,Table3[[#This Row],[OrderID]])</f>
        <v>382.71350000000001</v>
      </c>
      <c r="K29" t="str" cm="1">
        <f t="array" ref="K29">_xlfn.TEXTJOIN("+",,_xlfn._xlws.SORT(_xlfn.UNIQUE(_xlfn._xlws.FILTER([0]!Category,[0]!OrderID=Table3[[#This Row],[OrderID]]))))</f>
        <v>Beverage+Dessert+Snack</v>
      </c>
      <c r="L29" s="39">
        <f>SUMIFS([0]!FoodCost,[0]!OrderID,Table3[[#This Row],[OrderID]])</f>
        <v>172.36</v>
      </c>
      <c r="M29" s="39">
        <f>Table3[[#This Row],[LineAmount]]-Table3[[#This Row],[TotalCost]]</f>
        <v>210.3535</v>
      </c>
      <c r="N29" t="str">
        <f>IF(AND(COUNTIFS([0]!OrderID,Table3[[#This Row],[OrderID]],[0]!Category,"hot meal")&gt;0,COUNTIFS([0]!OrderID,Table3[[#This Row],[OrderID]],[0]!Category,"beverage")&gt;0),"combo","single")</f>
        <v>single</v>
      </c>
      <c r="O29" t="str">
        <f>IF((Table3[[#This Row],[LineAmount]]/(1-Table3[[#This Row],[DiscountPct]]))*Table3[[#This Row],[DiscountPct]]&gt;40,"High Disc","OK")</f>
        <v>OK</v>
      </c>
    </row>
    <row r="30" spans="1:23" x14ac:dyDescent="0.3">
      <c r="A30" t="s">
        <v>60</v>
      </c>
      <c r="B30" s="7">
        <v>45852.288368055553</v>
      </c>
      <c r="C30" t="s">
        <v>15</v>
      </c>
      <c r="D30" t="s">
        <v>28</v>
      </c>
      <c r="E30" t="s">
        <v>17</v>
      </c>
      <c r="F30" t="s">
        <v>12</v>
      </c>
      <c r="G30">
        <v>7.0000000000000007E-2</v>
      </c>
      <c r="H30" s="3">
        <f t="shared" si="0"/>
        <v>45852</v>
      </c>
      <c r="I30" t="str">
        <f>IF(COUNTIFS([0]!OrderID,Table3[[#This Row],[OrderID]],[0]!Category,"beverage")&gt;0,"yes","no")</f>
        <v>no</v>
      </c>
      <c r="J30">
        <f>SUMIFS([0]!LineNetAmount,[0]!OrderID,Table3[[#This Row],[OrderID]])</f>
        <v>140.03009999999998</v>
      </c>
      <c r="K30" t="str" cm="1">
        <f t="array" ref="K30">_xlfn.TEXTJOIN("+",,_xlfn._xlws.SORT(_xlfn.UNIQUE(_xlfn._xlws.FILTER([0]!Category,[0]!OrderID=Table3[[#This Row],[OrderID]]))))</f>
        <v>Snack</v>
      </c>
      <c r="L30" s="39">
        <f>SUMIFS([0]!FoodCost,[0]!OrderID,Table3[[#This Row],[OrderID]])</f>
        <v>67.83</v>
      </c>
      <c r="M30" s="39">
        <f>Table3[[#This Row],[LineAmount]]-Table3[[#This Row],[TotalCost]]</f>
        <v>72.200099999999978</v>
      </c>
      <c r="N30" t="str">
        <f>IF(AND(COUNTIFS([0]!OrderID,Table3[[#This Row],[OrderID]],[0]!Category,"hot meal")&gt;0,COUNTIFS([0]!OrderID,Table3[[#This Row],[OrderID]],[0]!Category,"beverage")&gt;0),"combo","single")</f>
        <v>single</v>
      </c>
      <c r="O30" t="str">
        <f>IF((Table3[[#This Row],[LineAmount]]/(1-Table3[[#This Row],[DiscountPct]]))*Table3[[#This Row],[DiscountPct]]&gt;40,"High Disc","OK")</f>
        <v>OK</v>
      </c>
    </row>
    <row r="31" spans="1:23" x14ac:dyDescent="0.3">
      <c r="A31" t="s">
        <v>62</v>
      </c>
      <c r="B31" s="7">
        <v>45854.342488425929</v>
      </c>
      <c r="C31" t="s">
        <v>15</v>
      </c>
      <c r="D31" t="s">
        <v>16</v>
      </c>
      <c r="E31" t="s">
        <v>11</v>
      </c>
      <c r="F31" t="s">
        <v>12</v>
      </c>
      <c r="G31">
        <v>0.12</v>
      </c>
      <c r="H31" s="3">
        <f t="shared" si="0"/>
        <v>45854</v>
      </c>
      <c r="I31" t="str">
        <f>IF(COUNTIFS([0]!OrderID,Table3[[#This Row],[OrderID]],[0]!Category,"beverage")&gt;0,"yes","no")</f>
        <v>yes</v>
      </c>
      <c r="J31">
        <f>SUMIFS([0]!LineNetAmount,[0]!OrderID,Table3[[#This Row],[OrderID]])</f>
        <v>365.72800000000001</v>
      </c>
      <c r="K31" t="str" cm="1">
        <f t="array" ref="K31">_xlfn.TEXTJOIN("+",,_xlfn._xlws.SORT(_xlfn.UNIQUE(_xlfn._xlws.FILTER([0]!Category,[0]!OrderID=Table3[[#This Row],[OrderID]]))))</f>
        <v>Beverage+Hot Meal+Snack</v>
      </c>
      <c r="L31" s="39">
        <f>SUMIFS([0]!FoodCost,[0]!OrderID,Table3[[#This Row],[OrderID]])</f>
        <v>197.59</v>
      </c>
      <c r="M31" s="39">
        <f>Table3[[#This Row],[LineAmount]]-Table3[[#This Row],[TotalCost]]</f>
        <v>168.13800000000001</v>
      </c>
      <c r="N31" t="str">
        <f>IF(AND(COUNTIFS([0]!OrderID,Table3[[#This Row],[OrderID]],[0]!Category,"hot meal")&gt;0,COUNTIFS([0]!OrderID,Table3[[#This Row],[OrderID]],[0]!Category,"beverage")&gt;0),"combo","single")</f>
        <v>combo</v>
      </c>
      <c r="O31" t="str">
        <f>IF((Table3[[#This Row],[LineAmount]]/(1-Table3[[#This Row],[DiscountPct]]))*Table3[[#This Row],[DiscountPct]]&gt;40,"High Disc","OK")</f>
        <v>High Disc</v>
      </c>
    </row>
    <row r="32" spans="1:23" x14ac:dyDescent="0.3">
      <c r="A32" t="s">
        <v>63</v>
      </c>
      <c r="B32" s="7">
        <v>45872.540370370371</v>
      </c>
      <c r="C32" t="s">
        <v>27</v>
      </c>
      <c r="D32" t="s">
        <v>10</v>
      </c>
      <c r="E32" t="s">
        <v>11</v>
      </c>
      <c r="F32" t="s">
        <v>22</v>
      </c>
      <c r="G32">
        <v>0.06</v>
      </c>
      <c r="H32" s="3">
        <f t="shared" si="0"/>
        <v>45872</v>
      </c>
      <c r="I32" t="str">
        <f>IF(COUNTIFS([0]!OrderID,Table3[[#This Row],[OrderID]],[0]!Category,"beverage")&gt;0,"yes","no")</f>
        <v>no</v>
      </c>
      <c r="J32">
        <f>SUMIFS([0]!LineNetAmount,[0]!OrderID,Table3[[#This Row],[OrderID]])</f>
        <v>435.97199999999992</v>
      </c>
      <c r="K32" t="str" cm="1">
        <f t="array" ref="K32">_xlfn.TEXTJOIN("+",,_xlfn._xlws.SORT(_xlfn.UNIQUE(_xlfn._xlws.FILTER([0]!Category,[0]!OrderID=Table3[[#This Row],[OrderID]]))))</f>
        <v>Dessert+Hot Meal</v>
      </c>
      <c r="L32" s="39">
        <f>SUMIFS([0]!FoodCost,[0]!OrderID,Table3[[#This Row],[OrderID]])</f>
        <v>232.76</v>
      </c>
      <c r="M32" s="39">
        <f>Table3[[#This Row],[LineAmount]]-Table3[[#This Row],[TotalCost]]</f>
        <v>203.21199999999993</v>
      </c>
      <c r="N32" t="str">
        <f>IF(AND(COUNTIFS([0]!OrderID,Table3[[#This Row],[OrderID]],[0]!Category,"hot meal")&gt;0,COUNTIFS([0]!OrderID,Table3[[#This Row],[OrderID]],[0]!Category,"beverage")&gt;0),"combo","single")</f>
        <v>single</v>
      </c>
      <c r="O32" t="str">
        <f>IF((Table3[[#This Row],[LineAmount]]/(1-Table3[[#This Row],[DiscountPct]]))*Table3[[#This Row],[DiscountPct]]&gt;40,"High Disc","OK")</f>
        <v>OK</v>
      </c>
    </row>
    <row r="33" spans="1:15" x14ac:dyDescent="0.3">
      <c r="A33" t="s">
        <v>65</v>
      </c>
      <c r="B33" s="7">
        <v>45888.320347222223</v>
      </c>
      <c r="C33" t="s">
        <v>15</v>
      </c>
      <c r="D33" t="s">
        <v>16</v>
      </c>
      <c r="E33" t="s">
        <v>17</v>
      </c>
      <c r="F33" t="s">
        <v>12</v>
      </c>
      <c r="G33">
        <v>0.12</v>
      </c>
      <c r="H33" s="3">
        <f t="shared" si="0"/>
        <v>45888</v>
      </c>
      <c r="I33" t="str">
        <f>IF(COUNTIFS([0]!OrderID,Table3[[#This Row],[OrderID]],[0]!Category,"beverage")&gt;0,"yes","no")</f>
        <v>yes</v>
      </c>
      <c r="J33">
        <f>SUMIFS([0]!LineNetAmount,[0]!OrderID,Table3[[#This Row],[OrderID]])</f>
        <v>466.18879999999996</v>
      </c>
      <c r="K33" t="str" cm="1">
        <f t="array" ref="K33">_xlfn.TEXTJOIN("+",,_xlfn._xlws.SORT(_xlfn.UNIQUE(_xlfn._xlws.FILTER([0]!Category,[0]!OrderID=Table3[[#This Row],[OrderID]]))))</f>
        <v>Beverage+Dessert+Hot Meal</v>
      </c>
      <c r="L33" s="39">
        <f>SUMIFS([0]!FoodCost,[0]!OrderID,Table3[[#This Row],[OrderID]])</f>
        <v>256.44</v>
      </c>
      <c r="M33" s="39">
        <f>Table3[[#This Row],[LineAmount]]-Table3[[#This Row],[TotalCost]]</f>
        <v>209.74879999999996</v>
      </c>
      <c r="N33" t="str">
        <f>IF(AND(COUNTIFS([0]!OrderID,Table3[[#This Row],[OrderID]],[0]!Category,"hot meal")&gt;0,COUNTIFS([0]!OrderID,Table3[[#This Row],[OrderID]],[0]!Category,"beverage")&gt;0),"combo","single")</f>
        <v>combo</v>
      </c>
      <c r="O33" t="str">
        <f>IF((Table3[[#This Row],[LineAmount]]/(1-Table3[[#This Row],[DiscountPct]]))*Table3[[#This Row],[DiscountPct]]&gt;40,"High Disc","OK")</f>
        <v>High Disc</v>
      </c>
    </row>
    <row r="34" spans="1:15" x14ac:dyDescent="0.3">
      <c r="A34" t="s">
        <v>66</v>
      </c>
      <c r="B34" s="7">
        <v>45880.375127314823</v>
      </c>
      <c r="C34" t="s">
        <v>15</v>
      </c>
      <c r="D34" t="s">
        <v>28</v>
      </c>
      <c r="E34" t="s">
        <v>17</v>
      </c>
      <c r="F34" t="s">
        <v>12</v>
      </c>
      <c r="G34">
        <v>0</v>
      </c>
      <c r="H34" s="3">
        <f t="shared" si="0"/>
        <v>45880</v>
      </c>
      <c r="I34" t="str">
        <f>IF(COUNTIFS([0]!OrderID,Table3[[#This Row],[OrderID]],[0]!Category,"beverage")&gt;0,"yes","no")</f>
        <v>no</v>
      </c>
      <c r="J34">
        <f>SUMIFS([0]!LineNetAmount,[0]!OrderID,Table3[[#This Row],[OrderID]])</f>
        <v>390.34999999999997</v>
      </c>
      <c r="K34" t="str" cm="1">
        <f t="array" ref="K34">_xlfn.TEXTJOIN("+",,_xlfn._xlws.SORT(_xlfn.UNIQUE(_xlfn._xlws.FILTER([0]!Category,[0]!OrderID=Table3[[#This Row],[OrderID]]))))</f>
        <v>Dessert+Snack</v>
      </c>
      <c r="L34" s="39">
        <f>SUMIFS([0]!FoodCost,[0]!OrderID,Table3[[#This Row],[OrderID]])</f>
        <v>162.41999999999999</v>
      </c>
      <c r="M34" s="39">
        <f>Table3[[#This Row],[LineAmount]]-Table3[[#This Row],[TotalCost]]</f>
        <v>227.92999999999998</v>
      </c>
      <c r="N34" t="str">
        <f>IF(AND(COUNTIFS([0]!OrderID,Table3[[#This Row],[OrderID]],[0]!Category,"hot meal")&gt;0,COUNTIFS([0]!OrderID,Table3[[#This Row],[OrderID]],[0]!Category,"beverage")&gt;0),"combo","single")</f>
        <v>single</v>
      </c>
      <c r="O34" t="str">
        <f>IF((Table3[[#This Row],[LineAmount]]/(1-Table3[[#This Row],[DiscountPct]]))*Table3[[#This Row],[DiscountPct]]&gt;40,"High Disc","OK")</f>
        <v>OK</v>
      </c>
    </row>
    <row r="35" spans="1:15" x14ac:dyDescent="0.3">
      <c r="A35" t="s">
        <v>67</v>
      </c>
      <c r="B35" s="7">
        <v>45851.951319444437</v>
      </c>
      <c r="C35" t="s">
        <v>9</v>
      </c>
      <c r="D35" t="s">
        <v>16</v>
      </c>
      <c r="E35" t="s">
        <v>17</v>
      </c>
      <c r="F35" t="s">
        <v>18</v>
      </c>
      <c r="G35">
        <v>0.09</v>
      </c>
      <c r="H35" s="3">
        <f t="shared" si="0"/>
        <v>45851</v>
      </c>
      <c r="I35" t="str">
        <f>IF(COUNTIFS([0]!OrderID,Table3[[#This Row],[OrderID]],[0]!Category,"beverage")&gt;0,"yes","no")</f>
        <v>yes</v>
      </c>
      <c r="J35">
        <f>SUMIFS([0]!LineNetAmount,[0]!OrderID,Table3[[#This Row],[OrderID]])</f>
        <v>86.568299999999994</v>
      </c>
      <c r="K35" t="str" cm="1">
        <f t="array" ref="K35">_xlfn.TEXTJOIN("+",,_xlfn._xlws.SORT(_xlfn.UNIQUE(_xlfn._xlws.FILTER([0]!Category,[0]!OrderID=Table3[[#This Row],[OrderID]]))))</f>
        <v>Beverage+Snack</v>
      </c>
      <c r="L35" s="39">
        <f>SUMIFS([0]!FoodCost,[0]!OrderID,Table3[[#This Row],[OrderID]])</f>
        <v>36.730000000000004</v>
      </c>
      <c r="M35" s="39">
        <f>Table3[[#This Row],[LineAmount]]-Table3[[#This Row],[TotalCost]]</f>
        <v>49.83829999999999</v>
      </c>
      <c r="N35" t="str">
        <f>IF(AND(COUNTIFS([0]!OrderID,Table3[[#This Row],[OrderID]],[0]!Category,"hot meal")&gt;0,COUNTIFS([0]!OrderID,Table3[[#This Row],[OrderID]],[0]!Category,"beverage")&gt;0),"combo","single")</f>
        <v>single</v>
      </c>
      <c r="O35" t="str">
        <f>IF((Table3[[#This Row],[LineAmount]]/(1-Table3[[#This Row],[DiscountPct]]))*Table3[[#This Row],[DiscountPct]]&gt;40,"High Disc","OK")</f>
        <v>OK</v>
      </c>
    </row>
    <row r="36" spans="1:15" x14ac:dyDescent="0.3">
      <c r="A36" t="s">
        <v>68</v>
      </c>
      <c r="B36" s="7">
        <v>45892.812847222223</v>
      </c>
      <c r="C36" t="s">
        <v>9</v>
      </c>
      <c r="D36" t="s">
        <v>16</v>
      </c>
      <c r="E36" t="s">
        <v>11</v>
      </c>
      <c r="F36" t="s">
        <v>18</v>
      </c>
      <c r="G36">
        <v>0.06</v>
      </c>
      <c r="H36" s="3">
        <f t="shared" si="0"/>
        <v>45892</v>
      </c>
      <c r="I36" t="str">
        <f>IF(COUNTIFS([0]!OrderID,Table3[[#This Row],[OrderID]],[0]!Category,"beverage")&gt;0,"yes","no")</f>
        <v>yes</v>
      </c>
      <c r="J36">
        <f>SUMIFS([0]!LineNetAmount,[0]!OrderID,Table3[[#This Row],[OrderID]])</f>
        <v>636.38</v>
      </c>
      <c r="K36" t="str" cm="1">
        <f t="array" ref="K36">_xlfn.TEXTJOIN("+",,_xlfn._xlws.SORT(_xlfn.UNIQUE(_xlfn._xlws.FILTER([0]!Category,[0]!OrderID=Table3[[#This Row],[OrderID]]))))</f>
        <v>Beverage+Dessert+Hot Meal</v>
      </c>
      <c r="L36" s="39">
        <f>SUMIFS([0]!FoodCost,[0]!OrderID,Table3[[#This Row],[OrderID]])</f>
        <v>293.52999999999997</v>
      </c>
      <c r="M36" s="39">
        <f>Table3[[#This Row],[LineAmount]]-Table3[[#This Row],[TotalCost]]</f>
        <v>342.85</v>
      </c>
      <c r="N36" t="str">
        <f>IF(AND(COUNTIFS([0]!OrderID,Table3[[#This Row],[OrderID]],[0]!Category,"hot meal")&gt;0,COUNTIFS([0]!OrderID,Table3[[#This Row],[OrderID]],[0]!Category,"beverage")&gt;0),"combo","single")</f>
        <v>combo</v>
      </c>
      <c r="O36" t="str">
        <f>IF((Table3[[#This Row],[LineAmount]]/(1-Table3[[#This Row],[DiscountPct]]))*Table3[[#This Row],[DiscountPct]]&gt;40,"High Disc","OK")</f>
        <v>High Disc</v>
      </c>
    </row>
    <row r="37" spans="1:15" x14ac:dyDescent="0.3">
      <c r="A37" t="s">
        <v>70</v>
      </c>
      <c r="B37" s="7">
        <v>45850.111875000002</v>
      </c>
      <c r="C37" t="s">
        <v>27</v>
      </c>
      <c r="D37" t="s">
        <v>10</v>
      </c>
      <c r="E37" t="s">
        <v>17</v>
      </c>
      <c r="F37" t="s">
        <v>12</v>
      </c>
      <c r="G37">
        <v>0.05</v>
      </c>
      <c r="H37" s="3">
        <f t="shared" si="0"/>
        <v>45850</v>
      </c>
      <c r="I37" t="str">
        <f>IF(COUNTIFS([0]!OrderID,Table3[[#This Row],[OrderID]],[0]!Category,"beverage")&gt;0,"yes","no")</f>
        <v>no</v>
      </c>
      <c r="J37">
        <f>SUMIFS([0]!LineNetAmount,[0]!OrderID,Table3[[#This Row],[OrderID]])</f>
        <v>209.96899999999999</v>
      </c>
      <c r="K37" t="str" cm="1">
        <f t="array" ref="K37">_xlfn.TEXTJOIN("+",,_xlfn._xlws.SORT(_xlfn.UNIQUE(_xlfn._xlws.FILTER([0]!Category,[0]!OrderID=Table3[[#This Row],[OrderID]]))))</f>
        <v>Hot Meal+Snack</v>
      </c>
      <c r="L37" s="39">
        <f>SUMIFS([0]!FoodCost,[0]!OrderID,Table3[[#This Row],[OrderID]])</f>
        <v>96.679999999999993</v>
      </c>
      <c r="M37" s="39">
        <f>Table3[[#This Row],[LineAmount]]-Table3[[#This Row],[TotalCost]]</f>
        <v>113.289</v>
      </c>
      <c r="N37" t="str">
        <f>IF(AND(COUNTIFS([0]!OrderID,Table3[[#This Row],[OrderID]],[0]!Category,"hot meal")&gt;0,COUNTIFS([0]!OrderID,Table3[[#This Row],[OrderID]],[0]!Category,"beverage")&gt;0),"combo","single")</f>
        <v>single</v>
      </c>
      <c r="O37" t="str">
        <f>IF((Table3[[#This Row],[LineAmount]]/(1-Table3[[#This Row],[DiscountPct]]))*Table3[[#This Row],[DiscountPct]]&gt;40,"High Disc","OK")</f>
        <v>OK</v>
      </c>
    </row>
    <row r="38" spans="1:15" x14ac:dyDescent="0.3">
      <c r="A38" t="s">
        <v>71</v>
      </c>
      <c r="B38" s="7">
        <v>45842.747974537036</v>
      </c>
      <c r="C38" t="s">
        <v>15</v>
      </c>
      <c r="D38" t="s">
        <v>10</v>
      </c>
      <c r="E38" t="s">
        <v>11</v>
      </c>
      <c r="F38" t="s">
        <v>18</v>
      </c>
      <c r="G38">
        <v>0.06</v>
      </c>
      <c r="H38" s="3">
        <f t="shared" si="0"/>
        <v>45842</v>
      </c>
      <c r="I38" t="str">
        <f>IF(COUNTIFS([0]!OrderID,Table3[[#This Row],[OrderID]],[0]!Category,"beverage")&gt;0,"yes","no")</f>
        <v>no</v>
      </c>
      <c r="J38">
        <f>SUMIFS([0]!LineNetAmount,[0]!OrderID,Table3[[#This Row],[OrderID]])</f>
        <v>321.16039999999998</v>
      </c>
      <c r="K38" t="str" cm="1">
        <f t="array" ref="K38">_xlfn.TEXTJOIN("+",,_xlfn._xlws.SORT(_xlfn.UNIQUE(_xlfn._xlws.FILTER([0]!Category,[0]!OrderID=Table3[[#This Row],[OrderID]]))))</f>
        <v>Hot Meal</v>
      </c>
      <c r="L38" s="39">
        <f>SUMIFS([0]!FoodCost,[0]!OrderID,Table3[[#This Row],[OrderID]])</f>
        <v>148.13999999999999</v>
      </c>
      <c r="M38" s="39">
        <f>Table3[[#This Row],[LineAmount]]-Table3[[#This Row],[TotalCost]]</f>
        <v>173.0204</v>
      </c>
      <c r="N38" t="str">
        <f>IF(AND(COUNTIFS([0]!OrderID,Table3[[#This Row],[OrderID]],[0]!Category,"hot meal")&gt;0,COUNTIFS([0]!OrderID,Table3[[#This Row],[OrderID]],[0]!Category,"beverage")&gt;0),"combo","single")</f>
        <v>single</v>
      </c>
      <c r="O38" t="str">
        <f>IF((Table3[[#This Row],[LineAmount]]/(1-Table3[[#This Row],[DiscountPct]]))*Table3[[#This Row],[DiscountPct]]&gt;40,"High Disc","OK")</f>
        <v>OK</v>
      </c>
    </row>
    <row r="39" spans="1:15" x14ac:dyDescent="0.3">
      <c r="A39" t="s">
        <v>73</v>
      </c>
      <c r="B39" s="7">
        <v>45880.978148148148</v>
      </c>
      <c r="C39" t="s">
        <v>27</v>
      </c>
      <c r="D39" t="s">
        <v>28</v>
      </c>
      <c r="E39" t="s">
        <v>21</v>
      </c>
      <c r="F39" t="s">
        <v>18</v>
      </c>
      <c r="G39">
        <v>0</v>
      </c>
      <c r="H39" s="3">
        <f t="shared" si="0"/>
        <v>45880</v>
      </c>
      <c r="I39" t="str">
        <f>IF(COUNTIFS([0]!OrderID,Table3[[#This Row],[OrderID]],[0]!Category,"beverage")&gt;0,"yes","no")</f>
        <v>yes</v>
      </c>
      <c r="J39">
        <f>SUMIFS([0]!LineNetAmount,[0]!OrderID,Table3[[#This Row],[OrderID]])</f>
        <v>88.16</v>
      </c>
      <c r="K39" t="str" cm="1">
        <f t="array" ref="K39">_xlfn.TEXTJOIN("+",,_xlfn._xlws.SORT(_xlfn.UNIQUE(_xlfn._xlws.FILTER([0]!Category,[0]!OrderID=Table3[[#This Row],[OrderID]]))))</f>
        <v>Beverage</v>
      </c>
      <c r="L39" s="39">
        <f>SUMIFS([0]!FoodCost,[0]!OrderID,Table3[[#This Row],[OrderID]])</f>
        <v>33.06</v>
      </c>
      <c r="M39" s="39">
        <f>Table3[[#This Row],[LineAmount]]-Table3[[#This Row],[TotalCost]]</f>
        <v>55.099999999999994</v>
      </c>
      <c r="N39" t="str">
        <f>IF(AND(COUNTIFS([0]!OrderID,Table3[[#This Row],[OrderID]],[0]!Category,"hot meal")&gt;0,COUNTIFS([0]!OrderID,Table3[[#This Row],[OrderID]],[0]!Category,"beverage")&gt;0),"combo","single")</f>
        <v>single</v>
      </c>
      <c r="O39" t="str">
        <f>IF((Table3[[#This Row],[LineAmount]]/(1-Table3[[#This Row],[DiscountPct]]))*Table3[[#This Row],[DiscountPct]]&gt;40,"High Disc","OK")</f>
        <v>OK</v>
      </c>
    </row>
    <row r="40" spans="1:15" x14ac:dyDescent="0.3">
      <c r="A40" t="s">
        <v>75</v>
      </c>
      <c r="B40" s="7">
        <v>45843.123402777783</v>
      </c>
      <c r="C40" t="s">
        <v>15</v>
      </c>
      <c r="D40" t="s">
        <v>28</v>
      </c>
      <c r="E40" t="s">
        <v>11</v>
      </c>
      <c r="F40" t="s">
        <v>12</v>
      </c>
      <c r="G40">
        <v>0.05</v>
      </c>
      <c r="H40" s="3">
        <f t="shared" si="0"/>
        <v>45843</v>
      </c>
      <c r="I40" t="str">
        <f>IF(COUNTIFS([0]!OrderID,Table3[[#This Row],[OrderID]],[0]!Category,"beverage")&gt;0,"yes","no")</f>
        <v>no</v>
      </c>
      <c r="J40">
        <f>SUMIFS([0]!LineNetAmount,[0]!OrderID,Table3[[#This Row],[OrderID]])</f>
        <v>486.8655</v>
      </c>
      <c r="K40" t="str" cm="1">
        <f t="array" ref="K40">_xlfn.TEXTJOIN("+",,_xlfn._xlws.SORT(_xlfn.UNIQUE(_xlfn._xlws.FILTER([0]!Category,[0]!OrderID=Table3[[#This Row],[OrderID]]))))</f>
        <v>Hot Meal</v>
      </c>
      <c r="L40" s="39">
        <f>SUMIFS([0]!FoodCost,[0]!OrderID,Table3[[#This Row],[OrderID]])</f>
        <v>222.20999999999998</v>
      </c>
      <c r="M40" s="39">
        <f>Table3[[#This Row],[LineAmount]]-Table3[[#This Row],[TotalCost]]</f>
        <v>264.65550000000002</v>
      </c>
      <c r="N40" t="str">
        <f>IF(AND(COUNTIFS([0]!OrderID,Table3[[#This Row],[OrderID]],[0]!Category,"hot meal")&gt;0,COUNTIFS([0]!OrderID,Table3[[#This Row],[OrderID]],[0]!Category,"beverage")&gt;0),"combo","single")</f>
        <v>single</v>
      </c>
      <c r="O40" t="str">
        <f>IF((Table3[[#This Row],[LineAmount]]/(1-Table3[[#This Row],[DiscountPct]]))*Table3[[#This Row],[DiscountPct]]&gt;40,"High Disc","OK")</f>
        <v>OK</v>
      </c>
    </row>
    <row r="41" spans="1:15" x14ac:dyDescent="0.3">
      <c r="A41" t="s">
        <v>76</v>
      </c>
      <c r="B41" s="7">
        <v>45849.230266203696</v>
      </c>
      <c r="C41" t="s">
        <v>15</v>
      </c>
      <c r="D41" t="s">
        <v>10</v>
      </c>
      <c r="E41" t="s">
        <v>21</v>
      </c>
      <c r="F41" t="s">
        <v>12</v>
      </c>
      <c r="G41">
        <v>7.0000000000000007E-2</v>
      </c>
      <c r="H41" s="3">
        <f t="shared" si="0"/>
        <v>45849</v>
      </c>
      <c r="I41" t="str">
        <f>IF(COUNTIFS([0]!OrderID,Table3[[#This Row],[OrderID]],[0]!Category,"beverage")&gt;0,"yes","no")</f>
        <v>yes</v>
      </c>
      <c r="J41">
        <f>SUMIFS([0]!LineNetAmount,[0]!OrderID,Table3[[#This Row],[OrderID]])</f>
        <v>624.52289999999994</v>
      </c>
      <c r="K41" t="str" cm="1">
        <f t="array" ref="K41">_xlfn.TEXTJOIN("+",,_xlfn._xlws.SORT(_xlfn.UNIQUE(_xlfn._xlws.FILTER([0]!Category,[0]!OrderID=Table3[[#This Row],[OrderID]]))))</f>
        <v>Beverage+Hot Meal</v>
      </c>
      <c r="L41" s="39">
        <f>SUMIFS([0]!FoodCost,[0]!OrderID,Table3[[#This Row],[OrderID]])</f>
        <v>306.07</v>
      </c>
      <c r="M41" s="39">
        <f>Table3[[#This Row],[LineAmount]]-Table3[[#This Row],[TotalCost]]</f>
        <v>318.45289999999994</v>
      </c>
      <c r="N41" t="str">
        <f>IF(AND(COUNTIFS([0]!OrderID,Table3[[#This Row],[OrderID]],[0]!Category,"hot meal")&gt;0,COUNTIFS([0]!OrderID,Table3[[#This Row],[OrderID]],[0]!Category,"beverage")&gt;0),"combo","single")</f>
        <v>combo</v>
      </c>
      <c r="O41" t="str">
        <f>IF((Table3[[#This Row],[LineAmount]]/(1-Table3[[#This Row],[DiscountPct]]))*Table3[[#This Row],[DiscountPct]]&gt;40,"High Disc","OK")</f>
        <v>High Disc</v>
      </c>
    </row>
    <row r="42" spans="1:15" x14ac:dyDescent="0.3">
      <c r="A42" t="s">
        <v>77</v>
      </c>
      <c r="B42" s="7">
        <v>45862.234907407408</v>
      </c>
      <c r="C42" t="s">
        <v>27</v>
      </c>
      <c r="D42" t="s">
        <v>28</v>
      </c>
      <c r="E42" t="s">
        <v>21</v>
      </c>
      <c r="F42" t="s">
        <v>12</v>
      </c>
      <c r="G42">
        <v>0.12</v>
      </c>
      <c r="H42" s="3">
        <f t="shared" si="0"/>
        <v>45862</v>
      </c>
      <c r="I42" t="str">
        <f>IF(COUNTIFS([0]!OrderID,Table3[[#This Row],[OrderID]],[0]!Category,"beverage")&gt;0,"yes","no")</f>
        <v>yes</v>
      </c>
      <c r="J42">
        <f>SUMIFS([0]!LineNetAmount,[0]!OrderID,Table3[[#This Row],[OrderID]])</f>
        <v>149.14240000000001</v>
      </c>
      <c r="K42" t="str" cm="1">
        <f t="array" ref="K42">_xlfn.TEXTJOIN("+",,_xlfn._xlws.SORT(_xlfn.UNIQUE(_xlfn._xlws.FILTER([0]!Category,[0]!OrderID=Table3[[#This Row],[OrderID]]))))</f>
        <v>Beverage+Snack</v>
      </c>
      <c r="L42" s="39">
        <f>SUMIFS([0]!FoodCost,[0]!OrderID,Table3[[#This Row],[OrderID]])</f>
        <v>71.33</v>
      </c>
      <c r="M42" s="39">
        <f>Table3[[#This Row],[LineAmount]]-Table3[[#This Row],[TotalCost]]</f>
        <v>77.812400000000011</v>
      </c>
      <c r="N42" t="str">
        <f>IF(AND(COUNTIFS([0]!OrderID,Table3[[#This Row],[OrderID]],[0]!Category,"hot meal")&gt;0,COUNTIFS([0]!OrderID,Table3[[#This Row],[OrderID]],[0]!Category,"beverage")&gt;0),"combo","single")</f>
        <v>single</v>
      </c>
      <c r="O42" t="str">
        <f>IF((Table3[[#This Row],[LineAmount]]/(1-Table3[[#This Row],[DiscountPct]]))*Table3[[#This Row],[DiscountPct]]&gt;40,"High Disc","OK")</f>
        <v>OK</v>
      </c>
    </row>
    <row r="43" spans="1:15" x14ac:dyDescent="0.3">
      <c r="A43" t="s">
        <v>78</v>
      </c>
      <c r="B43" s="7">
        <v>45856.664189814823</v>
      </c>
      <c r="C43" t="s">
        <v>9</v>
      </c>
      <c r="D43" t="s">
        <v>16</v>
      </c>
      <c r="E43" t="s">
        <v>21</v>
      </c>
      <c r="F43" t="s">
        <v>22</v>
      </c>
      <c r="G43">
        <v>0.04</v>
      </c>
      <c r="H43" s="3">
        <f t="shared" si="0"/>
        <v>45856</v>
      </c>
      <c r="I43" t="str">
        <f>IF(COUNTIFS([0]!OrderID,Table3[[#This Row],[OrderID]],[0]!Category,"beverage")&gt;0,"yes","no")</f>
        <v>yes</v>
      </c>
      <c r="J43">
        <f>SUMIFS([0]!LineNetAmount,[0]!OrderID,Table3[[#This Row],[OrderID]])</f>
        <v>346.63679999999999</v>
      </c>
      <c r="K43" t="str" cm="1">
        <f t="array" ref="K43">_xlfn.TEXTJOIN("+",,_xlfn._xlws.SORT(_xlfn.UNIQUE(_xlfn._xlws.FILTER([0]!Category,[0]!OrderID=Table3[[#This Row],[OrderID]]))))</f>
        <v>Beverage+Dessert+Hot Meal</v>
      </c>
      <c r="L43" s="39">
        <f>SUMIFS([0]!FoodCost,[0]!OrderID,Table3[[#This Row],[OrderID]])</f>
        <v>156.69</v>
      </c>
      <c r="M43" s="39">
        <f>Table3[[#This Row],[LineAmount]]-Table3[[#This Row],[TotalCost]]</f>
        <v>189.9468</v>
      </c>
      <c r="N43" t="str">
        <f>IF(AND(COUNTIFS([0]!OrderID,Table3[[#This Row],[OrderID]],[0]!Category,"hot meal")&gt;0,COUNTIFS([0]!OrderID,Table3[[#This Row],[OrderID]],[0]!Category,"beverage")&gt;0),"combo","single")</f>
        <v>combo</v>
      </c>
      <c r="O43" t="str">
        <f>IF((Table3[[#This Row],[LineAmount]]/(1-Table3[[#This Row],[DiscountPct]]))*Table3[[#This Row],[DiscountPct]]&gt;40,"High Disc","OK")</f>
        <v>OK</v>
      </c>
    </row>
    <row r="44" spans="1:15" x14ac:dyDescent="0.3">
      <c r="A44" t="s">
        <v>79</v>
      </c>
      <c r="B44" s="7">
        <v>45865.15425925926</v>
      </c>
      <c r="C44" t="s">
        <v>27</v>
      </c>
      <c r="D44" t="s">
        <v>10</v>
      </c>
      <c r="E44" t="s">
        <v>17</v>
      </c>
      <c r="F44" t="s">
        <v>12</v>
      </c>
      <c r="G44">
        <v>0.03</v>
      </c>
      <c r="H44" s="3">
        <f t="shared" si="0"/>
        <v>45865</v>
      </c>
      <c r="I44" t="str">
        <f>IF(COUNTIFS([0]!OrderID,Table3[[#This Row],[OrderID]],[0]!Category,"beverage")&gt;0,"yes","no")</f>
        <v>yes</v>
      </c>
      <c r="J44">
        <f>SUMIFS([0]!LineNetAmount,[0]!OrderID,Table3[[#This Row],[OrderID]])</f>
        <v>21.533999999999999</v>
      </c>
      <c r="K44" t="str" cm="1">
        <f t="array" ref="K44">_xlfn.TEXTJOIN("+",,_xlfn._xlws.SORT(_xlfn.UNIQUE(_xlfn._xlws.FILTER([0]!Category,[0]!OrderID=Table3[[#This Row],[OrderID]]))))</f>
        <v>Beverage</v>
      </c>
      <c r="L44" s="39">
        <f>SUMIFS([0]!FoodCost,[0]!OrderID,Table3[[#This Row],[OrderID]])</f>
        <v>9.3800000000000008</v>
      </c>
      <c r="M44" s="39">
        <f>Table3[[#This Row],[LineAmount]]-Table3[[#This Row],[TotalCost]]</f>
        <v>12.153999999999998</v>
      </c>
      <c r="N44" t="str">
        <f>IF(AND(COUNTIFS([0]!OrderID,Table3[[#This Row],[OrderID]],[0]!Category,"hot meal")&gt;0,COUNTIFS([0]!OrderID,Table3[[#This Row],[OrderID]],[0]!Category,"beverage")&gt;0),"combo","single")</f>
        <v>single</v>
      </c>
      <c r="O44" t="str">
        <f>IF((Table3[[#This Row],[LineAmount]]/(1-Table3[[#This Row],[DiscountPct]]))*Table3[[#This Row],[DiscountPct]]&gt;40,"High Disc","OK")</f>
        <v>OK</v>
      </c>
    </row>
    <row r="45" spans="1:15" x14ac:dyDescent="0.3">
      <c r="A45" t="s">
        <v>80</v>
      </c>
      <c r="B45" s="7">
        <v>45843.009780092587</v>
      </c>
      <c r="C45" t="s">
        <v>15</v>
      </c>
      <c r="D45" t="s">
        <v>28</v>
      </c>
      <c r="E45" t="s">
        <v>17</v>
      </c>
      <c r="F45" t="s">
        <v>12</v>
      </c>
      <c r="G45">
        <v>0.04</v>
      </c>
      <c r="H45" s="3">
        <f t="shared" si="0"/>
        <v>45843</v>
      </c>
      <c r="I45" t="str">
        <f>IF(COUNTIFS([0]!OrderID,Table3[[#This Row],[OrderID]],[0]!Category,"beverage")&gt;0,"yes","no")</f>
        <v>yes</v>
      </c>
      <c r="J45">
        <f>SUMIFS([0]!LineNetAmount,[0]!OrderID,Table3[[#This Row],[OrderID]])</f>
        <v>139.38240000000002</v>
      </c>
      <c r="K45" t="str" cm="1">
        <f t="array" ref="K45">_xlfn.TEXTJOIN("+",,_xlfn._xlws.SORT(_xlfn.UNIQUE(_xlfn._xlws.FILTER([0]!Category,[0]!OrderID=Table3[[#This Row],[OrderID]]))))</f>
        <v>Beverage+Snack</v>
      </c>
      <c r="L45" s="39">
        <f>SUMIFS([0]!FoodCost,[0]!OrderID,Table3[[#This Row],[OrderID]])</f>
        <v>70.990000000000009</v>
      </c>
      <c r="M45" s="39">
        <f>Table3[[#This Row],[LineAmount]]-Table3[[#This Row],[TotalCost]]</f>
        <v>68.392400000000009</v>
      </c>
      <c r="N45" t="str">
        <f>IF(AND(COUNTIFS([0]!OrderID,Table3[[#This Row],[OrderID]],[0]!Category,"hot meal")&gt;0,COUNTIFS([0]!OrderID,Table3[[#This Row],[OrderID]],[0]!Category,"beverage")&gt;0),"combo","single")</f>
        <v>single</v>
      </c>
      <c r="O45" t="str">
        <f>IF((Table3[[#This Row],[LineAmount]]/(1-Table3[[#This Row],[DiscountPct]]))*Table3[[#This Row],[DiscountPct]]&gt;40,"High Disc","OK")</f>
        <v>OK</v>
      </c>
    </row>
    <row r="46" spans="1:15" x14ac:dyDescent="0.3">
      <c r="A46" t="s">
        <v>81</v>
      </c>
      <c r="B46" s="7">
        <v>45873.198460648149</v>
      </c>
      <c r="C46" t="s">
        <v>15</v>
      </c>
      <c r="D46" t="s">
        <v>28</v>
      </c>
      <c r="E46" t="s">
        <v>17</v>
      </c>
      <c r="F46" t="s">
        <v>12</v>
      </c>
      <c r="G46">
        <v>0.1</v>
      </c>
      <c r="H46" s="3">
        <f t="shared" si="0"/>
        <v>45873</v>
      </c>
      <c r="I46" t="str">
        <f>IF(COUNTIFS([0]!OrderID,Table3[[#This Row],[OrderID]],[0]!Category,"beverage")&gt;0,"yes","no")</f>
        <v>yes</v>
      </c>
      <c r="J46">
        <f>SUMIFS([0]!LineNetAmount,[0]!OrderID,Table3[[#This Row],[OrderID]])</f>
        <v>323.90100000000001</v>
      </c>
      <c r="K46" t="str" cm="1">
        <f t="array" ref="K46">_xlfn.TEXTJOIN("+",,_xlfn._xlws.SORT(_xlfn.UNIQUE(_xlfn._xlws.FILTER([0]!Category,[0]!OrderID=Table3[[#This Row],[OrderID]]))))</f>
        <v>Beverage+Dessert</v>
      </c>
      <c r="L46" s="39">
        <f>SUMIFS([0]!FoodCost,[0]!OrderID,Table3[[#This Row],[OrderID]])</f>
        <v>145.62</v>
      </c>
      <c r="M46" s="39">
        <f>Table3[[#This Row],[LineAmount]]-Table3[[#This Row],[TotalCost]]</f>
        <v>178.28100000000001</v>
      </c>
      <c r="N46" t="str">
        <f>IF(AND(COUNTIFS([0]!OrderID,Table3[[#This Row],[OrderID]],[0]!Category,"hot meal")&gt;0,COUNTIFS([0]!OrderID,Table3[[#This Row],[OrderID]],[0]!Category,"beverage")&gt;0),"combo","single")</f>
        <v>single</v>
      </c>
      <c r="O46" t="str">
        <f>IF((Table3[[#This Row],[LineAmount]]/(1-Table3[[#This Row],[DiscountPct]]))*Table3[[#This Row],[DiscountPct]]&gt;40,"High Disc","OK")</f>
        <v>OK</v>
      </c>
    </row>
    <row r="47" spans="1:15" x14ac:dyDescent="0.3">
      <c r="A47" t="s">
        <v>82</v>
      </c>
      <c r="B47" s="7">
        <v>45858.00104166667</v>
      </c>
      <c r="C47" t="s">
        <v>15</v>
      </c>
      <c r="D47" t="s">
        <v>16</v>
      </c>
      <c r="E47" t="s">
        <v>21</v>
      </c>
      <c r="F47" t="s">
        <v>12</v>
      </c>
      <c r="G47">
        <v>7.0000000000000007E-2</v>
      </c>
      <c r="H47" s="3">
        <f t="shared" si="0"/>
        <v>45858</v>
      </c>
      <c r="I47" t="str">
        <f>IF(COUNTIFS([0]!OrderID,Table3[[#This Row],[OrderID]],[0]!Category,"beverage")&gt;0,"yes","no")</f>
        <v>no</v>
      </c>
      <c r="J47">
        <f>SUMIFS([0]!LineNetAmount,[0]!OrderID,Table3[[#This Row],[OrderID]])</f>
        <v>37.153500000000001</v>
      </c>
      <c r="K47" t="str" cm="1">
        <f t="array" ref="K47">_xlfn.TEXTJOIN("+",,_xlfn._xlws.SORT(_xlfn.UNIQUE(_xlfn._xlws.FILTER([0]!Category,[0]!OrderID=Table3[[#This Row],[OrderID]]))))</f>
        <v>Snack</v>
      </c>
      <c r="L47" s="39">
        <f>SUMIFS([0]!FoodCost,[0]!OrderID,Table3[[#This Row],[OrderID]])</f>
        <v>15.51</v>
      </c>
      <c r="M47" s="39">
        <f>Table3[[#This Row],[LineAmount]]-Table3[[#This Row],[TotalCost]]</f>
        <v>21.643500000000003</v>
      </c>
      <c r="N47" t="str">
        <f>IF(AND(COUNTIFS([0]!OrderID,Table3[[#This Row],[OrderID]],[0]!Category,"hot meal")&gt;0,COUNTIFS([0]!OrderID,Table3[[#This Row],[OrderID]],[0]!Category,"beverage")&gt;0),"combo","single")</f>
        <v>single</v>
      </c>
      <c r="O47" t="str">
        <f>IF((Table3[[#This Row],[LineAmount]]/(1-Table3[[#This Row],[DiscountPct]]))*Table3[[#This Row],[DiscountPct]]&gt;40,"High Disc","OK")</f>
        <v>OK</v>
      </c>
    </row>
    <row r="48" spans="1:15" x14ac:dyDescent="0.3">
      <c r="A48" t="s">
        <v>83</v>
      </c>
      <c r="B48" s="7">
        <v>45866.350347222222</v>
      </c>
      <c r="C48" t="s">
        <v>15</v>
      </c>
      <c r="D48" t="s">
        <v>10</v>
      </c>
      <c r="E48" t="s">
        <v>11</v>
      </c>
      <c r="F48" t="s">
        <v>12</v>
      </c>
      <c r="G48">
        <v>0.04</v>
      </c>
      <c r="H48" s="3">
        <f t="shared" si="0"/>
        <v>45866</v>
      </c>
      <c r="I48" t="str">
        <f>IF(COUNTIFS([0]!OrderID,Table3[[#This Row],[OrderID]],[0]!Category,"beverage")&gt;0,"yes","no")</f>
        <v>no</v>
      </c>
      <c r="J48">
        <f>SUMIFS([0]!LineNetAmount,[0]!OrderID,Table3[[#This Row],[OrderID]])</f>
        <v>595.65120000000002</v>
      </c>
      <c r="K48" t="str" cm="1">
        <f t="array" ref="K48">_xlfn.TEXTJOIN("+",,_xlfn._xlws.SORT(_xlfn.UNIQUE(_xlfn._xlws.FILTER([0]!Category,[0]!OrderID=Table3[[#This Row],[OrderID]]))))</f>
        <v>Dessert+Hot Meal+Snack</v>
      </c>
      <c r="L48" s="39">
        <f>SUMIFS([0]!FoodCost,[0]!OrderID,Table3[[#This Row],[OrderID]])</f>
        <v>290.22999999999996</v>
      </c>
      <c r="M48" s="39">
        <f>Table3[[#This Row],[LineAmount]]-Table3[[#This Row],[TotalCost]]</f>
        <v>305.42120000000006</v>
      </c>
      <c r="N48" t="str">
        <f>IF(AND(COUNTIFS([0]!OrderID,Table3[[#This Row],[OrderID]],[0]!Category,"hot meal")&gt;0,COUNTIFS([0]!OrderID,Table3[[#This Row],[OrderID]],[0]!Category,"beverage")&gt;0),"combo","single")</f>
        <v>single</v>
      </c>
      <c r="O48" t="str">
        <f>IF((Table3[[#This Row],[LineAmount]]/(1-Table3[[#This Row],[DiscountPct]]))*Table3[[#This Row],[DiscountPct]]&gt;40,"High Disc","OK")</f>
        <v>OK</v>
      </c>
    </row>
    <row r="49" spans="1:15" x14ac:dyDescent="0.3">
      <c r="A49" t="s">
        <v>84</v>
      </c>
      <c r="B49" s="7">
        <v>45891.311377314807</v>
      </c>
      <c r="C49" t="s">
        <v>15</v>
      </c>
      <c r="D49" t="s">
        <v>28</v>
      </c>
      <c r="E49" t="s">
        <v>17</v>
      </c>
      <c r="F49" t="s">
        <v>12</v>
      </c>
      <c r="G49">
        <v>0.08</v>
      </c>
      <c r="H49" s="3">
        <f t="shared" si="0"/>
        <v>45891</v>
      </c>
      <c r="I49" t="str">
        <f>IF(COUNTIFS([0]!OrderID,Table3[[#This Row],[OrderID]],[0]!Category,"beverage")&gt;0,"yes","no")</f>
        <v>yes</v>
      </c>
      <c r="J49">
        <f>SUMIFS([0]!LineNetAmount,[0]!OrderID,Table3[[#This Row],[OrderID]])</f>
        <v>179.67599999999999</v>
      </c>
      <c r="K49" t="str" cm="1">
        <f t="array" ref="K49">_xlfn.TEXTJOIN("+",,_xlfn._xlws.SORT(_xlfn.UNIQUE(_xlfn._xlws.FILTER([0]!Category,[0]!OrderID=Table3[[#This Row],[OrderID]]))))</f>
        <v>Beverage+Snack</v>
      </c>
      <c r="L49" s="39">
        <f>SUMIFS([0]!FoodCost,[0]!OrderID,Table3[[#This Row],[OrderID]])</f>
        <v>92.55</v>
      </c>
      <c r="M49" s="39">
        <f>Table3[[#This Row],[LineAmount]]-Table3[[#This Row],[TotalCost]]</f>
        <v>87.125999999999991</v>
      </c>
      <c r="N49" t="str">
        <f>IF(AND(COUNTIFS([0]!OrderID,Table3[[#This Row],[OrderID]],[0]!Category,"hot meal")&gt;0,COUNTIFS([0]!OrderID,Table3[[#This Row],[OrderID]],[0]!Category,"beverage")&gt;0),"combo","single")</f>
        <v>single</v>
      </c>
      <c r="O49" t="str">
        <f>IF((Table3[[#This Row],[LineAmount]]/(1-Table3[[#This Row],[DiscountPct]]))*Table3[[#This Row],[DiscountPct]]&gt;40,"High Disc","OK")</f>
        <v>OK</v>
      </c>
    </row>
    <row r="50" spans="1:15" x14ac:dyDescent="0.3">
      <c r="A50" t="s">
        <v>85</v>
      </c>
      <c r="B50" s="7">
        <v>45856.587210648147</v>
      </c>
      <c r="C50" t="s">
        <v>9</v>
      </c>
      <c r="D50" t="s">
        <v>16</v>
      </c>
      <c r="E50" t="s">
        <v>17</v>
      </c>
      <c r="F50" t="s">
        <v>22</v>
      </c>
      <c r="G50">
        <v>0.06</v>
      </c>
      <c r="H50" s="3">
        <f t="shared" si="0"/>
        <v>45856</v>
      </c>
      <c r="I50" t="str">
        <f>IF(COUNTIFS([0]!OrderID,Table3[[#This Row],[OrderID]],[0]!Category,"beverage")&gt;0,"yes","no")</f>
        <v>yes</v>
      </c>
      <c r="J50">
        <f>SUMIFS([0]!LineNetAmount,[0]!OrderID,Table3[[#This Row],[OrderID]])</f>
        <v>275.95579999999995</v>
      </c>
      <c r="K50" t="str" cm="1">
        <f t="array" ref="K50">_xlfn.TEXTJOIN("+",,_xlfn._xlws.SORT(_xlfn.UNIQUE(_xlfn._xlws.FILTER([0]!Category,[0]!OrderID=Table3[[#This Row],[OrderID]]))))</f>
        <v>Beverage+Hot Meal</v>
      </c>
      <c r="L50" s="39">
        <f>SUMIFS([0]!FoodCost,[0]!OrderID,Table3[[#This Row],[OrderID]])</f>
        <v>119.9</v>
      </c>
      <c r="M50" s="39">
        <f>Table3[[#This Row],[LineAmount]]-Table3[[#This Row],[TotalCost]]</f>
        <v>156.05579999999995</v>
      </c>
      <c r="N50" t="str">
        <f>IF(AND(COUNTIFS([0]!OrderID,Table3[[#This Row],[OrderID]],[0]!Category,"hot meal")&gt;0,COUNTIFS([0]!OrderID,Table3[[#This Row],[OrderID]],[0]!Category,"beverage")&gt;0),"combo","single")</f>
        <v>combo</v>
      </c>
      <c r="O50" t="str">
        <f>IF((Table3[[#This Row],[LineAmount]]/(1-Table3[[#This Row],[DiscountPct]]))*Table3[[#This Row],[DiscountPct]]&gt;40,"High Disc","OK")</f>
        <v>OK</v>
      </c>
    </row>
    <row r="51" spans="1:15" x14ac:dyDescent="0.3">
      <c r="A51" t="s">
        <v>86</v>
      </c>
      <c r="B51" s="7">
        <v>45897.171319444453</v>
      </c>
      <c r="C51" t="s">
        <v>15</v>
      </c>
      <c r="D51" t="s">
        <v>16</v>
      </c>
      <c r="E51" t="s">
        <v>11</v>
      </c>
      <c r="F51" t="s">
        <v>12</v>
      </c>
      <c r="G51">
        <v>0.1</v>
      </c>
      <c r="H51" s="3">
        <f t="shared" si="0"/>
        <v>45897</v>
      </c>
      <c r="I51" t="str">
        <f>IF(COUNTIFS([0]!OrderID,Table3[[#This Row],[OrderID]],[0]!Category,"beverage")&gt;0,"yes","no")</f>
        <v>yes</v>
      </c>
      <c r="J51">
        <f>SUMIFS([0]!LineNetAmount,[0]!OrderID,Table3[[#This Row],[OrderID]])</f>
        <v>98.576999999999998</v>
      </c>
      <c r="K51" t="str" cm="1">
        <f t="array" ref="K51">_xlfn.TEXTJOIN("+",,_xlfn._xlws.SORT(_xlfn.UNIQUE(_xlfn._xlws.FILTER([0]!Category,[0]!OrderID=Table3[[#This Row],[OrderID]]))))</f>
        <v>Beverage+Dessert</v>
      </c>
      <c r="L51" s="39">
        <f>SUMIFS([0]!FoodCost,[0]!OrderID,Table3[[#This Row],[OrderID]])</f>
        <v>50.069999999999993</v>
      </c>
      <c r="M51" s="39">
        <f>Table3[[#This Row],[LineAmount]]-Table3[[#This Row],[TotalCost]]</f>
        <v>48.507000000000005</v>
      </c>
      <c r="N51" t="str">
        <f>IF(AND(COUNTIFS([0]!OrderID,Table3[[#This Row],[OrderID]],[0]!Category,"hot meal")&gt;0,COUNTIFS([0]!OrderID,Table3[[#This Row],[OrderID]],[0]!Category,"beverage")&gt;0),"combo","single")</f>
        <v>single</v>
      </c>
      <c r="O51" t="str">
        <f>IF((Table3[[#This Row],[LineAmount]]/(1-Table3[[#This Row],[DiscountPct]]))*Table3[[#This Row],[DiscountPct]]&gt;40,"High Disc","OK")</f>
        <v>OK</v>
      </c>
    </row>
    <row r="52" spans="1:15" x14ac:dyDescent="0.3">
      <c r="A52" t="s">
        <v>87</v>
      </c>
      <c r="B52" s="7">
        <v>45881.619641203702</v>
      </c>
      <c r="C52" t="s">
        <v>9</v>
      </c>
      <c r="D52" t="s">
        <v>10</v>
      </c>
      <c r="E52" t="s">
        <v>17</v>
      </c>
      <c r="F52" t="s">
        <v>22</v>
      </c>
      <c r="G52">
        <v>0.03</v>
      </c>
      <c r="H52" s="3">
        <f t="shared" si="0"/>
        <v>45881</v>
      </c>
      <c r="I52" t="str">
        <f>IF(COUNTIFS([0]!OrderID,Table3[[#This Row],[OrderID]],[0]!Category,"beverage")&gt;0,"yes","no")</f>
        <v>no</v>
      </c>
      <c r="J52">
        <f>SUMIFS([0]!LineNetAmount,[0]!OrderID,Table3[[#This Row],[OrderID]])</f>
        <v>574.76379999999995</v>
      </c>
      <c r="K52" t="str" cm="1">
        <f t="array" ref="K52">_xlfn.TEXTJOIN("+",,_xlfn._xlws.SORT(_xlfn.UNIQUE(_xlfn._xlws.FILTER([0]!Category,[0]!OrderID=Table3[[#This Row],[OrderID]]))))</f>
        <v>Dessert+Hot Meal</v>
      </c>
      <c r="L52" s="39">
        <f>SUMIFS([0]!FoodCost,[0]!OrderID,Table3[[#This Row],[OrderID]])</f>
        <v>275.74</v>
      </c>
      <c r="M52" s="39">
        <f>Table3[[#This Row],[LineAmount]]-Table3[[#This Row],[TotalCost]]</f>
        <v>299.02379999999994</v>
      </c>
      <c r="N52" t="str">
        <f>IF(AND(COUNTIFS([0]!OrderID,Table3[[#This Row],[OrderID]],[0]!Category,"hot meal")&gt;0,COUNTIFS([0]!OrderID,Table3[[#This Row],[OrderID]],[0]!Category,"beverage")&gt;0),"combo","single")</f>
        <v>single</v>
      </c>
      <c r="O52" t="str">
        <f>IF((Table3[[#This Row],[LineAmount]]/(1-Table3[[#This Row],[DiscountPct]]))*Table3[[#This Row],[DiscountPct]]&gt;40,"High Disc","OK")</f>
        <v>OK</v>
      </c>
    </row>
    <row r="53" spans="1:15" x14ac:dyDescent="0.3">
      <c r="A53" t="s">
        <v>88</v>
      </c>
      <c r="B53" s="7">
        <v>45895.231145833342</v>
      </c>
      <c r="C53" t="s">
        <v>27</v>
      </c>
      <c r="D53" t="s">
        <v>16</v>
      </c>
      <c r="E53" t="s">
        <v>17</v>
      </c>
      <c r="F53" t="s">
        <v>12</v>
      </c>
      <c r="G53">
        <v>0.05</v>
      </c>
      <c r="H53" s="3">
        <f t="shared" si="0"/>
        <v>45895</v>
      </c>
      <c r="I53" t="str">
        <f>IF(COUNTIFS([0]!OrderID,Table3[[#This Row],[OrderID]],[0]!Category,"beverage")&gt;0,"yes","no")</f>
        <v>no</v>
      </c>
      <c r="J53">
        <f>SUMIFS([0]!LineNetAmount,[0]!OrderID,Table3[[#This Row],[OrderID]])</f>
        <v>183.8535</v>
      </c>
      <c r="K53" t="str" cm="1">
        <f t="array" ref="K53">_xlfn.TEXTJOIN("+",,_xlfn._xlws.SORT(_xlfn.UNIQUE(_xlfn._xlws.FILTER([0]!Category,[0]!OrderID=Table3[[#This Row],[OrderID]]))))</f>
        <v>Snack</v>
      </c>
      <c r="L53" s="39">
        <f>SUMIFS([0]!FoodCost,[0]!OrderID,Table3[[#This Row],[OrderID]])</f>
        <v>97.42</v>
      </c>
      <c r="M53" s="39">
        <f>Table3[[#This Row],[LineAmount]]-Table3[[#This Row],[TotalCost]]</f>
        <v>86.433499999999995</v>
      </c>
      <c r="N53" t="str">
        <f>IF(AND(COUNTIFS([0]!OrderID,Table3[[#This Row],[OrderID]],[0]!Category,"hot meal")&gt;0,COUNTIFS([0]!OrderID,Table3[[#This Row],[OrderID]],[0]!Category,"beverage")&gt;0),"combo","single")</f>
        <v>single</v>
      </c>
      <c r="O53" t="str">
        <f>IF((Table3[[#This Row],[LineAmount]]/(1-Table3[[#This Row],[DiscountPct]]))*Table3[[#This Row],[DiscountPct]]&gt;40,"High Disc","OK")</f>
        <v>OK</v>
      </c>
    </row>
    <row r="54" spans="1:15" x14ac:dyDescent="0.3">
      <c r="A54" t="s">
        <v>89</v>
      </c>
      <c r="B54" s="7">
        <v>45839.414201388892</v>
      </c>
      <c r="C54" t="s">
        <v>9</v>
      </c>
      <c r="D54" t="s">
        <v>10</v>
      </c>
      <c r="E54" t="s">
        <v>11</v>
      </c>
      <c r="F54" t="s">
        <v>12</v>
      </c>
      <c r="G54">
        <v>0.04</v>
      </c>
      <c r="H54" s="3">
        <f t="shared" si="0"/>
        <v>45839</v>
      </c>
      <c r="I54" t="str">
        <f>IF(COUNTIFS([0]!OrderID,Table3[[#This Row],[OrderID]],[0]!Category,"beverage")&gt;0,"yes","no")</f>
        <v>no</v>
      </c>
      <c r="J54">
        <f>SUMIFS([0]!LineNetAmount,[0]!OrderID,Table3[[#This Row],[OrderID]])</f>
        <v>100.70400000000001</v>
      </c>
      <c r="K54" t="str" cm="1">
        <f t="array" ref="K54">_xlfn.TEXTJOIN("+",,_xlfn._xlws.SORT(_xlfn.UNIQUE(_xlfn._xlws.FILTER([0]!Category,[0]!OrderID=Table3[[#This Row],[OrderID]]))))</f>
        <v>Snack</v>
      </c>
      <c r="L54" s="39">
        <f>SUMIFS([0]!FoodCost,[0]!OrderID,Table3[[#This Row],[OrderID]])</f>
        <v>51.6</v>
      </c>
      <c r="M54" s="39">
        <f>Table3[[#This Row],[LineAmount]]-Table3[[#This Row],[TotalCost]]</f>
        <v>49.104000000000006</v>
      </c>
      <c r="N54" t="str">
        <f>IF(AND(COUNTIFS([0]!OrderID,Table3[[#This Row],[OrderID]],[0]!Category,"hot meal")&gt;0,COUNTIFS([0]!OrderID,Table3[[#This Row],[OrderID]],[0]!Category,"beverage")&gt;0),"combo","single")</f>
        <v>single</v>
      </c>
      <c r="O54" t="str">
        <f>IF((Table3[[#This Row],[LineAmount]]/(1-Table3[[#This Row],[DiscountPct]]))*Table3[[#This Row],[DiscountPct]]&gt;40,"High Disc","OK")</f>
        <v>OK</v>
      </c>
    </row>
    <row r="55" spans="1:15" x14ac:dyDescent="0.3">
      <c r="A55" t="s">
        <v>90</v>
      </c>
      <c r="B55" s="7">
        <v>45874.612395833326</v>
      </c>
      <c r="C55" t="s">
        <v>15</v>
      </c>
      <c r="D55" t="s">
        <v>28</v>
      </c>
      <c r="E55" t="s">
        <v>11</v>
      </c>
      <c r="F55" t="s">
        <v>22</v>
      </c>
      <c r="G55">
        <v>0</v>
      </c>
      <c r="H55" s="3">
        <f t="shared" si="0"/>
        <v>45874</v>
      </c>
      <c r="I55" t="str">
        <f>IF(COUNTIFS([0]!OrderID,Table3[[#This Row],[OrderID]],[0]!Category,"beverage")&gt;0,"yes","no")</f>
        <v>no</v>
      </c>
      <c r="J55">
        <f>SUMIFS([0]!LineNetAmount,[0]!OrderID,Table3[[#This Row],[OrderID]])</f>
        <v>271.65999999999997</v>
      </c>
      <c r="K55" t="str" cm="1">
        <f t="array" ref="K55">_xlfn.TEXTJOIN("+",,_xlfn._xlws.SORT(_xlfn.UNIQUE(_xlfn._xlws.FILTER([0]!Category,[0]!OrderID=Table3[[#This Row],[OrderID]]))))</f>
        <v>Dessert+Snack</v>
      </c>
      <c r="L55" s="39">
        <f>SUMIFS([0]!FoodCost,[0]!OrderID,Table3[[#This Row],[OrderID]])</f>
        <v>117.49</v>
      </c>
      <c r="M55" s="39">
        <f>Table3[[#This Row],[LineAmount]]-Table3[[#This Row],[TotalCost]]</f>
        <v>154.16999999999996</v>
      </c>
      <c r="N55" t="str">
        <f>IF(AND(COUNTIFS([0]!OrderID,Table3[[#This Row],[OrderID]],[0]!Category,"hot meal")&gt;0,COUNTIFS([0]!OrderID,Table3[[#This Row],[OrderID]],[0]!Category,"beverage")&gt;0),"combo","single")</f>
        <v>single</v>
      </c>
      <c r="O55" t="str">
        <f>IF((Table3[[#This Row],[LineAmount]]/(1-Table3[[#This Row],[DiscountPct]]))*Table3[[#This Row],[DiscountPct]]&gt;40,"High Disc","OK")</f>
        <v>OK</v>
      </c>
    </row>
    <row r="56" spans="1:15" x14ac:dyDescent="0.3">
      <c r="A56" t="s">
        <v>91</v>
      </c>
      <c r="B56" s="7">
        <v>45869.728182870371</v>
      </c>
      <c r="C56" t="s">
        <v>9</v>
      </c>
      <c r="D56" t="s">
        <v>28</v>
      </c>
      <c r="E56" t="s">
        <v>11</v>
      </c>
      <c r="F56" t="s">
        <v>18</v>
      </c>
      <c r="G56">
        <v>7.0000000000000007E-2</v>
      </c>
      <c r="H56" s="3">
        <f t="shared" si="0"/>
        <v>45869</v>
      </c>
      <c r="I56" t="str">
        <f>IF(COUNTIFS([0]!OrderID,Table3[[#This Row],[OrderID]],[0]!Category,"beverage")&gt;0,"yes","no")</f>
        <v>no</v>
      </c>
      <c r="J56">
        <f>SUMIFS([0]!LineNetAmount,[0]!OrderID,Table3[[#This Row],[OrderID]])</f>
        <v>706.71630000000005</v>
      </c>
      <c r="K56" t="str" cm="1">
        <f t="array" ref="K56">_xlfn.TEXTJOIN("+",,_xlfn._xlws.SORT(_xlfn.UNIQUE(_xlfn._xlws.FILTER([0]!Category,[0]!OrderID=Table3[[#This Row],[OrderID]]))))</f>
        <v>Hot Meal</v>
      </c>
      <c r="L56" s="39">
        <f>SUMIFS([0]!FoodCost,[0]!OrderID,Table3[[#This Row],[OrderID]])</f>
        <v>354.56</v>
      </c>
      <c r="M56" s="39">
        <f>Table3[[#This Row],[LineAmount]]-Table3[[#This Row],[TotalCost]]</f>
        <v>352.15630000000004</v>
      </c>
      <c r="N56" t="str">
        <f>IF(AND(COUNTIFS([0]!OrderID,Table3[[#This Row],[OrderID]],[0]!Category,"hot meal")&gt;0,COUNTIFS([0]!OrderID,Table3[[#This Row],[OrderID]],[0]!Category,"beverage")&gt;0),"combo","single")</f>
        <v>single</v>
      </c>
      <c r="O56" t="str">
        <f>IF((Table3[[#This Row],[LineAmount]]/(1-Table3[[#This Row],[DiscountPct]]))*Table3[[#This Row],[DiscountPct]]&gt;40,"High Disc","OK")</f>
        <v>High Disc</v>
      </c>
    </row>
    <row r="57" spans="1:15" x14ac:dyDescent="0.3">
      <c r="A57" t="s">
        <v>92</v>
      </c>
      <c r="B57" s="7">
        <v>45888.486701388887</v>
      </c>
      <c r="C57" t="s">
        <v>15</v>
      </c>
      <c r="D57" t="s">
        <v>10</v>
      </c>
      <c r="E57" t="s">
        <v>21</v>
      </c>
      <c r="F57" t="s">
        <v>22</v>
      </c>
      <c r="G57">
        <v>7.0000000000000007E-2</v>
      </c>
      <c r="H57" s="3">
        <f t="shared" si="0"/>
        <v>45888</v>
      </c>
      <c r="I57" t="str">
        <f>IF(COUNTIFS([0]!OrderID,Table3[[#This Row],[OrderID]],[0]!Category,"beverage")&gt;0,"yes","no")</f>
        <v>no</v>
      </c>
      <c r="J57">
        <f>SUMIFS([0]!LineNetAmount,[0]!OrderID,Table3[[#This Row],[OrderID]])</f>
        <v>462.02399999999994</v>
      </c>
      <c r="K57" t="str" cm="1">
        <f t="array" ref="K57">_xlfn.TEXTJOIN("+",,_xlfn._xlws.SORT(_xlfn.UNIQUE(_xlfn._xlws.FILTER([0]!Category,[0]!OrderID=Table3[[#This Row],[OrderID]]))))</f>
        <v>Dessert+Hot Meal</v>
      </c>
      <c r="L57" s="39">
        <f>SUMIFS([0]!FoodCost,[0]!OrderID,Table3[[#This Row],[OrderID]])</f>
        <v>227.82999999999998</v>
      </c>
      <c r="M57" s="39">
        <f>Table3[[#This Row],[LineAmount]]-Table3[[#This Row],[TotalCost]]</f>
        <v>234.19399999999996</v>
      </c>
      <c r="N57" t="str">
        <f>IF(AND(COUNTIFS([0]!OrderID,Table3[[#This Row],[OrderID]],[0]!Category,"hot meal")&gt;0,COUNTIFS([0]!OrderID,Table3[[#This Row],[OrderID]],[0]!Category,"beverage")&gt;0),"combo","single")</f>
        <v>single</v>
      </c>
      <c r="O57" t="str">
        <f>IF((Table3[[#This Row],[LineAmount]]/(1-Table3[[#This Row],[DiscountPct]]))*Table3[[#This Row],[DiscountPct]]&gt;40,"High Disc","OK")</f>
        <v>OK</v>
      </c>
    </row>
    <row r="58" spans="1:15" x14ac:dyDescent="0.3">
      <c r="A58" t="s">
        <v>93</v>
      </c>
      <c r="B58" s="7">
        <v>45878.319201388891</v>
      </c>
      <c r="C58" t="s">
        <v>9</v>
      </c>
      <c r="D58" t="s">
        <v>16</v>
      </c>
      <c r="E58" t="s">
        <v>11</v>
      </c>
      <c r="F58" t="s">
        <v>12</v>
      </c>
      <c r="G58">
        <v>0.06</v>
      </c>
      <c r="H58" s="3">
        <f t="shared" si="0"/>
        <v>45878</v>
      </c>
      <c r="I58" t="str">
        <f>IF(COUNTIFS([0]!OrderID,Table3[[#This Row],[OrderID]],[0]!Category,"beverage")&gt;0,"yes","no")</f>
        <v>yes</v>
      </c>
      <c r="J58">
        <f>SUMIFS([0]!LineNetAmount,[0]!OrderID,Table3[[#This Row],[OrderID]])</f>
        <v>240.47079999999997</v>
      </c>
      <c r="K58" t="str" cm="1">
        <f t="array" ref="K58">_xlfn.TEXTJOIN("+",,_xlfn._xlws.SORT(_xlfn.UNIQUE(_xlfn._xlws.FILTER([0]!Category,[0]!OrderID=Table3[[#This Row],[OrderID]]))))</f>
        <v>Beverage+Dessert+Snack</v>
      </c>
      <c r="L58" s="39">
        <f>SUMIFS([0]!FoodCost,[0]!OrderID,Table3[[#This Row],[OrderID]])</f>
        <v>122.93</v>
      </c>
      <c r="M58" s="39">
        <f>Table3[[#This Row],[LineAmount]]-Table3[[#This Row],[TotalCost]]</f>
        <v>117.54079999999996</v>
      </c>
      <c r="N58" t="str">
        <f>IF(AND(COUNTIFS([0]!OrderID,Table3[[#This Row],[OrderID]],[0]!Category,"hot meal")&gt;0,COUNTIFS([0]!OrderID,Table3[[#This Row],[OrderID]],[0]!Category,"beverage")&gt;0),"combo","single")</f>
        <v>single</v>
      </c>
      <c r="O58" t="str">
        <f>IF((Table3[[#This Row],[LineAmount]]/(1-Table3[[#This Row],[DiscountPct]]))*Table3[[#This Row],[DiscountPct]]&gt;40,"High Disc","OK")</f>
        <v>OK</v>
      </c>
    </row>
    <row r="59" spans="1:15" x14ac:dyDescent="0.3">
      <c r="A59" t="s">
        <v>94</v>
      </c>
      <c r="B59" s="7">
        <v>45857.875821759262</v>
      </c>
      <c r="C59" t="s">
        <v>15</v>
      </c>
      <c r="D59" t="s">
        <v>10</v>
      </c>
      <c r="E59" t="s">
        <v>21</v>
      </c>
      <c r="F59" t="s">
        <v>18</v>
      </c>
      <c r="G59">
        <v>0.05</v>
      </c>
      <c r="H59" s="3">
        <f t="shared" si="0"/>
        <v>45857</v>
      </c>
      <c r="I59" t="str">
        <f>IF(COUNTIFS([0]!OrderID,Table3[[#This Row],[OrderID]],[0]!Category,"beverage")&gt;0,"yes","no")</f>
        <v>no</v>
      </c>
      <c r="J59">
        <f>SUMIFS([0]!LineNetAmount,[0]!OrderID,Table3[[#This Row],[OrderID]])</f>
        <v>233.78549999999998</v>
      </c>
      <c r="K59" t="str" cm="1">
        <f t="array" ref="K59">_xlfn.TEXTJOIN("+",,_xlfn._xlws.SORT(_xlfn.UNIQUE(_xlfn._xlws.FILTER([0]!Category,[0]!OrderID=Table3[[#This Row],[OrderID]]))))</f>
        <v>Hot Meal</v>
      </c>
      <c r="L59" s="39">
        <f>SUMIFS([0]!FoodCost,[0]!OrderID,Table3[[#This Row],[OrderID]])</f>
        <v>112.08</v>
      </c>
      <c r="M59" s="39">
        <f>Table3[[#This Row],[LineAmount]]-Table3[[#This Row],[TotalCost]]</f>
        <v>121.70549999999999</v>
      </c>
      <c r="N59" t="str">
        <f>IF(AND(COUNTIFS([0]!OrderID,Table3[[#This Row],[OrderID]],[0]!Category,"hot meal")&gt;0,COUNTIFS([0]!OrderID,Table3[[#This Row],[OrderID]],[0]!Category,"beverage")&gt;0),"combo","single")</f>
        <v>single</v>
      </c>
      <c r="O59" t="str">
        <f>IF((Table3[[#This Row],[LineAmount]]/(1-Table3[[#This Row],[DiscountPct]]))*Table3[[#This Row],[DiscountPct]]&gt;40,"High Disc","OK")</f>
        <v>OK</v>
      </c>
    </row>
    <row r="60" spans="1:15" x14ac:dyDescent="0.3">
      <c r="A60" t="s">
        <v>96</v>
      </c>
      <c r="B60" s="7">
        <v>45894.504629629628</v>
      </c>
      <c r="C60" t="s">
        <v>15</v>
      </c>
      <c r="D60" t="s">
        <v>16</v>
      </c>
      <c r="E60" t="s">
        <v>11</v>
      </c>
      <c r="F60" t="s">
        <v>22</v>
      </c>
      <c r="G60">
        <v>0</v>
      </c>
      <c r="H60" s="3">
        <f t="shared" si="0"/>
        <v>45894</v>
      </c>
      <c r="I60" t="str">
        <f>IF(COUNTIFS([0]!OrderID,Table3[[#This Row],[OrderID]],[0]!Category,"beverage")&gt;0,"yes","no")</f>
        <v>no</v>
      </c>
      <c r="J60">
        <f>SUMIFS([0]!LineNetAmount,[0]!OrderID,Table3[[#This Row],[OrderID]])</f>
        <v>662.52</v>
      </c>
      <c r="K60" t="str" cm="1">
        <f t="array" ref="K60">_xlfn.TEXTJOIN("+",,_xlfn._xlws.SORT(_xlfn.UNIQUE(_xlfn._xlws.FILTER([0]!Category,[0]!OrderID=Table3[[#This Row],[OrderID]]))))</f>
        <v>Dessert+Hot Meal</v>
      </c>
      <c r="L60" s="39">
        <f>SUMIFS([0]!FoodCost,[0]!OrderID,Table3[[#This Row],[OrderID]])</f>
        <v>290.85000000000002</v>
      </c>
      <c r="M60" s="39">
        <f>Table3[[#This Row],[LineAmount]]-Table3[[#This Row],[TotalCost]]</f>
        <v>371.66999999999996</v>
      </c>
      <c r="N60" t="str">
        <f>IF(AND(COUNTIFS([0]!OrderID,Table3[[#This Row],[OrderID]],[0]!Category,"hot meal")&gt;0,COUNTIFS([0]!OrderID,Table3[[#This Row],[OrderID]],[0]!Category,"beverage")&gt;0),"combo","single")</f>
        <v>single</v>
      </c>
      <c r="O60" t="str">
        <f>IF((Table3[[#This Row],[LineAmount]]/(1-Table3[[#This Row],[DiscountPct]]))*Table3[[#This Row],[DiscountPct]]&gt;40,"High Disc","OK")</f>
        <v>OK</v>
      </c>
    </row>
    <row r="61" spans="1:15" x14ac:dyDescent="0.3">
      <c r="A61" t="s">
        <v>97</v>
      </c>
      <c r="B61" s="7">
        <v>45868.753321759257</v>
      </c>
      <c r="C61" t="s">
        <v>15</v>
      </c>
      <c r="D61" t="s">
        <v>28</v>
      </c>
      <c r="E61" t="s">
        <v>21</v>
      </c>
      <c r="F61" t="s">
        <v>18</v>
      </c>
      <c r="G61">
        <v>0.04</v>
      </c>
      <c r="H61" s="3">
        <f t="shared" si="0"/>
        <v>45868</v>
      </c>
      <c r="I61" t="str">
        <f>IF(COUNTIFS([0]!OrderID,Table3[[#This Row],[OrderID]],[0]!Category,"beverage")&gt;0,"yes","no")</f>
        <v>no</v>
      </c>
      <c r="J61">
        <f>SUMIFS([0]!LineNetAmount,[0]!OrderID,Table3[[#This Row],[OrderID]])</f>
        <v>710.06400000000008</v>
      </c>
      <c r="K61" t="str" cm="1">
        <f t="array" ref="K61">_xlfn.TEXTJOIN("+",,_xlfn._xlws.SORT(_xlfn.UNIQUE(_xlfn._xlws.FILTER([0]!Category,[0]!OrderID=Table3[[#This Row],[OrderID]]))))</f>
        <v>Hot Meal+Snack</v>
      </c>
      <c r="L61" s="39">
        <f>SUMIFS([0]!FoodCost,[0]!OrderID,Table3[[#This Row],[OrderID]])</f>
        <v>341</v>
      </c>
      <c r="M61" s="39">
        <f>Table3[[#This Row],[LineAmount]]-Table3[[#This Row],[TotalCost]]</f>
        <v>369.06400000000008</v>
      </c>
      <c r="N61" t="str">
        <f>IF(AND(COUNTIFS([0]!OrderID,Table3[[#This Row],[OrderID]],[0]!Category,"hot meal")&gt;0,COUNTIFS([0]!OrderID,Table3[[#This Row],[OrderID]],[0]!Category,"beverage")&gt;0),"combo","single")</f>
        <v>single</v>
      </c>
      <c r="O61" t="str">
        <f>IF((Table3[[#This Row],[LineAmount]]/(1-Table3[[#This Row],[DiscountPct]]))*Table3[[#This Row],[DiscountPct]]&gt;40,"High Disc","OK")</f>
        <v>OK</v>
      </c>
    </row>
    <row r="62" spans="1:15" x14ac:dyDescent="0.3">
      <c r="A62" t="s">
        <v>98</v>
      </c>
      <c r="B62" s="7">
        <v>45884.395868055559</v>
      </c>
      <c r="C62" t="s">
        <v>15</v>
      </c>
      <c r="D62" t="s">
        <v>16</v>
      </c>
      <c r="E62" t="s">
        <v>11</v>
      </c>
      <c r="F62" t="s">
        <v>12</v>
      </c>
      <c r="G62">
        <v>0.05</v>
      </c>
      <c r="H62" s="3">
        <f t="shared" si="0"/>
        <v>45884</v>
      </c>
      <c r="I62" t="str">
        <f>IF(COUNTIFS([0]!OrderID,Table3[[#This Row],[OrderID]],[0]!Category,"beverage")&gt;0,"yes","no")</f>
        <v>yes</v>
      </c>
      <c r="J62">
        <f>SUMIFS([0]!LineNetAmount,[0]!OrderID,Table3[[#This Row],[OrderID]])</f>
        <v>252.66200000000001</v>
      </c>
      <c r="K62" t="str" cm="1">
        <f t="array" ref="K62">_xlfn.TEXTJOIN("+",,_xlfn._xlws.SORT(_xlfn.UNIQUE(_xlfn._xlws.FILTER([0]!Category,[0]!OrderID=Table3[[#This Row],[OrderID]]))))</f>
        <v>Beverage+Snack</v>
      </c>
      <c r="L62" s="39">
        <f>SUMIFS([0]!FoodCost,[0]!OrderID,Table3[[#This Row],[OrderID]])</f>
        <v>112.53</v>
      </c>
      <c r="M62" s="39">
        <f>Table3[[#This Row],[LineAmount]]-Table3[[#This Row],[TotalCost]]</f>
        <v>140.13200000000001</v>
      </c>
      <c r="N62" t="str">
        <f>IF(AND(COUNTIFS([0]!OrderID,Table3[[#This Row],[OrderID]],[0]!Category,"hot meal")&gt;0,COUNTIFS([0]!OrderID,Table3[[#This Row],[OrderID]],[0]!Category,"beverage")&gt;0),"combo","single")</f>
        <v>single</v>
      </c>
      <c r="O62" t="str">
        <f>IF((Table3[[#This Row],[LineAmount]]/(1-Table3[[#This Row],[DiscountPct]]))*Table3[[#This Row],[DiscountPct]]&gt;40,"High Disc","OK")</f>
        <v>OK</v>
      </c>
    </row>
    <row r="63" spans="1:15" x14ac:dyDescent="0.3">
      <c r="A63" t="s">
        <v>99</v>
      </c>
      <c r="B63" s="7">
        <v>45888.880069444444</v>
      </c>
      <c r="C63" t="s">
        <v>15</v>
      </c>
      <c r="D63" t="s">
        <v>10</v>
      </c>
      <c r="E63" t="s">
        <v>17</v>
      </c>
      <c r="F63" t="s">
        <v>18</v>
      </c>
      <c r="G63">
        <v>0.03</v>
      </c>
      <c r="H63" s="3">
        <f t="shared" si="0"/>
        <v>45888</v>
      </c>
      <c r="I63" t="str">
        <f>IF(COUNTIFS([0]!OrderID,Table3[[#This Row],[OrderID]],[0]!Category,"beverage")&gt;0,"yes","no")</f>
        <v>yes</v>
      </c>
      <c r="J63">
        <f>SUMIFS([0]!LineNetAmount,[0]!OrderID,Table3[[#This Row],[OrderID]])</f>
        <v>285.45159999999998</v>
      </c>
      <c r="K63" t="str" cm="1">
        <f t="array" ref="K63">_xlfn.TEXTJOIN("+",,_xlfn._xlws.SORT(_xlfn.UNIQUE(_xlfn._xlws.FILTER([0]!Category,[0]!OrderID=Table3[[#This Row],[OrderID]]))))</f>
        <v>Beverage+Dessert</v>
      </c>
      <c r="L63" s="39">
        <f>SUMIFS([0]!FoodCost,[0]!OrderID,Table3[[#This Row],[OrderID]])</f>
        <v>126.3</v>
      </c>
      <c r="M63" s="39">
        <f>Table3[[#This Row],[LineAmount]]-Table3[[#This Row],[TotalCost]]</f>
        <v>159.15159999999997</v>
      </c>
      <c r="N63" t="str">
        <f>IF(AND(COUNTIFS([0]!OrderID,Table3[[#This Row],[OrderID]],[0]!Category,"hot meal")&gt;0,COUNTIFS([0]!OrderID,Table3[[#This Row],[OrderID]],[0]!Category,"beverage")&gt;0),"combo","single")</f>
        <v>single</v>
      </c>
      <c r="O63" t="str">
        <f>IF((Table3[[#This Row],[LineAmount]]/(1-Table3[[#This Row],[DiscountPct]]))*Table3[[#This Row],[DiscountPct]]&gt;40,"High Disc","OK")</f>
        <v>OK</v>
      </c>
    </row>
    <row r="64" spans="1:15" x14ac:dyDescent="0.3">
      <c r="A64" t="s">
        <v>100</v>
      </c>
      <c r="B64" s="7">
        <v>45866.802916666667</v>
      </c>
      <c r="C64" t="s">
        <v>9</v>
      </c>
      <c r="D64" t="s">
        <v>10</v>
      </c>
      <c r="E64" t="s">
        <v>11</v>
      </c>
      <c r="F64" t="s">
        <v>18</v>
      </c>
      <c r="G64">
        <v>0.05</v>
      </c>
      <c r="H64" s="3">
        <f t="shared" si="0"/>
        <v>45866</v>
      </c>
      <c r="I64" t="str">
        <f>IF(COUNTIFS([0]!OrderID,Table3[[#This Row],[OrderID]],[0]!Category,"beverage")&gt;0,"yes","no")</f>
        <v>no</v>
      </c>
      <c r="J64">
        <f>SUMIFS([0]!LineNetAmount,[0]!OrderID,Table3[[#This Row],[OrderID]])</f>
        <v>145.44499999999999</v>
      </c>
      <c r="K64" t="str" cm="1">
        <f t="array" ref="K64">_xlfn.TEXTJOIN("+",,_xlfn._xlws.SORT(_xlfn.UNIQUE(_xlfn._xlws.FILTER([0]!Category,[0]!OrderID=Table3[[#This Row],[OrderID]]))))</f>
        <v>Dessert</v>
      </c>
      <c r="L64" s="39">
        <f>SUMIFS([0]!FoodCost,[0]!OrderID,Table3[[#This Row],[OrderID]])</f>
        <v>76.459999999999994</v>
      </c>
      <c r="M64" s="39">
        <f>Table3[[#This Row],[LineAmount]]-Table3[[#This Row],[TotalCost]]</f>
        <v>68.984999999999999</v>
      </c>
      <c r="N64" t="str">
        <f>IF(AND(COUNTIFS([0]!OrderID,Table3[[#This Row],[OrderID]],[0]!Category,"hot meal")&gt;0,COUNTIFS([0]!OrderID,Table3[[#This Row],[OrderID]],[0]!Category,"beverage")&gt;0),"combo","single")</f>
        <v>single</v>
      </c>
      <c r="O64" t="str">
        <f>IF((Table3[[#This Row],[LineAmount]]/(1-Table3[[#This Row],[DiscountPct]]))*Table3[[#This Row],[DiscountPct]]&gt;40,"High Disc","OK")</f>
        <v>OK</v>
      </c>
    </row>
    <row r="65" spans="1:15" x14ac:dyDescent="0.3">
      <c r="A65" t="s">
        <v>101</v>
      </c>
      <c r="B65" s="7">
        <v>45848.316990740743</v>
      </c>
      <c r="C65" t="s">
        <v>27</v>
      </c>
      <c r="D65" t="s">
        <v>10</v>
      </c>
      <c r="E65" t="s">
        <v>21</v>
      </c>
      <c r="F65" t="s">
        <v>12</v>
      </c>
      <c r="G65">
        <v>0.08</v>
      </c>
      <c r="H65" s="3">
        <f t="shared" si="0"/>
        <v>45848</v>
      </c>
      <c r="I65" t="str">
        <f>IF(COUNTIFS([0]!OrderID,Table3[[#This Row],[OrderID]],[0]!Category,"beverage")&gt;0,"yes","no")</f>
        <v>yes</v>
      </c>
      <c r="J65">
        <f>SUMIFS([0]!LineNetAmount,[0]!OrderID,Table3[[#This Row],[OrderID]])</f>
        <v>18.501200000000001</v>
      </c>
      <c r="K65" t="str" cm="1">
        <f t="array" ref="K65">_xlfn.TEXTJOIN("+",,_xlfn._xlws.SORT(_xlfn.UNIQUE(_xlfn._xlws.FILTER([0]!Category,[0]!OrderID=Table3[[#This Row],[OrderID]]))))</f>
        <v>Beverage</v>
      </c>
      <c r="L65" s="39">
        <f>SUMIFS([0]!FoodCost,[0]!OrderID,Table3[[#This Row],[OrderID]])</f>
        <v>8</v>
      </c>
      <c r="M65" s="39">
        <f>Table3[[#This Row],[LineAmount]]-Table3[[#This Row],[TotalCost]]</f>
        <v>10.501200000000001</v>
      </c>
      <c r="N65" t="str">
        <f>IF(AND(COUNTIFS([0]!OrderID,Table3[[#This Row],[OrderID]],[0]!Category,"hot meal")&gt;0,COUNTIFS([0]!OrderID,Table3[[#This Row],[OrderID]],[0]!Category,"beverage")&gt;0),"combo","single")</f>
        <v>single</v>
      </c>
      <c r="O65" t="str">
        <f>IF((Table3[[#This Row],[LineAmount]]/(1-Table3[[#This Row],[DiscountPct]]))*Table3[[#This Row],[DiscountPct]]&gt;40,"High Disc","OK")</f>
        <v>OK</v>
      </c>
    </row>
    <row r="66" spans="1:15" x14ac:dyDescent="0.3">
      <c r="A66" t="s">
        <v>102</v>
      </c>
      <c r="B66" s="7">
        <v>45858.583587962959</v>
      </c>
      <c r="C66" t="s">
        <v>27</v>
      </c>
      <c r="D66" t="s">
        <v>28</v>
      </c>
      <c r="E66" t="s">
        <v>17</v>
      </c>
      <c r="F66" t="s">
        <v>22</v>
      </c>
      <c r="G66">
        <v>0.14000000000000001</v>
      </c>
      <c r="H66" s="3">
        <f t="shared" si="0"/>
        <v>45858</v>
      </c>
      <c r="I66" t="str">
        <f>IF(COUNTIFS([0]!OrderID,Table3[[#This Row],[OrderID]],[0]!Category,"beverage")&gt;0,"yes","no")</f>
        <v>yes</v>
      </c>
      <c r="J66">
        <f>SUMIFS([0]!LineNetAmount,[0]!OrderID,Table3[[#This Row],[OrderID]])</f>
        <v>587.66380000000004</v>
      </c>
      <c r="K66" t="str" cm="1">
        <f t="array" ref="K66">_xlfn.TEXTJOIN("+",,_xlfn._xlws.SORT(_xlfn.UNIQUE(_xlfn._xlws.FILTER([0]!Category,[0]!OrderID=Table3[[#This Row],[OrderID]]))))</f>
        <v>Beverage+Hot Meal+Snack</v>
      </c>
      <c r="L66" s="39">
        <f>SUMIFS([0]!FoodCost,[0]!OrderID,Table3[[#This Row],[OrderID]])</f>
        <v>327.99</v>
      </c>
      <c r="M66" s="39">
        <f>Table3[[#This Row],[LineAmount]]-Table3[[#This Row],[TotalCost]]</f>
        <v>259.67380000000003</v>
      </c>
      <c r="N66" t="str">
        <f>IF(AND(COUNTIFS([0]!OrderID,Table3[[#This Row],[OrderID]],[0]!Category,"hot meal")&gt;0,COUNTIFS([0]!OrderID,Table3[[#This Row],[OrderID]],[0]!Category,"beverage")&gt;0),"combo","single")</f>
        <v>combo</v>
      </c>
      <c r="O66" t="str">
        <f>IF((Table3[[#This Row],[LineAmount]]/(1-Table3[[#This Row],[DiscountPct]]))*Table3[[#This Row],[DiscountPct]]&gt;40,"High Disc","OK")</f>
        <v>High Disc</v>
      </c>
    </row>
    <row r="67" spans="1:15" x14ac:dyDescent="0.3">
      <c r="A67" t="s">
        <v>103</v>
      </c>
      <c r="B67" s="7">
        <v>45885.381157407413</v>
      </c>
      <c r="C67" t="s">
        <v>9</v>
      </c>
      <c r="D67" t="s">
        <v>28</v>
      </c>
      <c r="E67" t="s">
        <v>21</v>
      </c>
      <c r="F67" t="s">
        <v>12</v>
      </c>
      <c r="G67">
        <v>7.0000000000000007E-2</v>
      </c>
      <c r="H67" s="3">
        <f t="shared" ref="H67:H130" si="1">INT($B67)</f>
        <v>45885</v>
      </c>
      <c r="I67" t="str">
        <f>IF(COUNTIFS([0]!OrderID,Table3[[#This Row],[OrderID]],[0]!Category,"beverage")&gt;0,"yes","no")</f>
        <v>no</v>
      </c>
      <c r="J67">
        <f>SUMIFS([0]!LineNetAmount,[0]!OrderID,Table3[[#This Row],[OrderID]])</f>
        <v>1009.5894</v>
      </c>
      <c r="K67" t="str" cm="1">
        <f t="array" ref="K67">_xlfn.TEXTJOIN("+",,_xlfn._xlws.SORT(_xlfn.UNIQUE(_xlfn._xlws.FILTER([0]!Category,[0]!OrderID=Table3[[#This Row],[OrderID]]))))</f>
        <v>Dessert+Hot Meal+Snack</v>
      </c>
      <c r="L67" s="39">
        <f>SUMIFS([0]!FoodCost,[0]!OrderID,Table3[[#This Row],[OrderID]])</f>
        <v>531.21</v>
      </c>
      <c r="M67" s="39">
        <f>Table3[[#This Row],[LineAmount]]-Table3[[#This Row],[TotalCost]]</f>
        <v>478.37939999999992</v>
      </c>
      <c r="N67" t="str">
        <f>IF(AND(COUNTIFS([0]!OrderID,Table3[[#This Row],[OrderID]],[0]!Category,"hot meal")&gt;0,COUNTIFS([0]!OrderID,Table3[[#This Row],[OrderID]],[0]!Category,"beverage")&gt;0),"combo","single")</f>
        <v>single</v>
      </c>
      <c r="O67" t="str">
        <f>IF((Table3[[#This Row],[LineAmount]]/(1-Table3[[#This Row],[DiscountPct]]))*Table3[[#This Row],[DiscountPct]]&gt;40,"High Disc","OK")</f>
        <v>High Disc</v>
      </c>
    </row>
    <row r="68" spans="1:15" x14ac:dyDescent="0.3">
      <c r="A68" t="s">
        <v>104</v>
      </c>
      <c r="B68" s="7">
        <v>45895.142094907409</v>
      </c>
      <c r="C68" t="s">
        <v>27</v>
      </c>
      <c r="D68" t="s">
        <v>10</v>
      </c>
      <c r="E68" t="s">
        <v>11</v>
      </c>
      <c r="F68" t="s">
        <v>12</v>
      </c>
      <c r="G68">
        <v>7.0000000000000007E-2</v>
      </c>
      <c r="H68" s="3">
        <f t="shared" si="1"/>
        <v>45895</v>
      </c>
      <c r="I68" t="str">
        <f>IF(COUNTIFS([0]!OrderID,Table3[[#This Row],[OrderID]],[0]!Category,"beverage")&gt;0,"yes","no")</f>
        <v>yes</v>
      </c>
      <c r="J68">
        <f>SUMIFS([0]!LineNetAmount,[0]!OrderID,Table3[[#This Row],[OrderID]])</f>
        <v>337.50630000000001</v>
      </c>
      <c r="K68" t="str" cm="1">
        <f t="array" ref="K68">_xlfn.TEXTJOIN("+",,_xlfn._xlws.SORT(_xlfn.UNIQUE(_xlfn._xlws.FILTER([0]!Category,[0]!OrderID=Table3[[#This Row],[OrderID]]))))</f>
        <v>Beverage+Dessert+Snack</v>
      </c>
      <c r="L68" s="39">
        <f>SUMIFS([0]!FoodCost,[0]!OrderID,Table3[[#This Row],[OrderID]])</f>
        <v>161.82</v>
      </c>
      <c r="M68" s="39">
        <f>Table3[[#This Row],[LineAmount]]-Table3[[#This Row],[TotalCost]]</f>
        <v>175.68630000000002</v>
      </c>
      <c r="N68" t="str">
        <f>IF(AND(COUNTIFS([0]!OrderID,Table3[[#This Row],[OrderID]],[0]!Category,"hot meal")&gt;0,COUNTIFS([0]!OrderID,Table3[[#This Row],[OrderID]],[0]!Category,"beverage")&gt;0),"combo","single")</f>
        <v>single</v>
      </c>
      <c r="O68" t="str">
        <f>IF((Table3[[#This Row],[LineAmount]]/(1-Table3[[#This Row],[DiscountPct]]))*Table3[[#This Row],[DiscountPct]]&gt;40,"High Disc","OK")</f>
        <v>OK</v>
      </c>
    </row>
    <row r="69" spans="1:15" x14ac:dyDescent="0.3">
      <c r="A69" t="s">
        <v>105</v>
      </c>
      <c r="B69" s="7">
        <v>45887.249259259261</v>
      </c>
      <c r="C69" t="s">
        <v>15</v>
      </c>
      <c r="D69" t="s">
        <v>28</v>
      </c>
      <c r="E69" t="s">
        <v>17</v>
      </c>
      <c r="F69" t="s">
        <v>12</v>
      </c>
      <c r="G69">
        <v>0.06</v>
      </c>
      <c r="H69" s="3">
        <f t="shared" si="1"/>
        <v>45887</v>
      </c>
      <c r="I69" t="str">
        <f>IF(COUNTIFS([0]!OrderID,Table3[[#This Row],[OrderID]],[0]!Category,"beverage")&gt;0,"yes","no")</f>
        <v>yes</v>
      </c>
      <c r="J69">
        <f>SUMIFS([0]!LineNetAmount,[0]!OrderID,Table3[[#This Row],[OrderID]])</f>
        <v>373.89439999999996</v>
      </c>
      <c r="K69" t="str" cm="1">
        <f t="array" ref="K69">_xlfn.TEXTJOIN("+",,_xlfn._xlws.SORT(_xlfn.UNIQUE(_xlfn._xlws.FILTER([0]!Category,[0]!OrderID=Table3[[#This Row],[OrderID]]))))</f>
        <v>Beverage+Hot Meal+Snack</v>
      </c>
      <c r="L69" s="39">
        <f>SUMIFS([0]!FoodCost,[0]!OrderID,Table3[[#This Row],[OrderID]])</f>
        <v>191.77999999999997</v>
      </c>
      <c r="M69" s="39">
        <f>Table3[[#This Row],[LineAmount]]-Table3[[#This Row],[TotalCost]]</f>
        <v>182.11439999999999</v>
      </c>
      <c r="N69" t="str">
        <f>IF(AND(COUNTIFS([0]!OrderID,Table3[[#This Row],[OrderID]],[0]!Category,"hot meal")&gt;0,COUNTIFS([0]!OrderID,Table3[[#This Row],[OrderID]],[0]!Category,"beverage")&gt;0),"combo","single")</f>
        <v>combo</v>
      </c>
      <c r="O69" t="str">
        <f>IF((Table3[[#This Row],[LineAmount]]/(1-Table3[[#This Row],[DiscountPct]]))*Table3[[#This Row],[DiscountPct]]&gt;40,"High Disc","OK")</f>
        <v>OK</v>
      </c>
    </row>
    <row r="70" spans="1:15" x14ac:dyDescent="0.3">
      <c r="A70" t="s">
        <v>106</v>
      </c>
      <c r="B70" s="7">
        <v>45849.598599537043</v>
      </c>
      <c r="C70" t="s">
        <v>15</v>
      </c>
      <c r="D70" t="s">
        <v>28</v>
      </c>
      <c r="E70" t="s">
        <v>17</v>
      </c>
      <c r="F70" t="s">
        <v>22</v>
      </c>
      <c r="G70">
        <v>0</v>
      </c>
      <c r="H70" s="3">
        <f t="shared" si="1"/>
        <v>45849</v>
      </c>
      <c r="I70" t="str">
        <f>IF(COUNTIFS([0]!OrderID,Table3[[#This Row],[OrderID]],[0]!Category,"beverage")&gt;0,"yes","no")</f>
        <v>no</v>
      </c>
      <c r="J70">
        <f>SUMIFS([0]!LineNetAmount,[0]!OrderID,Table3[[#This Row],[OrderID]])</f>
        <v>1539.5700000000002</v>
      </c>
      <c r="K70" t="str" cm="1">
        <f t="array" ref="K70">_xlfn.TEXTJOIN("+",,_xlfn._xlws.SORT(_xlfn.UNIQUE(_xlfn._xlws.FILTER([0]!Category,[0]!OrderID=Table3[[#This Row],[OrderID]]))))</f>
        <v>Hot Meal+Snack</v>
      </c>
      <c r="L70" s="39">
        <f>SUMIFS([0]!FoodCost,[0]!OrderID,Table3[[#This Row],[OrderID]])</f>
        <v>731.26</v>
      </c>
      <c r="M70" s="39">
        <f>Table3[[#This Row],[LineAmount]]-Table3[[#This Row],[TotalCost]]</f>
        <v>808.31000000000017</v>
      </c>
      <c r="N70" t="str">
        <f>IF(AND(COUNTIFS([0]!OrderID,Table3[[#This Row],[OrderID]],[0]!Category,"hot meal")&gt;0,COUNTIFS([0]!OrderID,Table3[[#This Row],[OrderID]],[0]!Category,"beverage")&gt;0),"combo","single")</f>
        <v>single</v>
      </c>
      <c r="O70" t="str">
        <f>IF((Table3[[#This Row],[LineAmount]]/(1-Table3[[#This Row],[DiscountPct]]))*Table3[[#This Row],[DiscountPct]]&gt;40,"High Disc","OK")</f>
        <v>OK</v>
      </c>
    </row>
    <row r="71" spans="1:15" x14ac:dyDescent="0.3">
      <c r="A71" t="s">
        <v>107</v>
      </c>
      <c r="B71" s="7">
        <v>45884.353310185194</v>
      </c>
      <c r="C71" t="s">
        <v>27</v>
      </c>
      <c r="D71" t="s">
        <v>10</v>
      </c>
      <c r="E71" t="s">
        <v>17</v>
      </c>
      <c r="F71" t="s">
        <v>12</v>
      </c>
      <c r="G71">
        <v>0.06</v>
      </c>
      <c r="H71" s="3">
        <f t="shared" si="1"/>
        <v>45884</v>
      </c>
      <c r="I71" t="str">
        <f>IF(COUNTIFS([0]!OrderID,Table3[[#This Row],[OrderID]],[0]!Category,"beverage")&gt;0,"yes","no")</f>
        <v>yes</v>
      </c>
      <c r="J71">
        <f>SUMIFS([0]!LineNetAmount,[0]!OrderID,Table3[[#This Row],[OrderID]])</f>
        <v>56.710199999999993</v>
      </c>
      <c r="K71" t="str" cm="1">
        <f t="array" ref="K71">_xlfn.TEXTJOIN("+",,_xlfn._xlws.SORT(_xlfn.UNIQUE(_xlfn._xlws.FILTER([0]!Category,[0]!OrderID=Table3[[#This Row],[OrderID]]))))</f>
        <v>Beverage</v>
      </c>
      <c r="L71" s="39">
        <f>SUMIFS([0]!FoodCost,[0]!OrderID,Table3[[#This Row],[OrderID]])</f>
        <v>24</v>
      </c>
      <c r="M71" s="39">
        <f>Table3[[#This Row],[LineAmount]]-Table3[[#This Row],[TotalCost]]</f>
        <v>32.710199999999993</v>
      </c>
      <c r="N71" t="str">
        <f>IF(AND(COUNTIFS([0]!OrderID,Table3[[#This Row],[OrderID]],[0]!Category,"hot meal")&gt;0,COUNTIFS([0]!OrderID,Table3[[#This Row],[OrderID]],[0]!Category,"beverage")&gt;0),"combo","single")</f>
        <v>single</v>
      </c>
      <c r="O71" t="str">
        <f>IF((Table3[[#This Row],[LineAmount]]/(1-Table3[[#This Row],[DiscountPct]]))*Table3[[#This Row],[DiscountPct]]&gt;40,"High Disc","OK")</f>
        <v>OK</v>
      </c>
    </row>
    <row r="72" spans="1:15" x14ac:dyDescent="0.3">
      <c r="A72" t="s">
        <v>108</v>
      </c>
      <c r="B72" s="7">
        <v>45883.568043981482</v>
      </c>
      <c r="C72" t="s">
        <v>27</v>
      </c>
      <c r="D72" t="s">
        <v>16</v>
      </c>
      <c r="E72" t="s">
        <v>11</v>
      </c>
      <c r="F72" t="s">
        <v>22</v>
      </c>
      <c r="G72">
        <v>0.06</v>
      </c>
      <c r="H72" s="3">
        <f t="shared" si="1"/>
        <v>45883</v>
      </c>
      <c r="I72" t="str">
        <f>IF(COUNTIFS([0]!OrderID,Table3[[#This Row],[OrderID]],[0]!Category,"beverage")&gt;0,"yes","no")</f>
        <v>no</v>
      </c>
      <c r="J72">
        <f>SUMIFS([0]!LineNetAmount,[0]!OrderID,Table3[[#This Row],[OrderID]])</f>
        <v>304.49419999999998</v>
      </c>
      <c r="K72" t="str" cm="1">
        <f t="array" ref="K72">_xlfn.TEXTJOIN("+",,_xlfn._xlws.SORT(_xlfn.UNIQUE(_xlfn._xlws.FILTER([0]!Category,[0]!OrderID=Table3[[#This Row],[OrderID]]))))</f>
        <v>Dessert+Hot Meal</v>
      </c>
      <c r="L72" s="39">
        <f>SUMIFS([0]!FoodCost,[0]!OrderID,Table3[[#This Row],[OrderID]])</f>
        <v>150.52999999999997</v>
      </c>
      <c r="M72" s="39">
        <f>Table3[[#This Row],[LineAmount]]-Table3[[#This Row],[TotalCost]]</f>
        <v>153.96420000000001</v>
      </c>
      <c r="N72" t="str">
        <f>IF(AND(COUNTIFS([0]!OrderID,Table3[[#This Row],[OrderID]],[0]!Category,"hot meal")&gt;0,COUNTIFS([0]!OrderID,Table3[[#This Row],[OrderID]],[0]!Category,"beverage")&gt;0),"combo","single")</f>
        <v>single</v>
      </c>
      <c r="O72" t="str">
        <f>IF((Table3[[#This Row],[LineAmount]]/(1-Table3[[#This Row],[DiscountPct]]))*Table3[[#This Row],[DiscountPct]]&gt;40,"High Disc","OK")</f>
        <v>OK</v>
      </c>
    </row>
    <row r="73" spans="1:15" x14ac:dyDescent="0.3">
      <c r="A73" t="s">
        <v>109</v>
      </c>
      <c r="B73" s="7">
        <v>45893.516261574077</v>
      </c>
      <c r="C73" t="s">
        <v>9</v>
      </c>
      <c r="D73" t="s">
        <v>16</v>
      </c>
      <c r="E73" t="s">
        <v>21</v>
      </c>
      <c r="F73" t="s">
        <v>22</v>
      </c>
      <c r="G73">
        <v>0.16</v>
      </c>
      <c r="H73" s="3">
        <f t="shared" si="1"/>
        <v>45893</v>
      </c>
      <c r="I73" t="str">
        <f>IF(COUNTIFS([0]!OrderID,Table3[[#This Row],[OrderID]],[0]!Category,"beverage")&gt;0,"yes","no")</f>
        <v>yes</v>
      </c>
      <c r="J73">
        <f>SUMIFS([0]!LineNetAmount,[0]!OrderID,Table3[[#This Row],[OrderID]])</f>
        <v>336.36119999999994</v>
      </c>
      <c r="K73" t="str" cm="1">
        <f t="array" ref="K73">_xlfn.TEXTJOIN("+",,_xlfn._xlws.SORT(_xlfn.UNIQUE(_xlfn._xlws.FILTER([0]!Category,[0]!OrderID=Table3[[#This Row],[OrderID]]))))</f>
        <v>Beverage+Hot Meal</v>
      </c>
      <c r="L73" s="39">
        <f>SUMIFS([0]!FoodCost,[0]!OrderID,Table3[[#This Row],[OrderID]])</f>
        <v>176.20999999999998</v>
      </c>
      <c r="M73" s="39">
        <f>Table3[[#This Row],[LineAmount]]-Table3[[#This Row],[TotalCost]]</f>
        <v>160.15119999999996</v>
      </c>
      <c r="N73" t="str">
        <f>IF(AND(COUNTIFS([0]!OrderID,Table3[[#This Row],[OrderID]],[0]!Category,"hot meal")&gt;0,COUNTIFS([0]!OrderID,Table3[[#This Row],[OrderID]],[0]!Category,"beverage")&gt;0),"combo","single")</f>
        <v>combo</v>
      </c>
      <c r="O73" t="str">
        <f>IF((Table3[[#This Row],[LineAmount]]/(1-Table3[[#This Row],[DiscountPct]]))*Table3[[#This Row],[DiscountPct]]&gt;40,"High Disc","OK")</f>
        <v>High Disc</v>
      </c>
    </row>
    <row r="74" spans="1:15" x14ac:dyDescent="0.3">
      <c r="A74" t="s">
        <v>110</v>
      </c>
      <c r="B74" s="7">
        <v>45880.68240740741</v>
      </c>
      <c r="C74" t="s">
        <v>9</v>
      </c>
      <c r="D74" t="s">
        <v>16</v>
      </c>
      <c r="E74" t="s">
        <v>17</v>
      </c>
      <c r="F74" t="s">
        <v>18</v>
      </c>
      <c r="G74">
        <v>0.05</v>
      </c>
      <c r="H74" s="3">
        <f t="shared" si="1"/>
        <v>45880</v>
      </c>
      <c r="I74" t="str">
        <f>IF(COUNTIFS([0]!OrderID,Table3[[#This Row],[OrderID]],[0]!Category,"beverage")&gt;0,"yes","no")</f>
        <v>no</v>
      </c>
      <c r="J74">
        <f>SUMIFS([0]!LineNetAmount,[0]!OrderID,Table3[[#This Row],[OrderID]])</f>
        <v>95.36099999999999</v>
      </c>
      <c r="K74" t="str" cm="1">
        <f t="array" ref="K74">_xlfn.TEXTJOIN("+",,_xlfn._xlws.SORT(_xlfn.UNIQUE(_xlfn._xlws.FILTER([0]!Category,[0]!OrderID=Table3[[#This Row],[OrderID]]))))</f>
        <v>Snack</v>
      </c>
      <c r="L74" s="39">
        <f>SUMIFS([0]!FoodCost,[0]!OrderID,Table3[[#This Row],[OrderID]])</f>
        <v>45.22</v>
      </c>
      <c r="M74" s="39">
        <f>Table3[[#This Row],[LineAmount]]-Table3[[#This Row],[TotalCost]]</f>
        <v>50.140999999999991</v>
      </c>
      <c r="N74" t="str">
        <f>IF(AND(COUNTIFS([0]!OrderID,Table3[[#This Row],[OrderID]],[0]!Category,"hot meal")&gt;0,COUNTIFS([0]!OrderID,Table3[[#This Row],[OrderID]],[0]!Category,"beverage")&gt;0),"combo","single")</f>
        <v>single</v>
      </c>
      <c r="O74" t="str">
        <f>IF((Table3[[#This Row],[LineAmount]]/(1-Table3[[#This Row],[DiscountPct]]))*Table3[[#This Row],[DiscountPct]]&gt;40,"High Disc","OK")</f>
        <v>OK</v>
      </c>
    </row>
    <row r="75" spans="1:15" x14ac:dyDescent="0.3">
      <c r="A75" t="s">
        <v>111</v>
      </c>
      <c r="B75" s="7">
        <v>45882.947430555563</v>
      </c>
      <c r="C75" t="s">
        <v>15</v>
      </c>
      <c r="D75" t="s">
        <v>28</v>
      </c>
      <c r="E75" t="s">
        <v>11</v>
      </c>
      <c r="F75" t="s">
        <v>18</v>
      </c>
      <c r="G75">
        <v>7.0000000000000007E-2</v>
      </c>
      <c r="H75" s="3">
        <f t="shared" si="1"/>
        <v>45882</v>
      </c>
      <c r="I75" t="str">
        <f>IF(COUNTIFS([0]!OrderID,Table3[[#This Row],[OrderID]],[0]!Category,"beverage")&gt;0,"yes","no")</f>
        <v>yes</v>
      </c>
      <c r="J75">
        <f>SUMIFS([0]!LineNetAmount,[0]!OrderID,Table3[[#This Row],[OrderID]])</f>
        <v>835.66079999999988</v>
      </c>
      <c r="K75" t="str" cm="1">
        <f t="array" ref="K75">_xlfn.TEXTJOIN("+",,_xlfn._xlws.SORT(_xlfn.UNIQUE(_xlfn._xlws.FILTER([0]!Category,[0]!OrderID=Table3[[#This Row],[OrderID]]))))</f>
        <v>Beverage+Hot Meal+Snack</v>
      </c>
      <c r="L75" s="39">
        <f>SUMIFS([0]!FoodCost,[0]!OrderID,Table3[[#This Row],[OrderID]])</f>
        <v>395.46</v>
      </c>
      <c r="M75" s="39">
        <f>Table3[[#This Row],[LineAmount]]-Table3[[#This Row],[TotalCost]]</f>
        <v>440.2007999999999</v>
      </c>
      <c r="N75" t="str">
        <f>IF(AND(COUNTIFS([0]!OrderID,Table3[[#This Row],[OrderID]],[0]!Category,"hot meal")&gt;0,COUNTIFS([0]!OrderID,Table3[[#This Row],[OrderID]],[0]!Category,"beverage")&gt;0),"combo","single")</f>
        <v>combo</v>
      </c>
      <c r="O75" t="str">
        <f>IF((Table3[[#This Row],[LineAmount]]/(1-Table3[[#This Row],[DiscountPct]]))*Table3[[#This Row],[DiscountPct]]&gt;40,"High Disc","OK")</f>
        <v>High Disc</v>
      </c>
    </row>
    <row r="76" spans="1:15" x14ac:dyDescent="0.3">
      <c r="A76" t="s">
        <v>112</v>
      </c>
      <c r="B76" s="7">
        <v>45889.863182870373</v>
      </c>
      <c r="C76" t="s">
        <v>15</v>
      </c>
      <c r="D76" t="s">
        <v>10</v>
      </c>
      <c r="E76" t="s">
        <v>17</v>
      </c>
      <c r="F76" t="s">
        <v>18</v>
      </c>
      <c r="G76">
        <v>0.06</v>
      </c>
      <c r="H76" s="3">
        <f t="shared" si="1"/>
        <v>45889</v>
      </c>
      <c r="I76" t="str">
        <f>IF(COUNTIFS([0]!OrderID,Table3[[#This Row],[OrderID]],[0]!Category,"beverage")&gt;0,"yes","no")</f>
        <v>yes</v>
      </c>
      <c r="J76">
        <f>SUMIFS([0]!LineNetAmount,[0]!OrderID,Table3[[#This Row],[OrderID]])</f>
        <v>512.8922</v>
      </c>
      <c r="K76" t="str" cm="1">
        <f t="array" ref="K76">_xlfn.TEXTJOIN("+",,_xlfn._xlws.SORT(_xlfn.UNIQUE(_xlfn._xlws.FILTER([0]!Category,[0]!OrderID=Table3[[#This Row],[OrderID]]))))</f>
        <v>Beverage+Hot Meal+Snack</v>
      </c>
      <c r="L76" s="39">
        <f>SUMIFS([0]!FoodCost,[0]!OrderID,Table3[[#This Row],[OrderID]])</f>
        <v>275.25</v>
      </c>
      <c r="M76" s="39">
        <f>Table3[[#This Row],[LineAmount]]-Table3[[#This Row],[TotalCost]]</f>
        <v>237.6422</v>
      </c>
      <c r="N76" t="str">
        <f>IF(AND(COUNTIFS([0]!OrderID,Table3[[#This Row],[OrderID]],[0]!Category,"hot meal")&gt;0,COUNTIFS([0]!OrderID,Table3[[#This Row],[OrderID]],[0]!Category,"beverage")&gt;0),"combo","single")</f>
        <v>combo</v>
      </c>
      <c r="O76" t="str">
        <f>IF((Table3[[#This Row],[LineAmount]]/(1-Table3[[#This Row],[DiscountPct]]))*Table3[[#This Row],[DiscountPct]]&gt;40,"High Disc","OK")</f>
        <v>OK</v>
      </c>
    </row>
    <row r="77" spans="1:15" x14ac:dyDescent="0.3">
      <c r="A77" t="s">
        <v>113</v>
      </c>
      <c r="B77" s="7">
        <v>45881.957384259258</v>
      </c>
      <c r="C77" t="s">
        <v>27</v>
      </c>
      <c r="D77" t="s">
        <v>10</v>
      </c>
      <c r="E77" t="s">
        <v>21</v>
      </c>
      <c r="F77" t="s">
        <v>18</v>
      </c>
      <c r="G77">
        <v>0.01</v>
      </c>
      <c r="H77" s="3">
        <f t="shared" si="1"/>
        <v>45881</v>
      </c>
      <c r="I77" t="str">
        <f>IF(COUNTIFS([0]!OrderID,Table3[[#This Row],[OrderID]],[0]!Category,"beverage")&gt;0,"yes","no")</f>
        <v>no</v>
      </c>
      <c r="J77">
        <f>SUMIFS([0]!LineNetAmount,[0]!OrderID,Table3[[#This Row],[OrderID]])</f>
        <v>393.21810000000005</v>
      </c>
      <c r="K77" t="str" cm="1">
        <f t="array" ref="K77">_xlfn.TEXTJOIN("+",,_xlfn._xlws.SORT(_xlfn.UNIQUE(_xlfn._xlws.FILTER([0]!Category,[0]!OrderID=Table3[[#This Row],[OrderID]]))))</f>
        <v>Dessert+Hot Meal+Snack</v>
      </c>
      <c r="L77" s="39">
        <f>SUMIFS([0]!FoodCost,[0]!OrderID,Table3[[#This Row],[OrderID]])</f>
        <v>206.4</v>
      </c>
      <c r="M77" s="39">
        <f>Table3[[#This Row],[LineAmount]]-Table3[[#This Row],[TotalCost]]</f>
        <v>186.81810000000004</v>
      </c>
      <c r="N77" t="str">
        <f>IF(AND(COUNTIFS([0]!OrderID,Table3[[#This Row],[OrderID]],[0]!Category,"hot meal")&gt;0,COUNTIFS([0]!OrderID,Table3[[#This Row],[OrderID]],[0]!Category,"beverage")&gt;0),"combo","single")</f>
        <v>single</v>
      </c>
      <c r="O77" t="str">
        <f>IF((Table3[[#This Row],[LineAmount]]/(1-Table3[[#This Row],[DiscountPct]]))*Table3[[#This Row],[DiscountPct]]&gt;40,"High Disc","OK")</f>
        <v>OK</v>
      </c>
    </row>
    <row r="78" spans="1:15" x14ac:dyDescent="0.3">
      <c r="A78" t="s">
        <v>114</v>
      </c>
      <c r="B78" s="7">
        <v>45865.630914351852</v>
      </c>
      <c r="C78" t="s">
        <v>15</v>
      </c>
      <c r="D78" t="s">
        <v>16</v>
      </c>
      <c r="E78" t="s">
        <v>11</v>
      </c>
      <c r="F78" t="s">
        <v>22</v>
      </c>
      <c r="G78">
        <v>0.11</v>
      </c>
      <c r="H78" s="3">
        <f t="shared" si="1"/>
        <v>45865</v>
      </c>
      <c r="I78" t="str">
        <f>IF(COUNTIFS([0]!OrderID,Table3[[#This Row],[OrderID]],[0]!Category,"beverage")&gt;0,"yes","no")</f>
        <v>yes</v>
      </c>
      <c r="J78">
        <f>SUMIFS([0]!LineNetAmount,[0]!OrderID,Table3[[#This Row],[OrderID]])</f>
        <v>92.132800000000003</v>
      </c>
      <c r="K78" t="str" cm="1">
        <f t="array" ref="K78">_xlfn.TEXTJOIN("+",,_xlfn._xlws.SORT(_xlfn.UNIQUE(_xlfn._xlws.FILTER([0]!Category,[0]!OrderID=Table3[[#This Row],[OrderID]]))))</f>
        <v>Beverage+Snack</v>
      </c>
      <c r="L78" s="39">
        <f>SUMIFS([0]!FoodCost,[0]!OrderID,Table3[[#This Row],[OrderID]])</f>
        <v>47.650000000000006</v>
      </c>
      <c r="M78" s="39">
        <f>Table3[[#This Row],[LineAmount]]-Table3[[#This Row],[TotalCost]]</f>
        <v>44.482799999999997</v>
      </c>
      <c r="N78" t="str">
        <f>IF(AND(COUNTIFS([0]!OrderID,Table3[[#This Row],[OrderID]],[0]!Category,"hot meal")&gt;0,COUNTIFS([0]!OrderID,Table3[[#This Row],[OrderID]],[0]!Category,"beverage")&gt;0),"combo","single")</f>
        <v>single</v>
      </c>
      <c r="O78" t="str">
        <f>IF((Table3[[#This Row],[LineAmount]]/(1-Table3[[#This Row],[DiscountPct]]))*Table3[[#This Row],[DiscountPct]]&gt;40,"High Disc","OK")</f>
        <v>OK</v>
      </c>
    </row>
    <row r="79" spans="1:15" x14ac:dyDescent="0.3">
      <c r="A79" t="s">
        <v>115</v>
      </c>
      <c r="B79" s="7">
        <v>45852.68478009259</v>
      </c>
      <c r="C79" t="s">
        <v>27</v>
      </c>
      <c r="D79" t="s">
        <v>28</v>
      </c>
      <c r="E79" t="s">
        <v>21</v>
      </c>
      <c r="F79" t="s">
        <v>18</v>
      </c>
      <c r="G79">
        <v>0.09</v>
      </c>
      <c r="H79" s="3">
        <f t="shared" si="1"/>
        <v>45852</v>
      </c>
      <c r="I79" t="str">
        <f>IF(COUNTIFS([0]!OrderID,Table3[[#This Row],[OrderID]],[0]!Category,"beverage")&gt;0,"yes","no")</f>
        <v>yes</v>
      </c>
      <c r="J79">
        <f>SUMIFS([0]!LineNetAmount,[0]!OrderID,Table3[[#This Row],[OrderID]])</f>
        <v>135.70830000000001</v>
      </c>
      <c r="K79" t="str" cm="1">
        <f t="array" ref="K79">_xlfn.TEXTJOIN("+",,_xlfn._xlws.SORT(_xlfn.UNIQUE(_xlfn._xlws.FILTER([0]!Category,[0]!OrderID=Table3[[#This Row],[OrderID]]))))</f>
        <v>Beverage+Snack</v>
      </c>
      <c r="L79" s="39">
        <f>SUMIFS([0]!FoodCost,[0]!OrderID,Table3[[#This Row],[OrderID]])</f>
        <v>58.129999999999995</v>
      </c>
      <c r="M79" s="39">
        <f>Table3[[#This Row],[LineAmount]]-Table3[[#This Row],[TotalCost]]</f>
        <v>77.578300000000013</v>
      </c>
      <c r="N79" t="str">
        <f>IF(AND(COUNTIFS([0]!OrderID,Table3[[#This Row],[OrderID]],[0]!Category,"hot meal")&gt;0,COUNTIFS([0]!OrderID,Table3[[#This Row],[OrderID]],[0]!Category,"beverage")&gt;0),"combo","single")</f>
        <v>single</v>
      </c>
      <c r="O79" t="str">
        <f>IF((Table3[[#This Row],[LineAmount]]/(1-Table3[[#This Row],[DiscountPct]]))*Table3[[#This Row],[DiscountPct]]&gt;40,"High Disc","OK")</f>
        <v>OK</v>
      </c>
    </row>
    <row r="80" spans="1:15" x14ac:dyDescent="0.3">
      <c r="A80" t="s">
        <v>116</v>
      </c>
      <c r="B80" s="7">
        <v>45860.02275462963</v>
      </c>
      <c r="C80" t="s">
        <v>27</v>
      </c>
      <c r="D80" t="s">
        <v>16</v>
      </c>
      <c r="E80" t="s">
        <v>21</v>
      </c>
      <c r="F80" t="s">
        <v>12</v>
      </c>
      <c r="G80">
        <v>0.09</v>
      </c>
      <c r="H80" s="3">
        <f t="shared" si="1"/>
        <v>45860</v>
      </c>
      <c r="I80" t="str">
        <f>IF(COUNTIFS([0]!OrderID,Table3[[#This Row],[OrderID]],[0]!Category,"beverage")&gt;0,"yes","no")</f>
        <v>yes</v>
      </c>
      <c r="J80">
        <f>SUMIFS([0]!LineNetAmount,[0]!OrderID,Table3[[#This Row],[OrderID]])</f>
        <v>86.377200000000016</v>
      </c>
      <c r="K80" t="str" cm="1">
        <f t="array" ref="K80">_xlfn.TEXTJOIN("+",,_xlfn._xlws.SORT(_xlfn.UNIQUE(_xlfn._xlws.FILTER([0]!Category,[0]!OrderID=Table3[[#This Row],[OrderID]]))))</f>
        <v>Beverage+Snack</v>
      </c>
      <c r="L80" s="39">
        <f>SUMIFS([0]!FoodCost,[0]!OrderID,Table3[[#This Row],[OrderID]])</f>
        <v>47.33</v>
      </c>
      <c r="M80" s="39">
        <f>Table3[[#This Row],[LineAmount]]-Table3[[#This Row],[TotalCost]]</f>
        <v>39.047200000000018</v>
      </c>
      <c r="N80" t="str">
        <f>IF(AND(COUNTIFS([0]!OrderID,Table3[[#This Row],[OrderID]],[0]!Category,"hot meal")&gt;0,COUNTIFS([0]!OrderID,Table3[[#This Row],[OrderID]],[0]!Category,"beverage")&gt;0),"combo","single")</f>
        <v>single</v>
      </c>
      <c r="O80" t="str">
        <f>IF((Table3[[#This Row],[LineAmount]]/(1-Table3[[#This Row],[DiscountPct]]))*Table3[[#This Row],[DiscountPct]]&gt;40,"High Disc","OK")</f>
        <v>OK</v>
      </c>
    </row>
    <row r="81" spans="1:15" x14ac:dyDescent="0.3">
      <c r="A81" t="s">
        <v>117</v>
      </c>
      <c r="B81" s="7">
        <v>45891.932314814818</v>
      </c>
      <c r="C81" t="s">
        <v>15</v>
      </c>
      <c r="D81" t="s">
        <v>16</v>
      </c>
      <c r="E81" t="s">
        <v>17</v>
      </c>
      <c r="F81" t="s">
        <v>18</v>
      </c>
      <c r="G81">
        <v>0.02</v>
      </c>
      <c r="H81" s="3">
        <f t="shared" si="1"/>
        <v>45891</v>
      </c>
      <c r="I81" t="str">
        <f>IF(COUNTIFS([0]!OrderID,Table3[[#This Row],[OrderID]],[0]!Category,"beverage")&gt;0,"yes","no")</f>
        <v>yes</v>
      </c>
      <c r="J81">
        <f>SUMIFS([0]!LineNetAmount,[0]!OrderID,Table3[[#This Row],[OrderID]])</f>
        <v>419.39100000000002</v>
      </c>
      <c r="K81" t="str" cm="1">
        <f t="array" ref="K81">_xlfn.TEXTJOIN("+",,_xlfn._xlws.SORT(_xlfn.UNIQUE(_xlfn._xlws.FILTER([0]!Category,[0]!OrderID=Table3[[#This Row],[OrderID]]))))</f>
        <v>Beverage+Hot Meal</v>
      </c>
      <c r="L81" s="39">
        <f>SUMIFS([0]!FoodCost,[0]!OrderID,Table3[[#This Row],[OrderID]])</f>
        <v>192.04000000000002</v>
      </c>
      <c r="M81" s="39">
        <f>Table3[[#This Row],[LineAmount]]-Table3[[#This Row],[TotalCost]]</f>
        <v>227.351</v>
      </c>
      <c r="N81" t="str">
        <f>IF(AND(COUNTIFS([0]!OrderID,Table3[[#This Row],[OrderID]],[0]!Category,"hot meal")&gt;0,COUNTIFS([0]!OrderID,Table3[[#This Row],[OrderID]],[0]!Category,"beverage")&gt;0),"combo","single")</f>
        <v>combo</v>
      </c>
      <c r="O81" t="str">
        <f>IF((Table3[[#This Row],[LineAmount]]/(1-Table3[[#This Row],[DiscountPct]]))*Table3[[#This Row],[DiscountPct]]&gt;40,"High Disc","OK")</f>
        <v>OK</v>
      </c>
    </row>
    <row r="82" spans="1:15" x14ac:dyDescent="0.3">
      <c r="A82" t="s">
        <v>118</v>
      </c>
      <c r="B82" s="7">
        <v>45880.041886574072</v>
      </c>
      <c r="C82" t="s">
        <v>15</v>
      </c>
      <c r="D82" t="s">
        <v>10</v>
      </c>
      <c r="E82" t="s">
        <v>11</v>
      </c>
      <c r="F82" t="s">
        <v>12</v>
      </c>
      <c r="G82">
        <v>0.12</v>
      </c>
      <c r="H82" s="3">
        <f t="shared" si="1"/>
        <v>45880</v>
      </c>
      <c r="I82" t="str">
        <f>IF(COUNTIFS([0]!OrderID,Table3[[#This Row],[OrderID]],[0]!Category,"beverage")&gt;0,"yes","no")</f>
        <v>no</v>
      </c>
      <c r="J82">
        <f>SUMIFS([0]!LineNetAmount,[0]!OrderID,Table3[[#This Row],[OrderID]])</f>
        <v>44.167200000000001</v>
      </c>
      <c r="K82" t="str" cm="1">
        <f t="array" ref="K82">_xlfn.TEXTJOIN("+",,_xlfn._xlws.SORT(_xlfn.UNIQUE(_xlfn._xlws.FILTER([0]!Category,[0]!OrderID=Table3[[#This Row],[OrderID]]))))</f>
        <v>Snack</v>
      </c>
      <c r="L82" s="39">
        <f>SUMIFS([0]!FoodCost,[0]!OrderID,Table3[[#This Row],[OrderID]])</f>
        <v>22.61</v>
      </c>
      <c r="M82" s="39">
        <f>Table3[[#This Row],[LineAmount]]-Table3[[#This Row],[TotalCost]]</f>
        <v>21.557200000000002</v>
      </c>
      <c r="N82" t="str">
        <f>IF(AND(COUNTIFS([0]!OrderID,Table3[[#This Row],[OrderID]],[0]!Category,"hot meal")&gt;0,COUNTIFS([0]!OrderID,Table3[[#This Row],[OrderID]],[0]!Category,"beverage")&gt;0),"combo","single")</f>
        <v>single</v>
      </c>
      <c r="O82" t="str">
        <f>IF((Table3[[#This Row],[LineAmount]]/(1-Table3[[#This Row],[DiscountPct]]))*Table3[[#This Row],[DiscountPct]]&gt;40,"High Disc","OK")</f>
        <v>OK</v>
      </c>
    </row>
    <row r="83" spans="1:15" x14ac:dyDescent="0.3">
      <c r="A83" t="s">
        <v>119</v>
      </c>
      <c r="B83" s="7">
        <v>45895.14398148148</v>
      </c>
      <c r="C83" t="s">
        <v>15</v>
      </c>
      <c r="D83" t="s">
        <v>16</v>
      </c>
      <c r="E83" t="s">
        <v>17</v>
      </c>
      <c r="F83" t="s">
        <v>12</v>
      </c>
      <c r="G83">
        <v>0</v>
      </c>
      <c r="H83" s="3">
        <f t="shared" si="1"/>
        <v>45895</v>
      </c>
      <c r="I83" t="str">
        <f>IF(COUNTIFS([0]!OrderID,Table3[[#This Row],[OrderID]],[0]!Category,"beverage")&gt;0,"yes","no")</f>
        <v>no</v>
      </c>
      <c r="J83">
        <f>SUMIFS([0]!LineNetAmount,[0]!OrderID,Table3[[#This Row],[OrderID]])</f>
        <v>119.85000000000001</v>
      </c>
      <c r="K83" t="str" cm="1">
        <f t="array" ref="K83">_xlfn.TEXTJOIN("+",,_xlfn._xlws.SORT(_xlfn.UNIQUE(_xlfn._xlws.FILTER([0]!Category,[0]!OrderID=Table3[[#This Row],[OrderID]]))))</f>
        <v>Snack</v>
      </c>
      <c r="L83" s="39">
        <f>SUMIFS([0]!FoodCost,[0]!OrderID,Table3[[#This Row],[OrderID]])</f>
        <v>46.53</v>
      </c>
      <c r="M83" s="39">
        <f>Table3[[#This Row],[LineAmount]]-Table3[[#This Row],[TotalCost]]</f>
        <v>73.320000000000007</v>
      </c>
      <c r="N83" t="str">
        <f>IF(AND(COUNTIFS([0]!OrderID,Table3[[#This Row],[OrderID]],[0]!Category,"hot meal")&gt;0,COUNTIFS([0]!OrderID,Table3[[#This Row],[OrderID]],[0]!Category,"beverage")&gt;0),"combo","single")</f>
        <v>single</v>
      </c>
      <c r="O83" t="str">
        <f>IF((Table3[[#This Row],[LineAmount]]/(1-Table3[[#This Row],[DiscountPct]]))*Table3[[#This Row],[DiscountPct]]&gt;40,"High Disc","OK")</f>
        <v>OK</v>
      </c>
    </row>
    <row r="84" spans="1:15" x14ac:dyDescent="0.3">
      <c r="A84" t="s">
        <v>120</v>
      </c>
      <c r="B84" s="7">
        <v>45868.242407407408</v>
      </c>
      <c r="C84" t="s">
        <v>15</v>
      </c>
      <c r="D84" t="s">
        <v>16</v>
      </c>
      <c r="E84" t="s">
        <v>11</v>
      </c>
      <c r="F84" t="s">
        <v>12</v>
      </c>
      <c r="G84">
        <v>0.08</v>
      </c>
      <c r="H84" s="3">
        <f t="shared" si="1"/>
        <v>45868</v>
      </c>
      <c r="I84" t="str">
        <f>IF(COUNTIFS([0]!OrderID,Table3[[#This Row],[OrderID]],[0]!Category,"beverage")&gt;0,"yes","no")</f>
        <v>yes</v>
      </c>
      <c r="J84">
        <f>SUMIFS([0]!LineNetAmount,[0]!OrderID,Table3[[#This Row],[OrderID]])</f>
        <v>297.28880000000004</v>
      </c>
      <c r="K84" t="str" cm="1">
        <f t="array" ref="K84">_xlfn.TEXTJOIN("+",,_xlfn._xlws.SORT(_xlfn.UNIQUE(_xlfn._xlws.FILTER([0]!Category,[0]!OrderID=Table3[[#This Row],[OrderID]]))))</f>
        <v>Beverage+Hot Meal</v>
      </c>
      <c r="L84" s="39">
        <f>SUMIFS([0]!FoodCost,[0]!OrderID,Table3[[#This Row],[OrderID]])</f>
        <v>176.02</v>
      </c>
      <c r="M84" s="39">
        <f>Table3[[#This Row],[LineAmount]]-Table3[[#This Row],[TotalCost]]</f>
        <v>121.26880000000003</v>
      </c>
      <c r="N84" t="str">
        <f>IF(AND(COUNTIFS([0]!OrderID,Table3[[#This Row],[OrderID]],[0]!Category,"hot meal")&gt;0,COUNTIFS([0]!OrderID,Table3[[#This Row],[OrderID]],[0]!Category,"beverage")&gt;0),"combo","single")</f>
        <v>combo</v>
      </c>
      <c r="O84" t="str">
        <f>IF((Table3[[#This Row],[LineAmount]]/(1-Table3[[#This Row],[DiscountPct]]))*Table3[[#This Row],[DiscountPct]]&gt;40,"High Disc","OK")</f>
        <v>OK</v>
      </c>
    </row>
    <row r="85" spans="1:15" x14ac:dyDescent="0.3">
      <c r="A85" t="s">
        <v>121</v>
      </c>
      <c r="B85" s="7">
        <v>45897.820011574076</v>
      </c>
      <c r="C85" t="s">
        <v>27</v>
      </c>
      <c r="D85" t="s">
        <v>16</v>
      </c>
      <c r="E85" t="s">
        <v>17</v>
      </c>
      <c r="F85" t="s">
        <v>18</v>
      </c>
      <c r="G85">
        <v>0.15</v>
      </c>
      <c r="H85" s="3">
        <f t="shared" si="1"/>
        <v>45897</v>
      </c>
      <c r="I85" t="str">
        <f>IF(COUNTIFS([0]!OrderID,Table3[[#This Row],[OrderID]],[0]!Category,"beverage")&gt;0,"yes","no")</f>
        <v>yes</v>
      </c>
      <c r="J85">
        <f>SUMIFS([0]!LineNetAmount,[0]!OrderID,Table3[[#This Row],[OrderID]])</f>
        <v>200.50649999999999</v>
      </c>
      <c r="K85" t="str" cm="1">
        <f t="array" ref="K85">_xlfn.TEXTJOIN("+",,_xlfn._xlws.SORT(_xlfn.UNIQUE(_xlfn._xlws.FILTER([0]!Category,[0]!OrderID=Table3[[#This Row],[OrderID]]))))</f>
        <v>Beverage+Dessert+Snack</v>
      </c>
      <c r="L85" s="39">
        <f>SUMIFS([0]!FoodCost,[0]!OrderID,Table3[[#This Row],[OrderID]])</f>
        <v>116.43999999999998</v>
      </c>
      <c r="M85" s="39">
        <f>Table3[[#This Row],[LineAmount]]-Table3[[#This Row],[TotalCost]]</f>
        <v>84.066500000000005</v>
      </c>
      <c r="N85" t="str">
        <f>IF(AND(COUNTIFS([0]!OrderID,Table3[[#This Row],[OrderID]],[0]!Category,"hot meal")&gt;0,COUNTIFS([0]!OrderID,Table3[[#This Row],[OrderID]],[0]!Category,"beverage")&gt;0),"combo","single")</f>
        <v>single</v>
      </c>
      <c r="O85" t="str">
        <f>IF((Table3[[#This Row],[LineAmount]]/(1-Table3[[#This Row],[DiscountPct]]))*Table3[[#This Row],[DiscountPct]]&gt;40,"High Disc","OK")</f>
        <v>OK</v>
      </c>
    </row>
    <row r="86" spans="1:15" x14ac:dyDescent="0.3">
      <c r="A86" t="s">
        <v>122</v>
      </c>
      <c r="B86" s="7">
        <v>45881.565474537027</v>
      </c>
      <c r="C86" t="s">
        <v>15</v>
      </c>
      <c r="D86" t="s">
        <v>28</v>
      </c>
      <c r="E86" t="s">
        <v>21</v>
      </c>
      <c r="F86" t="s">
        <v>22</v>
      </c>
      <c r="G86">
        <v>0.02</v>
      </c>
      <c r="H86" s="3">
        <f t="shared" si="1"/>
        <v>45881</v>
      </c>
      <c r="I86" t="str">
        <f>IF(COUNTIFS([0]!OrderID,Table3[[#This Row],[OrderID]],[0]!Category,"beverage")&gt;0,"yes","no")</f>
        <v>no</v>
      </c>
      <c r="J86">
        <f>SUMIFS([0]!LineNetAmount,[0]!OrderID,Table3[[#This Row],[OrderID]])</f>
        <v>151.48840000000001</v>
      </c>
      <c r="K86" t="str" cm="1">
        <f t="array" ref="K86">_xlfn.TEXTJOIN("+",,_xlfn._xlws.SORT(_xlfn.UNIQUE(_xlfn._xlws.FILTER([0]!Category,[0]!OrderID=Table3[[#This Row],[OrderID]]))))</f>
        <v>Dessert+Snack</v>
      </c>
      <c r="L86" s="39">
        <f>SUMIFS([0]!FoodCost,[0]!OrderID,Table3[[#This Row],[OrderID]])</f>
        <v>67.17</v>
      </c>
      <c r="M86" s="39">
        <f>Table3[[#This Row],[LineAmount]]-Table3[[#This Row],[TotalCost]]</f>
        <v>84.318400000000011</v>
      </c>
      <c r="N86" t="str">
        <f>IF(AND(COUNTIFS([0]!OrderID,Table3[[#This Row],[OrderID]],[0]!Category,"hot meal")&gt;0,COUNTIFS([0]!OrderID,Table3[[#This Row],[OrderID]],[0]!Category,"beverage")&gt;0),"combo","single")</f>
        <v>single</v>
      </c>
      <c r="O86" t="str">
        <f>IF((Table3[[#This Row],[LineAmount]]/(1-Table3[[#This Row],[DiscountPct]]))*Table3[[#This Row],[DiscountPct]]&gt;40,"High Disc","OK")</f>
        <v>OK</v>
      </c>
    </row>
    <row r="87" spans="1:15" x14ac:dyDescent="0.3">
      <c r="A87" t="s">
        <v>123</v>
      </c>
      <c r="B87" s="7">
        <v>45878.505254629628</v>
      </c>
      <c r="C87" t="s">
        <v>9</v>
      </c>
      <c r="D87" t="s">
        <v>28</v>
      </c>
      <c r="E87" t="s">
        <v>21</v>
      </c>
      <c r="F87" t="s">
        <v>22</v>
      </c>
      <c r="G87">
        <v>0.04</v>
      </c>
      <c r="H87" s="3">
        <f t="shared" si="1"/>
        <v>45878</v>
      </c>
      <c r="I87" t="str">
        <f>IF(COUNTIFS([0]!OrderID,Table3[[#This Row],[OrderID]],[0]!Category,"beverage")&gt;0,"yes","no")</f>
        <v>yes</v>
      </c>
      <c r="J87">
        <f>SUMIFS([0]!LineNetAmount,[0]!OrderID,Table3[[#This Row],[OrderID]])</f>
        <v>178.63679999999999</v>
      </c>
      <c r="K87" t="str" cm="1">
        <f t="array" ref="K87">_xlfn.TEXTJOIN("+",,_xlfn._xlws.SORT(_xlfn.UNIQUE(_xlfn._xlws.FILTER([0]!Category,[0]!OrderID=Table3[[#This Row],[OrderID]]))))</f>
        <v>Beverage+Dessert</v>
      </c>
      <c r="L87" s="39">
        <f>SUMIFS([0]!FoodCost,[0]!OrderID,Table3[[#This Row],[OrderID]])</f>
        <v>88.3</v>
      </c>
      <c r="M87" s="39">
        <f>Table3[[#This Row],[LineAmount]]-Table3[[#This Row],[TotalCost]]</f>
        <v>90.336799999999997</v>
      </c>
      <c r="N87" t="str">
        <f>IF(AND(COUNTIFS([0]!OrderID,Table3[[#This Row],[OrderID]],[0]!Category,"hot meal")&gt;0,COUNTIFS([0]!OrderID,Table3[[#This Row],[OrderID]],[0]!Category,"beverage")&gt;0),"combo","single")</f>
        <v>single</v>
      </c>
      <c r="O87" t="str">
        <f>IF((Table3[[#This Row],[LineAmount]]/(1-Table3[[#This Row],[DiscountPct]]))*Table3[[#This Row],[DiscountPct]]&gt;40,"High Disc","OK")</f>
        <v>OK</v>
      </c>
    </row>
    <row r="88" spans="1:15" x14ac:dyDescent="0.3">
      <c r="A88" t="s">
        <v>124</v>
      </c>
      <c r="B88" s="7">
        <v>45891.108252314807</v>
      </c>
      <c r="C88" t="s">
        <v>27</v>
      </c>
      <c r="D88" t="s">
        <v>16</v>
      </c>
      <c r="E88" t="s">
        <v>11</v>
      </c>
      <c r="F88" t="s">
        <v>12</v>
      </c>
      <c r="G88">
        <v>0.06</v>
      </c>
      <c r="H88" s="3">
        <f t="shared" si="1"/>
        <v>45891</v>
      </c>
      <c r="I88" t="str">
        <f>IF(COUNTIFS([0]!OrderID,Table3[[#This Row],[OrderID]],[0]!Category,"beverage")&gt;0,"yes","no")</f>
        <v>yes</v>
      </c>
      <c r="J88">
        <f>SUMIFS([0]!LineNetAmount,[0]!OrderID,Table3[[#This Row],[OrderID]])</f>
        <v>252.08920000000001</v>
      </c>
      <c r="K88" t="str" cm="1">
        <f t="array" ref="K88">_xlfn.TEXTJOIN("+",,_xlfn._xlws.SORT(_xlfn.UNIQUE(_xlfn._xlws.FILTER([0]!Category,[0]!OrderID=Table3[[#This Row],[OrderID]]))))</f>
        <v>Beverage+Snack</v>
      </c>
      <c r="L88" s="39">
        <f>SUMIFS([0]!FoodCost,[0]!OrderID,Table3[[#This Row],[OrderID]])</f>
        <v>132.60000000000002</v>
      </c>
      <c r="M88" s="39">
        <f>Table3[[#This Row],[LineAmount]]-Table3[[#This Row],[TotalCost]]</f>
        <v>119.48919999999998</v>
      </c>
      <c r="N88" t="str">
        <f>IF(AND(COUNTIFS([0]!OrderID,Table3[[#This Row],[OrderID]],[0]!Category,"hot meal")&gt;0,COUNTIFS([0]!OrderID,Table3[[#This Row],[OrderID]],[0]!Category,"beverage")&gt;0),"combo","single")</f>
        <v>single</v>
      </c>
      <c r="O88" t="str">
        <f>IF((Table3[[#This Row],[LineAmount]]/(1-Table3[[#This Row],[DiscountPct]]))*Table3[[#This Row],[DiscountPct]]&gt;40,"High Disc","OK")</f>
        <v>OK</v>
      </c>
    </row>
    <row r="89" spans="1:15" x14ac:dyDescent="0.3">
      <c r="A89" t="s">
        <v>125</v>
      </c>
      <c r="B89" s="7">
        <v>45847.40048611111</v>
      </c>
      <c r="C89" t="s">
        <v>9</v>
      </c>
      <c r="D89" t="s">
        <v>16</v>
      </c>
      <c r="E89" t="s">
        <v>17</v>
      </c>
      <c r="F89" t="s">
        <v>12</v>
      </c>
      <c r="G89">
        <v>0.04</v>
      </c>
      <c r="H89" s="3">
        <f t="shared" si="1"/>
        <v>45847</v>
      </c>
      <c r="I89" t="str">
        <f>IF(COUNTIFS([0]!OrderID,Table3[[#This Row],[OrderID]],[0]!Category,"beverage")&gt;0,"yes","no")</f>
        <v>no</v>
      </c>
      <c r="J89">
        <f>SUMIFS([0]!LineNetAmount,[0]!OrderID,Table3[[#This Row],[OrderID]])</f>
        <v>291.99360000000001</v>
      </c>
      <c r="K89" t="str" cm="1">
        <f t="array" ref="K89">_xlfn.TEXTJOIN("+",,_xlfn._xlws.SORT(_xlfn.UNIQUE(_xlfn._xlws.FILTER([0]!Category,[0]!OrderID=Table3[[#This Row],[OrderID]]))))</f>
        <v>Dessert+Hot Meal</v>
      </c>
      <c r="L89" s="39">
        <f>SUMIFS([0]!FoodCost,[0]!OrderID,Table3[[#This Row],[OrderID]])</f>
        <v>134.44999999999999</v>
      </c>
      <c r="M89" s="39">
        <f>Table3[[#This Row],[LineAmount]]-Table3[[#This Row],[TotalCost]]</f>
        <v>157.54360000000003</v>
      </c>
      <c r="N89" t="str">
        <f>IF(AND(COUNTIFS([0]!OrderID,Table3[[#This Row],[OrderID]],[0]!Category,"hot meal")&gt;0,COUNTIFS([0]!OrderID,Table3[[#This Row],[OrderID]],[0]!Category,"beverage")&gt;0),"combo","single")</f>
        <v>single</v>
      </c>
      <c r="O89" t="str">
        <f>IF((Table3[[#This Row],[LineAmount]]/(1-Table3[[#This Row],[DiscountPct]]))*Table3[[#This Row],[DiscountPct]]&gt;40,"High Disc","OK")</f>
        <v>OK</v>
      </c>
    </row>
    <row r="90" spans="1:15" x14ac:dyDescent="0.3">
      <c r="A90" t="s">
        <v>126</v>
      </c>
      <c r="B90" s="7">
        <v>45856.894131944442</v>
      </c>
      <c r="C90" t="s">
        <v>27</v>
      </c>
      <c r="D90" t="s">
        <v>16</v>
      </c>
      <c r="E90" t="s">
        <v>21</v>
      </c>
      <c r="F90" t="s">
        <v>18</v>
      </c>
      <c r="G90">
        <v>0</v>
      </c>
      <c r="H90" s="3">
        <f t="shared" si="1"/>
        <v>45856</v>
      </c>
      <c r="I90" t="str">
        <f>IF(COUNTIFS([0]!OrderID,Table3[[#This Row],[OrderID]],[0]!Category,"beverage")&gt;0,"yes","no")</f>
        <v>no</v>
      </c>
      <c r="J90">
        <f>SUMIFS([0]!LineNetAmount,[0]!OrderID,Table3[[#This Row],[OrderID]])</f>
        <v>658.67000000000007</v>
      </c>
      <c r="K90" t="str" cm="1">
        <f t="array" ref="K90">_xlfn.TEXTJOIN("+",,_xlfn._xlws.SORT(_xlfn.UNIQUE(_xlfn._xlws.FILTER([0]!Category,[0]!OrderID=Table3[[#This Row],[OrderID]]))))</f>
        <v>Hot Meal+Snack</v>
      </c>
      <c r="L90" s="39">
        <f>SUMIFS([0]!FoodCost,[0]!OrderID,Table3[[#This Row],[OrderID]])</f>
        <v>309.59000000000003</v>
      </c>
      <c r="M90" s="39">
        <f>Table3[[#This Row],[LineAmount]]-Table3[[#This Row],[TotalCost]]</f>
        <v>349.08000000000004</v>
      </c>
      <c r="N90" t="str">
        <f>IF(AND(COUNTIFS([0]!OrderID,Table3[[#This Row],[OrderID]],[0]!Category,"hot meal")&gt;0,COUNTIFS([0]!OrderID,Table3[[#This Row],[OrderID]],[0]!Category,"beverage")&gt;0),"combo","single")</f>
        <v>single</v>
      </c>
      <c r="O90" t="str">
        <f>IF((Table3[[#This Row],[LineAmount]]/(1-Table3[[#This Row],[DiscountPct]]))*Table3[[#This Row],[DiscountPct]]&gt;40,"High Disc","OK")</f>
        <v>OK</v>
      </c>
    </row>
    <row r="91" spans="1:15" x14ac:dyDescent="0.3">
      <c r="A91" t="s">
        <v>127</v>
      </c>
      <c r="B91" s="7">
        <v>45859.800173611111</v>
      </c>
      <c r="C91" t="s">
        <v>15</v>
      </c>
      <c r="D91" t="s">
        <v>16</v>
      </c>
      <c r="E91" t="s">
        <v>21</v>
      </c>
      <c r="F91" t="s">
        <v>18</v>
      </c>
      <c r="G91">
        <v>0.06</v>
      </c>
      <c r="H91" s="3">
        <f t="shared" si="1"/>
        <v>45859</v>
      </c>
      <c r="I91" t="str">
        <f>IF(COUNTIFS([0]!OrderID,Table3[[#This Row],[OrderID]],[0]!Category,"beverage")&gt;0,"yes","no")</f>
        <v>yes</v>
      </c>
      <c r="J91">
        <f>SUMIFS([0]!LineNetAmount,[0]!OrderID,Table3[[#This Row],[OrderID]])</f>
        <v>714.59739999999999</v>
      </c>
      <c r="K91" t="str" cm="1">
        <f t="array" ref="K91">_xlfn.TEXTJOIN("+",,_xlfn._xlws.SORT(_xlfn.UNIQUE(_xlfn._xlws.FILTER([0]!Category,[0]!OrderID=Table3[[#This Row],[OrderID]]))))</f>
        <v>Beverage+Hot Meal</v>
      </c>
      <c r="L91" s="39">
        <f>SUMIFS([0]!FoodCost,[0]!OrderID,Table3[[#This Row],[OrderID]])</f>
        <v>319.25999999999993</v>
      </c>
      <c r="M91" s="39">
        <f>Table3[[#This Row],[LineAmount]]-Table3[[#This Row],[TotalCost]]</f>
        <v>395.33740000000006</v>
      </c>
      <c r="N91" t="str">
        <f>IF(AND(COUNTIFS([0]!OrderID,Table3[[#This Row],[OrderID]],[0]!Category,"hot meal")&gt;0,COUNTIFS([0]!OrderID,Table3[[#This Row],[OrderID]],[0]!Category,"beverage")&gt;0),"combo","single")</f>
        <v>combo</v>
      </c>
      <c r="O91" t="str">
        <f>IF((Table3[[#This Row],[LineAmount]]/(1-Table3[[#This Row],[DiscountPct]]))*Table3[[#This Row],[DiscountPct]]&gt;40,"High Disc","OK")</f>
        <v>High Disc</v>
      </c>
    </row>
    <row r="92" spans="1:15" x14ac:dyDescent="0.3">
      <c r="A92" t="s">
        <v>128</v>
      </c>
      <c r="B92" s="7">
        <v>45866.266030092593</v>
      </c>
      <c r="C92" t="s">
        <v>15</v>
      </c>
      <c r="D92" t="s">
        <v>16</v>
      </c>
      <c r="E92" t="s">
        <v>17</v>
      </c>
      <c r="F92" t="s">
        <v>12</v>
      </c>
      <c r="G92">
        <v>0.02</v>
      </c>
      <c r="H92" s="3">
        <f t="shared" si="1"/>
        <v>45866</v>
      </c>
      <c r="I92" t="str">
        <f>IF(COUNTIFS([0]!OrderID,Table3[[#This Row],[OrderID]],[0]!Category,"beverage")&gt;0,"yes","no")</f>
        <v>no</v>
      </c>
      <c r="J92">
        <f>SUMIFS([0]!LineNetAmount,[0]!OrderID,Table3[[#This Row],[OrderID]])</f>
        <v>286.94400000000002</v>
      </c>
      <c r="K92" t="str" cm="1">
        <f t="array" ref="K92">_xlfn.TEXTJOIN("+",,_xlfn._xlws.SORT(_xlfn.UNIQUE(_xlfn._xlws.FILTER([0]!Category,[0]!OrderID=Table3[[#This Row],[OrderID]]))))</f>
        <v>Hot Meal</v>
      </c>
      <c r="L92" s="39">
        <f>SUMIFS([0]!FoodCost,[0]!OrderID,Table3[[#This Row],[OrderID]])</f>
        <v>161.84</v>
      </c>
      <c r="M92" s="39">
        <f>Table3[[#This Row],[LineAmount]]-Table3[[#This Row],[TotalCost]]</f>
        <v>125.10400000000001</v>
      </c>
      <c r="N92" t="str">
        <f>IF(AND(COUNTIFS([0]!OrderID,Table3[[#This Row],[OrderID]],[0]!Category,"hot meal")&gt;0,COUNTIFS([0]!OrderID,Table3[[#This Row],[OrderID]],[0]!Category,"beverage")&gt;0),"combo","single")</f>
        <v>single</v>
      </c>
      <c r="O92" t="str">
        <f>IF((Table3[[#This Row],[LineAmount]]/(1-Table3[[#This Row],[DiscountPct]]))*Table3[[#This Row],[DiscountPct]]&gt;40,"High Disc","OK")</f>
        <v>OK</v>
      </c>
    </row>
    <row r="93" spans="1:15" x14ac:dyDescent="0.3">
      <c r="A93" t="s">
        <v>129</v>
      </c>
      <c r="B93" s="7">
        <v>45841.131921296299</v>
      </c>
      <c r="C93" t="s">
        <v>9</v>
      </c>
      <c r="D93" t="s">
        <v>10</v>
      </c>
      <c r="E93" t="s">
        <v>17</v>
      </c>
      <c r="F93" t="s">
        <v>12</v>
      </c>
      <c r="G93">
        <v>0.08</v>
      </c>
      <c r="H93" s="3">
        <f t="shared" si="1"/>
        <v>45841</v>
      </c>
      <c r="I93" t="str">
        <f>IF(COUNTIFS([0]!OrderID,Table3[[#This Row],[OrderID]],[0]!Category,"beverage")&gt;0,"yes","no")</f>
        <v>yes</v>
      </c>
      <c r="J93">
        <f>SUMIFS([0]!LineNetAmount,[0]!OrderID,Table3[[#This Row],[OrderID]])</f>
        <v>686.02560000000005</v>
      </c>
      <c r="K93" t="str" cm="1">
        <f t="array" ref="K93">_xlfn.TEXTJOIN("+",,_xlfn._xlws.SORT(_xlfn.UNIQUE(_xlfn._xlws.FILTER([0]!Category,[0]!OrderID=Table3[[#This Row],[OrderID]]))))</f>
        <v>Beverage+Dessert+Hot Meal</v>
      </c>
      <c r="L93" s="39">
        <f>SUMIFS([0]!FoodCost,[0]!OrderID,Table3[[#This Row],[OrderID]])</f>
        <v>318.15999999999997</v>
      </c>
      <c r="M93" s="39">
        <f>Table3[[#This Row],[LineAmount]]-Table3[[#This Row],[TotalCost]]</f>
        <v>367.86560000000009</v>
      </c>
      <c r="N93" t="str">
        <f>IF(AND(COUNTIFS([0]!OrderID,Table3[[#This Row],[OrderID]],[0]!Category,"hot meal")&gt;0,COUNTIFS([0]!OrderID,Table3[[#This Row],[OrderID]],[0]!Category,"beverage")&gt;0),"combo","single")</f>
        <v>combo</v>
      </c>
      <c r="O93" t="str">
        <f>IF((Table3[[#This Row],[LineAmount]]/(1-Table3[[#This Row],[DiscountPct]]))*Table3[[#This Row],[DiscountPct]]&gt;40,"High Disc","OK")</f>
        <v>High Disc</v>
      </c>
    </row>
    <row r="94" spans="1:15" x14ac:dyDescent="0.3">
      <c r="A94" t="s">
        <v>130</v>
      </c>
      <c r="B94" s="7">
        <v>45861.019803240742</v>
      </c>
      <c r="C94" t="s">
        <v>9</v>
      </c>
      <c r="D94" t="s">
        <v>28</v>
      </c>
      <c r="E94" t="s">
        <v>11</v>
      </c>
      <c r="F94" t="s">
        <v>12</v>
      </c>
      <c r="G94">
        <v>0.02</v>
      </c>
      <c r="H94" s="3">
        <f t="shared" si="1"/>
        <v>45861</v>
      </c>
      <c r="I94" t="str">
        <f>IF(COUNTIFS([0]!OrderID,Table3[[#This Row],[OrderID]],[0]!Category,"beverage")&gt;0,"yes","no")</f>
        <v>no</v>
      </c>
      <c r="J94">
        <f>SUMIFS([0]!LineNetAmount,[0]!OrderID,Table3[[#This Row],[OrderID]])</f>
        <v>398.80119999999999</v>
      </c>
      <c r="K94" t="str" cm="1">
        <f t="array" ref="K94">_xlfn.TEXTJOIN("+",,_xlfn._xlws.SORT(_xlfn.UNIQUE(_xlfn._xlws.FILTER([0]!Category,[0]!OrderID=Table3[[#This Row],[OrderID]]))))</f>
        <v>Dessert+Hot Meal</v>
      </c>
      <c r="L94" s="39">
        <f>SUMIFS([0]!FoodCost,[0]!OrderID,Table3[[#This Row],[OrderID]])</f>
        <v>220.12</v>
      </c>
      <c r="M94" s="39">
        <f>Table3[[#This Row],[LineAmount]]-Table3[[#This Row],[TotalCost]]</f>
        <v>178.68119999999999</v>
      </c>
      <c r="N94" t="str">
        <f>IF(AND(COUNTIFS([0]!OrderID,Table3[[#This Row],[OrderID]],[0]!Category,"hot meal")&gt;0,COUNTIFS([0]!OrderID,Table3[[#This Row],[OrderID]],[0]!Category,"beverage")&gt;0),"combo","single")</f>
        <v>single</v>
      </c>
      <c r="O94" t="str">
        <f>IF((Table3[[#This Row],[LineAmount]]/(1-Table3[[#This Row],[DiscountPct]]))*Table3[[#This Row],[DiscountPct]]&gt;40,"High Disc","OK")</f>
        <v>OK</v>
      </c>
    </row>
    <row r="95" spans="1:15" x14ac:dyDescent="0.3">
      <c r="A95" t="s">
        <v>131</v>
      </c>
      <c r="B95" s="7">
        <v>45842.262708333343</v>
      </c>
      <c r="C95" t="s">
        <v>27</v>
      </c>
      <c r="D95" t="s">
        <v>28</v>
      </c>
      <c r="E95" t="s">
        <v>17</v>
      </c>
      <c r="F95" t="s">
        <v>12</v>
      </c>
      <c r="G95">
        <v>0.12</v>
      </c>
      <c r="H95" s="3">
        <f t="shared" si="1"/>
        <v>45842</v>
      </c>
      <c r="I95" t="str">
        <f>IF(COUNTIFS([0]!OrderID,Table3[[#This Row],[OrderID]],[0]!Category,"beverage")&gt;0,"yes","no")</f>
        <v>yes</v>
      </c>
      <c r="J95">
        <f>SUMIFS([0]!LineNetAmount,[0]!OrderID,Table3[[#This Row],[OrderID]])</f>
        <v>171.96960000000001</v>
      </c>
      <c r="K95" t="str" cm="1">
        <f t="array" ref="K95">_xlfn.TEXTJOIN("+",,_xlfn._xlws.SORT(_xlfn.UNIQUE(_xlfn._xlws.FILTER([0]!Category,[0]!OrderID=Table3[[#This Row],[OrderID]]))))</f>
        <v>Beverage+Dessert+Snack</v>
      </c>
      <c r="L95" s="39">
        <f>SUMIFS([0]!FoodCost,[0]!OrderID,Table3[[#This Row],[OrderID]])</f>
        <v>85.47</v>
      </c>
      <c r="M95" s="39">
        <f>Table3[[#This Row],[LineAmount]]-Table3[[#This Row],[TotalCost]]</f>
        <v>86.499600000000015</v>
      </c>
      <c r="N95" t="str">
        <f>IF(AND(COUNTIFS([0]!OrderID,Table3[[#This Row],[OrderID]],[0]!Category,"hot meal")&gt;0,COUNTIFS([0]!OrderID,Table3[[#This Row],[OrderID]],[0]!Category,"beverage")&gt;0),"combo","single")</f>
        <v>single</v>
      </c>
      <c r="O95" t="str">
        <f>IF((Table3[[#This Row],[LineAmount]]/(1-Table3[[#This Row],[DiscountPct]]))*Table3[[#This Row],[DiscountPct]]&gt;40,"High Disc","OK")</f>
        <v>OK</v>
      </c>
    </row>
    <row r="96" spans="1:15" x14ac:dyDescent="0.3">
      <c r="A96" t="s">
        <v>132</v>
      </c>
      <c r="B96" s="7">
        <v>45862.410416666673</v>
      </c>
      <c r="C96" t="s">
        <v>27</v>
      </c>
      <c r="D96" t="s">
        <v>16</v>
      </c>
      <c r="E96" t="s">
        <v>11</v>
      </c>
      <c r="F96" t="s">
        <v>12</v>
      </c>
      <c r="G96">
        <v>0.03</v>
      </c>
      <c r="H96" s="3">
        <f t="shared" si="1"/>
        <v>45862</v>
      </c>
      <c r="I96" t="str">
        <f>IF(COUNTIFS([0]!OrderID,Table3[[#This Row],[OrderID]],[0]!Category,"beverage")&gt;0,"yes","no")</f>
        <v>no</v>
      </c>
      <c r="J96">
        <f>SUMIFS([0]!LineNetAmount,[0]!OrderID,Table3[[#This Row],[OrderID]])</f>
        <v>739.84810000000004</v>
      </c>
      <c r="K96" t="str" cm="1">
        <f t="array" ref="K96">_xlfn.TEXTJOIN("+",,_xlfn._xlws.SORT(_xlfn.UNIQUE(_xlfn._xlws.FILTER([0]!Category,[0]!OrderID=Table3[[#This Row],[OrderID]]))))</f>
        <v>Hot Meal+Snack</v>
      </c>
      <c r="L96" s="39">
        <f>SUMIFS([0]!FoodCost,[0]!OrderID,Table3[[#This Row],[OrderID]])</f>
        <v>319.67999999999995</v>
      </c>
      <c r="M96" s="39">
        <f>Table3[[#This Row],[LineAmount]]-Table3[[#This Row],[TotalCost]]</f>
        <v>420.16810000000009</v>
      </c>
      <c r="N96" t="str">
        <f>IF(AND(COUNTIFS([0]!OrderID,Table3[[#This Row],[OrderID]],[0]!Category,"hot meal")&gt;0,COUNTIFS([0]!OrderID,Table3[[#This Row],[OrderID]],[0]!Category,"beverage")&gt;0),"combo","single")</f>
        <v>single</v>
      </c>
      <c r="O96" t="str">
        <f>IF((Table3[[#This Row],[LineAmount]]/(1-Table3[[#This Row],[DiscountPct]]))*Table3[[#This Row],[DiscountPct]]&gt;40,"High Disc","OK")</f>
        <v>OK</v>
      </c>
    </row>
    <row r="97" spans="1:15" x14ac:dyDescent="0.3">
      <c r="A97" t="s">
        <v>133</v>
      </c>
      <c r="B97" s="7">
        <v>45894.006006944437</v>
      </c>
      <c r="C97" t="s">
        <v>27</v>
      </c>
      <c r="D97" t="s">
        <v>16</v>
      </c>
      <c r="E97" t="s">
        <v>11</v>
      </c>
      <c r="F97" t="s">
        <v>12</v>
      </c>
      <c r="G97">
        <v>0.05</v>
      </c>
      <c r="H97" s="3">
        <f t="shared" si="1"/>
        <v>45894</v>
      </c>
      <c r="I97" t="str">
        <f>IF(COUNTIFS([0]!OrderID,Table3[[#This Row],[OrderID]],[0]!Category,"beverage")&gt;0,"yes","no")</f>
        <v>no</v>
      </c>
      <c r="J97">
        <f>SUMIFS([0]!LineNetAmount,[0]!OrderID,Table3[[#This Row],[OrderID]])</f>
        <v>825.56899999999996</v>
      </c>
      <c r="K97" t="str" cm="1">
        <f t="array" ref="K97">_xlfn.TEXTJOIN("+",,_xlfn._xlws.SORT(_xlfn.UNIQUE(_xlfn._xlws.FILTER([0]!Category,[0]!OrderID=Table3[[#This Row],[OrderID]]))))</f>
        <v>Dessert+Hot Meal</v>
      </c>
      <c r="L97" s="39">
        <f>SUMIFS([0]!FoodCost,[0]!OrderID,Table3[[#This Row],[OrderID]])</f>
        <v>396.42</v>
      </c>
      <c r="M97" s="39">
        <f>Table3[[#This Row],[LineAmount]]-Table3[[#This Row],[TotalCost]]</f>
        <v>429.14899999999994</v>
      </c>
      <c r="N97" t="str">
        <f>IF(AND(COUNTIFS([0]!OrderID,Table3[[#This Row],[OrderID]],[0]!Category,"hot meal")&gt;0,COUNTIFS([0]!OrderID,Table3[[#This Row],[OrderID]],[0]!Category,"beverage")&gt;0),"combo","single")</f>
        <v>single</v>
      </c>
      <c r="O97" t="str">
        <f>IF((Table3[[#This Row],[LineAmount]]/(1-Table3[[#This Row],[DiscountPct]]))*Table3[[#This Row],[DiscountPct]]&gt;40,"High Disc","OK")</f>
        <v>High Disc</v>
      </c>
    </row>
    <row r="98" spans="1:15" x14ac:dyDescent="0.3">
      <c r="A98" t="s">
        <v>134</v>
      </c>
      <c r="B98" s="7">
        <v>45875.066168981481</v>
      </c>
      <c r="C98" t="s">
        <v>27</v>
      </c>
      <c r="D98" t="s">
        <v>10</v>
      </c>
      <c r="E98" t="s">
        <v>11</v>
      </c>
      <c r="F98" t="s">
        <v>12</v>
      </c>
      <c r="G98">
        <v>0.09</v>
      </c>
      <c r="H98" s="3">
        <f t="shared" si="1"/>
        <v>45875</v>
      </c>
      <c r="I98" t="str">
        <f>IF(COUNTIFS([0]!OrderID,Table3[[#This Row],[OrderID]],[0]!Category,"beverage")&gt;0,"yes","no")</f>
        <v>yes</v>
      </c>
      <c r="J98">
        <f>SUMIFS([0]!LineNetAmount,[0]!OrderID,Table3[[#This Row],[OrderID]])</f>
        <v>51.742600000000003</v>
      </c>
      <c r="K98" t="str" cm="1">
        <f t="array" ref="K98">_xlfn.TEXTJOIN("+",,_xlfn._xlws.SORT(_xlfn.UNIQUE(_xlfn._xlws.FILTER([0]!Category,[0]!OrderID=Table3[[#This Row],[OrderID]]))))</f>
        <v>Beverage</v>
      </c>
      <c r="L98" s="39">
        <f>SUMIFS([0]!FoodCost,[0]!OrderID,Table3[[#This Row],[OrderID]])</f>
        <v>27.78</v>
      </c>
      <c r="M98" s="39">
        <f>Table3[[#This Row],[LineAmount]]-Table3[[#This Row],[TotalCost]]</f>
        <v>23.962600000000002</v>
      </c>
      <c r="N98" t="str">
        <f>IF(AND(COUNTIFS([0]!OrderID,Table3[[#This Row],[OrderID]],[0]!Category,"hot meal")&gt;0,COUNTIFS([0]!OrderID,Table3[[#This Row],[OrderID]],[0]!Category,"beverage")&gt;0),"combo","single")</f>
        <v>single</v>
      </c>
      <c r="O98" t="str">
        <f>IF((Table3[[#This Row],[LineAmount]]/(1-Table3[[#This Row],[DiscountPct]]))*Table3[[#This Row],[DiscountPct]]&gt;40,"High Disc","OK")</f>
        <v>OK</v>
      </c>
    </row>
    <row r="99" spans="1:15" x14ac:dyDescent="0.3">
      <c r="A99" t="s">
        <v>135</v>
      </c>
      <c r="B99" s="7">
        <v>45855.150081018517</v>
      </c>
      <c r="C99" t="s">
        <v>15</v>
      </c>
      <c r="D99" t="s">
        <v>28</v>
      </c>
      <c r="E99" t="s">
        <v>11</v>
      </c>
      <c r="F99" t="s">
        <v>12</v>
      </c>
      <c r="G99">
        <v>0.01</v>
      </c>
      <c r="H99" s="3">
        <f t="shared" si="1"/>
        <v>45855</v>
      </c>
      <c r="I99" t="str">
        <f>IF(COUNTIFS([0]!OrderID,Table3[[#This Row],[OrderID]],[0]!Category,"beverage")&gt;0,"yes","no")</f>
        <v>yes</v>
      </c>
      <c r="J99">
        <f>SUMIFS([0]!LineNetAmount,[0]!OrderID,Table3[[#This Row],[OrderID]])</f>
        <v>182.3877</v>
      </c>
      <c r="K99" t="str" cm="1">
        <f t="array" ref="K99">_xlfn.TEXTJOIN("+",,_xlfn._xlws.SORT(_xlfn.UNIQUE(_xlfn._xlws.FILTER([0]!Category,[0]!OrderID=Table3[[#This Row],[OrderID]]))))</f>
        <v>Beverage</v>
      </c>
      <c r="L99" s="39">
        <f>SUMIFS([0]!FoodCost,[0]!OrderID,Table3[[#This Row],[OrderID]])</f>
        <v>77.19</v>
      </c>
      <c r="M99" s="39">
        <f>Table3[[#This Row],[LineAmount]]-Table3[[#This Row],[TotalCost]]</f>
        <v>105.1977</v>
      </c>
      <c r="N99" t="str">
        <f>IF(AND(COUNTIFS([0]!OrderID,Table3[[#This Row],[OrderID]],[0]!Category,"hot meal")&gt;0,COUNTIFS([0]!OrderID,Table3[[#This Row],[OrderID]],[0]!Category,"beverage")&gt;0),"combo","single")</f>
        <v>single</v>
      </c>
      <c r="O99" t="str">
        <f>IF((Table3[[#This Row],[LineAmount]]/(1-Table3[[#This Row],[DiscountPct]]))*Table3[[#This Row],[DiscountPct]]&gt;40,"High Disc","OK")</f>
        <v>OK</v>
      </c>
    </row>
    <row r="100" spans="1:15" x14ac:dyDescent="0.3">
      <c r="A100" t="s">
        <v>136</v>
      </c>
      <c r="B100" s="7">
        <v>45869.538043981483</v>
      </c>
      <c r="C100" t="s">
        <v>9</v>
      </c>
      <c r="D100" t="s">
        <v>10</v>
      </c>
      <c r="E100" t="s">
        <v>21</v>
      </c>
      <c r="F100" t="s">
        <v>22</v>
      </c>
      <c r="G100">
        <v>7.0000000000000007E-2</v>
      </c>
      <c r="H100" s="3">
        <f t="shared" si="1"/>
        <v>45869</v>
      </c>
      <c r="I100" t="str">
        <f>IF(COUNTIFS([0]!OrderID,Table3[[#This Row],[OrderID]],[0]!Category,"beverage")&gt;0,"yes","no")</f>
        <v>no</v>
      </c>
      <c r="J100">
        <f>SUMIFS([0]!LineNetAmount,[0]!OrderID,Table3[[#This Row],[OrderID]])</f>
        <v>242.30219999999997</v>
      </c>
      <c r="K100" t="str" cm="1">
        <f t="array" ref="K100">_xlfn.TEXTJOIN("+",,_xlfn._xlws.SORT(_xlfn.UNIQUE(_xlfn._xlws.FILTER([0]!Category,[0]!OrderID=Table3[[#This Row],[OrderID]]))))</f>
        <v>Dessert+Hot Meal</v>
      </c>
      <c r="L100" s="39">
        <f>SUMIFS([0]!FoodCost,[0]!OrderID,Table3[[#This Row],[OrderID]])</f>
        <v>139.19999999999999</v>
      </c>
      <c r="M100" s="39">
        <f>Table3[[#This Row],[LineAmount]]-Table3[[#This Row],[TotalCost]]</f>
        <v>103.10219999999998</v>
      </c>
      <c r="N100" t="str">
        <f>IF(AND(COUNTIFS([0]!OrderID,Table3[[#This Row],[OrderID]],[0]!Category,"hot meal")&gt;0,COUNTIFS([0]!OrderID,Table3[[#This Row],[OrderID]],[0]!Category,"beverage")&gt;0),"combo","single")</f>
        <v>single</v>
      </c>
      <c r="O100" t="str">
        <f>IF((Table3[[#This Row],[LineAmount]]/(1-Table3[[#This Row],[DiscountPct]]))*Table3[[#This Row],[DiscountPct]]&gt;40,"High Disc","OK")</f>
        <v>OK</v>
      </c>
    </row>
    <row r="101" spans="1:15" x14ac:dyDescent="0.3">
      <c r="A101" t="s">
        <v>137</v>
      </c>
      <c r="B101" s="7">
        <v>45858.505902777782</v>
      </c>
      <c r="C101" t="s">
        <v>27</v>
      </c>
      <c r="D101" t="s">
        <v>10</v>
      </c>
      <c r="E101" t="s">
        <v>11</v>
      </c>
      <c r="F101" t="s">
        <v>22</v>
      </c>
      <c r="G101">
        <v>0.11</v>
      </c>
      <c r="H101" s="3">
        <f t="shared" si="1"/>
        <v>45858</v>
      </c>
      <c r="I101" t="str">
        <f>IF(COUNTIFS([0]!OrderID,Table3[[#This Row],[OrderID]],[0]!Category,"beverage")&gt;0,"yes","no")</f>
        <v>no</v>
      </c>
      <c r="J101">
        <f>SUMIFS([0]!LineNetAmount,[0]!OrderID,Table3[[#This Row],[OrderID]])</f>
        <v>317.98810000000003</v>
      </c>
      <c r="K101" t="str" cm="1">
        <f t="array" ref="K101">_xlfn.TEXTJOIN("+",,_xlfn._xlws.SORT(_xlfn.UNIQUE(_xlfn._xlws.FILTER([0]!Category,[0]!OrderID=Table3[[#This Row],[OrderID]]))))</f>
        <v>Hot Meal+Snack</v>
      </c>
      <c r="L101" s="39">
        <f>SUMIFS([0]!FoodCost,[0]!OrderID,Table3[[#This Row],[OrderID]])</f>
        <v>166.45999999999998</v>
      </c>
      <c r="M101" s="39">
        <f>Table3[[#This Row],[LineAmount]]-Table3[[#This Row],[TotalCost]]</f>
        <v>151.52810000000005</v>
      </c>
      <c r="N101" t="str">
        <f>IF(AND(COUNTIFS([0]!OrderID,Table3[[#This Row],[OrderID]],[0]!Category,"hot meal")&gt;0,COUNTIFS([0]!OrderID,Table3[[#This Row],[OrderID]],[0]!Category,"beverage")&gt;0),"combo","single")</f>
        <v>single</v>
      </c>
      <c r="O101" t="str">
        <f>IF((Table3[[#This Row],[LineAmount]]/(1-Table3[[#This Row],[DiscountPct]]))*Table3[[#This Row],[DiscountPct]]&gt;40,"High Disc","OK")</f>
        <v>OK</v>
      </c>
    </row>
    <row r="102" spans="1:15" x14ac:dyDescent="0.3">
      <c r="A102" t="s">
        <v>138</v>
      </c>
      <c r="B102" s="7">
        <v>45849.143634259257</v>
      </c>
      <c r="C102" t="s">
        <v>9</v>
      </c>
      <c r="D102" t="s">
        <v>16</v>
      </c>
      <c r="E102" t="s">
        <v>11</v>
      </c>
      <c r="F102" t="s">
        <v>12</v>
      </c>
      <c r="G102">
        <v>0</v>
      </c>
      <c r="H102" s="3">
        <f t="shared" si="1"/>
        <v>45849</v>
      </c>
      <c r="I102" t="str">
        <f>IF(COUNTIFS([0]!OrderID,Table3[[#This Row],[OrderID]],[0]!Category,"beverage")&gt;0,"yes","no")</f>
        <v>yes</v>
      </c>
      <c r="J102">
        <f>SUMIFS([0]!LineNetAmount,[0]!OrderID,Table3[[#This Row],[OrderID]])</f>
        <v>140.83000000000001</v>
      </c>
      <c r="K102" t="str" cm="1">
        <f t="array" ref="K102">_xlfn.TEXTJOIN("+",,_xlfn._xlws.SORT(_xlfn.UNIQUE(_xlfn._xlws.FILTER([0]!Category,[0]!OrderID=Table3[[#This Row],[OrderID]]))))</f>
        <v>Beverage+Snack</v>
      </c>
      <c r="L102" s="39">
        <f>SUMIFS([0]!FoodCost,[0]!OrderID,Table3[[#This Row],[OrderID]])</f>
        <v>65.5</v>
      </c>
      <c r="M102" s="39">
        <f>Table3[[#This Row],[LineAmount]]-Table3[[#This Row],[TotalCost]]</f>
        <v>75.330000000000013</v>
      </c>
      <c r="N102" t="str">
        <f>IF(AND(COUNTIFS([0]!OrderID,Table3[[#This Row],[OrderID]],[0]!Category,"hot meal")&gt;0,COUNTIFS([0]!OrderID,Table3[[#This Row],[OrderID]],[0]!Category,"beverage")&gt;0),"combo","single")</f>
        <v>single</v>
      </c>
      <c r="O102" t="str">
        <f>IF((Table3[[#This Row],[LineAmount]]/(1-Table3[[#This Row],[DiscountPct]]))*Table3[[#This Row],[DiscountPct]]&gt;40,"High Disc","OK")</f>
        <v>OK</v>
      </c>
    </row>
    <row r="103" spans="1:15" x14ac:dyDescent="0.3">
      <c r="A103" t="s">
        <v>139</v>
      </c>
      <c r="B103" s="7">
        <v>45894.196597222217</v>
      </c>
      <c r="C103" t="s">
        <v>27</v>
      </c>
      <c r="D103" t="s">
        <v>16</v>
      </c>
      <c r="E103" t="s">
        <v>11</v>
      </c>
      <c r="F103" t="s">
        <v>12</v>
      </c>
      <c r="G103">
        <v>7.0000000000000007E-2</v>
      </c>
      <c r="H103" s="3">
        <f t="shared" si="1"/>
        <v>45894</v>
      </c>
      <c r="I103" t="str">
        <f>IF(COUNTIFS([0]!OrderID,Table3[[#This Row],[OrderID]],[0]!Category,"beverage")&gt;0,"yes","no")</f>
        <v>no</v>
      </c>
      <c r="J103">
        <f>SUMIFS([0]!LineNetAmount,[0]!OrderID,Table3[[#This Row],[OrderID]])</f>
        <v>70.791600000000003</v>
      </c>
      <c r="K103" t="str" cm="1">
        <f t="array" ref="K103">_xlfn.TEXTJOIN("+",,_xlfn._xlws.SORT(_xlfn.UNIQUE(_xlfn._xlws.FILTER([0]!Category,[0]!OrderID=Table3[[#This Row],[OrderID]]))))</f>
        <v>Snack</v>
      </c>
      <c r="L103" s="39">
        <f>SUMIFS([0]!FoodCost,[0]!OrderID,Table3[[#This Row],[OrderID]])</f>
        <v>39.1</v>
      </c>
      <c r="M103" s="39">
        <f>Table3[[#This Row],[LineAmount]]-Table3[[#This Row],[TotalCost]]</f>
        <v>31.691600000000001</v>
      </c>
      <c r="N103" t="str">
        <f>IF(AND(COUNTIFS([0]!OrderID,Table3[[#This Row],[OrderID]],[0]!Category,"hot meal")&gt;0,COUNTIFS([0]!OrderID,Table3[[#This Row],[OrderID]],[0]!Category,"beverage")&gt;0),"combo","single")</f>
        <v>single</v>
      </c>
      <c r="O103" t="str">
        <f>IF((Table3[[#This Row],[LineAmount]]/(1-Table3[[#This Row],[DiscountPct]]))*Table3[[#This Row],[DiscountPct]]&gt;40,"High Disc","OK")</f>
        <v>OK</v>
      </c>
    </row>
    <row r="104" spans="1:15" x14ac:dyDescent="0.3">
      <c r="A104" t="s">
        <v>140</v>
      </c>
      <c r="B104" s="7">
        <v>45875.228854166657</v>
      </c>
      <c r="C104" t="s">
        <v>27</v>
      </c>
      <c r="D104" t="s">
        <v>10</v>
      </c>
      <c r="E104" t="s">
        <v>11</v>
      </c>
      <c r="F104" t="s">
        <v>12</v>
      </c>
      <c r="G104">
        <v>7.0000000000000007E-2</v>
      </c>
      <c r="H104" s="3">
        <f t="shared" si="1"/>
        <v>45875</v>
      </c>
      <c r="I104" t="str">
        <f>IF(COUNTIFS([0]!OrderID,Table3[[#This Row],[OrderID]],[0]!Category,"beverage")&gt;0,"yes","no")</f>
        <v>no</v>
      </c>
      <c r="J104">
        <f>SUMIFS([0]!LineNetAmount,[0]!OrderID,Table3[[#This Row],[OrderID]])</f>
        <v>131.20439999999999</v>
      </c>
      <c r="K104" t="str" cm="1">
        <f t="array" ref="K104">_xlfn.TEXTJOIN("+",,_xlfn._xlws.SORT(_xlfn.UNIQUE(_xlfn._xlws.FILTER([0]!Category,[0]!OrderID=Table3[[#This Row],[OrderID]]))))</f>
        <v>Snack</v>
      </c>
      <c r="L104" s="39">
        <f>SUMIFS([0]!FoodCost,[0]!OrderID,Table3[[#This Row],[OrderID]])</f>
        <v>71.62</v>
      </c>
      <c r="M104" s="39">
        <f>Table3[[#This Row],[LineAmount]]-Table3[[#This Row],[TotalCost]]</f>
        <v>59.584399999999988</v>
      </c>
      <c r="N104" t="str">
        <f>IF(AND(COUNTIFS([0]!OrderID,Table3[[#This Row],[OrderID]],[0]!Category,"hot meal")&gt;0,COUNTIFS([0]!OrderID,Table3[[#This Row],[OrderID]],[0]!Category,"beverage")&gt;0),"combo","single")</f>
        <v>single</v>
      </c>
      <c r="O104" t="str">
        <f>IF((Table3[[#This Row],[LineAmount]]/(1-Table3[[#This Row],[DiscountPct]]))*Table3[[#This Row],[DiscountPct]]&gt;40,"High Disc","OK")</f>
        <v>OK</v>
      </c>
    </row>
    <row r="105" spans="1:15" x14ac:dyDescent="0.3">
      <c r="A105" t="s">
        <v>141</v>
      </c>
      <c r="B105" s="7">
        <v>45840.478391203702</v>
      </c>
      <c r="C105" t="s">
        <v>15</v>
      </c>
      <c r="D105" t="s">
        <v>16</v>
      </c>
      <c r="E105" t="s">
        <v>17</v>
      </c>
      <c r="F105" t="s">
        <v>22</v>
      </c>
      <c r="G105">
        <v>0.09</v>
      </c>
      <c r="H105" s="3">
        <f t="shared" si="1"/>
        <v>45840</v>
      </c>
      <c r="I105" t="str">
        <f>IF(COUNTIFS([0]!OrderID,Table3[[#This Row],[OrderID]],[0]!Category,"beverage")&gt;0,"yes","no")</f>
        <v>no</v>
      </c>
      <c r="J105">
        <f>SUMIFS([0]!LineNetAmount,[0]!OrderID,Table3[[#This Row],[OrderID]])</f>
        <v>49.322000000000003</v>
      </c>
      <c r="K105" t="str" cm="1">
        <f t="array" ref="K105">_xlfn.TEXTJOIN("+",,_xlfn._xlws.SORT(_xlfn.UNIQUE(_xlfn._xlws.FILTER([0]!Category,[0]!OrderID=Table3[[#This Row],[OrderID]]))))</f>
        <v>Dessert</v>
      </c>
      <c r="L105" s="39">
        <f>SUMIFS([0]!FoodCost,[0]!OrderID,Table3[[#This Row],[OrderID]])</f>
        <v>21.95</v>
      </c>
      <c r="M105" s="39">
        <f>Table3[[#This Row],[LineAmount]]-Table3[[#This Row],[TotalCost]]</f>
        <v>27.372000000000003</v>
      </c>
      <c r="N105" t="str">
        <f>IF(AND(COUNTIFS([0]!OrderID,Table3[[#This Row],[OrderID]],[0]!Category,"hot meal")&gt;0,COUNTIFS([0]!OrderID,Table3[[#This Row],[OrderID]],[0]!Category,"beverage")&gt;0),"combo","single")</f>
        <v>single</v>
      </c>
      <c r="O105" t="str">
        <f>IF((Table3[[#This Row],[LineAmount]]/(1-Table3[[#This Row],[DiscountPct]]))*Table3[[#This Row],[DiscountPct]]&gt;40,"High Disc","OK")</f>
        <v>OK</v>
      </c>
    </row>
    <row r="106" spans="1:15" x14ac:dyDescent="0.3">
      <c r="A106" t="s">
        <v>142</v>
      </c>
      <c r="B106" s="7">
        <v>45874.414965277778</v>
      </c>
      <c r="C106" t="s">
        <v>9</v>
      </c>
      <c r="D106" t="s">
        <v>16</v>
      </c>
      <c r="E106" t="s">
        <v>11</v>
      </c>
      <c r="F106" t="s">
        <v>12</v>
      </c>
      <c r="G106">
        <v>0.01</v>
      </c>
      <c r="H106" s="3">
        <f t="shared" si="1"/>
        <v>45874</v>
      </c>
      <c r="I106" t="str">
        <f>IF(COUNTIFS([0]!OrderID,Table3[[#This Row],[OrderID]],[0]!Category,"beverage")&gt;0,"yes","no")</f>
        <v>yes</v>
      </c>
      <c r="J106">
        <f>SUMIFS([0]!LineNetAmount,[0]!OrderID,Table3[[#This Row],[OrderID]])</f>
        <v>30.0366</v>
      </c>
      <c r="K106" t="str" cm="1">
        <f t="array" ref="K106">_xlfn.TEXTJOIN("+",,_xlfn._xlws.SORT(_xlfn.UNIQUE(_xlfn._xlws.FILTER([0]!Category,[0]!OrderID=Table3[[#This Row],[OrderID]]))))</f>
        <v>Beverage</v>
      </c>
      <c r="L106" s="39">
        <f>SUMIFS([0]!FoodCost,[0]!OrderID,Table3[[#This Row],[OrderID]])</f>
        <v>14.18</v>
      </c>
      <c r="M106" s="39">
        <f>Table3[[#This Row],[LineAmount]]-Table3[[#This Row],[TotalCost]]</f>
        <v>15.8566</v>
      </c>
      <c r="N106" t="str">
        <f>IF(AND(COUNTIFS([0]!OrderID,Table3[[#This Row],[OrderID]],[0]!Category,"hot meal")&gt;0,COUNTIFS([0]!OrderID,Table3[[#This Row],[OrderID]],[0]!Category,"beverage")&gt;0),"combo","single")</f>
        <v>single</v>
      </c>
      <c r="O106" t="str">
        <f>IF((Table3[[#This Row],[LineAmount]]/(1-Table3[[#This Row],[DiscountPct]]))*Table3[[#This Row],[DiscountPct]]&gt;40,"High Disc","OK")</f>
        <v>OK</v>
      </c>
    </row>
    <row r="107" spans="1:15" x14ac:dyDescent="0.3">
      <c r="A107" t="s">
        <v>143</v>
      </c>
      <c r="B107" s="7">
        <v>45881.531597222223</v>
      </c>
      <c r="C107" t="s">
        <v>27</v>
      </c>
      <c r="D107" t="s">
        <v>10</v>
      </c>
      <c r="E107" t="s">
        <v>11</v>
      </c>
      <c r="F107" t="s">
        <v>22</v>
      </c>
      <c r="G107">
        <v>0.01</v>
      </c>
      <c r="H107" s="3">
        <f t="shared" si="1"/>
        <v>45881</v>
      </c>
      <c r="I107" t="str">
        <f>IF(COUNTIFS([0]!OrderID,Table3[[#This Row],[OrderID]],[0]!Category,"beverage")&gt;0,"yes","no")</f>
        <v>yes</v>
      </c>
      <c r="J107">
        <f>SUMIFS([0]!LineNetAmount,[0]!OrderID,Table3[[#This Row],[OrderID]])</f>
        <v>423.67050000000006</v>
      </c>
      <c r="K107" t="str" cm="1">
        <f t="array" ref="K107">_xlfn.TEXTJOIN("+",,_xlfn._xlws.SORT(_xlfn.UNIQUE(_xlfn._xlws.FILTER([0]!Category,[0]!OrderID=Table3[[#This Row],[OrderID]]))))</f>
        <v>Beverage+Hot Meal+Snack</v>
      </c>
      <c r="L107" s="39">
        <f>SUMIFS([0]!FoodCost,[0]!OrderID,Table3[[#This Row],[OrderID]])</f>
        <v>207.67000000000002</v>
      </c>
      <c r="M107" s="39">
        <f>Table3[[#This Row],[LineAmount]]-Table3[[#This Row],[TotalCost]]</f>
        <v>216.00050000000005</v>
      </c>
      <c r="N107" t="str">
        <f>IF(AND(COUNTIFS([0]!OrderID,Table3[[#This Row],[OrderID]],[0]!Category,"hot meal")&gt;0,COUNTIFS([0]!OrderID,Table3[[#This Row],[OrderID]],[0]!Category,"beverage")&gt;0),"combo","single")</f>
        <v>combo</v>
      </c>
      <c r="O107" t="str">
        <f>IF((Table3[[#This Row],[LineAmount]]/(1-Table3[[#This Row],[DiscountPct]]))*Table3[[#This Row],[DiscountPct]]&gt;40,"High Disc","OK")</f>
        <v>OK</v>
      </c>
    </row>
    <row r="108" spans="1:15" x14ac:dyDescent="0.3">
      <c r="A108" t="s">
        <v>144</v>
      </c>
      <c r="B108" s="7">
        <v>45891.501400462963</v>
      </c>
      <c r="C108" t="s">
        <v>15</v>
      </c>
      <c r="D108" t="s">
        <v>16</v>
      </c>
      <c r="E108" t="s">
        <v>21</v>
      </c>
      <c r="F108" t="s">
        <v>22</v>
      </c>
      <c r="G108">
        <v>0.08</v>
      </c>
      <c r="H108" s="3">
        <f t="shared" si="1"/>
        <v>45891</v>
      </c>
      <c r="I108" t="str">
        <f>IF(COUNTIFS([0]!OrderID,Table3[[#This Row],[OrderID]],[0]!Category,"beverage")&gt;0,"yes","no")</f>
        <v>yes</v>
      </c>
      <c r="J108">
        <f>SUMIFS([0]!LineNetAmount,[0]!OrderID,Table3[[#This Row],[OrderID]])</f>
        <v>57.426400000000001</v>
      </c>
      <c r="K108" t="str" cm="1">
        <f t="array" ref="K108">_xlfn.TEXTJOIN("+",,_xlfn._xlws.SORT(_xlfn.UNIQUE(_xlfn._xlws.FILTER([0]!Category,[0]!OrderID=Table3[[#This Row],[OrderID]]))))</f>
        <v>Beverage</v>
      </c>
      <c r="L108" s="39">
        <f>SUMIFS([0]!FoodCost,[0]!OrderID,Table3[[#This Row],[OrderID]])</f>
        <v>25.380000000000003</v>
      </c>
      <c r="M108" s="39">
        <f>Table3[[#This Row],[LineAmount]]-Table3[[#This Row],[TotalCost]]</f>
        <v>32.046399999999998</v>
      </c>
      <c r="N108" t="str">
        <f>IF(AND(COUNTIFS([0]!OrderID,Table3[[#This Row],[OrderID]],[0]!Category,"hot meal")&gt;0,COUNTIFS([0]!OrderID,Table3[[#This Row],[OrderID]],[0]!Category,"beverage")&gt;0),"combo","single")</f>
        <v>single</v>
      </c>
      <c r="O108" t="str">
        <f>IF((Table3[[#This Row],[LineAmount]]/(1-Table3[[#This Row],[DiscountPct]]))*Table3[[#This Row],[DiscountPct]]&gt;40,"High Disc","OK")</f>
        <v>OK</v>
      </c>
    </row>
    <row r="109" spans="1:15" x14ac:dyDescent="0.3">
      <c r="A109" t="s">
        <v>145</v>
      </c>
      <c r="B109" s="7">
        <v>45870.542662037027</v>
      </c>
      <c r="C109" t="s">
        <v>27</v>
      </c>
      <c r="D109" t="s">
        <v>28</v>
      </c>
      <c r="E109" t="s">
        <v>21</v>
      </c>
      <c r="F109" t="s">
        <v>22</v>
      </c>
      <c r="G109">
        <v>7.0000000000000007E-2</v>
      </c>
      <c r="H109" s="3">
        <f t="shared" si="1"/>
        <v>45870</v>
      </c>
      <c r="I109" t="str">
        <f>IF(COUNTIFS([0]!OrderID,Table3[[#This Row],[OrderID]],[0]!Category,"beverage")&gt;0,"yes","no")</f>
        <v>yes</v>
      </c>
      <c r="J109">
        <f>SUMIFS([0]!LineNetAmount,[0]!OrderID,Table3[[#This Row],[OrderID]])</f>
        <v>200.38709999999998</v>
      </c>
      <c r="K109" t="str" cm="1">
        <f t="array" ref="K109">_xlfn.TEXTJOIN("+",,_xlfn._xlws.SORT(_xlfn.UNIQUE(_xlfn._xlws.FILTER([0]!Category,[0]!OrderID=Table3[[#This Row],[OrderID]]))))</f>
        <v>Beverage+Dessert+Snack</v>
      </c>
      <c r="L109" s="39">
        <f>SUMIFS([0]!FoodCost,[0]!OrderID,Table3[[#This Row],[OrderID]])</f>
        <v>103.44000000000001</v>
      </c>
      <c r="M109" s="39">
        <f>Table3[[#This Row],[LineAmount]]-Table3[[#This Row],[TotalCost]]</f>
        <v>96.947099999999963</v>
      </c>
      <c r="N109" t="str">
        <f>IF(AND(COUNTIFS([0]!OrderID,Table3[[#This Row],[OrderID]],[0]!Category,"hot meal")&gt;0,COUNTIFS([0]!OrderID,Table3[[#This Row],[OrderID]],[0]!Category,"beverage")&gt;0),"combo","single")</f>
        <v>single</v>
      </c>
      <c r="O109" t="str">
        <f>IF((Table3[[#This Row],[LineAmount]]/(1-Table3[[#This Row],[DiscountPct]]))*Table3[[#This Row],[DiscountPct]]&gt;40,"High Disc","OK")</f>
        <v>OK</v>
      </c>
    </row>
    <row r="110" spans="1:15" x14ac:dyDescent="0.3">
      <c r="A110" t="s">
        <v>146</v>
      </c>
      <c r="B110" s="7">
        <v>45862.926782407398</v>
      </c>
      <c r="C110" t="s">
        <v>15</v>
      </c>
      <c r="D110" t="s">
        <v>10</v>
      </c>
      <c r="E110" t="s">
        <v>11</v>
      </c>
      <c r="F110" t="s">
        <v>18</v>
      </c>
      <c r="G110">
        <v>7.0000000000000007E-2</v>
      </c>
      <c r="H110" s="3">
        <f t="shared" si="1"/>
        <v>45862</v>
      </c>
      <c r="I110" t="str">
        <f>IF(COUNTIFS([0]!OrderID,Table3[[#This Row],[OrderID]],[0]!Category,"beverage")&gt;0,"yes","no")</f>
        <v>yes</v>
      </c>
      <c r="J110">
        <f>SUMIFS([0]!LineNetAmount,[0]!OrderID,Table3[[#This Row],[OrderID]])</f>
        <v>56.432399999999994</v>
      </c>
      <c r="K110" t="str" cm="1">
        <f t="array" ref="K110">_xlfn.TEXTJOIN("+",,_xlfn._xlws.SORT(_xlfn.UNIQUE(_xlfn._xlws.FILTER([0]!Category,[0]!OrderID=Table3[[#This Row],[OrderID]]))))</f>
        <v>Beverage</v>
      </c>
      <c r="L110" s="39">
        <f>SUMIFS([0]!FoodCost,[0]!OrderID,Table3[[#This Row],[OrderID]])</f>
        <v>28.36</v>
      </c>
      <c r="M110" s="39">
        <f>Table3[[#This Row],[LineAmount]]-Table3[[#This Row],[TotalCost]]</f>
        <v>28.072399999999995</v>
      </c>
      <c r="N110" t="str">
        <f>IF(AND(COUNTIFS([0]!OrderID,Table3[[#This Row],[OrderID]],[0]!Category,"hot meal")&gt;0,COUNTIFS([0]!OrderID,Table3[[#This Row],[OrderID]],[0]!Category,"beverage")&gt;0),"combo","single")</f>
        <v>single</v>
      </c>
      <c r="O110" t="str">
        <f>IF((Table3[[#This Row],[LineAmount]]/(1-Table3[[#This Row],[DiscountPct]]))*Table3[[#This Row],[DiscountPct]]&gt;40,"High Disc","OK")</f>
        <v>OK</v>
      </c>
    </row>
    <row r="111" spans="1:15" x14ac:dyDescent="0.3">
      <c r="A111" t="s">
        <v>147</v>
      </c>
      <c r="B111" s="7">
        <v>45871.910868055558</v>
      </c>
      <c r="C111" t="s">
        <v>27</v>
      </c>
      <c r="D111" t="s">
        <v>16</v>
      </c>
      <c r="E111" t="s">
        <v>21</v>
      </c>
      <c r="F111" t="s">
        <v>18</v>
      </c>
      <c r="G111">
        <v>7.0000000000000007E-2</v>
      </c>
      <c r="H111" s="3">
        <f t="shared" si="1"/>
        <v>45871</v>
      </c>
      <c r="I111" t="str">
        <f>IF(COUNTIFS([0]!OrderID,Table3[[#This Row],[OrderID]],[0]!Category,"beverage")&gt;0,"yes","no")</f>
        <v>yes</v>
      </c>
      <c r="J111">
        <f>SUMIFS([0]!LineNetAmount,[0]!OrderID,Table3[[#This Row],[OrderID]])</f>
        <v>761.72579999999994</v>
      </c>
      <c r="K111" t="str" cm="1">
        <f t="array" ref="K111">_xlfn.TEXTJOIN("+",,_xlfn._xlws.SORT(_xlfn.UNIQUE(_xlfn._xlws.FILTER([0]!Category,[0]!OrderID=Table3[[#This Row],[OrderID]]))))</f>
        <v>Beverage+Dessert+Hot Meal</v>
      </c>
      <c r="L111" s="39">
        <f>SUMIFS([0]!FoodCost,[0]!OrderID,Table3[[#This Row],[OrderID]])</f>
        <v>362.02</v>
      </c>
      <c r="M111" s="39">
        <f>Table3[[#This Row],[LineAmount]]-Table3[[#This Row],[TotalCost]]</f>
        <v>399.70579999999995</v>
      </c>
      <c r="N111" t="str">
        <f>IF(AND(COUNTIFS([0]!OrderID,Table3[[#This Row],[OrderID]],[0]!Category,"hot meal")&gt;0,COUNTIFS([0]!OrderID,Table3[[#This Row],[OrderID]],[0]!Category,"beverage")&gt;0),"combo","single")</f>
        <v>combo</v>
      </c>
      <c r="O111" t="str">
        <f>IF((Table3[[#This Row],[LineAmount]]/(1-Table3[[#This Row],[DiscountPct]]))*Table3[[#This Row],[DiscountPct]]&gt;40,"High Disc","OK")</f>
        <v>High Disc</v>
      </c>
    </row>
    <row r="112" spans="1:15" x14ac:dyDescent="0.3">
      <c r="A112" t="s">
        <v>148</v>
      </c>
      <c r="B112" s="7">
        <v>45886.586400462962</v>
      </c>
      <c r="C112" t="s">
        <v>27</v>
      </c>
      <c r="D112" t="s">
        <v>16</v>
      </c>
      <c r="E112" t="s">
        <v>21</v>
      </c>
      <c r="F112" t="s">
        <v>22</v>
      </c>
      <c r="G112">
        <v>0.03</v>
      </c>
      <c r="H112" s="3">
        <f t="shared" si="1"/>
        <v>45886</v>
      </c>
      <c r="I112" t="str">
        <f>IF(COUNTIFS([0]!OrderID,Table3[[#This Row],[OrderID]],[0]!Category,"beverage")&gt;0,"yes","no")</f>
        <v>yes</v>
      </c>
      <c r="J112">
        <f>SUMIFS([0]!LineNetAmount,[0]!OrderID,Table3[[#This Row],[OrderID]])</f>
        <v>335.51330000000002</v>
      </c>
      <c r="K112" t="str" cm="1">
        <f t="array" ref="K112">_xlfn.TEXTJOIN("+",,_xlfn._xlws.SORT(_xlfn.UNIQUE(_xlfn._xlws.FILTER([0]!Category,[0]!OrderID=Table3[[#This Row],[OrderID]]))))</f>
        <v>Beverage+Hot Meal</v>
      </c>
      <c r="L112" s="39">
        <f>SUMIFS([0]!FoodCost,[0]!OrderID,Table3[[#This Row],[OrderID]])</f>
        <v>181.68</v>
      </c>
      <c r="M112" s="39">
        <f>Table3[[#This Row],[LineAmount]]-Table3[[#This Row],[TotalCost]]</f>
        <v>153.83330000000001</v>
      </c>
      <c r="N112" t="str">
        <f>IF(AND(COUNTIFS([0]!OrderID,Table3[[#This Row],[OrderID]],[0]!Category,"hot meal")&gt;0,COUNTIFS([0]!OrderID,Table3[[#This Row],[OrderID]],[0]!Category,"beverage")&gt;0),"combo","single")</f>
        <v>combo</v>
      </c>
      <c r="O112" t="str">
        <f>IF((Table3[[#This Row],[LineAmount]]/(1-Table3[[#This Row],[DiscountPct]]))*Table3[[#This Row],[DiscountPct]]&gt;40,"High Disc","OK")</f>
        <v>OK</v>
      </c>
    </row>
    <row r="113" spans="1:15" x14ac:dyDescent="0.3">
      <c r="A113" t="s">
        <v>149</v>
      </c>
      <c r="B113" s="7">
        <v>45866.402141203696</v>
      </c>
      <c r="C113" t="s">
        <v>9</v>
      </c>
      <c r="D113" t="s">
        <v>10</v>
      </c>
      <c r="E113" t="s">
        <v>21</v>
      </c>
      <c r="F113" t="s">
        <v>12</v>
      </c>
      <c r="G113">
        <v>7.0000000000000007E-2</v>
      </c>
      <c r="H113" s="3">
        <f t="shared" si="1"/>
        <v>45866</v>
      </c>
      <c r="I113" t="str">
        <f>IF(COUNTIFS([0]!OrderID,Table3[[#This Row],[OrderID]],[0]!Category,"beverage")&gt;0,"yes","no")</f>
        <v>yes</v>
      </c>
      <c r="J113">
        <f>SUMIFS([0]!LineNetAmount,[0]!OrderID,Table3[[#This Row],[OrderID]])</f>
        <v>409.14420000000001</v>
      </c>
      <c r="K113" t="str" cm="1">
        <f t="array" ref="K113">_xlfn.TEXTJOIN("+",,_xlfn._xlws.SORT(_xlfn.UNIQUE(_xlfn._xlws.FILTER([0]!Category,[0]!OrderID=Table3[[#This Row],[OrderID]]))))</f>
        <v>Beverage+Dessert+Hot Meal</v>
      </c>
      <c r="L113" s="39">
        <f>SUMIFS([0]!FoodCost,[0]!OrderID,Table3[[#This Row],[OrderID]])</f>
        <v>224.99</v>
      </c>
      <c r="M113" s="39">
        <f>Table3[[#This Row],[LineAmount]]-Table3[[#This Row],[TotalCost]]</f>
        <v>184.1542</v>
      </c>
      <c r="N113" t="str">
        <f>IF(AND(COUNTIFS([0]!OrderID,Table3[[#This Row],[OrderID]],[0]!Category,"hot meal")&gt;0,COUNTIFS([0]!OrderID,Table3[[#This Row],[OrderID]],[0]!Category,"beverage")&gt;0),"combo","single")</f>
        <v>combo</v>
      </c>
      <c r="O113" t="str">
        <f>IF((Table3[[#This Row],[LineAmount]]/(1-Table3[[#This Row],[DiscountPct]]))*Table3[[#This Row],[DiscountPct]]&gt;40,"High Disc","OK")</f>
        <v>OK</v>
      </c>
    </row>
    <row r="114" spans="1:15" x14ac:dyDescent="0.3">
      <c r="A114" t="s">
        <v>150</v>
      </c>
      <c r="B114" s="7">
        <v>45840.235567129632</v>
      </c>
      <c r="C114" t="s">
        <v>9</v>
      </c>
      <c r="D114" t="s">
        <v>28</v>
      </c>
      <c r="E114" t="s">
        <v>17</v>
      </c>
      <c r="F114" t="s">
        <v>12</v>
      </c>
      <c r="G114">
        <v>7.0000000000000007E-2</v>
      </c>
      <c r="H114" s="3">
        <f t="shared" si="1"/>
        <v>45840</v>
      </c>
      <c r="I114" t="str">
        <f>IF(COUNTIFS([0]!OrderID,Table3[[#This Row],[OrderID]],[0]!Category,"beverage")&gt;0,"yes","no")</f>
        <v>no</v>
      </c>
      <c r="J114">
        <f>SUMIFS([0]!LineNetAmount,[0]!OrderID,Table3[[#This Row],[OrderID]])</f>
        <v>509.79810000000003</v>
      </c>
      <c r="K114" t="str" cm="1">
        <f t="array" ref="K114">_xlfn.TEXTJOIN("+",,_xlfn._xlws.SORT(_xlfn.UNIQUE(_xlfn._xlws.FILTER([0]!Category,[0]!OrderID=Table3[[#This Row],[OrderID]]))))</f>
        <v>Dessert+Hot Meal</v>
      </c>
      <c r="L114" s="39">
        <f>SUMIFS([0]!FoodCost,[0]!OrderID,Table3[[#This Row],[OrderID]])</f>
        <v>262.24</v>
      </c>
      <c r="M114" s="39">
        <f>Table3[[#This Row],[LineAmount]]-Table3[[#This Row],[TotalCost]]</f>
        <v>247.55810000000002</v>
      </c>
      <c r="N114" t="str">
        <f>IF(AND(COUNTIFS([0]!OrderID,Table3[[#This Row],[OrderID]],[0]!Category,"hot meal")&gt;0,COUNTIFS([0]!OrderID,Table3[[#This Row],[OrderID]],[0]!Category,"beverage")&gt;0),"combo","single")</f>
        <v>single</v>
      </c>
      <c r="O114" t="str">
        <f>IF((Table3[[#This Row],[LineAmount]]/(1-Table3[[#This Row],[DiscountPct]]))*Table3[[#This Row],[DiscountPct]]&gt;40,"High Disc","OK")</f>
        <v>OK</v>
      </c>
    </row>
    <row r="115" spans="1:15" x14ac:dyDescent="0.3">
      <c r="A115" t="s">
        <v>151</v>
      </c>
      <c r="B115" s="7">
        <v>45878.71025462963</v>
      </c>
      <c r="C115" t="s">
        <v>15</v>
      </c>
      <c r="D115" t="s">
        <v>10</v>
      </c>
      <c r="E115" t="s">
        <v>17</v>
      </c>
      <c r="F115" t="s">
        <v>18</v>
      </c>
      <c r="G115">
        <v>0.03</v>
      </c>
      <c r="H115" s="3">
        <f t="shared" si="1"/>
        <v>45878</v>
      </c>
      <c r="I115" t="str">
        <f>IF(COUNTIFS([0]!OrderID,Table3[[#This Row],[OrderID]],[0]!Category,"beverage")&gt;0,"yes","no")</f>
        <v>no</v>
      </c>
      <c r="J115">
        <f>SUMIFS([0]!LineNetAmount,[0]!OrderID,Table3[[#This Row],[OrderID]])</f>
        <v>251.20089999999999</v>
      </c>
      <c r="K115" t="str" cm="1">
        <f t="array" ref="K115">_xlfn.TEXTJOIN("+",,_xlfn._xlws.SORT(_xlfn.UNIQUE(_xlfn._xlws.FILTER([0]!Category,[0]!OrderID=Table3[[#This Row],[OrderID]]))))</f>
        <v>Dessert+Snack</v>
      </c>
      <c r="L115" s="39">
        <f>SUMIFS([0]!FoodCost,[0]!OrderID,Table3[[#This Row],[OrderID]])</f>
        <v>111.72999999999999</v>
      </c>
      <c r="M115" s="39">
        <f>Table3[[#This Row],[LineAmount]]-Table3[[#This Row],[TotalCost]]</f>
        <v>139.4709</v>
      </c>
      <c r="N115" t="str">
        <f>IF(AND(COUNTIFS([0]!OrderID,Table3[[#This Row],[OrderID]],[0]!Category,"hot meal")&gt;0,COUNTIFS([0]!OrderID,Table3[[#This Row],[OrderID]],[0]!Category,"beverage")&gt;0),"combo","single")</f>
        <v>single</v>
      </c>
      <c r="O115" t="str">
        <f>IF((Table3[[#This Row],[LineAmount]]/(1-Table3[[#This Row],[DiscountPct]]))*Table3[[#This Row],[DiscountPct]]&gt;40,"High Disc","OK")</f>
        <v>OK</v>
      </c>
    </row>
    <row r="116" spans="1:15" x14ac:dyDescent="0.3">
      <c r="A116" t="s">
        <v>152</v>
      </c>
      <c r="B116" s="7">
        <v>45886.904016203713</v>
      </c>
      <c r="C116" t="s">
        <v>15</v>
      </c>
      <c r="D116" t="s">
        <v>28</v>
      </c>
      <c r="E116" t="s">
        <v>17</v>
      </c>
      <c r="F116" t="s">
        <v>18</v>
      </c>
      <c r="G116">
        <v>0.13</v>
      </c>
      <c r="H116" s="3">
        <f t="shared" si="1"/>
        <v>45886</v>
      </c>
      <c r="I116" t="str">
        <f>IF(COUNTIFS([0]!OrderID,Table3[[#This Row],[OrderID]],[0]!Category,"beverage")&gt;0,"yes","no")</f>
        <v>yes</v>
      </c>
      <c r="J116">
        <f>SUMIFS([0]!LineNetAmount,[0]!OrderID,Table3[[#This Row],[OrderID]])</f>
        <v>750.9926999999999</v>
      </c>
      <c r="K116" t="str" cm="1">
        <f t="array" ref="K116">_xlfn.TEXTJOIN("+",,_xlfn._xlws.SORT(_xlfn.UNIQUE(_xlfn._xlws.FILTER([0]!Category,[0]!OrderID=Table3[[#This Row],[OrderID]]))))</f>
        <v>Beverage+Dessert+Hot Meal</v>
      </c>
      <c r="L116" s="39">
        <f>SUMIFS([0]!FoodCost,[0]!OrderID,Table3[[#This Row],[OrderID]])</f>
        <v>394.59</v>
      </c>
      <c r="M116" s="39">
        <f>Table3[[#This Row],[LineAmount]]-Table3[[#This Row],[TotalCost]]</f>
        <v>356.40269999999992</v>
      </c>
      <c r="N116" t="str">
        <f>IF(AND(COUNTIFS([0]!OrderID,Table3[[#This Row],[OrderID]],[0]!Category,"hot meal")&gt;0,COUNTIFS([0]!OrderID,Table3[[#This Row],[OrderID]],[0]!Category,"beverage")&gt;0),"combo","single")</f>
        <v>combo</v>
      </c>
      <c r="O116" t="str">
        <f>IF((Table3[[#This Row],[LineAmount]]/(1-Table3[[#This Row],[DiscountPct]]))*Table3[[#This Row],[DiscountPct]]&gt;40,"High Disc","OK")</f>
        <v>High Disc</v>
      </c>
    </row>
    <row r="117" spans="1:15" x14ac:dyDescent="0.3">
      <c r="A117" t="s">
        <v>153</v>
      </c>
      <c r="B117" s="7">
        <v>45860.764872685177</v>
      </c>
      <c r="C117" t="s">
        <v>15</v>
      </c>
      <c r="D117" t="s">
        <v>10</v>
      </c>
      <c r="E117" t="s">
        <v>17</v>
      </c>
      <c r="F117" t="s">
        <v>18</v>
      </c>
      <c r="G117">
        <v>0.08</v>
      </c>
      <c r="H117" s="3">
        <f t="shared" si="1"/>
        <v>45860</v>
      </c>
      <c r="I117" t="str">
        <f>IF(COUNTIFS([0]!OrderID,Table3[[#This Row],[OrderID]],[0]!Category,"beverage")&gt;0,"yes","no")</f>
        <v>yes</v>
      </c>
      <c r="J117">
        <f>SUMIFS([0]!LineNetAmount,[0]!OrderID,Table3[[#This Row],[OrderID]])</f>
        <v>376.96080000000006</v>
      </c>
      <c r="K117" t="str" cm="1">
        <f t="array" ref="K117">_xlfn.TEXTJOIN("+",,_xlfn._xlws.SORT(_xlfn.UNIQUE(_xlfn._xlws.FILTER([0]!Category,[0]!OrderID=Table3[[#This Row],[OrderID]]))))</f>
        <v>Beverage+Hot Meal+Snack</v>
      </c>
      <c r="L117" s="39">
        <f>SUMIFS([0]!FoodCost,[0]!OrderID,Table3[[#This Row],[OrderID]])</f>
        <v>179.60999999999999</v>
      </c>
      <c r="M117" s="39">
        <f>Table3[[#This Row],[LineAmount]]-Table3[[#This Row],[TotalCost]]</f>
        <v>197.35080000000008</v>
      </c>
      <c r="N117" t="str">
        <f>IF(AND(COUNTIFS([0]!OrderID,Table3[[#This Row],[OrderID]],[0]!Category,"hot meal")&gt;0,COUNTIFS([0]!OrderID,Table3[[#This Row],[OrderID]],[0]!Category,"beverage")&gt;0),"combo","single")</f>
        <v>combo</v>
      </c>
      <c r="O117" t="str">
        <f>IF((Table3[[#This Row],[LineAmount]]/(1-Table3[[#This Row],[DiscountPct]]))*Table3[[#This Row],[DiscountPct]]&gt;40,"High Disc","OK")</f>
        <v>OK</v>
      </c>
    </row>
    <row r="118" spans="1:15" x14ac:dyDescent="0.3">
      <c r="A118" t="s">
        <v>154</v>
      </c>
      <c r="B118" s="7">
        <v>45895.713437500002</v>
      </c>
      <c r="C118" t="s">
        <v>15</v>
      </c>
      <c r="D118" t="s">
        <v>16</v>
      </c>
      <c r="E118" t="s">
        <v>11</v>
      </c>
      <c r="F118" t="s">
        <v>18</v>
      </c>
      <c r="G118">
        <v>0.01</v>
      </c>
      <c r="H118" s="3">
        <f t="shared" si="1"/>
        <v>45895</v>
      </c>
      <c r="I118" t="str">
        <f>IF(COUNTIFS([0]!OrderID,Table3[[#This Row],[OrderID]],[0]!Category,"beverage")&gt;0,"yes","no")</f>
        <v>yes</v>
      </c>
      <c r="J118">
        <f>SUMIFS([0]!LineNetAmount,[0]!OrderID,Table3[[#This Row],[OrderID]])</f>
        <v>667.4085</v>
      </c>
      <c r="K118" t="str" cm="1">
        <f t="array" ref="K118">_xlfn.TEXTJOIN("+",,_xlfn._xlws.SORT(_xlfn.UNIQUE(_xlfn._xlws.FILTER([0]!Category,[0]!OrderID=Table3[[#This Row],[OrderID]]))))</f>
        <v>Beverage+Dessert+Snack</v>
      </c>
      <c r="L118" s="39">
        <f>SUMIFS([0]!FoodCost,[0]!OrderID,Table3[[#This Row],[OrderID]])</f>
        <v>304.45999999999998</v>
      </c>
      <c r="M118" s="39">
        <f>Table3[[#This Row],[LineAmount]]-Table3[[#This Row],[TotalCost]]</f>
        <v>362.94850000000002</v>
      </c>
      <c r="N118" t="str">
        <f>IF(AND(COUNTIFS([0]!OrderID,Table3[[#This Row],[OrderID]],[0]!Category,"hot meal")&gt;0,COUNTIFS([0]!OrderID,Table3[[#This Row],[OrderID]],[0]!Category,"beverage")&gt;0),"combo","single")</f>
        <v>single</v>
      </c>
      <c r="O118" t="str">
        <f>IF((Table3[[#This Row],[LineAmount]]/(1-Table3[[#This Row],[DiscountPct]]))*Table3[[#This Row],[DiscountPct]]&gt;40,"High Disc","OK")</f>
        <v>OK</v>
      </c>
    </row>
    <row r="119" spans="1:15" x14ac:dyDescent="0.3">
      <c r="A119" t="s">
        <v>155</v>
      </c>
      <c r="B119" s="7">
        <v>45872.625532407408</v>
      </c>
      <c r="C119" t="s">
        <v>15</v>
      </c>
      <c r="D119" t="s">
        <v>10</v>
      </c>
      <c r="E119" t="s">
        <v>11</v>
      </c>
      <c r="F119" t="s">
        <v>22</v>
      </c>
      <c r="G119">
        <v>0.09</v>
      </c>
      <c r="H119" s="3">
        <f t="shared" si="1"/>
        <v>45872</v>
      </c>
      <c r="I119" t="str">
        <f>IF(COUNTIFS([0]!OrderID,Table3[[#This Row],[OrderID]],[0]!Category,"beverage")&gt;0,"yes","no")</f>
        <v>no</v>
      </c>
      <c r="J119">
        <f>SUMIFS([0]!LineNetAmount,[0]!OrderID,Table3[[#This Row],[OrderID]])</f>
        <v>47.729500000000002</v>
      </c>
      <c r="K119" t="str" cm="1">
        <f t="array" ref="K119">_xlfn.TEXTJOIN("+",,_xlfn._xlws.SORT(_xlfn.UNIQUE(_xlfn._xlws.FILTER([0]!Category,[0]!OrderID=Table3[[#This Row],[OrderID]]))))</f>
        <v>Snack</v>
      </c>
      <c r="L119" s="39">
        <f>SUMIFS([0]!FoodCost,[0]!OrderID,Table3[[#This Row],[OrderID]])</f>
        <v>25.8</v>
      </c>
      <c r="M119" s="39">
        <f>Table3[[#This Row],[LineAmount]]-Table3[[#This Row],[TotalCost]]</f>
        <v>21.929500000000001</v>
      </c>
      <c r="N119" t="str">
        <f>IF(AND(COUNTIFS([0]!OrderID,Table3[[#This Row],[OrderID]],[0]!Category,"hot meal")&gt;0,COUNTIFS([0]!OrderID,Table3[[#This Row],[OrderID]],[0]!Category,"beverage")&gt;0),"combo","single")</f>
        <v>single</v>
      </c>
      <c r="O119" t="str">
        <f>IF((Table3[[#This Row],[LineAmount]]/(1-Table3[[#This Row],[DiscountPct]]))*Table3[[#This Row],[DiscountPct]]&gt;40,"High Disc","OK")</f>
        <v>OK</v>
      </c>
    </row>
    <row r="120" spans="1:15" x14ac:dyDescent="0.3">
      <c r="A120" t="s">
        <v>156</v>
      </c>
      <c r="B120" s="7">
        <v>45873.407407407409</v>
      </c>
      <c r="C120" t="s">
        <v>9</v>
      </c>
      <c r="D120" t="s">
        <v>16</v>
      </c>
      <c r="E120" t="s">
        <v>21</v>
      </c>
      <c r="F120" t="s">
        <v>12</v>
      </c>
      <c r="G120">
        <v>0.02</v>
      </c>
      <c r="H120" s="3">
        <f t="shared" si="1"/>
        <v>45873</v>
      </c>
      <c r="I120" t="str">
        <f>IF(COUNTIFS([0]!OrderID,Table3[[#This Row],[OrderID]],[0]!Category,"beverage")&gt;0,"yes","no")</f>
        <v>no</v>
      </c>
      <c r="J120">
        <f>SUMIFS([0]!LineNetAmount,[0]!OrderID,Table3[[#This Row],[OrderID]])</f>
        <v>69.129200000000012</v>
      </c>
      <c r="K120" t="str" cm="1">
        <f t="array" ref="K120">_xlfn.TEXTJOIN("+",,_xlfn._xlws.SORT(_xlfn.UNIQUE(_xlfn._xlws.FILTER([0]!Category,[0]!OrderID=Table3[[#This Row],[OrderID]]))))</f>
        <v>Snack</v>
      </c>
      <c r="L120" s="39">
        <f>SUMIFS([0]!FoodCost,[0]!OrderID,Table3[[#This Row],[OrderID]])</f>
        <v>35.81</v>
      </c>
      <c r="M120" s="39">
        <f>Table3[[#This Row],[LineAmount]]-Table3[[#This Row],[TotalCost]]</f>
        <v>33.319200000000009</v>
      </c>
      <c r="N120" t="str">
        <f>IF(AND(COUNTIFS([0]!OrderID,Table3[[#This Row],[OrderID]],[0]!Category,"hot meal")&gt;0,COUNTIFS([0]!OrderID,Table3[[#This Row],[OrderID]],[0]!Category,"beverage")&gt;0),"combo","single")</f>
        <v>single</v>
      </c>
      <c r="O120" t="str">
        <f>IF((Table3[[#This Row],[LineAmount]]/(1-Table3[[#This Row],[DiscountPct]]))*Table3[[#This Row],[DiscountPct]]&gt;40,"High Disc","OK")</f>
        <v>OK</v>
      </c>
    </row>
    <row r="121" spans="1:15" x14ac:dyDescent="0.3">
      <c r="A121" t="s">
        <v>157</v>
      </c>
      <c r="B121" s="7">
        <v>45863.658865740741</v>
      </c>
      <c r="C121" t="s">
        <v>27</v>
      </c>
      <c r="D121" t="s">
        <v>28</v>
      </c>
      <c r="E121" t="s">
        <v>11</v>
      </c>
      <c r="F121" t="s">
        <v>22</v>
      </c>
      <c r="G121">
        <v>0.09</v>
      </c>
      <c r="H121" s="3">
        <f t="shared" si="1"/>
        <v>45863</v>
      </c>
      <c r="I121" t="str">
        <f>IF(COUNTIFS([0]!OrderID,Table3[[#This Row],[OrderID]],[0]!Category,"beverage")&gt;0,"yes","no")</f>
        <v>yes</v>
      </c>
      <c r="J121">
        <f>SUMIFS([0]!LineNetAmount,[0]!OrderID,Table3[[#This Row],[OrderID]])</f>
        <v>82.491500000000002</v>
      </c>
      <c r="K121" t="str" cm="1">
        <f t="array" ref="K121">_xlfn.TEXTJOIN("+",,_xlfn._xlws.SORT(_xlfn.UNIQUE(_xlfn._xlws.FILTER([0]!Category,[0]!OrderID=Table3[[#This Row],[OrderID]]))))</f>
        <v>Beverage+Snack</v>
      </c>
      <c r="L121" s="39">
        <f>SUMIFS([0]!FoodCost,[0]!OrderID,Table3[[#This Row],[OrderID]])</f>
        <v>43.81</v>
      </c>
      <c r="M121" s="39">
        <f>Table3[[#This Row],[LineAmount]]-Table3[[#This Row],[TotalCost]]</f>
        <v>38.6815</v>
      </c>
      <c r="N121" t="str">
        <f>IF(AND(COUNTIFS([0]!OrderID,Table3[[#This Row],[OrderID]],[0]!Category,"hot meal")&gt;0,COUNTIFS([0]!OrderID,Table3[[#This Row],[OrderID]],[0]!Category,"beverage")&gt;0),"combo","single")</f>
        <v>single</v>
      </c>
      <c r="O121" t="str">
        <f>IF((Table3[[#This Row],[LineAmount]]/(1-Table3[[#This Row],[DiscountPct]]))*Table3[[#This Row],[DiscountPct]]&gt;40,"High Disc","OK")</f>
        <v>OK</v>
      </c>
    </row>
    <row r="122" spans="1:15" x14ac:dyDescent="0.3">
      <c r="A122" t="s">
        <v>158</v>
      </c>
      <c r="B122" s="7">
        <v>45869.886666666673</v>
      </c>
      <c r="C122" t="s">
        <v>27</v>
      </c>
      <c r="D122" t="s">
        <v>10</v>
      </c>
      <c r="E122" t="s">
        <v>11</v>
      </c>
      <c r="F122" t="s">
        <v>18</v>
      </c>
      <c r="G122">
        <v>0.11</v>
      </c>
      <c r="H122" s="3">
        <f t="shared" si="1"/>
        <v>45869</v>
      </c>
      <c r="I122" t="str">
        <f>IF(COUNTIFS([0]!OrderID,Table3[[#This Row],[OrderID]],[0]!Category,"beverage")&gt;0,"yes","no")</f>
        <v>no</v>
      </c>
      <c r="J122">
        <f>SUMIFS([0]!LineNetAmount,[0]!OrderID,Table3[[#This Row],[OrderID]])</f>
        <v>541.0933</v>
      </c>
      <c r="K122" t="str" cm="1">
        <f t="array" ref="K122">_xlfn.TEXTJOIN("+",,_xlfn._xlws.SORT(_xlfn.UNIQUE(_xlfn._xlws.FILTER([0]!Category,[0]!OrderID=Table3[[#This Row],[OrderID]]))))</f>
        <v>Dessert+Snack</v>
      </c>
      <c r="L122" s="39">
        <f>SUMIFS([0]!FoodCost,[0]!OrderID,Table3[[#This Row],[OrderID]])</f>
        <v>275.83999999999997</v>
      </c>
      <c r="M122" s="39">
        <f>Table3[[#This Row],[LineAmount]]-Table3[[#This Row],[TotalCost]]</f>
        <v>265.25330000000002</v>
      </c>
      <c r="N122" t="str">
        <f>IF(AND(COUNTIFS([0]!OrderID,Table3[[#This Row],[OrderID]],[0]!Category,"hot meal")&gt;0,COUNTIFS([0]!OrderID,Table3[[#This Row],[OrderID]],[0]!Category,"beverage")&gt;0),"combo","single")</f>
        <v>single</v>
      </c>
      <c r="O122" t="str">
        <f>IF((Table3[[#This Row],[LineAmount]]/(1-Table3[[#This Row],[DiscountPct]]))*Table3[[#This Row],[DiscountPct]]&gt;40,"High Disc","OK")</f>
        <v>High Disc</v>
      </c>
    </row>
    <row r="123" spans="1:15" x14ac:dyDescent="0.3">
      <c r="A123" t="s">
        <v>159</v>
      </c>
      <c r="B123" s="7">
        <v>45857.846782407411</v>
      </c>
      <c r="C123" t="s">
        <v>27</v>
      </c>
      <c r="D123" t="s">
        <v>10</v>
      </c>
      <c r="E123" t="s">
        <v>21</v>
      </c>
      <c r="F123" t="s">
        <v>18</v>
      </c>
      <c r="G123">
        <v>0.03</v>
      </c>
      <c r="H123" s="3">
        <f t="shared" si="1"/>
        <v>45857</v>
      </c>
      <c r="I123" t="str">
        <f>IF(COUNTIFS([0]!OrderID,Table3[[#This Row],[OrderID]],[0]!Category,"beverage")&gt;0,"yes","no")</f>
        <v>yes</v>
      </c>
      <c r="J123">
        <f>SUMIFS([0]!LineNetAmount,[0]!OrderID,Table3[[#This Row],[OrderID]])</f>
        <v>615.94029999999998</v>
      </c>
      <c r="K123" t="str" cm="1">
        <f t="array" ref="K123">_xlfn.TEXTJOIN("+",,_xlfn._xlws.SORT(_xlfn.UNIQUE(_xlfn._xlws.FILTER([0]!Category,[0]!OrderID=Table3[[#This Row],[OrderID]]))))</f>
        <v>Beverage+Dessert+Hot Meal</v>
      </c>
      <c r="L123" s="39">
        <f>SUMIFS([0]!FoodCost,[0]!OrderID,Table3[[#This Row],[OrderID]])</f>
        <v>291.64</v>
      </c>
      <c r="M123" s="39">
        <f>Table3[[#This Row],[LineAmount]]-Table3[[#This Row],[TotalCost]]</f>
        <v>324.30029999999999</v>
      </c>
      <c r="N123" t="str">
        <f>IF(AND(COUNTIFS([0]!OrderID,Table3[[#This Row],[OrderID]],[0]!Category,"hot meal")&gt;0,COUNTIFS([0]!OrderID,Table3[[#This Row],[OrderID]],[0]!Category,"beverage")&gt;0),"combo","single")</f>
        <v>combo</v>
      </c>
      <c r="O123" t="str">
        <f>IF((Table3[[#This Row],[LineAmount]]/(1-Table3[[#This Row],[DiscountPct]]))*Table3[[#This Row],[DiscountPct]]&gt;40,"High Disc","OK")</f>
        <v>OK</v>
      </c>
    </row>
    <row r="124" spans="1:15" x14ac:dyDescent="0.3">
      <c r="A124" t="s">
        <v>160</v>
      </c>
      <c r="B124" s="7">
        <v>45896.493206018517</v>
      </c>
      <c r="C124" t="s">
        <v>9</v>
      </c>
      <c r="D124" t="s">
        <v>10</v>
      </c>
      <c r="E124" t="s">
        <v>21</v>
      </c>
      <c r="F124" t="s">
        <v>22</v>
      </c>
      <c r="G124">
        <v>0.1</v>
      </c>
      <c r="H124" s="3">
        <f t="shared" si="1"/>
        <v>45896</v>
      </c>
      <c r="I124" t="str">
        <f>IF(COUNTIFS([0]!OrderID,Table3[[#This Row],[OrderID]],[0]!Category,"beverage")&gt;0,"yes","no")</f>
        <v>no</v>
      </c>
      <c r="J124">
        <f>SUMIFS([0]!LineNetAmount,[0]!OrderID,Table3[[#This Row],[OrderID]])</f>
        <v>986.59799999999996</v>
      </c>
      <c r="K124" t="str" cm="1">
        <f t="array" ref="K124">_xlfn.TEXTJOIN("+",,_xlfn._xlws.SORT(_xlfn.UNIQUE(_xlfn._xlws.FILTER([0]!Category,[0]!OrderID=Table3[[#This Row],[OrderID]]))))</f>
        <v>Dessert+Hot Meal+Snack</v>
      </c>
      <c r="L124" s="39">
        <f>SUMIFS([0]!FoodCost,[0]!OrderID,Table3[[#This Row],[OrderID]])</f>
        <v>516.5100000000001</v>
      </c>
      <c r="M124" s="39">
        <f>Table3[[#This Row],[LineAmount]]-Table3[[#This Row],[TotalCost]]</f>
        <v>470.08799999999985</v>
      </c>
      <c r="N124" t="str">
        <f>IF(AND(COUNTIFS([0]!OrderID,Table3[[#This Row],[OrderID]],[0]!Category,"hot meal")&gt;0,COUNTIFS([0]!OrderID,Table3[[#This Row],[OrderID]],[0]!Category,"beverage")&gt;0),"combo","single")</f>
        <v>single</v>
      </c>
      <c r="O124" t="str">
        <f>IF((Table3[[#This Row],[LineAmount]]/(1-Table3[[#This Row],[DiscountPct]]))*Table3[[#This Row],[DiscountPct]]&gt;40,"High Disc","OK")</f>
        <v>High Disc</v>
      </c>
    </row>
    <row r="125" spans="1:15" x14ac:dyDescent="0.3">
      <c r="A125" t="s">
        <v>161</v>
      </c>
      <c r="B125" s="7">
        <v>45858.096944444442</v>
      </c>
      <c r="C125" t="s">
        <v>15</v>
      </c>
      <c r="D125" t="s">
        <v>28</v>
      </c>
      <c r="E125" t="s">
        <v>21</v>
      </c>
      <c r="F125" t="s">
        <v>12</v>
      </c>
      <c r="G125">
        <v>0.08</v>
      </c>
      <c r="H125" s="3">
        <f t="shared" si="1"/>
        <v>45858</v>
      </c>
      <c r="I125" t="str">
        <f>IF(COUNTIFS([0]!OrderID,Table3[[#This Row],[OrderID]],[0]!Category,"beverage")&gt;0,"yes","no")</f>
        <v>yes</v>
      </c>
      <c r="J125">
        <f>SUMIFS([0]!LineNetAmount,[0]!OrderID,Table3[[#This Row],[OrderID]])</f>
        <v>858.01959999999997</v>
      </c>
      <c r="K125" t="str" cm="1">
        <f t="array" ref="K125">_xlfn.TEXTJOIN("+",,_xlfn._xlws.SORT(_xlfn.UNIQUE(_xlfn._xlws.FILTER([0]!Category,[0]!OrderID=Table3[[#This Row],[OrderID]]))))</f>
        <v>Beverage+Dessert+Hot Meal</v>
      </c>
      <c r="L125" s="39">
        <f>SUMIFS([0]!FoodCost,[0]!OrderID,Table3[[#This Row],[OrderID]])</f>
        <v>412.05</v>
      </c>
      <c r="M125" s="39">
        <f>Table3[[#This Row],[LineAmount]]-Table3[[#This Row],[TotalCost]]</f>
        <v>445.96959999999996</v>
      </c>
      <c r="N125" t="str">
        <f>IF(AND(COUNTIFS([0]!OrderID,Table3[[#This Row],[OrderID]],[0]!Category,"hot meal")&gt;0,COUNTIFS([0]!OrderID,Table3[[#This Row],[OrderID]],[0]!Category,"beverage")&gt;0),"combo","single")</f>
        <v>combo</v>
      </c>
      <c r="O125" t="str">
        <f>IF((Table3[[#This Row],[LineAmount]]/(1-Table3[[#This Row],[DiscountPct]]))*Table3[[#This Row],[DiscountPct]]&gt;40,"High Disc","OK")</f>
        <v>High Disc</v>
      </c>
    </row>
    <row r="126" spans="1:15" x14ac:dyDescent="0.3">
      <c r="A126" t="s">
        <v>162</v>
      </c>
      <c r="B126" s="7">
        <v>45868.597268518519</v>
      </c>
      <c r="C126" t="s">
        <v>27</v>
      </c>
      <c r="D126" t="s">
        <v>10</v>
      </c>
      <c r="E126" t="s">
        <v>11</v>
      </c>
      <c r="F126" t="s">
        <v>22</v>
      </c>
      <c r="G126">
        <v>0.09</v>
      </c>
      <c r="H126" s="3">
        <f t="shared" si="1"/>
        <v>45868</v>
      </c>
      <c r="I126" t="str">
        <f>IF(COUNTIFS([0]!OrderID,Table3[[#This Row],[OrderID]],[0]!Category,"beverage")&gt;0,"yes","no")</f>
        <v>no</v>
      </c>
      <c r="J126">
        <f>SUMIFS([0]!LineNetAmount,[0]!OrderID,Table3[[#This Row],[OrderID]])</f>
        <v>155.61000000000001</v>
      </c>
      <c r="K126" t="str" cm="1">
        <f t="array" ref="K126">_xlfn.TEXTJOIN("+",,_xlfn._xlws.SORT(_xlfn.UNIQUE(_xlfn._xlws.FILTER([0]!Category,[0]!OrderID=Table3[[#This Row],[OrderID]]))))</f>
        <v>Dessert</v>
      </c>
      <c r="L126" s="39">
        <f>SUMIFS([0]!FoodCost,[0]!OrderID,Table3[[#This Row],[OrderID]])</f>
        <v>70.92</v>
      </c>
      <c r="M126" s="39">
        <f>Table3[[#This Row],[LineAmount]]-Table3[[#This Row],[TotalCost]]</f>
        <v>84.690000000000012</v>
      </c>
      <c r="N126" t="str">
        <f>IF(AND(COUNTIFS([0]!OrderID,Table3[[#This Row],[OrderID]],[0]!Category,"hot meal")&gt;0,COUNTIFS([0]!OrderID,Table3[[#This Row],[OrderID]],[0]!Category,"beverage")&gt;0),"combo","single")</f>
        <v>single</v>
      </c>
      <c r="O126" t="str">
        <f>IF((Table3[[#This Row],[LineAmount]]/(1-Table3[[#This Row],[DiscountPct]]))*Table3[[#This Row],[DiscountPct]]&gt;40,"High Disc","OK")</f>
        <v>OK</v>
      </c>
    </row>
    <row r="127" spans="1:15" x14ac:dyDescent="0.3">
      <c r="A127" t="s">
        <v>163</v>
      </c>
      <c r="B127" s="7">
        <v>45865.882986111108</v>
      </c>
      <c r="C127" t="s">
        <v>27</v>
      </c>
      <c r="D127" t="s">
        <v>28</v>
      </c>
      <c r="E127" t="s">
        <v>11</v>
      </c>
      <c r="F127" t="s">
        <v>18</v>
      </c>
      <c r="G127">
        <v>0.14000000000000001</v>
      </c>
      <c r="H127" s="3">
        <f t="shared" si="1"/>
        <v>45865</v>
      </c>
      <c r="I127" t="str">
        <f>IF(COUNTIFS([0]!OrderID,Table3[[#This Row],[OrderID]],[0]!Category,"beverage")&gt;0,"yes","no")</f>
        <v>no</v>
      </c>
      <c r="J127">
        <f>SUMIFS([0]!LineNetAmount,[0]!OrderID,Table3[[#This Row],[OrderID]])</f>
        <v>318.2516</v>
      </c>
      <c r="K127" t="str" cm="1">
        <f t="array" ref="K127">_xlfn.TEXTJOIN("+",,_xlfn._xlws.SORT(_xlfn.UNIQUE(_xlfn._xlws.FILTER([0]!Category,[0]!OrderID=Table3[[#This Row],[OrderID]]))))</f>
        <v>Dessert+Hot Meal+Snack</v>
      </c>
      <c r="L127" s="39">
        <f>SUMIFS([0]!FoodCost,[0]!OrderID,Table3[[#This Row],[OrderID]])</f>
        <v>194.14</v>
      </c>
      <c r="M127" s="39">
        <f>Table3[[#This Row],[LineAmount]]-Table3[[#This Row],[TotalCost]]</f>
        <v>124.11160000000001</v>
      </c>
      <c r="N127" t="str">
        <f>IF(AND(COUNTIFS([0]!OrderID,Table3[[#This Row],[OrderID]],[0]!Category,"hot meal")&gt;0,COUNTIFS([0]!OrderID,Table3[[#This Row],[OrderID]],[0]!Category,"beverage")&gt;0),"combo","single")</f>
        <v>single</v>
      </c>
      <c r="O127" t="str">
        <f>IF((Table3[[#This Row],[LineAmount]]/(1-Table3[[#This Row],[DiscountPct]]))*Table3[[#This Row],[DiscountPct]]&gt;40,"High Disc","OK")</f>
        <v>High Disc</v>
      </c>
    </row>
    <row r="128" spans="1:15" x14ac:dyDescent="0.3">
      <c r="A128" t="s">
        <v>164</v>
      </c>
      <c r="B128" s="7">
        <v>45851.510520833333</v>
      </c>
      <c r="C128" t="s">
        <v>9</v>
      </c>
      <c r="D128" t="s">
        <v>16</v>
      </c>
      <c r="E128" t="s">
        <v>17</v>
      </c>
      <c r="F128" t="s">
        <v>22</v>
      </c>
      <c r="G128">
        <v>0.05</v>
      </c>
      <c r="H128" s="3">
        <f t="shared" si="1"/>
        <v>45851</v>
      </c>
      <c r="I128" t="str">
        <f>IF(COUNTIFS([0]!OrderID,Table3[[#This Row],[OrderID]],[0]!Category,"beverage")&gt;0,"yes","no")</f>
        <v>yes</v>
      </c>
      <c r="J128">
        <f>SUMIFS([0]!LineNetAmount,[0]!OrderID,Table3[[#This Row],[OrderID]])</f>
        <v>191.672</v>
      </c>
      <c r="K128" t="str" cm="1">
        <f t="array" ref="K128">_xlfn.TEXTJOIN("+",,_xlfn._xlws.SORT(_xlfn.UNIQUE(_xlfn._xlws.FILTER([0]!Category,[0]!OrderID=Table3[[#This Row],[OrderID]]))))</f>
        <v>Beverage+Snack</v>
      </c>
      <c r="L128" s="39">
        <f>SUMIFS([0]!FoodCost,[0]!OrderID,Table3[[#This Row],[OrderID]])</f>
        <v>99.98</v>
      </c>
      <c r="M128" s="39">
        <f>Table3[[#This Row],[LineAmount]]-Table3[[#This Row],[TotalCost]]</f>
        <v>91.691999999999993</v>
      </c>
      <c r="N128" t="str">
        <f>IF(AND(COUNTIFS([0]!OrderID,Table3[[#This Row],[OrderID]],[0]!Category,"hot meal")&gt;0,COUNTIFS([0]!OrderID,Table3[[#This Row],[OrderID]],[0]!Category,"beverage")&gt;0),"combo","single")</f>
        <v>single</v>
      </c>
      <c r="O128" t="str">
        <f>IF((Table3[[#This Row],[LineAmount]]/(1-Table3[[#This Row],[DiscountPct]]))*Table3[[#This Row],[DiscountPct]]&gt;40,"High Disc","OK")</f>
        <v>OK</v>
      </c>
    </row>
    <row r="129" spans="1:15" x14ac:dyDescent="0.3">
      <c r="A129" t="s">
        <v>165</v>
      </c>
      <c r="B129" s="7">
        <v>45894.98609953704</v>
      </c>
      <c r="C129" t="s">
        <v>15</v>
      </c>
      <c r="D129" t="s">
        <v>16</v>
      </c>
      <c r="E129" t="s">
        <v>21</v>
      </c>
      <c r="F129" t="s">
        <v>18</v>
      </c>
      <c r="G129">
        <v>0.03</v>
      </c>
      <c r="H129" s="3">
        <f t="shared" si="1"/>
        <v>45894</v>
      </c>
      <c r="I129" t="str">
        <f>IF(COUNTIFS([0]!OrderID,Table3[[#This Row],[OrderID]],[0]!Category,"beverage")&gt;0,"yes","no")</f>
        <v>yes</v>
      </c>
      <c r="J129">
        <f>SUMIFS([0]!LineNetAmount,[0]!OrderID,Table3[[#This Row],[OrderID]])</f>
        <v>699.23419999999999</v>
      </c>
      <c r="K129" t="str" cm="1">
        <f t="array" ref="K129">_xlfn.TEXTJOIN("+",,_xlfn._xlws.SORT(_xlfn.UNIQUE(_xlfn._xlws.FILTER([0]!Category,[0]!OrderID=Table3[[#This Row],[OrderID]]))))</f>
        <v>Beverage+Hot Meal+Snack</v>
      </c>
      <c r="L129" s="39">
        <f>SUMIFS([0]!FoodCost,[0]!OrderID,Table3[[#This Row],[OrderID]])</f>
        <v>337.78000000000003</v>
      </c>
      <c r="M129" s="39">
        <f>Table3[[#This Row],[LineAmount]]-Table3[[#This Row],[TotalCost]]</f>
        <v>361.45419999999996</v>
      </c>
      <c r="N129" t="str">
        <f>IF(AND(COUNTIFS([0]!OrderID,Table3[[#This Row],[OrderID]],[0]!Category,"hot meal")&gt;0,COUNTIFS([0]!OrderID,Table3[[#This Row],[OrderID]],[0]!Category,"beverage")&gt;0),"combo","single")</f>
        <v>combo</v>
      </c>
      <c r="O129" t="str">
        <f>IF((Table3[[#This Row],[LineAmount]]/(1-Table3[[#This Row],[DiscountPct]]))*Table3[[#This Row],[DiscountPct]]&gt;40,"High Disc","OK")</f>
        <v>OK</v>
      </c>
    </row>
    <row r="130" spans="1:15" x14ac:dyDescent="0.3">
      <c r="A130" t="s">
        <v>166</v>
      </c>
      <c r="B130" s="7">
        <v>45872.329259259262</v>
      </c>
      <c r="C130" t="s">
        <v>27</v>
      </c>
      <c r="D130" t="s">
        <v>28</v>
      </c>
      <c r="E130" t="s">
        <v>21</v>
      </c>
      <c r="F130" t="s">
        <v>12</v>
      </c>
      <c r="G130">
        <v>0.02</v>
      </c>
      <c r="H130" s="3">
        <f t="shared" si="1"/>
        <v>45872</v>
      </c>
      <c r="I130" t="str">
        <f>IF(COUNTIFS([0]!OrderID,Table3[[#This Row],[OrderID]],[0]!Category,"beverage")&gt;0,"yes","no")</f>
        <v>no</v>
      </c>
      <c r="J130">
        <f>SUMIFS([0]!LineNetAmount,[0]!OrderID,Table3[[#This Row],[OrderID]])</f>
        <v>735.34300000000007</v>
      </c>
      <c r="K130" t="str" cm="1">
        <f t="array" ref="K130">_xlfn.TEXTJOIN("+",,_xlfn._xlws.SORT(_xlfn.UNIQUE(_xlfn._xlws.FILTER([0]!Category,[0]!OrderID=Table3[[#This Row],[OrderID]]))))</f>
        <v>Dessert+Hot Meal</v>
      </c>
      <c r="L130" s="39">
        <f>SUMIFS([0]!FoodCost,[0]!OrderID,Table3[[#This Row],[OrderID]])</f>
        <v>326.07</v>
      </c>
      <c r="M130" s="39">
        <f>Table3[[#This Row],[LineAmount]]-Table3[[#This Row],[TotalCost]]</f>
        <v>409.27300000000008</v>
      </c>
      <c r="N130" t="str">
        <f>IF(AND(COUNTIFS([0]!OrderID,Table3[[#This Row],[OrderID]],[0]!Category,"hot meal")&gt;0,COUNTIFS([0]!OrderID,Table3[[#This Row],[OrderID]],[0]!Category,"beverage")&gt;0),"combo","single")</f>
        <v>single</v>
      </c>
      <c r="O130" t="str">
        <f>IF((Table3[[#This Row],[LineAmount]]/(1-Table3[[#This Row],[DiscountPct]]))*Table3[[#This Row],[DiscountPct]]&gt;40,"High Disc","OK")</f>
        <v>OK</v>
      </c>
    </row>
    <row r="131" spans="1:15" x14ac:dyDescent="0.3">
      <c r="A131" t="s">
        <v>167</v>
      </c>
      <c r="B131" s="7">
        <v>45850.32675925926</v>
      </c>
      <c r="C131" t="s">
        <v>27</v>
      </c>
      <c r="D131" t="s">
        <v>16</v>
      </c>
      <c r="E131" t="s">
        <v>21</v>
      </c>
      <c r="F131" t="s">
        <v>12</v>
      </c>
      <c r="G131">
        <v>0.03</v>
      </c>
      <c r="H131" s="3">
        <f t="shared" ref="H131:H194" si="2">INT($B131)</f>
        <v>45850</v>
      </c>
      <c r="I131" t="str">
        <f>IF(COUNTIFS([0]!OrderID,Table3[[#This Row],[OrderID]],[0]!Category,"beverage")&gt;0,"yes","no")</f>
        <v>no</v>
      </c>
      <c r="J131">
        <f>SUMIFS([0]!LineNetAmount,[0]!OrderID,Table3[[#This Row],[OrderID]])</f>
        <v>404.48029999999994</v>
      </c>
      <c r="K131" t="str" cm="1">
        <f t="array" ref="K131">_xlfn.TEXTJOIN("+",,_xlfn._xlws.SORT(_xlfn.UNIQUE(_xlfn._xlws.FILTER([0]!Category,[0]!OrderID=Table3[[#This Row],[OrderID]]))))</f>
        <v>Dessert+Snack</v>
      </c>
      <c r="L131" s="39">
        <f>SUMIFS([0]!FoodCost,[0]!OrderID,Table3[[#This Row],[OrderID]])</f>
        <v>199.47</v>
      </c>
      <c r="M131" s="39">
        <f>Table3[[#This Row],[LineAmount]]-Table3[[#This Row],[TotalCost]]</f>
        <v>205.01029999999994</v>
      </c>
      <c r="N131" t="str">
        <f>IF(AND(COUNTIFS([0]!OrderID,Table3[[#This Row],[OrderID]],[0]!Category,"hot meal")&gt;0,COUNTIFS([0]!OrderID,Table3[[#This Row],[OrderID]],[0]!Category,"beverage")&gt;0),"combo","single")</f>
        <v>single</v>
      </c>
      <c r="O131" t="str">
        <f>IF((Table3[[#This Row],[LineAmount]]/(1-Table3[[#This Row],[DiscountPct]]))*Table3[[#This Row],[DiscountPct]]&gt;40,"High Disc","OK")</f>
        <v>OK</v>
      </c>
    </row>
    <row r="132" spans="1:15" x14ac:dyDescent="0.3">
      <c r="A132" t="s">
        <v>168</v>
      </c>
      <c r="B132" s="7">
        <v>45895.273194444453</v>
      </c>
      <c r="C132" t="s">
        <v>9</v>
      </c>
      <c r="D132" t="s">
        <v>10</v>
      </c>
      <c r="E132" t="s">
        <v>17</v>
      </c>
      <c r="F132" t="s">
        <v>12</v>
      </c>
      <c r="G132">
        <v>0.06</v>
      </c>
      <c r="H132" s="3">
        <f t="shared" si="2"/>
        <v>45895</v>
      </c>
      <c r="I132" t="str">
        <f>IF(COUNTIFS([0]!OrderID,Table3[[#This Row],[OrderID]],[0]!Category,"beverage")&gt;0,"yes","no")</f>
        <v>yes</v>
      </c>
      <c r="J132">
        <f>SUMIFS([0]!LineNetAmount,[0]!OrderID,Table3[[#This Row],[OrderID]])</f>
        <v>593.14</v>
      </c>
      <c r="K132" t="str" cm="1">
        <f t="array" ref="K132">_xlfn.TEXTJOIN("+",,_xlfn._xlws.SORT(_xlfn.UNIQUE(_xlfn._xlws.FILTER([0]!Category,[0]!OrderID=Table3[[#This Row],[OrderID]]))))</f>
        <v>Beverage+Hot Meal</v>
      </c>
      <c r="L132" s="39">
        <f>SUMIFS([0]!FoodCost,[0]!OrderID,Table3[[#This Row],[OrderID]])</f>
        <v>304.01</v>
      </c>
      <c r="M132" s="39">
        <f>Table3[[#This Row],[LineAmount]]-Table3[[#This Row],[TotalCost]]</f>
        <v>289.13</v>
      </c>
      <c r="N132" t="str">
        <f>IF(AND(COUNTIFS([0]!OrderID,Table3[[#This Row],[OrderID]],[0]!Category,"hot meal")&gt;0,COUNTIFS([0]!OrderID,Table3[[#This Row],[OrderID]],[0]!Category,"beverage")&gt;0),"combo","single")</f>
        <v>combo</v>
      </c>
      <c r="O132" t="str">
        <f>IF((Table3[[#This Row],[LineAmount]]/(1-Table3[[#This Row],[DiscountPct]]))*Table3[[#This Row],[DiscountPct]]&gt;40,"High Disc","OK")</f>
        <v>OK</v>
      </c>
    </row>
    <row r="133" spans="1:15" x14ac:dyDescent="0.3">
      <c r="A133" t="s">
        <v>169</v>
      </c>
      <c r="B133" s="7">
        <v>45853.735648148147</v>
      </c>
      <c r="C133" t="s">
        <v>9</v>
      </c>
      <c r="D133" t="s">
        <v>16</v>
      </c>
      <c r="E133" t="s">
        <v>17</v>
      </c>
      <c r="F133" t="s">
        <v>18</v>
      </c>
      <c r="G133">
        <v>7.0000000000000007E-2</v>
      </c>
      <c r="H133" s="3">
        <f t="shared" si="2"/>
        <v>45853</v>
      </c>
      <c r="I133" t="str">
        <f>IF(COUNTIFS([0]!OrderID,Table3[[#This Row],[OrderID]],[0]!Category,"beverage")&gt;0,"yes","no")</f>
        <v>no</v>
      </c>
      <c r="J133">
        <f>SUMIFS([0]!LineNetAmount,[0]!OrderID,Table3[[#This Row],[OrderID]])</f>
        <v>456.17430000000002</v>
      </c>
      <c r="K133" t="str" cm="1">
        <f t="array" ref="K133">_xlfn.TEXTJOIN("+",,_xlfn._xlws.SORT(_xlfn.UNIQUE(_xlfn._xlws.FILTER([0]!Category,[0]!OrderID=Table3[[#This Row],[OrderID]]))))</f>
        <v>Dessert+Hot Meal</v>
      </c>
      <c r="L133" s="39">
        <f>SUMIFS([0]!FoodCost,[0]!OrderID,Table3[[#This Row],[OrderID]])</f>
        <v>219.18</v>
      </c>
      <c r="M133" s="39">
        <f>Table3[[#This Row],[LineAmount]]-Table3[[#This Row],[TotalCost]]</f>
        <v>236.99430000000001</v>
      </c>
      <c r="N133" t="str">
        <f>IF(AND(COUNTIFS([0]!OrderID,Table3[[#This Row],[OrderID]],[0]!Category,"hot meal")&gt;0,COUNTIFS([0]!OrderID,Table3[[#This Row],[OrderID]],[0]!Category,"beverage")&gt;0),"combo","single")</f>
        <v>single</v>
      </c>
      <c r="O133" t="str">
        <f>IF((Table3[[#This Row],[LineAmount]]/(1-Table3[[#This Row],[DiscountPct]]))*Table3[[#This Row],[DiscountPct]]&gt;40,"High Disc","OK")</f>
        <v>OK</v>
      </c>
    </row>
    <row r="134" spans="1:15" x14ac:dyDescent="0.3">
      <c r="A134" t="s">
        <v>170</v>
      </c>
      <c r="B134" s="7">
        <v>45850.750497685192</v>
      </c>
      <c r="C134" t="s">
        <v>9</v>
      </c>
      <c r="D134" t="s">
        <v>16</v>
      </c>
      <c r="E134" t="s">
        <v>11</v>
      </c>
      <c r="F134" t="s">
        <v>18</v>
      </c>
      <c r="G134">
        <v>7.0000000000000007E-2</v>
      </c>
      <c r="H134" s="3">
        <f t="shared" si="2"/>
        <v>45850</v>
      </c>
      <c r="I134" t="str">
        <f>IF(COUNTIFS([0]!OrderID,Table3[[#This Row],[OrderID]],[0]!Category,"beverage")&gt;0,"yes","no")</f>
        <v>yes</v>
      </c>
      <c r="J134">
        <f>SUMIFS([0]!LineNetAmount,[0]!OrderID,Table3[[#This Row],[OrderID]])</f>
        <v>349.8381</v>
      </c>
      <c r="K134" t="str" cm="1">
        <f t="array" ref="K134">_xlfn.TEXTJOIN("+",,_xlfn._xlws.SORT(_xlfn.UNIQUE(_xlfn._xlws.FILTER([0]!Category,[0]!OrderID=Table3[[#This Row],[OrderID]]))))</f>
        <v>Beverage+Dessert</v>
      </c>
      <c r="L134" s="39">
        <f>SUMIFS([0]!FoodCost,[0]!OrderID,Table3[[#This Row],[OrderID]])</f>
        <v>170.11</v>
      </c>
      <c r="M134" s="39">
        <f>Table3[[#This Row],[LineAmount]]-Table3[[#This Row],[TotalCost]]</f>
        <v>179.72809999999998</v>
      </c>
      <c r="N134" t="str">
        <f>IF(AND(COUNTIFS([0]!OrderID,Table3[[#This Row],[OrderID]],[0]!Category,"hot meal")&gt;0,COUNTIFS([0]!OrderID,Table3[[#This Row],[OrderID]],[0]!Category,"beverage")&gt;0),"combo","single")</f>
        <v>single</v>
      </c>
      <c r="O134" t="str">
        <f>IF((Table3[[#This Row],[LineAmount]]/(1-Table3[[#This Row],[DiscountPct]]))*Table3[[#This Row],[DiscountPct]]&gt;40,"High Disc","OK")</f>
        <v>OK</v>
      </c>
    </row>
    <row r="135" spans="1:15" x14ac:dyDescent="0.3">
      <c r="A135" t="s">
        <v>171</v>
      </c>
      <c r="B135" s="7">
        <v>45889.986759259264</v>
      </c>
      <c r="C135" t="s">
        <v>15</v>
      </c>
      <c r="D135" t="s">
        <v>16</v>
      </c>
      <c r="E135" t="s">
        <v>21</v>
      </c>
      <c r="F135" t="s">
        <v>18</v>
      </c>
      <c r="G135">
        <v>0.09</v>
      </c>
      <c r="H135" s="3">
        <f t="shared" si="2"/>
        <v>45889</v>
      </c>
      <c r="I135" t="str">
        <f>IF(COUNTIFS([0]!OrderID,Table3[[#This Row],[OrderID]],[0]!Category,"beverage")&gt;0,"yes","no")</f>
        <v>yes</v>
      </c>
      <c r="J135">
        <f>SUMIFS([0]!LineNetAmount,[0]!OrderID,Table3[[#This Row],[OrderID]])</f>
        <v>90.035399999999996</v>
      </c>
      <c r="K135" t="str" cm="1">
        <f t="array" ref="K135">_xlfn.TEXTJOIN("+",,_xlfn._xlws.SORT(_xlfn.UNIQUE(_xlfn._xlws.FILTER([0]!Category,[0]!OrderID=Table3[[#This Row],[OrderID]]))))</f>
        <v>Beverage</v>
      </c>
      <c r="L135" s="39">
        <f>SUMIFS([0]!FoodCost,[0]!OrderID,Table3[[#This Row],[OrderID]])</f>
        <v>35.519999999999996</v>
      </c>
      <c r="M135" s="39">
        <f>Table3[[#This Row],[LineAmount]]-Table3[[#This Row],[TotalCost]]</f>
        <v>54.5154</v>
      </c>
      <c r="N135" t="str">
        <f>IF(AND(COUNTIFS([0]!OrderID,Table3[[#This Row],[OrderID]],[0]!Category,"hot meal")&gt;0,COUNTIFS([0]!OrderID,Table3[[#This Row],[OrderID]],[0]!Category,"beverage")&gt;0),"combo","single")</f>
        <v>single</v>
      </c>
      <c r="O135" t="str">
        <f>IF((Table3[[#This Row],[LineAmount]]/(1-Table3[[#This Row],[DiscountPct]]))*Table3[[#This Row],[DiscountPct]]&gt;40,"High Disc","OK")</f>
        <v>OK</v>
      </c>
    </row>
    <row r="136" spans="1:15" x14ac:dyDescent="0.3">
      <c r="A136" t="s">
        <v>172</v>
      </c>
      <c r="B136" s="7">
        <v>45896.390115740738</v>
      </c>
      <c r="C136" t="s">
        <v>15</v>
      </c>
      <c r="D136" t="s">
        <v>16</v>
      </c>
      <c r="E136" t="s">
        <v>11</v>
      </c>
      <c r="F136" t="s">
        <v>12</v>
      </c>
      <c r="G136">
        <v>0.06</v>
      </c>
      <c r="H136" s="3">
        <f t="shared" si="2"/>
        <v>45896</v>
      </c>
      <c r="I136" t="str">
        <f>IF(COUNTIFS([0]!OrderID,Table3[[#This Row],[OrderID]],[0]!Category,"beverage")&gt;0,"yes","no")</f>
        <v>yes</v>
      </c>
      <c r="J136">
        <f>SUMIFS([0]!LineNetAmount,[0]!OrderID,Table3[[#This Row],[OrderID]])</f>
        <v>188.19739999999999</v>
      </c>
      <c r="K136" t="str" cm="1">
        <f t="array" ref="K136">_xlfn.TEXTJOIN("+",,_xlfn._xlws.SORT(_xlfn.UNIQUE(_xlfn._xlws.FILTER([0]!Category,[0]!OrderID=Table3[[#This Row],[OrderID]]))))</f>
        <v>Beverage+Dessert</v>
      </c>
      <c r="L136" s="39">
        <f>SUMIFS([0]!FoodCost,[0]!OrderID,Table3[[#This Row],[OrderID]])</f>
        <v>89.960000000000008</v>
      </c>
      <c r="M136" s="39">
        <f>Table3[[#This Row],[LineAmount]]-Table3[[#This Row],[TotalCost]]</f>
        <v>98.23739999999998</v>
      </c>
      <c r="N136" t="str">
        <f>IF(AND(COUNTIFS([0]!OrderID,Table3[[#This Row],[OrderID]],[0]!Category,"hot meal")&gt;0,COUNTIFS([0]!OrderID,Table3[[#This Row],[OrderID]],[0]!Category,"beverage")&gt;0),"combo","single")</f>
        <v>single</v>
      </c>
      <c r="O136" t="str">
        <f>IF((Table3[[#This Row],[LineAmount]]/(1-Table3[[#This Row],[DiscountPct]]))*Table3[[#This Row],[DiscountPct]]&gt;40,"High Disc","OK")</f>
        <v>OK</v>
      </c>
    </row>
    <row r="137" spans="1:15" x14ac:dyDescent="0.3">
      <c r="A137" t="s">
        <v>173</v>
      </c>
      <c r="B137" s="7">
        <v>45898.439282407409</v>
      </c>
      <c r="C137" t="s">
        <v>9</v>
      </c>
      <c r="D137" t="s">
        <v>28</v>
      </c>
      <c r="E137" t="s">
        <v>17</v>
      </c>
      <c r="F137" t="s">
        <v>12</v>
      </c>
      <c r="G137">
        <v>0.12</v>
      </c>
      <c r="H137" s="3">
        <f t="shared" si="2"/>
        <v>45898</v>
      </c>
      <c r="I137" t="str">
        <f>IF(COUNTIFS([0]!OrderID,Table3[[#This Row],[OrderID]],[0]!Category,"beverage")&gt;0,"yes","no")</f>
        <v>no</v>
      </c>
      <c r="J137">
        <f>SUMIFS([0]!LineNetAmount,[0]!OrderID,Table3[[#This Row],[OrderID]])</f>
        <v>492.90560000000005</v>
      </c>
      <c r="K137" t="str" cm="1">
        <f t="array" ref="K137">_xlfn.TEXTJOIN("+",,_xlfn._xlws.SORT(_xlfn.UNIQUE(_xlfn._xlws.FILTER([0]!Category,[0]!OrderID=Table3[[#This Row],[OrderID]]))))</f>
        <v>Hot Meal+Snack</v>
      </c>
      <c r="L137" s="39">
        <f>SUMIFS([0]!FoodCost,[0]!OrderID,Table3[[#This Row],[OrderID]])</f>
        <v>244.04</v>
      </c>
      <c r="M137" s="39">
        <f>Table3[[#This Row],[LineAmount]]-Table3[[#This Row],[TotalCost]]</f>
        <v>248.86560000000006</v>
      </c>
      <c r="N137" t="str">
        <f>IF(AND(COUNTIFS([0]!OrderID,Table3[[#This Row],[OrderID]],[0]!Category,"hot meal")&gt;0,COUNTIFS([0]!OrderID,Table3[[#This Row],[OrderID]],[0]!Category,"beverage")&gt;0),"combo","single")</f>
        <v>single</v>
      </c>
      <c r="O137" t="str">
        <f>IF((Table3[[#This Row],[LineAmount]]/(1-Table3[[#This Row],[DiscountPct]]))*Table3[[#This Row],[DiscountPct]]&gt;40,"High Disc","OK")</f>
        <v>High Disc</v>
      </c>
    </row>
    <row r="138" spans="1:15" x14ac:dyDescent="0.3">
      <c r="A138" t="s">
        <v>174</v>
      </c>
      <c r="B138" s="7">
        <v>45864.94458333333</v>
      </c>
      <c r="C138" t="s">
        <v>9</v>
      </c>
      <c r="D138" t="s">
        <v>28</v>
      </c>
      <c r="E138" t="s">
        <v>17</v>
      </c>
      <c r="F138" t="s">
        <v>18</v>
      </c>
      <c r="G138">
        <v>0.05</v>
      </c>
      <c r="H138" s="3">
        <f t="shared" si="2"/>
        <v>45864</v>
      </c>
      <c r="I138" t="str">
        <f>IF(COUNTIFS([0]!OrderID,Table3[[#This Row],[OrderID]],[0]!Category,"beverage")&gt;0,"yes","no")</f>
        <v>yes</v>
      </c>
      <c r="J138">
        <f>SUMIFS([0]!LineNetAmount,[0]!OrderID,Table3[[#This Row],[OrderID]])</f>
        <v>299.93399999999997</v>
      </c>
      <c r="K138" t="str" cm="1">
        <f t="array" ref="K138">_xlfn.TEXTJOIN("+",,_xlfn._xlws.SORT(_xlfn.UNIQUE(_xlfn._xlws.FILTER([0]!Category,[0]!OrderID=Table3[[#This Row],[OrderID]]))))</f>
        <v>Beverage+Dessert+Hot Meal</v>
      </c>
      <c r="L138" s="39">
        <f>SUMIFS([0]!FoodCost,[0]!OrderID,Table3[[#This Row],[OrderID]])</f>
        <v>160.42000000000002</v>
      </c>
      <c r="M138" s="39">
        <f>Table3[[#This Row],[LineAmount]]-Table3[[#This Row],[TotalCost]]</f>
        <v>139.51399999999995</v>
      </c>
      <c r="N138" t="str">
        <f>IF(AND(COUNTIFS([0]!OrderID,Table3[[#This Row],[OrderID]],[0]!Category,"hot meal")&gt;0,COUNTIFS([0]!OrderID,Table3[[#This Row],[OrderID]],[0]!Category,"beverage")&gt;0),"combo","single")</f>
        <v>combo</v>
      </c>
      <c r="O138" t="str">
        <f>IF((Table3[[#This Row],[LineAmount]]/(1-Table3[[#This Row],[DiscountPct]]))*Table3[[#This Row],[DiscountPct]]&gt;40,"High Disc","OK")</f>
        <v>OK</v>
      </c>
    </row>
    <row r="139" spans="1:15" x14ac:dyDescent="0.3">
      <c r="A139" t="s">
        <v>175</v>
      </c>
      <c r="B139" s="7">
        <v>45856.125613425917</v>
      </c>
      <c r="C139" t="s">
        <v>9</v>
      </c>
      <c r="D139" t="s">
        <v>28</v>
      </c>
      <c r="E139" t="s">
        <v>17</v>
      </c>
      <c r="F139" t="s">
        <v>12</v>
      </c>
      <c r="G139">
        <v>0.17</v>
      </c>
      <c r="H139" s="3">
        <f t="shared" si="2"/>
        <v>45856</v>
      </c>
      <c r="I139" t="str">
        <f>IF(COUNTIFS([0]!OrderID,Table3[[#This Row],[OrderID]],[0]!Category,"beverage")&gt;0,"yes","no")</f>
        <v>no</v>
      </c>
      <c r="J139">
        <f>SUMIFS([0]!LineNetAmount,[0]!OrderID,Table3[[#This Row],[OrderID]])</f>
        <v>83.315399999999997</v>
      </c>
      <c r="K139" t="str" cm="1">
        <f t="array" ref="K139">_xlfn.TEXTJOIN("+",,_xlfn._xlws.SORT(_xlfn.UNIQUE(_xlfn._xlws.FILTER([0]!Category,[0]!OrderID=Table3[[#This Row],[OrderID]]))))</f>
        <v>Snack</v>
      </c>
      <c r="L139" s="39">
        <f>SUMIFS([0]!FoodCost,[0]!OrderID,Table3[[#This Row],[OrderID]])</f>
        <v>45.22</v>
      </c>
      <c r="M139" s="39">
        <f>Table3[[#This Row],[LineAmount]]-Table3[[#This Row],[TotalCost]]</f>
        <v>38.095399999999998</v>
      </c>
      <c r="N139" t="str">
        <f>IF(AND(COUNTIFS([0]!OrderID,Table3[[#This Row],[OrderID]],[0]!Category,"hot meal")&gt;0,COUNTIFS([0]!OrderID,Table3[[#This Row],[OrderID]],[0]!Category,"beverage")&gt;0),"combo","single")</f>
        <v>single</v>
      </c>
      <c r="O139" t="str">
        <f>IF((Table3[[#This Row],[LineAmount]]/(1-Table3[[#This Row],[DiscountPct]]))*Table3[[#This Row],[DiscountPct]]&gt;40,"High Disc","OK")</f>
        <v>OK</v>
      </c>
    </row>
    <row r="140" spans="1:15" x14ac:dyDescent="0.3">
      <c r="A140" t="s">
        <v>176</v>
      </c>
      <c r="B140" s="7">
        <v>45878.913113425922</v>
      </c>
      <c r="C140" t="s">
        <v>15</v>
      </c>
      <c r="D140" t="s">
        <v>10</v>
      </c>
      <c r="E140" t="s">
        <v>11</v>
      </c>
      <c r="F140" t="s">
        <v>18</v>
      </c>
      <c r="G140">
        <v>0.09</v>
      </c>
      <c r="H140" s="3">
        <f t="shared" si="2"/>
        <v>45878</v>
      </c>
      <c r="I140" t="str">
        <f>IF(COUNTIFS([0]!OrderID,Table3[[#This Row],[OrderID]],[0]!Category,"beverage")&gt;0,"yes","no")</f>
        <v>no</v>
      </c>
      <c r="J140">
        <f>SUMIFS([0]!LineNetAmount,[0]!OrderID,Table3[[#This Row],[OrderID]])</f>
        <v>661.30610000000001</v>
      </c>
      <c r="K140" t="str" cm="1">
        <f t="array" ref="K140">_xlfn.TEXTJOIN("+",,_xlfn._xlws.SORT(_xlfn.UNIQUE(_xlfn._xlws.FILTER([0]!Category,[0]!OrderID=Table3[[#This Row],[OrderID]]))))</f>
        <v>Dessert+Hot Meal+Snack</v>
      </c>
      <c r="L140" s="39">
        <f>SUMIFS([0]!FoodCost,[0]!OrderID,Table3[[#This Row],[OrderID]])</f>
        <v>328.12</v>
      </c>
      <c r="M140" s="39">
        <f>Table3[[#This Row],[LineAmount]]-Table3[[#This Row],[TotalCost]]</f>
        <v>333.18610000000001</v>
      </c>
      <c r="N140" t="str">
        <f>IF(AND(COUNTIFS([0]!OrderID,Table3[[#This Row],[OrderID]],[0]!Category,"hot meal")&gt;0,COUNTIFS([0]!OrderID,Table3[[#This Row],[OrderID]],[0]!Category,"beverage")&gt;0),"combo","single")</f>
        <v>single</v>
      </c>
      <c r="O140" t="str">
        <f>IF((Table3[[#This Row],[LineAmount]]/(1-Table3[[#This Row],[DiscountPct]]))*Table3[[#This Row],[DiscountPct]]&gt;40,"High Disc","OK")</f>
        <v>High Disc</v>
      </c>
    </row>
    <row r="141" spans="1:15" x14ac:dyDescent="0.3">
      <c r="A141" t="s">
        <v>177</v>
      </c>
      <c r="B141" s="7">
        <v>45867.52847222222</v>
      </c>
      <c r="C141" t="s">
        <v>27</v>
      </c>
      <c r="D141" t="s">
        <v>28</v>
      </c>
      <c r="E141" t="s">
        <v>21</v>
      </c>
      <c r="F141" t="s">
        <v>22</v>
      </c>
      <c r="G141">
        <v>0.03</v>
      </c>
      <c r="H141" s="3">
        <f t="shared" si="2"/>
        <v>45867</v>
      </c>
      <c r="I141" t="str">
        <f>IF(COUNTIFS([0]!OrderID,Table3[[#This Row],[OrderID]],[0]!Category,"beverage")&gt;0,"yes","no")</f>
        <v>yes</v>
      </c>
      <c r="J141">
        <f>SUMIFS([0]!LineNetAmount,[0]!OrderID,Table3[[#This Row],[OrderID]])</f>
        <v>310.73950000000002</v>
      </c>
      <c r="K141" t="str" cm="1">
        <f t="array" ref="K141">_xlfn.TEXTJOIN("+",,_xlfn._xlws.SORT(_xlfn.UNIQUE(_xlfn._xlws.FILTER([0]!Category,[0]!OrderID=Table3[[#This Row],[OrderID]]))))</f>
        <v>Beverage+Snack</v>
      </c>
      <c r="L141" s="39">
        <f>SUMIFS([0]!FoodCost,[0]!OrderID,Table3[[#This Row],[OrderID]])</f>
        <v>147.13</v>
      </c>
      <c r="M141" s="39">
        <f>Table3[[#This Row],[LineAmount]]-Table3[[#This Row],[TotalCost]]</f>
        <v>163.60950000000003</v>
      </c>
      <c r="N141" t="str">
        <f>IF(AND(COUNTIFS([0]!OrderID,Table3[[#This Row],[OrderID]],[0]!Category,"hot meal")&gt;0,COUNTIFS([0]!OrderID,Table3[[#This Row],[OrderID]],[0]!Category,"beverage")&gt;0),"combo","single")</f>
        <v>single</v>
      </c>
      <c r="O141" t="str">
        <f>IF((Table3[[#This Row],[LineAmount]]/(1-Table3[[#This Row],[DiscountPct]]))*Table3[[#This Row],[DiscountPct]]&gt;40,"High Disc","OK")</f>
        <v>OK</v>
      </c>
    </row>
    <row r="142" spans="1:15" x14ac:dyDescent="0.3">
      <c r="A142" t="s">
        <v>178</v>
      </c>
      <c r="B142" s="7">
        <v>45883.332060185188</v>
      </c>
      <c r="C142" t="s">
        <v>27</v>
      </c>
      <c r="D142" t="s">
        <v>10</v>
      </c>
      <c r="E142" t="s">
        <v>17</v>
      </c>
      <c r="F142" t="s">
        <v>12</v>
      </c>
      <c r="G142">
        <v>0.02</v>
      </c>
      <c r="H142" s="3">
        <f t="shared" si="2"/>
        <v>45883</v>
      </c>
      <c r="I142" t="str">
        <f>IF(COUNTIFS([0]!OrderID,Table3[[#This Row],[OrderID]],[0]!Category,"beverage")&gt;0,"yes","no")</f>
        <v>yes</v>
      </c>
      <c r="J142">
        <f>SUMIFS([0]!LineNetAmount,[0]!OrderID,Table3[[#This Row],[OrderID]])</f>
        <v>79.2624</v>
      </c>
      <c r="K142" t="str" cm="1">
        <f t="array" ref="K142">_xlfn.TEXTJOIN("+",,_xlfn._xlws.SORT(_xlfn.UNIQUE(_xlfn._xlws.FILTER([0]!Category,[0]!OrderID=Table3[[#This Row],[OrderID]]))))</f>
        <v>Beverage+Snack</v>
      </c>
      <c r="L142" s="39">
        <f>SUMIFS([0]!FoodCost,[0]!OrderID,Table3[[#This Row],[OrderID]])</f>
        <v>39.69</v>
      </c>
      <c r="M142" s="39">
        <f>Table3[[#This Row],[LineAmount]]-Table3[[#This Row],[TotalCost]]</f>
        <v>39.572400000000002</v>
      </c>
      <c r="N142" t="str">
        <f>IF(AND(COUNTIFS([0]!OrderID,Table3[[#This Row],[OrderID]],[0]!Category,"hot meal")&gt;0,COUNTIFS([0]!OrderID,Table3[[#This Row],[OrderID]],[0]!Category,"beverage")&gt;0),"combo","single")</f>
        <v>single</v>
      </c>
      <c r="O142" t="str">
        <f>IF((Table3[[#This Row],[LineAmount]]/(1-Table3[[#This Row],[DiscountPct]]))*Table3[[#This Row],[DiscountPct]]&gt;40,"High Disc","OK")</f>
        <v>OK</v>
      </c>
    </row>
    <row r="143" spans="1:15" x14ac:dyDescent="0.3">
      <c r="A143" t="s">
        <v>179</v>
      </c>
      <c r="B143" s="7">
        <v>45896.512881944444</v>
      </c>
      <c r="C143" t="s">
        <v>9</v>
      </c>
      <c r="D143" t="s">
        <v>28</v>
      </c>
      <c r="E143" t="s">
        <v>21</v>
      </c>
      <c r="F143" t="s">
        <v>22</v>
      </c>
      <c r="G143">
        <v>0.08</v>
      </c>
      <c r="H143" s="3">
        <f t="shared" si="2"/>
        <v>45896</v>
      </c>
      <c r="I143" t="str">
        <f>IF(COUNTIFS([0]!OrderID,Table3[[#This Row],[OrderID]],[0]!Category,"beverage")&gt;0,"yes","no")</f>
        <v>yes</v>
      </c>
      <c r="J143">
        <f>SUMIFS([0]!LineNetAmount,[0]!OrderID,Table3[[#This Row],[OrderID]])</f>
        <v>164.67999999999998</v>
      </c>
      <c r="K143" t="str" cm="1">
        <f t="array" ref="K143">_xlfn.TEXTJOIN("+",,_xlfn._xlws.SORT(_xlfn.UNIQUE(_xlfn._xlws.FILTER([0]!Category,[0]!OrderID=Table3[[#This Row],[OrderID]]))))</f>
        <v>Beverage+Snack</v>
      </c>
      <c r="L143" s="39">
        <f>SUMIFS([0]!FoodCost,[0]!OrderID,Table3[[#This Row],[OrderID]])</f>
        <v>81.72</v>
      </c>
      <c r="M143" s="39">
        <f>Table3[[#This Row],[LineAmount]]-Table3[[#This Row],[TotalCost]]</f>
        <v>82.95999999999998</v>
      </c>
      <c r="N143" t="str">
        <f>IF(AND(COUNTIFS([0]!OrderID,Table3[[#This Row],[OrderID]],[0]!Category,"hot meal")&gt;0,COUNTIFS([0]!OrderID,Table3[[#This Row],[OrderID]],[0]!Category,"beverage")&gt;0),"combo","single")</f>
        <v>single</v>
      </c>
      <c r="O143" t="str">
        <f>IF((Table3[[#This Row],[LineAmount]]/(1-Table3[[#This Row],[DiscountPct]]))*Table3[[#This Row],[DiscountPct]]&gt;40,"High Disc","OK")</f>
        <v>OK</v>
      </c>
    </row>
    <row r="144" spans="1:15" x14ac:dyDescent="0.3">
      <c r="A144" t="s">
        <v>180</v>
      </c>
      <c r="B144" s="7">
        <v>45892.121759259258</v>
      </c>
      <c r="C144" t="s">
        <v>27</v>
      </c>
      <c r="D144" t="s">
        <v>10</v>
      </c>
      <c r="E144" t="s">
        <v>17</v>
      </c>
      <c r="F144" t="s">
        <v>12</v>
      </c>
      <c r="G144">
        <v>0.05</v>
      </c>
      <c r="H144" s="3">
        <f t="shared" si="2"/>
        <v>45892</v>
      </c>
      <c r="I144" t="str">
        <f>IF(COUNTIFS([0]!OrderID,Table3[[#This Row],[OrderID]],[0]!Category,"beverage")&gt;0,"yes","no")</f>
        <v>yes</v>
      </c>
      <c r="J144">
        <f>SUMIFS([0]!LineNetAmount,[0]!OrderID,Table3[[#This Row],[OrderID]])</f>
        <v>38.208999999999996</v>
      </c>
      <c r="K144" t="str" cm="1">
        <f t="array" ref="K144">_xlfn.TEXTJOIN("+",,_xlfn._xlws.SORT(_xlfn.UNIQUE(_xlfn._xlws.FILTER([0]!Category,[0]!OrderID=Table3[[#This Row],[OrderID]]))))</f>
        <v>Beverage</v>
      </c>
      <c r="L144" s="39">
        <f>SUMIFS([0]!FoodCost,[0]!OrderID,Table3[[#This Row],[OrderID]])</f>
        <v>16</v>
      </c>
      <c r="M144" s="39">
        <f>Table3[[#This Row],[LineAmount]]-Table3[[#This Row],[TotalCost]]</f>
        <v>22.208999999999996</v>
      </c>
      <c r="N144" t="str">
        <f>IF(AND(COUNTIFS([0]!OrderID,Table3[[#This Row],[OrderID]],[0]!Category,"hot meal")&gt;0,COUNTIFS([0]!OrderID,Table3[[#This Row],[OrderID]],[0]!Category,"beverage")&gt;0),"combo","single")</f>
        <v>single</v>
      </c>
      <c r="O144" t="str">
        <f>IF((Table3[[#This Row],[LineAmount]]/(1-Table3[[#This Row],[DiscountPct]]))*Table3[[#This Row],[DiscountPct]]&gt;40,"High Disc","OK")</f>
        <v>OK</v>
      </c>
    </row>
    <row r="145" spans="1:15" x14ac:dyDescent="0.3">
      <c r="A145" t="s">
        <v>181</v>
      </c>
      <c r="B145" s="7">
        <v>45853.05976851852</v>
      </c>
      <c r="C145" t="s">
        <v>27</v>
      </c>
      <c r="D145" t="s">
        <v>28</v>
      </c>
      <c r="E145" t="s">
        <v>17</v>
      </c>
      <c r="F145" t="s">
        <v>12</v>
      </c>
      <c r="G145">
        <v>0.09</v>
      </c>
      <c r="H145" s="3">
        <f t="shared" si="2"/>
        <v>45853</v>
      </c>
      <c r="I145" t="str">
        <f>IF(COUNTIFS([0]!OrderID,Table3[[#This Row],[OrderID]],[0]!Category,"beverage")&gt;0,"yes","no")</f>
        <v>no</v>
      </c>
      <c r="J145">
        <f>SUMIFS([0]!LineNetAmount,[0]!OrderID,Table3[[#This Row],[OrderID]])</f>
        <v>47.729500000000002</v>
      </c>
      <c r="K145" t="str" cm="1">
        <f t="array" ref="K145">_xlfn.TEXTJOIN("+",,_xlfn._xlws.SORT(_xlfn.UNIQUE(_xlfn._xlws.FILTER([0]!Category,[0]!OrderID=Table3[[#This Row],[OrderID]]))))</f>
        <v>Snack</v>
      </c>
      <c r="L145" s="39">
        <f>SUMIFS([0]!FoodCost,[0]!OrderID,Table3[[#This Row],[OrderID]])</f>
        <v>25.8</v>
      </c>
      <c r="M145" s="39">
        <f>Table3[[#This Row],[LineAmount]]-Table3[[#This Row],[TotalCost]]</f>
        <v>21.929500000000001</v>
      </c>
      <c r="N145" t="str">
        <f>IF(AND(COUNTIFS([0]!OrderID,Table3[[#This Row],[OrderID]],[0]!Category,"hot meal")&gt;0,COUNTIFS([0]!OrderID,Table3[[#This Row],[OrderID]],[0]!Category,"beverage")&gt;0),"combo","single")</f>
        <v>single</v>
      </c>
      <c r="O145" t="str">
        <f>IF((Table3[[#This Row],[LineAmount]]/(1-Table3[[#This Row],[DiscountPct]]))*Table3[[#This Row],[DiscountPct]]&gt;40,"High Disc","OK")</f>
        <v>OK</v>
      </c>
    </row>
    <row r="146" spans="1:15" x14ac:dyDescent="0.3">
      <c r="A146" t="s">
        <v>182</v>
      </c>
      <c r="B146" s="7">
        <v>45897.023043981477</v>
      </c>
      <c r="C146" t="s">
        <v>9</v>
      </c>
      <c r="D146" t="s">
        <v>10</v>
      </c>
      <c r="E146" t="s">
        <v>21</v>
      </c>
      <c r="F146" t="s">
        <v>12</v>
      </c>
      <c r="G146">
        <v>0.08</v>
      </c>
      <c r="H146" s="3">
        <f t="shared" si="2"/>
        <v>45897</v>
      </c>
      <c r="I146" t="str">
        <f>IF(COUNTIFS([0]!OrderID,Table3[[#This Row],[OrderID]],[0]!Category,"beverage")&gt;0,"yes","no")</f>
        <v>yes</v>
      </c>
      <c r="J146">
        <f>SUMIFS([0]!LineNetAmount,[0]!OrderID,Table3[[#This Row],[OrderID]])</f>
        <v>328.09960000000001</v>
      </c>
      <c r="K146" t="str" cm="1">
        <f t="array" ref="K146">_xlfn.TEXTJOIN("+",,_xlfn._xlws.SORT(_xlfn.UNIQUE(_xlfn._xlws.FILTER([0]!Category,[0]!OrderID=Table3[[#This Row],[OrderID]]))))</f>
        <v>Beverage+Dessert</v>
      </c>
      <c r="L146" s="39">
        <f>SUMIFS([0]!FoodCost,[0]!OrderID,Table3[[#This Row],[OrderID]])</f>
        <v>150.76</v>
      </c>
      <c r="M146" s="39">
        <f>Table3[[#This Row],[LineAmount]]-Table3[[#This Row],[TotalCost]]</f>
        <v>177.33960000000002</v>
      </c>
      <c r="N146" t="str">
        <f>IF(AND(COUNTIFS([0]!OrderID,Table3[[#This Row],[OrderID]],[0]!Category,"hot meal")&gt;0,COUNTIFS([0]!OrderID,Table3[[#This Row],[OrderID]],[0]!Category,"beverage")&gt;0),"combo","single")</f>
        <v>single</v>
      </c>
      <c r="O146" t="str">
        <f>IF((Table3[[#This Row],[LineAmount]]/(1-Table3[[#This Row],[DiscountPct]]))*Table3[[#This Row],[DiscountPct]]&gt;40,"High Disc","OK")</f>
        <v>OK</v>
      </c>
    </row>
    <row r="147" spans="1:15" x14ac:dyDescent="0.3">
      <c r="A147" t="s">
        <v>183</v>
      </c>
      <c r="B147" s="7">
        <v>45851.323541666658</v>
      </c>
      <c r="C147" t="s">
        <v>15</v>
      </c>
      <c r="D147" t="s">
        <v>10</v>
      </c>
      <c r="E147" t="s">
        <v>21</v>
      </c>
      <c r="F147" t="s">
        <v>12</v>
      </c>
      <c r="G147">
        <v>0.06</v>
      </c>
      <c r="H147" s="3">
        <f t="shared" si="2"/>
        <v>45851</v>
      </c>
      <c r="I147" t="str">
        <f>IF(COUNTIFS([0]!OrderID,Table3[[#This Row],[OrderID]],[0]!Category,"beverage")&gt;0,"yes","no")</f>
        <v>yes</v>
      </c>
      <c r="J147">
        <f>SUMIFS([0]!LineNetAmount,[0]!OrderID,Table3[[#This Row],[OrderID]])</f>
        <v>1569.9879999999998</v>
      </c>
      <c r="K147" t="str" cm="1">
        <f t="array" ref="K147">_xlfn.TEXTJOIN("+",,_xlfn._xlws.SORT(_xlfn.UNIQUE(_xlfn._xlws.FILTER([0]!Category,[0]!OrderID=Table3[[#This Row],[OrderID]]))))</f>
        <v>Beverage+Dessert+Hot Meal</v>
      </c>
      <c r="L147" s="39">
        <f>SUMIFS([0]!FoodCost,[0]!OrderID,Table3[[#This Row],[OrderID]])</f>
        <v>767.68999999999994</v>
      </c>
      <c r="M147" s="39">
        <f>Table3[[#This Row],[LineAmount]]-Table3[[#This Row],[TotalCost]]</f>
        <v>802.29799999999989</v>
      </c>
      <c r="N147" t="str">
        <f>IF(AND(COUNTIFS([0]!OrderID,Table3[[#This Row],[OrderID]],[0]!Category,"hot meal")&gt;0,COUNTIFS([0]!OrderID,Table3[[#This Row],[OrderID]],[0]!Category,"beverage")&gt;0),"combo","single")</f>
        <v>combo</v>
      </c>
      <c r="O147" t="str">
        <f>IF((Table3[[#This Row],[LineAmount]]/(1-Table3[[#This Row],[DiscountPct]]))*Table3[[#This Row],[DiscountPct]]&gt;40,"High Disc","OK")</f>
        <v>High Disc</v>
      </c>
    </row>
    <row r="148" spans="1:15" x14ac:dyDescent="0.3">
      <c r="A148" t="s">
        <v>184</v>
      </c>
      <c r="B148" s="7">
        <v>45865.682476851849</v>
      </c>
      <c r="C148" t="s">
        <v>9</v>
      </c>
      <c r="D148" t="s">
        <v>10</v>
      </c>
      <c r="E148" t="s">
        <v>21</v>
      </c>
      <c r="F148" t="s">
        <v>18</v>
      </c>
      <c r="G148">
        <v>0.03</v>
      </c>
      <c r="H148" s="3">
        <f t="shared" si="2"/>
        <v>45865</v>
      </c>
      <c r="I148" t="str">
        <f>IF(COUNTIFS([0]!OrderID,Table3[[#This Row],[OrderID]],[0]!Category,"beverage")&gt;0,"yes","no")</f>
        <v>yes</v>
      </c>
      <c r="J148">
        <f>SUMIFS([0]!LineNetAmount,[0]!OrderID,Table3[[#This Row],[OrderID]])</f>
        <v>357.67779999999999</v>
      </c>
      <c r="K148" t="str" cm="1">
        <f t="array" ref="K148">_xlfn.TEXTJOIN("+",,_xlfn._xlws.SORT(_xlfn.UNIQUE(_xlfn._xlws.FILTER([0]!Category,[0]!OrderID=Table3[[#This Row],[OrderID]]))))</f>
        <v>Beverage+Hot Meal+Snack</v>
      </c>
      <c r="L148" s="39">
        <f>SUMIFS([0]!FoodCost,[0]!OrderID,Table3[[#This Row],[OrderID]])</f>
        <v>159.28999999999996</v>
      </c>
      <c r="M148" s="39">
        <f>Table3[[#This Row],[LineAmount]]-Table3[[#This Row],[TotalCost]]</f>
        <v>198.38780000000003</v>
      </c>
      <c r="N148" t="str">
        <f>IF(AND(COUNTIFS([0]!OrderID,Table3[[#This Row],[OrderID]],[0]!Category,"hot meal")&gt;0,COUNTIFS([0]!OrderID,Table3[[#This Row],[OrderID]],[0]!Category,"beverage")&gt;0),"combo","single")</f>
        <v>combo</v>
      </c>
      <c r="O148" t="str">
        <f>IF((Table3[[#This Row],[LineAmount]]/(1-Table3[[#This Row],[DiscountPct]]))*Table3[[#This Row],[DiscountPct]]&gt;40,"High Disc","OK")</f>
        <v>OK</v>
      </c>
    </row>
    <row r="149" spans="1:15" x14ac:dyDescent="0.3">
      <c r="A149" t="s">
        <v>185</v>
      </c>
      <c r="B149" s="7">
        <v>45847.060127314813</v>
      </c>
      <c r="C149" t="s">
        <v>9</v>
      </c>
      <c r="D149" t="s">
        <v>28</v>
      </c>
      <c r="E149" t="s">
        <v>21</v>
      </c>
      <c r="F149" t="s">
        <v>12</v>
      </c>
      <c r="G149">
        <v>0</v>
      </c>
      <c r="H149" s="3">
        <f t="shared" si="2"/>
        <v>45847</v>
      </c>
      <c r="I149" t="str">
        <f>IF(COUNTIFS([0]!OrderID,Table3[[#This Row],[OrderID]],[0]!Category,"beverage")&gt;0,"yes","no")</f>
        <v>yes</v>
      </c>
      <c r="J149">
        <f>SUMIFS([0]!LineNetAmount,[0]!OrderID,Table3[[#This Row],[OrderID]])</f>
        <v>70.290000000000006</v>
      </c>
      <c r="K149" t="str" cm="1">
        <f t="array" ref="K149">_xlfn.TEXTJOIN("+",,_xlfn._xlws.SORT(_xlfn.UNIQUE(_xlfn._xlws.FILTER([0]!Category,[0]!OrderID=Table3[[#This Row],[OrderID]]))))</f>
        <v>Beverage+Snack</v>
      </c>
      <c r="L149" s="39">
        <f>SUMIFS([0]!FoodCost,[0]!OrderID,Table3[[#This Row],[OrderID]])</f>
        <v>29.689999999999998</v>
      </c>
      <c r="M149" s="39">
        <f>Table3[[#This Row],[LineAmount]]-Table3[[#This Row],[TotalCost]]</f>
        <v>40.600000000000009</v>
      </c>
      <c r="N149" t="str">
        <f>IF(AND(COUNTIFS([0]!OrderID,Table3[[#This Row],[OrderID]],[0]!Category,"hot meal")&gt;0,COUNTIFS([0]!OrderID,Table3[[#This Row],[OrderID]],[0]!Category,"beverage")&gt;0),"combo","single")</f>
        <v>single</v>
      </c>
      <c r="O149" t="str">
        <f>IF((Table3[[#This Row],[LineAmount]]/(1-Table3[[#This Row],[DiscountPct]]))*Table3[[#This Row],[DiscountPct]]&gt;40,"High Disc","OK")</f>
        <v>OK</v>
      </c>
    </row>
    <row r="150" spans="1:15" x14ac:dyDescent="0.3">
      <c r="A150" t="s">
        <v>186</v>
      </c>
      <c r="B150" s="7">
        <v>45897.86478009259</v>
      </c>
      <c r="C150" t="s">
        <v>15</v>
      </c>
      <c r="D150" t="s">
        <v>28</v>
      </c>
      <c r="E150" t="s">
        <v>17</v>
      </c>
      <c r="F150" t="s">
        <v>18</v>
      </c>
      <c r="G150">
        <v>0.04</v>
      </c>
      <c r="H150" s="3">
        <f t="shared" si="2"/>
        <v>45897</v>
      </c>
      <c r="I150" t="str">
        <f>IF(COUNTIFS([0]!OrderID,Table3[[#This Row],[OrderID]],[0]!Category,"beverage")&gt;0,"yes","no")</f>
        <v>no</v>
      </c>
      <c r="J150">
        <f>SUMIFS([0]!LineNetAmount,[0]!OrderID,Table3[[#This Row],[OrderID]])</f>
        <v>286.22400000000005</v>
      </c>
      <c r="K150" t="str" cm="1">
        <f t="array" ref="K150">_xlfn.TEXTJOIN("+",,_xlfn._xlws.SORT(_xlfn.UNIQUE(_xlfn._xlws.FILTER([0]!Category,[0]!OrderID=Table3[[#This Row],[OrderID]]))))</f>
        <v>Hot Meal+Snack</v>
      </c>
      <c r="L150" s="39">
        <f>SUMIFS([0]!FoodCost,[0]!OrderID,Table3[[#This Row],[OrderID]])</f>
        <v>132.03</v>
      </c>
      <c r="M150" s="39">
        <f>Table3[[#This Row],[LineAmount]]-Table3[[#This Row],[TotalCost]]</f>
        <v>154.19400000000005</v>
      </c>
      <c r="N150" t="str">
        <f>IF(AND(COUNTIFS([0]!OrderID,Table3[[#This Row],[OrderID]],[0]!Category,"hot meal")&gt;0,COUNTIFS([0]!OrderID,Table3[[#This Row],[OrderID]],[0]!Category,"beverage")&gt;0),"combo","single")</f>
        <v>single</v>
      </c>
      <c r="O150" t="str">
        <f>IF((Table3[[#This Row],[LineAmount]]/(1-Table3[[#This Row],[DiscountPct]]))*Table3[[#This Row],[DiscountPct]]&gt;40,"High Disc","OK")</f>
        <v>OK</v>
      </c>
    </row>
    <row r="151" spans="1:15" x14ac:dyDescent="0.3">
      <c r="A151" t="s">
        <v>187</v>
      </c>
      <c r="B151" s="7">
        <v>45895.096284722233</v>
      </c>
      <c r="C151" t="s">
        <v>9</v>
      </c>
      <c r="D151" t="s">
        <v>28</v>
      </c>
      <c r="E151" t="s">
        <v>11</v>
      </c>
      <c r="F151" t="s">
        <v>12</v>
      </c>
      <c r="G151">
        <v>0.09</v>
      </c>
      <c r="H151" s="3">
        <f t="shared" si="2"/>
        <v>45895</v>
      </c>
      <c r="I151" t="str">
        <f>IF(COUNTIFS([0]!OrderID,Table3[[#This Row],[OrderID]],[0]!Category,"beverage")&gt;0,"yes","no")</f>
        <v>no</v>
      </c>
      <c r="J151">
        <f>SUMIFS([0]!LineNetAmount,[0]!OrderID,Table3[[#This Row],[OrderID]])</f>
        <v>741.97760000000017</v>
      </c>
      <c r="K151" t="str" cm="1">
        <f t="array" ref="K151">_xlfn.TEXTJOIN("+",,_xlfn._xlws.SORT(_xlfn.UNIQUE(_xlfn._xlws.FILTER([0]!Category,[0]!OrderID=Table3[[#This Row],[OrderID]]))))</f>
        <v>Hot Meal</v>
      </c>
      <c r="L151" s="39">
        <f>SUMIFS([0]!FoodCost,[0]!OrderID,Table3[[#This Row],[OrderID]])</f>
        <v>356.43999999999994</v>
      </c>
      <c r="M151" s="39">
        <f>Table3[[#This Row],[LineAmount]]-Table3[[#This Row],[TotalCost]]</f>
        <v>385.53760000000023</v>
      </c>
      <c r="N151" t="str">
        <f>IF(AND(COUNTIFS([0]!OrderID,Table3[[#This Row],[OrderID]],[0]!Category,"hot meal")&gt;0,COUNTIFS([0]!OrderID,Table3[[#This Row],[OrderID]],[0]!Category,"beverage")&gt;0),"combo","single")</f>
        <v>single</v>
      </c>
      <c r="O151" t="str">
        <f>IF((Table3[[#This Row],[LineAmount]]/(1-Table3[[#This Row],[DiscountPct]]))*Table3[[#This Row],[DiscountPct]]&gt;40,"High Disc","OK")</f>
        <v>High Disc</v>
      </c>
    </row>
    <row r="152" spans="1:15" x14ac:dyDescent="0.3">
      <c r="A152" t="s">
        <v>188</v>
      </c>
      <c r="B152" s="7">
        <v>45895.19803240741</v>
      </c>
      <c r="C152" t="s">
        <v>27</v>
      </c>
      <c r="D152" t="s">
        <v>28</v>
      </c>
      <c r="E152" t="s">
        <v>21</v>
      </c>
      <c r="F152" t="s">
        <v>12</v>
      </c>
      <c r="G152">
        <v>7.0000000000000007E-2</v>
      </c>
      <c r="H152" s="3">
        <f t="shared" si="2"/>
        <v>45895</v>
      </c>
      <c r="I152" t="str">
        <f>IF(COUNTIFS([0]!OrderID,Table3[[#This Row],[OrderID]],[0]!Category,"beverage")&gt;0,"yes","no")</f>
        <v>no</v>
      </c>
      <c r="J152">
        <f>SUMIFS([0]!LineNetAmount,[0]!OrderID,Table3[[#This Row],[OrderID]])</f>
        <v>1518.4016999999999</v>
      </c>
      <c r="K152" t="str" cm="1">
        <f t="array" ref="K152">_xlfn.TEXTJOIN("+",,_xlfn._xlws.SORT(_xlfn.UNIQUE(_xlfn._xlws.FILTER([0]!Category,[0]!OrderID=Table3[[#This Row],[OrderID]]))))</f>
        <v>Hot Meal</v>
      </c>
      <c r="L152" s="39">
        <f>SUMIFS([0]!FoodCost,[0]!OrderID,Table3[[#This Row],[OrderID]])</f>
        <v>771.44</v>
      </c>
      <c r="M152" s="39">
        <f>Table3[[#This Row],[LineAmount]]-Table3[[#This Row],[TotalCost]]</f>
        <v>746.96169999999984</v>
      </c>
      <c r="N152" t="str">
        <f>IF(AND(COUNTIFS([0]!OrderID,Table3[[#This Row],[OrderID]],[0]!Category,"hot meal")&gt;0,COUNTIFS([0]!OrderID,Table3[[#This Row],[OrderID]],[0]!Category,"beverage")&gt;0),"combo","single")</f>
        <v>single</v>
      </c>
      <c r="O152" t="str">
        <f>IF((Table3[[#This Row],[LineAmount]]/(1-Table3[[#This Row],[DiscountPct]]))*Table3[[#This Row],[DiscountPct]]&gt;40,"High Disc","OK")</f>
        <v>High Disc</v>
      </c>
    </row>
    <row r="153" spans="1:15" x14ac:dyDescent="0.3">
      <c r="A153" t="s">
        <v>189</v>
      </c>
      <c r="B153" s="7">
        <v>45882.186215277783</v>
      </c>
      <c r="C153" t="s">
        <v>15</v>
      </c>
      <c r="D153" t="s">
        <v>28</v>
      </c>
      <c r="E153" t="s">
        <v>11</v>
      </c>
      <c r="F153" t="s">
        <v>12</v>
      </c>
      <c r="G153">
        <v>0.01</v>
      </c>
      <c r="H153" s="3">
        <f t="shared" si="2"/>
        <v>45882</v>
      </c>
      <c r="I153" t="str">
        <f>IF(COUNTIFS([0]!OrderID,Table3[[#This Row],[OrderID]],[0]!Category,"beverage")&gt;0,"yes","no")</f>
        <v>yes</v>
      </c>
      <c r="J153">
        <f>SUMIFS([0]!LineNetAmount,[0]!OrderID,Table3[[#This Row],[OrderID]])</f>
        <v>235.04579999999999</v>
      </c>
      <c r="K153" t="str" cm="1">
        <f t="array" ref="K153">_xlfn.TEXTJOIN("+",,_xlfn._xlws.SORT(_xlfn.UNIQUE(_xlfn._xlws.FILTER([0]!Category,[0]!OrderID=Table3[[#This Row],[OrderID]]))))</f>
        <v>Beverage+Hot Meal</v>
      </c>
      <c r="L153" s="39">
        <f>SUMIFS([0]!FoodCost,[0]!OrderID,Table3[[#This Row],[OrderID]])</f>
        <v>123.46000000000001</v>
      </c>
      <c r="M153" s="39">
        <f>Table3[[#This Row],[LineAmount]]-Table3[[#This Row],[TotalCost]]</f>
        <v>111.58579999999998</v>
      </c>
      <c r="N153" t="str">
        <f>IF(AND(COUNTIFS([0]!OrderID,Table3[[#This Row],[OrderID]],[0]!Category,"hot meal")&gt;0,COUNTIFS([0]!OrderID,Table3[[#This Row],[OrderID]],[0]!Category,"beverage")&gt;0),"combo","single")</f>
        <v>combo</v>
      </c>
      <c r="O153" t="str">
        <f>IF((Table3[[#This Row],[LineAmount]]/(1-Table3[[#This Row],[DiscountPct]]))*Table3[[#This Row],[DiscountPct]]&gt;40,"High Disc","OK")</f>
        <v>OK</v>
      </c>
    </row>
    <row r="154" spans="1:15" x14ac:dyDescent="0.3">
      <c r="A154" t="s">
        <v>190</v>
      </c>
      <c r="B154" s="7">
        <v>45886.991828703707</v>
      </c>
      <c r="C154" t="s">
        <v>27</v>
      </c>
      <c r="D154" t="s">
        <v>16</v>
      </c>
      <c r="E154" t="s">
        <v>21</v>
      </c>
      <c r="F154" t="s">
        <v>18</v>
      </c>
      <c r="G154">
        <v>7.0000000000000007E-2</v>
      </c>
      <c r="H154" s="3">
        <f t="shared" si="2"/>
        <v>45886</v>
      </c>
      <c r="I154" t="str">
        <f>IF(COUNTIFS([0]!OrderID,Table3[[#This Row],[OrderID]],[0]!Category,"beverage")&gt;0,"yes","no")</f>
        <v>yes</v>
      </c>
      <c r="J154">
        <f>SUMIFS([0]!LineNetAmount,[0]!OrderID,Table3[[#This Row],[OrderID]])</f>
        <v>71.582099999999997</v>
      </c>
      <c r="K154" t="str" cm="1">
        <f t="array" ref="K154">_xlfn.TEXTJOIN("+",,_xlfn._xlws.SORT(_xlfn.UNIQUE(_xlfn._xlws.FILTER([0]!Category,[0]!OrderID=Table3[[#This Row],[OrderID]]))))</f>
        <v>Beverage</v>
      </c>
      <c r="L154" s="39">
        <f>SUMIFS([0]!FoodCost,[0]!OrderID,Table3[[#This Row],[OrderID]])</f>
        <v>35.78</v>
      </c>
      <c r="M154" s="39">
        <f>Table3[[#This Row],[LineAmount]]-Table3[[#This Row],[TotalCost]]</f>
        <v>35.802099999999996</v>
      </c>
      <c r="N154" t="str">
        <f>IF(AND(COUNTIFS([0]!OrderID,Table3[[#This Row],[OrderID]],[0]!Category,"hot meal")&gt;0,COUNTIFS([0]!OrderID,Table3[[#This Row],[OrderID]],[0]!Category,"beverage")&gt;0),"combo","single")</f>
        <v>single</v>
      </c>
      <c r="O154" t="str">
        <f>IF((Table3[[#This Row],[LineAmount]]/(1-Table3[[#This Row],[DiscountPct]]))*Table3[[#This Row],[DiscountPct]]&gt;40,"High Disc","OK")</f>
        <v>OK</v>
      </c>
    </row>
    <row r="155" spans="1:15" x14ac:dyDescent="0.3">
      <c r="A155" t="s">
        <v>191</v>
      </c>
      <c r="B155" s="7">
        <v>45871.611030092587</v>
      </c>
      <c r="C155" t="s">
        <v>15</v>
      </c>
      <c r="D155" t="s">
        <v>10</v>
      </c>
      <c r="E155" t="s">
        <v>17</v>
      </c>
      <c r="F155" t="s">
        <v>22</v>
      </c>
      <c r="G155">
        <v>0.08</v>
      </c>
      <c r="H155" s="3">
        <f t="shared" si="2"/>
        <v>45871</v>
      </c>
      <c r="I155" t="str">
        <f>IF(COUNTIFS([0]!OrderID,Table3[[#This Row],[OrderID]],[0]!Category,"beverage")&gt;0,"yes","no")</f>
        <v>yes</v>
      </c>
      <c r="J155">
        <f>SUMIFS([0]!LineNetAmount,[0]!OrderID,Table3[[#This Row],[OrderID]])</f>
        <v>343.7396</v>
      </c>
      <c r="K155" t="str" cm="1">
        <f t="array" ref="K155">_xlfn.TEXTJOIN("+",,_xlfn._xlws.SORT(_xlfn.UNIQUE(_xlfn._xlws.FILTER([0]!Category,[0]!OrderID=Table3[[#This Row],[OrderID]]))))</f>
        <v>Beverage+Dessert+Snack</v>
      </c>
      <c r="L155" s="39">
        <f>SUMIFS([0]!FoodCost,[0]!OrderID,Table3[[#This Row],[OrderID]])</f>
        <v>160.16999999999999</v>
      </c>
      <c r="M155" s="39">
        <f>Table3[[#This Row],[LineAmount]]-Table3[[#This Row],[TotalCost]]</f>
        <v>183.56960000000001</v>
      </c>
      <c r="N155" t="str">
        <f>IF(AND(COUNTIFS([0]!OrderID,Table3[[#This Row],[OrderID]],[0]!Category,"hot meal")&gt;0,COUNTIFS([0]!OrderID,Table3[[#This Row],[OrderID]],[0]!Category,"beverage")&gt;0),"combo","single")</f>
        <v>single</v>
      </c>
      <c r="O155" t="str">
        <f>IF((Table3[[#This Row],[LineAmount]]/(1-Table3[[#This Row],[DiscountPct]]))*Table3[[#This Row],[DiscountPct]]&gt;40,"High Disc","OK")</f>
        <v>OK</v>
      </c>
    </row>
    <row r="156" spans="1:15" x14ac:dyDescent="0.3">
      <c r="A156" t="s">
        <v>192</v>
      </c>
      <c r="B156" s="7">
        <v>45871.270752314813</v>
      </c>
      <c r="C156" t="s">
        <v>15</v>
      </c>
      <c r="D156" t="s">
        <v>10</v>
      </c>
      <c r="E156" t="s">
        <v>21</v>
      </c>
      <c r="F156" t="s">
        <v>12</v>
      </c>
      <c r="G156">
        <v>0.02</v>
      </c>
      <c r="H156" s="3">
        <f t="shared" si="2"/>
        <v>45871</v>
      </c>
      <c r="I156" t="str">
        <f>IF(COUNTIFS([0]!OrderID,Table3[[#This Row],[OrderID]],[0]!Category,"beverage")&gt;0,"yes","no")</f>
        <v>no</v>
      </c>
      <c r="J156">
        <f>SUMIFS([0]!LineNetAmount,[0]!OrderID,Table3[[#This Row],[OrderID]])</f>
        <v>791.97720000000004</v>
      </c>
      <c r="K156" t="str" cm="1">
        <f t="array" ref="K156">_xlfn.TEXTJOIN("+",,_xlfn._xlws.SORT(_xlfn.UNIQUE(_xlfn._xlws.FILTER([0]!Category,[0]!OrderID=Table3[[#This Row],[OrderID]]))))</f>
        <v>Dessert+Hot Meal+Snack</v>
      </c>
      <c r="L156" s="39">
        <f>SUMIFS([0]!FoodCost,[0]!OrderID,Table3[[#This Row],[OrderID]])</f>
        <v>380.03999999999996</v>
      </c>
      <c r="M156" s="39">
        <f>Table3[[#This Row],[LineAmount]]-Table3[[#This Row],[TotalCost]]</f>
        <v>411.93720000000008</v>
      </c>
      <c r="N156" t="str">
        <f>IF(AND(COUNTIFS([0]!OrderID,Table3[[#This Row],[OrderID]],[0]!Category,"hot meal")&gt;0,COUNTIFS([0]!OrderID,Table3[[#This Row],[OrderID]],[0]!Category,"beverage")&gt;0),"combo","single")</f>
        <v>single</v>
      </c>
      <c r="O156" t="str">
        <f>IF((Table3[[#This Row],[LineAmount]]/(1-Table3[[#This Row],[DiscountPct]]))*Table3[[#This Row],[DiscountPct]]&gt;40,"High Disc","OK")</f>
        <v>OK</v>
      </c>
    </row>
    <row r="157" spans="1:15" x14ac:dyDescent="0.3">
      <c r="A157" t="s">
        <v>193</v>
      </c>
      <c r="B157" s="7">
        <v>45878.130046296297</v>
      </c>
      <c r="C157" t="s">
        <v>9</v>
      </c>
      <c r="D157" t="s">
        <v>28</v>
      </c>
      <c r="E157" t="s">
        <v>21</v>
      </c>
      <c r="F157" t="s">
        <v>12</v>
      </c>
      <c r="G157">
        <v>7.0000000000000007E-2</v>
      </c>
      <c r="H157" s="3">
        <f t="shared" si="2"/>
        <v>45878</v>
      </c>
      <c r="I157" t="str">
        <f>IF(COUNTIFS([0]!OrderID,Table3[[#This Row],[OrderID]],[0]!Category,"beverage")&gt;0,"yes","no")</f>
        <v>yes</v>
      </c>
      <c r="J157">
        <f>SUMIFS([0]!LineNetAmount,[0]!OrderID,Table3[[#This Row],[OrderID]])</f>
        <v>939.76499999999999</v>
      </c>
      <c r="K157" t="str" cm="1">
        <f t="array" ref="K157">_xlfn.TEXTJOIN("+",,_xlfn._xlws.SORT(_xlfn.UNIQUE(_xlfn._xlws.FILTER([0]!Category,[0]!OrderID=Table3[[#This Row],[OrderID]]))))</f>
        <v>Beverage+Dessert+Hot Meal+Snack</v>
      </c>
      <c r="L157" s="39">
        <f>SUMIFS([0]!FoodCost,[0]!OrderID,Table3[[#This Row],[OrderID]])</f>
        <v>426.69999999999993</v>
      </c>
      <c r="M157" s="39">
        <f>Table3[[#This Row],[LineAmount]]-Table3[[#This Row],[TotalCost]]</f>
        <v>513.06500000000005</v>
      </c>
      <c r="N157" t="str">
        <f>IF(AND(COUNTIFS([0]!OrderID,Table3[[#This Row],[OrderID]],[0]!Category,"hot meal")&gt;0,COUNTIFS([0]!OrderID,Table3[[#This Row],[OrderID]],[0]!Category,"beverage")&gt;0),"combo","single")</f>
        <v>combo</v>
      </c>
      <c r="O157" t="str">
        <f>IF((Table3[[#This Row],[LineAmount]]/(1-Table3[[#This Row],[DiscountPct]]))*Table3[[#This Row],[DiscountPct]]&gt;40,"High Disc","OK")</f>
        <v>High Disc</v>
      </c>
    </row>
    <row r="158" spans="1:15" x14ac:dyDescent="0.3">
      <c r="A158" t="s">
        <v>194</v>
      </c>
      <c r="B158" s="7">
        <v>45869.786585648151</v>
      </c>
      <c r="C158" t="s">
        <v>15</v>
      </c>
      <c r="D158" t="s">
        <v>16</v>
      </c>
      <c r="E158" t="s">
        <v>17</v>
      </c>
      <c r="F158" t="s">
        <v>18</v>
      </c>
      <c r="G158">
        <v>0.06</v>
      </c>
      <c r="H158" s="3">
        <f t="shared" si="2"/>
        <v>45869</v>
      </c>
      <c r="I158" t="str">
        <f>IF(COUNTIFS([0]!OrderID,Table3[[#This Row],[OrderID]],[0]!Category,"beverage")&gt;0,"yes","no")</f>
        <v>no</v>
      </c>
      <c r="J158">
        <f>SUMIFS([0]!LineNetAmount,[0]!OrderID,Table3[[#This Row],[OrderID]])</f>
        <v>860.27859999999998</v>
      </c>
      <c r="K158" t="str" cm="1">
        <f t="array" ref="K158">_xlfn.TEXTJOIN("+",,_xlfn._xlws.SORT(_xlfn.UNIQUE(_xlfn._xlws.FILTER([0]!Category,[0]!OrderID=Table3[[#This Row],[OrderID]]))))</f>
        <v>Dessert+Hot Meal+Snack</v>
      </c>
      <c r="L158" s="39">
        <f>SUMIFS([0]!FoodCost,[0]!OrderID,Table3[[#This Row],[OrderID]])</f>
        <v>411.90999999999997</v>
      </c>
      <c r="M158" s="39">
        <f>Table3[[#This Row],[LineAmount]]-Table3[[#This Row],[TotalCost]]</f>
        <v>448.36860000000001</v>
      </c>
      <c r="N158" t="str">
        <f>IF(AND(COUNTIFS([0]!OrderID,Table3[[#This Row],[OrderID]],[0]!Category,"hot meal")&gt;0,COUNTIFS([0]!OrderID,Table3[[#This Row],[OrderID]],[0]!Category,"beverage")&gt;0),"combo","single")</f>
        <v>single</v>
      </c>
      <c r="O158" t="str">
        <f>IF((Table3[[#This Row],[LineAmount]]/(1-Table3[[#This Row],[DiscountPct]]))*Table3[[#This Row],[DiscountPct]]&gt;40,"High Disc","OK")</f>
        <v>High Disc</v>
      </c>
    </row>
    <row r="159" spans="1:15" x14ac:dyDescent="0.3">
      <c r="A159" t="s">
        <v>195</v>
      </c>
      <c r="B159" s="7">
        <v>45889.212337962963</v>
      </c>
      <c r="C159" t="s">
        <v>27</v>
      </c>
      <c r="D159" t="s">
        <v>10</v>
      </c>
      <c r="E159" t="s">
        <v>11</v>
      </c>
      <c r="F159" t="s">
        <v>12</v>
      </c>
      <c r="G159">
        <v>0.01</v>
      </c>
      <c r="H159" s="3">
        <f t="shared" si="2"/>
        <v>45889</v>
      </c>
      <c r="I159" t="str">
        <f>IF(COUNTIFS([0]!OrderID,Table3[[#This Row],[OrderID]],[0]!Category,"beverage")&gt;0,"yes","no")</f>
        <v>yes</v>
      </c>
      <c r="J159">
        <f>SUMIFS([0]!LineNetAmount,[0]!OrderID,Table3[[#This Row],[OrderID]])</f>
        <v>334.40219999999999</v>
      </c>
      <c r="K159" t="str" cm="1">
        <f t="array" ref="K159">_xlfn.TEXTJOIN("+",,_xlfn._xlws.SORT(_xlfn.UNIQUE(_xlfn._xlws.FILTER([0]!Category,[0]!OrderID=Table3[[#This Row],[OrderID]]))))</f>
        <v>Beverage+Dessert+Snack</v>
      </c>
      <c r="L159" s="39">
        <f>SUMIFS([0]!FoodCost,[0]!OrderID,Table3[[#This Row],[OrderID]])</f>
        <v>158.87</v>
      </c>
      <c r="M159" s="39">
        <f>Table3[[#This Row],[LineAmount]]-Table3[[#This Row],[TotalCost]]</f>
        <v>175.53219999999999</v>
      </c>
      <c r="N159" t="str">
        <f>IF(AND(COUNTIFS([0]!OrderID,Table3[[#This Row],[OrderID]],[0]!Category,"hot meal")&gt;0,COUNTIFS([0]!OrderID,Table3[[#This Row],[OrderID]],[0]!Category,"beverage")&gt;0),"combo","single")</f>
        <v>single</v>
      </c>
      <c r="O159" t="str">
        <f>IF((Table3[[#This Row],[LineAmount]]/(1-Table3[[#This Row],[DiscountPct]]))*Table3[[#This Row],[DiscountPct]]&gt;40,"High Disc","OK")</f>
        <v>OK</v>
      </c>
    </row>
    <row r="160" spans="1:15" x14ac:dyDescent="0.3">
      <c r="A160" t="s">
        <v>196</v>
      </c>
      <c r="B160" s="7">
        <v>45879.372349537043</v>
      </c>
      <c r="C160" t="s">
        <v>27</v>
      </c>
      <c r="D160" t="s">
        <v>28</v>
      </c>
      <c r="E160" t="s">
        <v>11</v>
      </c>
      <c r="F160" t="s">
        <v>12</v>
      </c>
      <c r="G160">
        <v>7.0000000000000007E-2</v>
      </c>
      <c r="H160" s="3">
        <f t="shared" si="2"/>
        <v>45879</v>
      </c>
      <c r="I160" t="str">
        <f>IF(COUNTIFS([0]!OrderID,Table3[[#This Row],[OrderID]],[0]!Category,"beverage")&gt;0,"yes","no")</f>
        <v>no</v>
      </c>
      <c r="J160">
        <f>SUMIFS([0]!LineNetAmount,[0]!OrderID,Table3[[#This Row],[OrderID]])</f>
        <v>228.86369999999999</v>
      </c>
      <c r="K160" t="str" cm="1">
        <f t="array" ref="K160">_xlfn.TEXTJOIN("+",,_xlfn._xlws.SORT(_xlfn.UNIQUE(_xlfn._xlws.FILTER([0]!Category,[0]!OrderID=Table3[[#This Row],[OrderID]]))))</f>
        <v>Hot Meal</v>
      </c>
      <c r="L160" s="39">
        <f>SUMIFS([0]!FoodCost,[0]!OrderID,Table3[[#This Row],[OrderID]])</f>
        <v>112.08</v>
      </c>
      <c r="M160" s="39">
        <f>Table3[[#This Row],[LineAmount]]-Table3[[#This Row],[TotalCost]]</f>
        <v>116.7837</v>
      </c>
      <c r="N160" t="str">
        <f>IF(AND(COUNTIFS([0]!OrderID,Table3[[#This Row],[OrderID]],[0]!Category,"hot meal")&gt;0,COUNTIFS([0]!OrderID,Table3[[#This Row],[OrderID]],[0]!Category,"beverage")&gt;0),"combo","single")</f>
        <v>single</v>
      </c>
      <c r="O160" t="str">
        <f>IF((Table3[[#This Row],[LineAmount]]/(1-Table3[[#This Row],[DiscountPct]]))*Table3[[#This Row],[DiscountPct]]&gt;40,"High Disc","OK")</f>
        <v>OK</v>
      </c>
    </row>
    <row r="161" spans="1:15" x14ac:dyDescent="0.3">
      <c r="A161" t="s">
        <v>197</v>
      </c>
      <c r="B161" s="7">
        <v>45887.648877314823</v>
      </c>
      <c r="C161" t="s">
        <v>9</v>
      </c>
      <c r="D161" t="s">
        <v>16</v>
      </c>
      <c r="E161" t="s">
        <v>17</v>
      </c>
      <c r="F161" t="s">
        <v>22</v>
      </c>
      <c r="G161">
        <v>0.08</v>
      </c>
      <c r="H161" s="3">
        <f t="shared" si="2"/>
        <v>45887</v>
      </c>
      <c r="I161" t="str">
        <f>IF(COUNTIFS([0]!OrderID,Table3[[#This Row],[OrderID]],[0]!Category,"beverage")&gt;0,"yes","no")</f>
        <v>no</v>
      </c>
      <c r="J161">
        <f>SUMIFS([0]!LineNetAmount,[0]!OrderID,Table3[[#This Row],[OrderID]])</f>
        <v>314.32720000000006</v>
      </c>
      <c r="K161" t="str" cm="1">
        <f t="array" ref="K161">_xlfn.TEXTJOIN("+",,_xlfn._xlws.SORT(_xlfn.UNIQUE(_xlfn._xlws.FILTER([0]!Category,[0]!OrderID=Table3[[#This Row],[OrderID]]))))</f>
        <v>Hot Meal</v>
      </c>
      <c r="L161" s="39">
        <f>SUMIFS([0]!FoodCost,[0]!OrderID,Table3[[#This Row],[OrderID]])</f>
        <v>148.13999999999999</v>
      </c>
      <c r="M161" s="39">
        <f>Table3[[#This Row],[LineAmount]]-Table3[[#This Row],[TotalCost]]</f>
        <v>166.18720000000008</v>
      </c>
      <c r="N161" t="str">
        <f>IF(AND(COUNTIFS([0]!OrderID,Table3[[#This Row],[OrderID]],[0]!Category,"hot meal")&gt;0,COUNTIFS([0]!OrderID,Table3[[#This Row],[OrderID]],[0]!Category,"beverage")&gt;0),"combo","single")</f>
        <v>single</v>
      </c>
      <c r="O161" t="str">
        <f>IF((Table3[[#This Row],[LineAmount]]/(1-Table3[[#This Row],[DiscountPct]]))*Table3[[#This Row],[DiscountPct]]&gt;40,"High Disc","OK")</f>
        <v>OK</v>
      </c>
    </row>
    <row r="162" spans="1:15" x14ac:dyDescent="0.3">
      <c r="A162" t="s">
        <v>198</v>
      </c>
      <c r="B162" s="7">
        <v>45865.178587962961</v>
      </c>
      <c r="C162" t="s">
        <v>9</v>
      </c>
      <c r="D162" t="s">
        <v>28</v>
      </c>
      <c r="E162" t="s">
        <v>21</v>
      </c>
      <c r="F162" t="s">
        <v>12</v>
      </c>
      <c r="G162">
        <v>0.1</v>
      </c>
      <c r="H162" s="3">
        <f t="shared" si="2"/>
        <v>45865</v>
      </c>
      <c r="I162" t="str">
        <f>IF(COUNTIFS([0]!OrderID,Table3[[#This Row],[OrderID]],[0]!Category,"beverage")&gt;0,"yes","no")</f>
        <v>yes</v>
      </c>
      <c r="J162">
        <f>SUMIFS([0]!LineNetAmount,[0]!OrderID,Table3[[#This Row],[OrderID]])</f>
        <v>636.94800000000009</v>
      </c>
      <c r="K162" t="str" cm="1">
        <f t="array" ref="K162">_xlfn.TEXTJOIN("+",,_xlfn._xlws.SORT(_xlfn.UNIQUE(_xlfn._xlws.FILTER([0]!Category,[0]!OrderID=Table3[[#This Row],[OrderID]]))))</f>
        <v>Beverage+Dessert+Hot Meal</v>
      </c>
      <c r="L162" s="39">
        <f>SUMIFS([0]!FoodCost,[0]!OrderID,Table3[[#This Row],[OrderID]])</f>
        <v>329.40999999999997</v>
      </c>
      <c r="M162" s="39">
        <f>Table3[[#This Row],[LineAmount]]-Table3[[#This Row],[TotalCost]]</f>
        <v>307.53800000000012</v>
      </c>
      <c r="N162" t="str">
        <f>IF(AND(COUNTIFS([0]!OrderID,Table3[[#This Row],[OrderID]],[0]!Category,"hot meal")&gt;0,COUNTIFS([0]!OrderID,Table3[[#This Row],[OrderID]],[0]!Category,"beverage")&gt;0),"combo","single")</f>
        <v>combo</v>
      </c>
      <c r="O162" t="str">
        <f>IF((Table3[[#This Row],[LineAmount]]/(1-Table3[[#This Row],[DiscountPct]]))*Table3[[#This Row],[DiscountPct]]&gt;40,"High Disc","OK")</f>
        <v>High Disc</v>
      </c>
    </row>
    <row r="163" spans="1:15" x14ac:dyDescent="0.3">
      <c r="A163" t="s">
        <v>199</v>
      </c>
      <c r="B163" s="7">
        <v>45886.310844907413</v>
      </c>
      <c r="C163" t="s">
        <v>27</v>
      </c>
      <c r="D163" t="s">
        <v>28</v>
      </c>
      <c r="E163" t="s">
        <v>11</v>
      </c>
      <c r="F163" t="s">
        <v>12</v>
      </c>
      <c r="G163">
        <v>0.1</v>
      </c>
      <c r="H163" s="3">
        <f t="shared" si="2"/>
        <v>45886</v>
      </c>
      <c r="I163" t="str">
        <f>IF(COUNTIFS([0]!OrderID,Table3[[#This Row],[OrderID]],[0]!Category,"beverage")&gt;0,"yes","no")</f>
        <v>no</v>
      </c>
      <c r="J163">
        <f>SUMIFS([0]!LineNetAmount,[0]!OrderID,Table3[[#This Row],[OrderID]])</f>
        <v>406.53899999999999</v>
      </c>
      <c r="K163" t="str" cm="1">
        <f t="array" ref="K163">_xlfn.TEXTJOIN("+",,_xlfn._xlws.SORT(_xlfn.UNIQUE(_xlfn._xlws.FILTER([0]!Category,[0]!OrderID=Table3[[#This Row],[OrderID]]))))</f>
        <v>Dessert+Hot Meal+Snack</v>
      </c>
      <c r="L163" s="39">
        <f>SUMIFS([0]!FoodCost,[0]!OrderID,Table3[[#This Row],[OrderID]])</f>
        <v>221.31</v>
      </c>
      <c r="M163" s="39">
        <f>Table3[[#This Row],[LineAmount]]-Table3[[#This Row],[TotalCost]]</f>
        <v>185.22899999999998</v>
      </c>
      <c r="N163" t="str">
        <f>IF(AND(COUNTIFS([0]!OrderID,Table3[[#This Row],[OrderID]],[0]!Category,"hot meal")&gt;0,COUNTIFS([0]!OrderID,Table3[[#This Row],[OrderID]],[0]!Category,"beverage")&gt;0),"combo","single")</f>
        <v>single</v>
      </c>
      <c r="O163" t="str">
        <f>IF((Table3[[#This Row],[LineAmount]]/(1-Table3[[#This Row],[DiscountPct]]))*Table3[[#This Row],[DiscountPct]]&gt;40,"High Disc","OK")</f>
        <v>High Disc</v>
      </c>
    </row>
    <row r="164" spans="1:15" x14ac:dyDescent="0.3">
      <c r="A164" t="s">
        <v>200</v>
      </c>
      <c r="B164" s="7">
        <v>45854.62699074074</v>
      </c>
      <c r="C164" t="s">
        <v>15</v>
      </c>
      <c r="D164" t="s">
        <v>10</v>
      </c>
      <c r="E164" t="s">
        <v>17</v>
      </c>
      <c r="F164" t="s">
        <v>22</v>
      </c>
      <c r="G164">
        <v>0</v>
      </c>
      <c r="H164" s="3">
        <f t="shared" si="2"/>
        <v>45854</v>
      </c>
      <c r="I164" t="str">
        <f>IF(COUNTIFS([0]!OrderID,Table3[[#This Row],[OrderID]],[0]!Category,"beverage")&gt;0,"yes","no")</f>
        <v>no</v>
      </c>
      <c r="J164">
        <f>SUMIFS([0]!LineNetAmount,[0]!OrderID,Table3[[#This Row],[OrderID]])</f>
        <v>633.67000000000007</v>
      </c>
      <c r="K164" t="str" cm="1">
        <f t="array" ref="K164">_xlfn.TEXTJOIN("+",,_xlfn._xlws.SORT(_xlfn.UNIQUE(_xlfn._xlws.FILTER([0]!Category,[0]!OrderID=Table3[[#This Row],[OrderID]]))))</f>
        <v>Hot Meal+Snack</v>
      </c>
      <c r="L164" s="39">
        <f>SUMIFS([0]!FoodCost,[0]!OrderID,Table3[[#This Row],[OrderID]])</f>
        <v>289.01</v>
      </c>
      <c r="M164" s="39">
        <f>Table3[[#This Row],[LineAmount]]-Table3[[#This Row],[TotalCost]]</f>
        <v>344.66000000000008</v>
      </c>
      <c r="N164" t="str">
        <f>IF(AND(COUNTIFS([0]!OrderID,Table3[[#This Row],[OrderID]],[0]!Category,"hot meal")&gt;0,COUNTIFS([0]!OrderID,Table3[[#This Row],[OrderID]],[0]!Category,"beverage")&gt;0),"combo","single")</f>
        <v>single</v>
      </c>
      <c r="O164" t="str">
        <f>IF((Table3[[#This Row],[LineAmount]]/(1-Table3[[#This Row],[DiscountPct]]))*Table3[[#This Row],[DiscountPct]]&gt;40,"High Disc","OK")</f>
        <v>OK</v>
      </c>
    </row>
    <row r="165" spans="1:15" x14ac:dyDescent="0.3">
      <c r="A165" t="s">
        <v>201</v>
      </c>
      <c r="B165" s="7">
        <v>45878.861956018518</v>
      </c>
      <c r="C165" t="s">
        <v>27</v>
      </c>
      <c r="D165" t="s">
        <v>28</v>
      </c>
      <c r="E165" t="s">
        <v>17</v>
      </c>
      <c r="F165" t="s">
        <v>18</v>
      </c>
      <c r="G165">
        <v>0.02</v>
      </c>
      <c r="H165" s="3">
        <f t="shared" si="2"/>
        <v>45878</v>
      </c>
      <c r="I165" t="str">
        <f>IF(COUNTIFS([0]!OrderID,Table3[[#This Row],[OrderID]],[0]!Category,"beverage")&gt;0,"yes","no")</f>
        <v>no</v>
      </c>
      <c r="J165">
        <f>SUMIFS([0]!LineNetAmount,[0]!OrderID,Table3[[#This Row],[OrderID]])</f>
        <v>194.18700000000001</v>
      </c>
      <c r="K165" t="str" cm="1">
        <f t="array" ref="K165">_xlfn.TEXTJOIN("+",,_xlfn._xlws.SORT(_xlfn.UNIQUE(_xlfn._xlws.FILTER([0]!Category,[0]!OrderID=Table3[[#This Row],[OrderID]]))))</f>
        <v>Dessert+Snack</v>
      </c>
      <c r="L165" s="39">
        <f>SUMIFS([0]!FoodCost,[0]!OrderID,Table3[[#This Row],[OrderID]])</f>
        <v>100.76</v>
      </c>
      <c r="M165" s="39">
        <f>Table3[[#This Row],[LineAmount]]-Table3[[#This Row],[TotalCost]]</f>
        <v>93.427000000000007</v>
      </c>
      <c r="N165" t="str">
        <f>IF(AND(COUNTIFS([0]!OrderID,Table3[[#This Row],[OrderID]],[0]!Category,"hot meal")&gt;0,COUNTIFS([0]!OrderID,Table3[[#This Row],[OrderID]],[0]!Category,"beverage")&gt;0),"combo","single")</f>
        <v>single</v>
      </c>
      <c r="O165" t="str">
        <f>IF((Table3[[#This Row],[LineAmount]]/(1-Table3[[#This Row],[DiscountPct]]))*Table3[[#This Row],[DiscountPct]]&gt;40,"High Disc","OK")</f>
        <v>OK</v>
      </c>
    </row>
    <row r="166" spans="1:15" x14ac:dyDescent="0.3">
      <c r="A166" t="s">
        <v>202</v>
      </c>
      <c r="B166" s="7">
        <v>45850.654826388891</v>
      </c>
      <c r="C166" t="s">
        <v>9</v>
      </c>
      <c r="D166" t="s">
        <v>28</v>
      </c>
      <c r="E166" t="s">
        <v>21</v>
      </c>
      <c r="F166" t="s">
        <v>22</v>
      </c>
      <c r="G166">
        <v>0.08</v>
      </c>
      <c r="H166" s="3">
        <f t="shared" si="2"/>
        <v>45850</v>
      </c>
      <c r="I166" t="str">
        <f>IF(COUNTIFS([0]!OrderID,Table3[[#This Row],[OrderID]],[0]!Category,"beverage")&gt;0,"yes","no")</f>
        <v>yes</v>
      </c>
      <c r="J166">
        <f>SUMIFS([0]!LineNetAmount,[0]!OrderID,Table3[[#This Row],[OrderID]])</f>
        <v>146.00400000000002</v>
      </c>
      <c r="K166" t="str" cm="1">
        <f t="array" ref="K166">_xlfn.TEXTJOIN("+",,_xlfn._xlws.SORT(_xlfn.UNIQUE(_xlfn._xlws.FILTER([0]!Category,[0]!OrderID=Table3[[#This Row],[OrderID]]))))</f>
        <v>Beverage+Snack</v>
      </c>
      <c r="L166" s="39">
        <f>SUMIFS([0]!FoodCost,[0]!OrderID,Table3[[#This Row],[OrderID]])</f>
        <v>68.87</v>
      </c>
      <c r="M166" s="39">
        <f>Table3[[#This Row],[LineAmount]]-Table3[[#This Row],[TotalCost]]</f>
        <v>77.134000000000015</v>
      </c>
      <c r="N166" t="str">
        <f>IF(AND(COUNTIFS([0]!OrderID,Table3[[#This Row],[OrderID]],[0]!Category,"hot meal")&gt;0,COUNTIFS([0]!OrderID,Table3[[#This Row],[OrderID]],[0]!Category,"beverage")&gt;0),"combo","single")</f>
        <v>single</v>
      </c>
      <c r="O166" t="str">
        <f>IF((Table3[[#This Row],[LineAmount]]/(1-Table3[[#This Row],[DiscountPct]]))*Table3[[#This Row],[DiscountPct]]&gt;40,"High Disc","OK")</f>
        <v>OK</v>
      </c>
    </row>
    <row r="167" spans="1:15" x14ac:dyDescent="0.3">
      <c r="A167" t="s">
        <v>203</v>
      </c>
      <c r="B167" s="7">
        <v>45888.6565625</v>
      </c>
      <c r="C167" t="s">
        <v>9</v>
      </c>
      <c r="D167" t="s">
        <v>16</v>
      </c>
      <c r="E167" t="s">
        <v>21</v>
      </c>
      <c r="F167" t="s">
        <v>22</v>
      </c>
      <c r="G167">
        <v>0.08</v>
      </c>
      <c r="H167" s="3">
        <f t="shared" si="2"/>
        <v>45888</v>
      </c>
      <c r="I167" t="str">
        <f>IF(COUNTIFS([0]!OrderID,Table3[[#This Row],[OrderID]],[0]!Category,"beverage")&gt;0,"yes","no")</f>
        <v>yes</v>
      </c>
      <c r="J167">
        <f>SUMIFS([0]!LineNetAmount,[0]!OrderID,Table3[[#This Row],[OrderID]])</f>
        <v>91.024799999999999</v>
      </c>
      <c r="K167" t="str" cm="1">
        <f t="array" ref="K167">_xlfn.TEXTJOIN("+",,_xlfn._xlws.SORT(_xlfn.UNIQUE(_xlfn._xlws.FILTER([0]!Category,[0]!OrderID=Table3[[#This Row],[OrderID]]))))</f>
        <v>Beverage</v>
      </c>
      <c r="L167" s="39">
        <f>SUMIFS([0]!FoodCost,[0]!OrderID,Table3[[#This Row],[OrderID]])</f>
        <v>35.519999999999996</v>
      </c>
      <c r="M167" s="39">
        <f>Table3[[#This Row],[LineAmount]]-Table3[[#This Row],[TotalCost]]</f>
        <v>55.504800000000003</v>
      </c>
      <c r="N167" t="str">
        <f>IF(AND(COUNTIFS([0]!OrderID,Table3[[#This Row],[OrderID]],[0]!Category,"hot meal")&gt;0,COUNTIFS([0]!OrderID,Table3[[#This Row],[OrderID]],[0]!Category,"beverage")&gt;0),"combo","single")</f>
        <v>single</v>
      </c>
      <c r="O167" t="str">
        <f>IF((Table3[[#This Row],[LineAmount]]/(1-Table3[[#This Row],[DiscountPct]]))*Table3[[#This Row],[DiscountPct]]&gt;40,"High Disc","OK")</f>
        <v>OK</v>
      </c>
    </row>
    <row r="168" spans="1:15" x14ac:dyDescent="0.3">
      <c r="A168" t="s">
        <v>204</v>
      </c>
      <c r="B168" s="7">
        <v>45885.097986111112</v>
      </c>
      <c r="C168" t="s">
        <v>27</v>
      </c>
      <c r="D168" t="s">
        <v>16</v>
      </c>
      <c r="E168" t="s">
        <v>11</v>
      </c>
      <c r="F168" t="s">
        <v>12</v>
      </c>
      <c r="G168">
        <v>0.08</v>
      </c>
      <c r="H168" s="3">
        <f t="shared" si="2"/>
        <v>45885</v>
      </c>
      <c r="I168" t="str">
        <f>IF(COUNTIFS([0]!OrderID,Table3[[#This Row],[OrderID]],[0]!Category,"beverage")&gt;0,"yes","no")</f>
        <v>yes</v>
      </c>
      <c r="J168">
        <f>SUMIFS([0]!LineNetAmount,[0]!OrderID,Table3[[#This Row],[OrderID]])</f>
        <v>37.002400000000002</v>
      </c>
      <c r="K168" t="str" cm="1">
        <f t="array" ref="K168">_xlfn.TEXTJOIN("+",,_xlfn._xlws.SORT(_xlfn.UNIQUE(_xlfn._xlws.FILTER([0]!Category,[0]!OrderID=Table3[[#This Row],[OrderID]]))))</f>
        <v>Beverage</v>
      </c>
      <c r="L168" s="39">
        <f>SUMIFS([0]!FoodCost,[0]!OrderID,Table3[[#This Row],[OrderID]])</f>
        <v>16</v>
      </c>
      <c r="M168" s="39">
        <f>Table3[[#This Row],[LineAmount]]-Table3[[#This Row],[TotalCost]]</f>
        <v>21.002400000000002</v>
      </c>
      <c r="N168" t="str">
        <f>IF(AND(COUNTIFS([0]!OrderID,Table3[[#This Row],[OrderID]],[0]!Category,"hot meal")&gt;0,COUNTIFS([0]!OrderID,Table3[[#This Row],[OrderID]],[0]!Category,"beverage")&gt;0),"combo","single")</f>
        <v>single</v>
      </c>
      <c r="O168" t="str">
        <f>IF((Table3[[#This Row],[LineAmount]]/(1-Table3[[#This Row],[DiscountPct]]))*Table3[[#This Row],[DiscountPct]]&gt;40,"High Disc","OK")</f>
        <v>OK</v>
      </c>
    </row>
    <row r="169" spans="1:15" x14ac:dyDescent="0.3">
      <c r="A169" t="s">
        <v>205</v>
      </c>
      <c r="B169" s="7">
        <v>45876.4925</v>
      </c>
      <c r="C169" t="s">
        <v>27</v>
      </c>
      <c r="D169" t="s">
        <v>10</v>
      </c>
      <c r="E169" t="s">
        <v>11</v>
      </c>
      <c r="F169" t="s">
        <v>22</v>
      </c>
      <c r="G169">
        <v>0.21</v>
      </c>
      <c r="H169" s="3">
        <f t="shared" si="2"/>
        <v>45876</v>
      </c>
      <c r="I169" t="str">
        <f>IF(COUNTIFS([0]!OrderID,Table3[[#This Row],[OrderID]],[0]!Category,"beverage")&gt;0,"yes","no")</f>
        <v>no</v>
      </c>
      <c r="J169">
        <f>SUMIFS([0]!LineNetAmount,[0]!OrderID,Table3[[#This Row],[OrderID]])</f>
        <v>331.4366</v>
      </c>
      <c r="K169" t="str" cm="1">
        <f t="array" ref="K169">_xlfn.TEXTJOIN("+",,_xlfn._xlws.SORT(_xlfn.UNIQUE(_xlfn._xlws.FILTER([0]!Category,[0]!OrderID=Table3[[#This Row],[OrderID]]))))</f>
        <v>Dessert+Hot Meal+Snack</v>
      </c>
      <c r="L169" s="39">
        <f>SUMIFS([0]!FoodCost,[0]!OrderID,Table3[[#This Row],[OrderID]])</f>
        <v>222.67999999999998</v>
      </c>
      <c r="M169" s="39">
        <f>Table3[[#This Row],[LineAmount]]-Table3[[#This Row],[TotalCost]]</f>
        <v>108.75660000000002</v>
      </c>
      <c r="N169" t="str">
        <f>IF(AND(COUNTIFS([0]!OrderID,Table3[[#This Row],[OrderID]],[0]!Category,"hot meal")&gt;0,COUNTIFS([0]!OrderID,Table3[[#This Row],[OrderID]],[0]!Category,"beverage")&gt;0),"combo","single")</f>
        <v>single</v>
      </c>
      <c r="O169" t="str">
        <f>IF((Table3[[#This Row],[LineAmount]]/(1-Table3[[#This Row],[DiscountPct]]))*Table3[[#This Row],[DiscountPct]]&gt;40,"High Disc","OK")</f>
        <v>High Disc</v>
      </c>
    </row>
    <row r="170" spans="1:15" x14ac:dyDescent="0.3">
      <c r="A170" t="s">
        <v>206</v>
      </c>
      <c r="B170" s="7">
        <v>45846.027881944443</v>
      </c>
      <c r="C170" t="s">
        <v>15</v>
      </c>
      <c r="D170" t="s">
        <v>16</v>
      </c>
      <c r="E170" t="s">
        <v>21</v>
      </c>
      <c r="F170" t="s">
        <v>12</v>
      </c>
      <c r="G170">
        <v>0.08</v>
      </c>
      <c r="H170" s="3">
        <f t="shared" si="2"/>
        <v>45846</v>
      </c>
      <c r="I170" t="str">
        <f>IF(COUNTIFS([0]!OrderID,Table3[[#This Row],[OrderID]],[0]!Category,"beverage")&gt;0,"yes","no")</f>
        <v>yes</v>
      </c>
      <c r="J170">
        <f>SUMIFS([0]!LineNetAmount,[0]!OrderID,Table3[[#This Row],[OrderID]])</f>
        <v>318.40280000000001</v>
      </c>
      <c r="K170" t="str" cm="1">
        <f t="array" ref="K170">_xlfn.TEXTJOIN("+",,_xlfn._xlws.SORT(_xlfn.UNIQUE(_xlfn._xlws.FILTER([0]!Category,[0]!OrderID=Table3[[#This Row],[OrderID]]))))</f>
        <v>Beverage+Dessert+Hot Meal</v>
      </c>
      <c r="L170" s="39">
        <f>SUMIFS([0]!FoodCost,[0]!OrderID,Table3[[#This Row],[OrderID]])</f>
        <v>151.08999999999997</v>
      </c>
      <c r="M170" s="39">
        <f>Table3[[#This Row],[LineAmount]]-Table3[[#This Row],[TotalCost]]</f>
        <v>167.31280000000004</v>
      </c>
      <c r="N170" t="str">
        <f>IF(AND(COUNTIFS([0]!OrderID,Table3[[#This Row],[OrderID]],[0]!Category,"hot meal")&gt;0,COUNTIFS([0]!OrderID,Table3[[#This Row],[OrderID]],[0]!Category,"beverage")&gt;0),"combo","single")</f>
        <v>combo</v>
      </c>
      <c r="O170" t="str">
        <f>IF((Table3[[#This Row],[LineAmount]]/(1-Table3[[#This Row],[DiscountPct]]))*Table3[[#This Row],[DiscountPct]]&gt;40,"High Disc","OK")</f>
        <v>OK</v>
      </c>
    </row>
    <row r="171" spans="1:15" x14ac:dyDescent="0.3">
      <c r="A171" t="s">
        <v>207</v>
      </c>
      <c r="B171" s="7">
        <v>45865.189884259264</v>
      </c>
      <c r="C171" t="s">
        <v>27</v>
      </c>
      <c r="D171" t="s">
        <v>16</v>
      </c>
      <c r="E171" t="s">
        <v>11</v>
      </c>
      <c r="F171" t="s">
        <v>12</v>
      </c>
      <c r="G171">
        <v>0.11</v>
      </c>
      <c r="H171" s="3">
        <f t="shared" si="2"/>
        <v>45865</v>
      </c>
      <c r="I171" t="str">
        <f>IF(COUNTIFS([0]!OrderID,Table3[[#This Row],[OrderID]],[0]!Category,"beverage")&gt;0,"yes","no")</f>
        <v>yes</v>
      </c>
      <c r="J171">
        <f>SUMIFS([0]!LineNetAmount,[0]!OrderID,Table3[[#This Row],[OrderID]])</f>
        <v>153.614</v>
      </c>
      <c r="K171" t="str" cm="1">
        <f t="array" ref="K171">_xlfn.TEXTJOIN("+",,_xlfn._xlws.SORT(_xlfn.UNIQUE(_xlfn._xlws.FILTER([0]!Category,[0]!OrderID=Table3[[#This Row],[OrderID]]))))</f>
        <v>Beverage+Snack</v>
      </c>
      <c r="L171" s="39">
        <f>SUMIFS([0]!FoodCost,[0]!OrderID,Table3[[#This Row],[OrderID]])</f>
        <v>76.430000000000007</v>
      </c>
      <c r="M171" s="39">
        <f>Table3[[#This Row],[LineAmount]]-Table3[[#This Row],[TotalCost]]</f>
        <v>77.183999999999997</v>
      </c>
      <c r="N171" t="str">
        <f>IF(AND(COUNTIFS([0]!OrderID,Table3[[#This Row],[OrderID]],[0]!Category,"hot meal")&gt;0,COUNTIFS([0]!OrderID,Table3[[#This Row],[OrderID]],[0]!Category,"beverage")&gt;0),"combo","single")</f>
        <v>single</v>
      </c>
      <c r="O171" t="str">
        <f>IF((Table3[[#This Row],[LineAmount]]/(1-Table3[[#This Row],[DiscountPct]]))*Table3[[#This Row],[DiscountPct]]&gt;40,"High Disc","OK")</f>
        <v>OK</v>
      </c>
    </row>
    <row r="172" spans="1:15" x14ac:dyDescent="0.3">
      <c r="A172" t="s">
        <v>208</v>
      </c>
      <c r="B172" s="7">
        <v>45896.235995370371</v>
      </c>
      <c r="C172" t="s">
        <v>9</v>
      </c>
      <c r="D172" t="s">
        <v>10</v>
      </c>
      <c r="E172" t="s">
        <v>21</v>
      </c>
      <c r="F172" t="s">
        <v>12</v>
      </c>
      <c r="G172">
        <v>0.1</v>
      </c>
      <c r="H172" s="3">
        <f t="shared" si="2"/>
        <v>45896</v>
      </c>
      <c r="I172" t="str">
        <f>IF(COUNTIFS([0]!OrderID,Table3[[#This Row],[OrderID]],[0]!Category,"beverage")&gt;0,"yes","no")</f>
        <v>no</v>
      </c>
      <c r="J172">
        <f>SUMIFS([0]!LineNetAmount,[0]!OrderID,Table3[[#This Row],[OrderID]])</f>
        <v>502.74000000000007</v>
      </c>
      <c r="K172" t="str" cm="1">
        <f t="array" ref="K172">_xlfn.TEXTJOIN("+",,_xlfn._xlws.SORT(_xlfn.UNIQUE(_xlfn._xlws.FILTER([0]!Category,[0]!OrderID=Table3[[#This Row],[OrderID]]))))</f>
        <v>Hot Meal+Snack</v>
      </c>
      <c r="L172" s="39">
        <f>SUMIFS([0]!FoodCost,[0]!OrderID,Table3[[#This Row],[OrderID]])</f>
        <v>264.87</v>
      </c>
      <c r="M172" s="39">
        <f>Table3[[#This Row],[LineAmount]]-Table3[[#This Row],[TotalCost]]</f>
        <v>237.87000000000006</v>
      </c>
      <c r="N172" t="str">
        <f>IF(AND(COUNTIFS([0]!OrderID,Table3[[#This Row],[OrderID]],[0]!Category,"hot meal")&gt;0,COUNTIFS([0]!OrderID,Table3[[#This Row],[OrderID]],[0]!Category,"beverage")&gt;0),"combo","single")</f>
        <v>single</v>
      </c>
      <c r="O172" t="str">
        <f>IF((Table3[[#This Row],[LineAmount]]/(1-Table3[[#This Row],[DiscountPct]]))*Table3[[#This Row],[DiscountPct]]&gt;40,"High Disc","OK")</f>
        <v>High Disc</v>
      </c>
    </row>
    <row r="173" spans="1:15" x14ac:dyDescent="0.3">
      <c r="A173" t="s">
        <v>209</v>
      </c>
      <c r="B173" s="7">
        <v>45882.605451388888</v>
      </c>
      <c r="C173" t="s">
        <v>9</v>
      </c>
      <c r="D173" t="s">
        <v>16</v>
      </c>
      <c r="E173" t="s">
        <v>21</v>
      </c>
      <c r="F173" t="s">
        <v>22</v>
      </c>
      <c r="G173">
        <v>0.09</v>
      </c>
      <c r="H173" s="3">
        <f t="shared" si="2"/>
        <v>45882</v>
      </c>
      <c r="I173" t="str">
        <f>IF(COUNTIFS([0]!OrderID,Table3[[#This Row],[OrderID]],[0]!Category,"beverage")&gt;0,"yes","no")</f>
        <v>no</v>
      </c>
      <c r="J173">
        <f>SUMIFS([0]!LineNetAmount,[0]!OrderID,Table3[[#This Row],[OrderID]])</f>
        <v>414.25020000000006</v>
      </c>
      <c r="K173" t="str" cm="1">
        <f t="array" ref="K173">_xlfn.TEXTJOIN("+",,_xlfn._xlws.SORT(_xlfn.UNIQUE(_xlfn._xlws.FILTER([0]!Category,[0]!OrderID=Table3[[#This Row],[OrderID]]))))</f>
        <v>Hot Meal</v>
      </c>
      <c r="L173" s="39">
        <f>SUMIFS([0]!FoodCost,[0]!OrderID,Table3[[#This Row],[OrderID]])</f>
        <v>192.44</v>
      </c>
      <c r="M173" s="39">
        <f>Table3[[#This Row],[LineAmount]]-Table3[[#This Row],[TotalCost]]</f>
        <v>221.81020000000007</v>
      </c>
      <c r="N173" t="str">
        <f>IF(AND(COUNTIFS([0]!OrderID,Table3[[#This Row],[OrderID]],[0]!Category,"hot meal")&gt;0,COUNTIFS([0]!OrderID,Table3[[#This Row],[OrderID]],[0]!Category,"beverage")&gt;0),"combo","single")</f>
        <v>single</v>
      </c>
      <c r="O173" t="str">
        <f>IF((Table3[[#This Row],[LineAmount]]/(1-Table3[[#This Row],[DiscountPct]]))*Table3[[#This Row],[DiscountPct]]&gt;40,"High Disc","OK")</f>
        <v>High Disc</v>
      </c>
    </row>
    <row r="174" spans="1:15" x14ac:dyDescent="0.3">
      <c r="A174" t="s">
        <v>210</v>
      </c>
      <c r="B174" s="7">
        <v>45892.835856481477</v>
      </c>
      <c r="C174" t="s">
        <v>9</v>
      </c>
      <c r="D174" t="s">
        <v>16</v>
      </c>
      <c r="E174" t="s">
        <v>21</v>
      </c>
      <c r="F174" t="s">
        <v>18</v>
      </c>
      <c r="G174">
        <v>0.05</v>
      </c>
      <c r="H174" s="3">
        <f t="shared" si="2"/>
        <v>45892</v>
      </c>
      <c r="I174" t="str">
        <f>IF(COUNTIFS([0]!OrderID,Table3[[#This Row],[OrderID]],[0]!Category,"beverage")&gt;0,"yes","no")</f>
        <v>no</v>
      </c>
      <c r="J174">
        <f>SUMIFS([0]!LineNetAmount,[0]!OrderID,Table3[[#This Row],[OrderID]])</f>
        <v>488.12900000000002</v>
      </c>
      <c r="K174" t="str" cm="1">
        <f t="array" ref="K174">_xlfn.TEXTJOIN("+",,_xlfn._xlws.SORT(_xlfn.UNIQUE(_xlfn._xlws.FILTER([0]!Category,[0]!OrderID=Table3[[#This Row],[OrderID]]))))</f>
        <v>Hot Meal</v>
      </c>
      <c r="L174" s="39">
        <f>SUMIFS([0]!FoodCost,[0]!OrderID,Table3[[#This Row],[OrderID]])</f>
        <v>242.48</v>
      </c>
      <c r="M174" s="39">
        <f>Table3[[#This Row],[LineAmount]]-Table3[[#This Row],[TotalCost]]</f>
        <v>245.64900000000003</v>
      </c>
      <c r="N174" t="str">
        <f>IF(AND(COUNTIFS([0]!OrderID,Table3[[#This Row],[OrderID]],[0]!Category,"hot meal")&gt;0,COUNTIFS([0]!OrderID,Table3[[#This Row],[OrderID]],[0]!Category,"beverage")&gt;0),"combo","single")</f>
        <v>single</v>
      </c>
      <c r="O174" t="str">
        <f>IF((Table3[[#This Row],[LineAmount]]/(1-Table3[[#This Row],[DiscountPct]]))*Table3[[#This Row],[DiscountPct]]&gt;40,"High Disc","OK")</f>
        <v>OK</v>
      </c>
    </row>
    <row r="175" spans="1:15" x14ac:dyDescent="0.3">
      <c r="A175" t="s">
        <v>211</v>
      </c>
      <c r="B175" s="7">
        <v>45857.566319444442</v>
      </c>
      <c r="C175" t="s">
        <v>9</v>
      </c>
      <c r="D175" t="s">
        <v>28</v>
      </c>
      <c r="E175" t="s">
        <v>11</v>
      </c>
      <c r="F175" t="s">
        <v>22</v>
      </c>
      <c r="G175">
        <v>0.09</v>
      </c>
      <c r="H175" s="3">
        <f t="shared" si="2"/>
        <v>45857</v>
      </c>
      <c r="I175" t="str">
        <f>IF(COUNTIFS([0]!OrderID,Table3[[#This Row],[OrderID]],[0]!Category,"beverage")&gt;0,"yes","no")</f>
        <v>yes</v>
      </c>
      <c r="J175">
        <f>SUMIFS([0]!LineNetAmount,[0]!OrderID,Table3[[#This Row],[OrderID]])</f>
        <v>243.8982</v>
      </c>
      <c r="K175" t="str" cm="1">
        <f t="array" ref="K175">_xlfn.TEXTJOIN("+",,_xlfn._xlws.SORT(_xlfn.UNIQUE(_xlfn._xlws.FILTER([0]!Category,[0]!OrderID=Table3[[#This Row],[OrderID]]))))</f>
        <v>Beverage+Dessert</v>
      </c>
      <c r="L175" s="39">
        <f>SUMIFS([0]!FoodCost,[0]!OrderID,Table3[[#This Row],[OrderID]])</f>
        <v>119.58</v>
      </c>
      <c r="M175" s="39">
        <f>Table3[[#This Row],[LineAmount]]-Table3[[#This Row],[TotalCost]]</f>
        <v>124.3182</v>
      </c>
      <c r="N175" t="str">
        <f>IF(AND(COUNTIFS([0]!OrderID,Table3[[#This Row],[OrderID]],[0]!Category,"hot meal")&gt;0,COUNTIFS([0]!OrderID,Table3[[#This Row],[OrderID]],[0]!Category,"beverage")&gt;0),"combo","single")</f>
        <v>single</v>
      </c>
      <c r="O175" t="str">
        <f>IF((Table3[[#This Row],[LineAmount]]/(1-Table3[[#This Row],[DiscountPct]]))*Table3[[#This Row],[DiscountPct]]&gt;40,"High Disc","OK")</f>
        <v>OK</v>
      </c>
    </row>
    <row r="176" spans="1:15" x14ac:dyDescent="0.3">
      <c r="A176" t="s">
        <v>212</v>
      </c>
      <c r="B176" s="7">
        <v>45861.926655092589</v>
      </c>
      <c r="C176" t="s">
        <v>15</v>
      </c>
      <c r="D176" t="s">
        <v>28</v>
      </c>
      <c r="E176" t="s">
        <v>21</v>
      </c>
      <c r="F176" t="s">
        <v>18</v>
      </c>
      <c r="G176">
        <v>0.03</v>
      </c>
      <c r="H176" s="3">
        <f t="shared" si="2"/>
        <v>45861</v>
      </c>
      <c r="I176" t="str">
        <f>IF(COUNTIFS([0]!OrderID,Table3[[#This Row],[OrderID]],[0]!Category,"beverage")&gt;0,"yes","no")</f>
        <v>no</v>
      </c>
      <c r="J176">
        <f>SUMIFS([0]!LineNetAmount,[0]!OrderID,Table3[[#This Row],[OrderID]])</f>
        <v>318.15030000000002</v>
      </c>
      <c r="K176" t="str" cm="1">
        <f t="array" ref="K176">_xlfn.TEXTJOIN("+",,_xlfn._xlws.SORT(_xlfn.UNIQUE(_xlfn._xlws.FILTER([0]!Category,[0]!OrderID=Table3[[#This Row],[OrderID]]))))</f>
        <v>Hot Meal+Snack</v>
      </c>
      <c r="L176" s="39">
        <f>SUMIFS([0]!FoodCost,[0]!OrderID,Table3[[#This Row],[OrderID]])</f>
        <v>141.44</v>
      </c>
      <c r="M176" s="39">
        <f>Table3[[#This Row],[LineAmount]]-Table3[[#This Row],[TotalCost]]</f>
        <v>176.71030000000002</v>
      </c>
      <c r="N176" t="str">
        <f>IF(AND(COUNTIFS([0]!OrderID,Table3[[#This Row],[OrderID]],[0]!Category,"hot meal")&gt;0,COUNTIFS([0]!OrderID,Table3[[#This Row],[OrderID]],[0]!Category,"beverage")&gt;0),"combo","single")</f>
        <v>single</v>
      </c>
      <c r="O176" t="str">
        <f>IF((Table3[[#This Row],[LineAmount]]/(1-Table3[[#This Row],[DiscountPct]]))*Table3[[#This Row],[DiscountPct]]&gt;40,"High Disc","OK")</f>
        <v>OK</v>
      </c>
    </row>
    <row r="177" spans="1:15" x14ac:dyDescent="0.3">
      <c r="A177" t="s">
        <v>213</v>
      </c>
      <c r="B177" s="7">
        <v>45876.263865740737</v>
      </c>
      <c r="C177" t="s">
        <v>15</v>
      </c>
      <c r="D177" t="s">
        <v>10</v>
      </c>
      <c r="E177" t="s">
        <v>11</v>
      </c>
      <c r="F177" t="s">
        <v>12</v>
      </c>
      <c r="G177">
        <v>0.05</v>
      </c>
      <c r="H177" s="3">
        <f t="shared" si="2"/>
        <v>45876</v>
      </c>
      <c r="I177" t="str">
        <f>IF(COUNTIFS([0]!OrderID,Table3[[#This Row],[OrderID]],[0]!Category,"beverage")&gt;0,"yes","no")</f>
        <v>yes</v>
      </c>
      <c r="J177">
        <f>SUMIFS([0]!LineNetAmount,[0]!OrderID,Table3[[#This Row],[OrderID]])</f>
        <v>479.39850000000001</v>
      </c>
      <c r="K177" t="str" cm="1">
        <f t="array" ref="K177">_xlfn.TEXTJOIN("+",,_xlfn._xlws.SORT(_xlfn.UNIQUE(_xlfn._xlws.FILTER([0]!Category,[0]!OrderID=Table3[[#This Row],[OrderID]]))))</f>
        <v>Beverage+Hot Meal</v>
      </c>
      <c r="L177" s="39">
        <f>SUMIFS([0]!FoodCost,[0]!OrderID,Table3[[#This Row],[OrderID]])</f>
        <v>225.46</v>
      </c>
      <c r="M177" s="39">
        <f>Table3[[#This Row],[LineAmount]]-Table3[[#This Row],[TotalCost]]</f>
        <v>253.9385</v>
      </c>
      <c r="N177" t="str">
        <f>IF(AND(COUNTIFS([0]!OrderID,Table3[[#This Row],[OrderID]],[0]!Category,"hot meal")&gt;0,COUNTIFS([0]!OrderID,Table3[[#This Row],[OrderID]],[0]!Category,"beverage")&gt;0),"combo","single")</f>
        <v>combo</v>
      </c>
      <c r="O177" t="str">
        <f>IF((Table3[[#This Row],[LineAmount]]/(1-Table3[[#This Row],[DiscountPct]]))*Table3[[#This Row],[DiscountPct]]&gt;40,"High Disc","OK")</f>
        <v>OK</v>
      </c>
    </row>
    <row r="178" spans="1:15" x14ac:dyDescent="0.3">
      <c r="A178" t="s">
        <v>214</v>
      </c>
      <c r="B178" s="7">
        <v>45887.341631944437</v>
      </c>
      <c r="C178" t="s">
        <v>27</v>
      </c>
      <c r="D178" t="s">
        <v>28</v>
      </c>
      <c r="E178" t="s">
        <v>11</v>
      </c>
      <c r="F178" t="s">
        <v>12</v>
      </c>
      <c r="G178">
        <v>0.04</v>
      </c>
      <c r="H178" s="3">
        <f t="shared" si="2"/>
        <v>45887</v>
      </c>
      <c r="I178" t="str">
        <f>IF(COUNTIFS([0]!OrderID,Table3[[#This Row],[OrderID]],[0]!Category,"beverage")&gt;0,"yes","no")</f>
        <v>yes</v>
      </c>
      <c r="J178">
        <f>SUMIFS([0]!LineNetAmount,[0]!OrderID,Table3[[#This Row],[OrderID]])</f>
        <v>145.91039999999998</v>
      </c>
      <c r="K178" t="str" cm="1">
        <f t="array" ref="K178">_xlfn.TEXTJOIN("+",,_xlfn._xlws.SORT(_xlfn.UNIQUE(_xlfn._xlws.FILTER([0]!Category,[0]!OrderID=Table3[[#This Row],[OrderID]]))))</f>
        <v>Beverage+Dessert+Snack</v>
      </c>
      <c r="L178" s="39">
        <f>SUMIFS([0]!FoodCost,[0]!OrderID,Table3[[#This Row],[OrderID]])</f>
        <v>76.47</v>
      </c>
      <c r="M178" s="39">
        <f>Table3[[#This Row],[LineAmount]]-Table3[[#This Row],[TotalCost]]</f>
        <v>69.440399999999983</v>
      </c>
      <c r="N178" t="str">
        <f>IF(AND(COUNTIFS([0]!OrderID,Table3[[#This Row],[OrderID]],[0]!Category,"hot meal")&gt;0,COUNTIFS([0]!OrderID,Table3[[#This Row],[OrderID]],[0]!Category,"beverage")&gt;0),"combo","single")</f>
        <v>single</v>
      </c>
      <c r="O178" t="str">
        <f>IF((Table3[[#This Row],[LineAmount]]/(1-Table3[[#This Row],[DiscountPct]]))*Table3[[#This Row],[DiscountPct]]&gt;40,"High Disc","OK")</f>
        <v>OK</v>
      </c>
    </row>
    <row r="179" spans="1:15" x14ac:dyDescent="0.3">
      <c r="A179" t="s">
        <v>215</v>
      </c>
      <c r="B179" s="7">
        <v>45848.994432870371</v>
      </c>
      <c r="C179" t="s">
        <v>15</v>
      </c>
      <c r="D179" t="s">
        <v>28</v>
      </c>
      <c r="E179" t="s">
        <v>11</v>
      </c>
      <c r="F179" t="s">
        <v>18</v>
      </c>
      <c r="G179">
        <v>0.06</v>
      </c>
      <c r="H179" s="3">
        <f t="shared" si="2"/>
        <v>45848</v>
      </c>
      <c r="I179" t="str">
        <f>IF(COUNTIFS([0]!OrderID,Table3[[#This Row],[OrderID]],[0]!Category,"beverage")&gt;0,"yes","no")</f>
        <v>no</v>
      </c>
      <c r="J179">
        <f>SUMIFS([0]!LineNetAmount,[0]!OrderID,Table3[[#This Row],[OrderID]])</f>
        <v>976.71639999999991</v>
      </c>
      <c r="K179" t="str" cm="1">
        <f t="array" ref="K179">_xlfn.TEXTJOIN("+",,_xlfn._xlws.SORT(_xlfn.UNIQUE(_xlfn._xlws.FILTER([0]!Category,[0]!OrderID=Table3[[#This Row],[OrderID]]))))</f>
        <v>Dessert+Hot Meal</v>
      </c>
      <c r="L179" s="39">
        <f>SUMIFS([0]!FoodCost,[0]!OrderID,Table3[[#This Row],[OrderID]])</f>
        <v>478.83999999999992</v>
      </c>
      <c r="M179" s="39">
        <f>Table3[[#This Row],[LineAmount]]-Table3[[#This Row],[TotalCost]]</f>
        <v>497.87639999999999</v>
      </c>
      <c r="N179" t="str">
        <f>IF(AND(COUNTIFS([0]!OrderID,Table3[[#This Row],[OrderID]],[0]!Category,"hot meal")&gt;0,COUNTIFS([0]!OrderID,Table3[[#This Row],[OrderID]],[0]!Category,"beverage")&gt;0),"combo","single")</f>
        <v>single</v>
      </c>
      <c r="O179" t="str">
        <f>IF((Table3[[#This Row],[LineAmount]]/(1-Table3[[#This Row],[DiscountPct]]))*Table3[[#This Row],[DiscountPct]]&gt;40,"High Disc","OK")</f>
        <v>High Disc</v>
      </c>
    </row>
    <row r="180" spans="1:15" x14ac:dyDescent="0.3">
      <c r="A180" t="s">
        <v>216</v>
      </c>
      <c r="B180" s="7">
        <v>45840.74009259259</v>
      </c>
      <c r="C180" t="s">
        <v>9</v>
      </c>
      <c r="D180" t="s">
        <v>28</v>
      </c>
      <c r="E180" t="s">
        <v>21</v>
      </c>
      <c r="F180" t="s">
        <v>18</v>
      </c>
      <c r="G180">
        <v>0.15</v>
      </c>
      <c r="H180" s="3">
        <f t="shared" si="2"/>
        <v>45840</v>
      </c>
      <c r="I180" t="str">
        <f>IF(COUNTIFS([0]!OrderID,Table3[[#This Row],[OrderID]],[0]!Category,"beverage")&gt;0,"yes","no")</f>
        <v>no</v>
      </c>
      <c r="J180">
        <f>SUMIFS([0]!LineNetAmount,[0]!OrderID,Table3[[#This Row],[OrderID]])</f>
        <v>339.08199999999999</v>
      </c>
      <c r="K180" t="str" cm="1">
        <f t="array" ref="K180">_xlfn.TEXTJOIN("+",,_xlfn._xlws.SORT(_xlfn.UNIQUE(_xlfn._xlws.FILTER([0]!Category,[0]!OrderID=Table3[[#This Row],[OrderID]]))))</f>
        <v>Hot Meal+Snack</v>
      </c>
      <c r="L180" s="39">
        <f>SUMIFS([0]!FoodCost,[0]!OrderID,Table3[[#This Row],[OrderID]])</f>
        <v>183.10000000000002</v>
      </c>
      <c r="M180" s="39">
        <f>Table3[[#This Row],[LineAmount]]-Table3[[#This Row],[TotalCost]]</f>
        <v>155.98199999999997</v>
      </c>
      <c r="N180" t="str">
        <f>IF(AND(COUNTIFS([0]!OrderID,Table3[[#This Row],[OrderID]],[0]!Category,"hot meal")&gt;0,COUNTIFS([0]!OrderID,Table3[[#This Row],[OrderID]],[0]!Category,"beverage")&gt;0),"combo","single")</f>
        <v>single</v>
      </c>
      <c r="O180" t="str">
        <f>IF((Table3[[#This Row],[LineAmount]]/(1-Table3[[#This Row],[DiscountPct]]))*Table3[[#This Row],[DiscountPct]]&gt;40,"High Disc","OK")</f>
        <v>High Disc</v>
      </c>
    </row>
    <row r="181" spans="1:15" x14ac:dyDescent="0.3">
      <c r="A181" t="s">
        <v>217</v>
      </c>
      <c r="B181" s="7">
        <v>45846.515092592592</v>
      </c>
      <c r="C181" t="s">
        <v>15</v>
      </c>
      <c r="D181" t="s">
        <v>16</v>
      </c>
      <c r="E181" t="s">
        <v>21</v>
      </c>
      <c r="F181" t="s">
        <v>22</v>
      </c>
      <c r="G181">
        <v>0</v>
      </c>
      <c r="H181" s="3">
        <f t="shared" si="2"/>
        <v>45846</v>
      </c>
      <c r="I181" t="str">
        <f>IF(COUNTIFS([0]!OrderID,Table3[[#This Row],[OrderID]],[0]!Category,"beverage")&gt;0,"yes","no")</f>
        <v>yes</v>
      </c>
      <c r="J181">
        <f>SUMIFS([0]!LineNetAmount,[0]!OrderID,Table3[[#This Row],[OrderID]])</f>
        <v>28.43</v>
      </c>
      <c r="K181" t="str" cm="1">
        <f t="array" ref="K181">_xlfn.TEXTJOIN("+",,_xlfn._xlws.SORT(_xlfn.UNIQUE(_xlfn._xlws.FILTER([0]!Category,[0]!OrderID=Table3[[#This Row],[OrderID]]))))</f>
        <v>Beverage</v>
      </c>
      <c r="L181" s="39">
        <f>SUMIFS([0]!FoodCost,[0]!OrderID,Table3[[#This Row],[OrderID]])</f>
        <v>13.89</v>
      </c>
      <c r="M181" s="39">
        <f>Table3[[#This Row],[LineAmount]]-Table3[[#This Row],[TotalCost]]</f>
        <v>14.54</v>
      </c>
      <c r="N181" t="str">
        <f>IF(AND(COUNTIFS([0]!OrderID,Table3[[#This Row],[OrderID]],[0]!Category,"hot meal")&gt;0,COUNTIFS([0]!OrderID,Table3[[#This Row],[OrderID]],[0]!Category,"beverage")&gt;0),"combo","single")</f>
        <v>single</v>
      </c>
      <c r="O181" t="str">
        <f>IF((Table3[[#This Row],[LineAmount]]/(1-Table3[[#This Row],[DiscountPct]]))*Table3[[#This Row],[DiscountPct]]&gt;40,"High Disc","OK")</f>
        <v>OK</v>
      </c>
    </row>
    <row r="182" spans="1:15" x14ac:dyDescent="0.3">
      <c r="A182" t="s">
        <v>218</v>
      </c>
      <c r="B182" s="7">
        <v>45847.047835648147</v>
      </c>
      <c r="C182" t="s">
        <v>15</v>
      </c>
      <c r="D182" t="s">
        <v>10</v>
      </c>
      <c r="E182" t="s">
        <v>11</v>
      </c>
      <c r="F182" t="s">
        <v>12</v>
      </c>
      <c r="G182">
        <v>0.09</v>
      </c>
      <c r="H182" s="3">
        <f t="shared" si="2"/>
        <v>45847</v>
      </c>
      <c r="I182" t="str">
        <f>IF(COUNTIFS([0]!OrderID,Table3[[#This Row],[OrderID]],[0]!Category,"beverage")&gt;0,"yes","no")</f>
        <v>no</v>
      </c>
      <c r="J182">
        <f>SUMIFS([0]!LineNetAmount,[0]!OrderID,Table3[[#This Row],[OrderID]])</f>
        <v>1182.9727000000003</v>
      </c>
      <c r="K182" t="str" cm="1">
        <f t="array" ref="K182">_xlfn.TEXTJOIN("+",,_xlfn._xlws.SORT(_xlfn.UNIQUE(_xlfn._xlws.FILTER([0]!Category,[0]!OrderID=Table3[[#This Row],[OrderID]]))))</f>
        <v>Dessert+Hot Meal</v>
      </c>
      <c r="L182" s="39">
        <f>SUMIFS([0]!FoodCost,[0]!OrderID,Table3[[#This Row],[OrderID]])</f>
        <v>580.25999999999988</v>
      </c>
      <c r="M182" s="39">
        <f>Table3[[#This Row],[LineAmount]]-Table3[[#This Row],[TotalCost]]</f>
        <v>602.71270000000038</v>
      </c>
      <c r="N182" t="str">
        <f>IF(AND(COUNTIFS([0]!OrderID,Table3[[#This Row],[OrderID]],[0]!Category,"hot meal")&gt;0,COUNTIFS([0]!OrderID,Table3[[#This Row],[OrderID]],[0]!Category,"beverage")&gt;0),"combo","single")</f>
        <v>single</v>
      </c>
      <c r="O182" t="str">
        <f>IF((Table3[[#This Row],[LineAmount]]/(1-Table3[[#This Row],[DiscountPct]]))*Table3[[#This Row],[DiscountPct]]&gt;40,"High Disc","OK")</f>
        <v>High Disc</v>
      </c>
    </row>
    <row r="183" spans="1:15" x14ac:dyDescent="0.3">
      <c r="A183" t="s">
        <v>219</v>
      </c>
      <c r="B183" s="7">
        <v>45869.994745370372</v>
      </c>
      <c r="C183" t="s">
        <v>9</v>
      </c>
      <c r="D183" t="s">
        <v>10</v>
      </c>
      <c r="E183" t="s">
        <v>21</v>
      </c>
      <c r="F183" t="s">
        <v>18</v>
      </c>
      <c r="G183">
        <v>0</v>
      </c>
      <c r="H183" s="3">
        <f t="shared" si="2"/>
        <v>45869</v>
      </c>
      <c r="I183" t="str">
        <f>IF(COUNTIFS([0]!OrderID,Table3[[#This Row],[OrderID]],[0]!Category,"beverage")&gt;0,"yes","no")</f>
        <v>no</v>
      </c>
      <c r="J183">
        <f>SUMIFS([0]!LineNetAmount,[0]!OrderID,Table3[[#This Row],[OrderID]])</f>
        <v>52.45</v>
      </c>
      <c r="K183" t="str" cm="1">
        <f t="array" ref="K183">_xlfn.TEXTJOIN("+",,_xlfn._xlws.SORT(_xlfn.UNIQUE(_xlfn._xlws.FILTER([0]!Category,[0]!OrderID=Table3[[#This Row],[OrderID]]))))</f>
        <v>Snack</v>
      </c>
      <c r="L183" s="39">
        <f>SUMIFS([0]!FoodCost,[0]!OrderID,Table3[[#This Row],[OrderID]])</f>
        <v>25.8</v>
      </c>
      <c r="M183" s="39">
        <f>Table3[[#This Row],[LineAmount]]-Table3[[#This Row],[TotalCost]]</f>
        <v>26.650000000000002</v>
      </c>
      <c r="N183" t="str">
        <f>IF(AND(COUNTIFS([0]!OrderID,Table3[[#This Row],[OrderID]],[0]!Category,"hot meal")&gt;0,COUNTIFS([0]!OrderID,Table3[[#This Row],[OrderID]],[0]!Category,"beverage")&gt;0),"combo","single")</f>
        <v>single</v>
      </c>
      <c r="O183" t="str">
        <f>IF((Table3[[#This Row],[LineAmount]]/(1-Table3[[#This Row],[DiscountPct]]))*Table3[[#This Row],[DiscountPct]]&gt;40,"High Disc","OK")</f>
        <v>OK</v>
      </c>
    </row>
    <row r="184" spans="1:15" x14ac:dyDescent="0.3">
      <c r="A184" t="s">
        <v>220</v>
      </c>
      <c r="B184" s="7">
        <v>45842.735451388893</v>
      </c>
      <c r="C184" t="s">
        <v>9</v>
      </c>
      <c r="D184" t="s">
        <v>28</v>
      </c>
      <c r="E184" t="s">
        <v>17</v>
      </c>
      <c r="F184" t="s">
        <v>18</v>
      </c>
      <c r="G184">
        <v>0.04</v>
      </c>
      <c r="H184" s="3">
        <f t="shared" si="2"/>
        <v>45842</v>
      </c>
      <c r="I184" t="str">
        <f>IF(COUNTIFS([0]!OrderID,Table3[[#This Row],[OrderID]],[0]!Category,"beverage")&gt;0,"yes","no")</f>
        <v>yes</v>
      </c>
      <c r="J184">
        <f>SUMIFS([0]!LineNetAmount,[0]!OrderID,Table3[[#This Row],[OrderID]])</f>
        <v>150.70079999999999</v>
      </c>
      <c r="K184" t="str" cm="1">
        <f t="array" ref="K184">_xlfn.TEXTJOIN("+",,_xlfn._xlws.SORT(_xlfn.UNIQUE(_xlfn._xlws.FILTER([0]!Category,[0]!OrderID=Table3[[#This Row],[OrderID]]))))</f>
        <v>Beverage</v>
      </c>
      <c r="L184" s="39">
        <f>SUMIFS([0]!FoodCost,[0]!OrderID,Table3[[#This Row],[OrderID]])</f>
        <v>66.22</v>
      </c>
      <c r="M184" s="39">
        <f>Table3[[#This Row],[LineAmount]]-Table3[[#This Row],[TotalCost]]</f>
        <v>84.480799999999988</v>
      </c>
      <c r="N184" t="str">
        <f>IF(AND(COUNTIFS([0]!OrderID,Table3[[#This Row],[OrderID]],[0]!Category,"hot meal")&gt;0,COUNTIFS([0]!OrderID,Table3[[#This Row],[OrderID]],[0]!Category,"beverage")&gt;0),"combo","single")</f>
        <v>single</v>
      </c>
      <c r="O184" t="str">
        <f>IF((Table3[[#This Row],[LineAmount]]/(1-Table3[[#This Row],[DiscountPct]]))*Table3[[#This Row],[DiscountPct]]&gt;40,"High Disc","OK")</f>
        <v>OK</v>
      </c>
    </row>
    <row r="185" spans="1:15" x14ac:dyDescent="0.3">
      <c r="A185" t="s">
        <v>221</v>
      </c>
      <c r="B185" s="7">
        <v>45861.336724537039</v>
      </c>
      <c r="C185" t="s">
        <v>9</v>
      </c>
      <c r="D185" t="s">
        <v>28</v>
      </c>
      <c r="E185" t="s">
        <v>21</v>
      </c>
      <c r="F185" t="s">
        <v>12</v>
      </c>
      <c r="G185">
        <v>0.1</v>
      </c>
      <c r="H185" s="3">
        <f t="shared" si="2"/>
        <v>45861</v>
      </c>
      <c r="I185" t="str">
        <f>IF(COUNTIFS([0]!OrderID,Table3[[#This Row],[OrderID]],[0]!Category,"beverage")&gt;0,"yes","no")</f>
        <v>no</v>
      </c>
      <c r="J185">
        <f>SUMIFS([0]!LineNetAmount,[0]!OrderID,Table3[[#This Row],[OrderID]])</f>
        <v>130.78800000000001</v>
      </c>
      <c r="K185" t="str" cm="1">
        <f t="array" ref="K185">_xlfn.TEXTJOIN("+",,_xlfn._xlws.SORT(_xlfn.UNIQUE(_xlfn._xlws.FILTER([0]!Category,[0]!OrderID=Table3[[#This Row],[OrderID]]))))</f>
        <v>Dessert+Snack</v>
      </c>
      <c r="L185" s="39">
        <f>SUMIFS([0]!FoodCost,[0]!OrderID,Table3[[#This Row],[OrderID]])</f>
        <v>71.3</v>
      </c>
      <c r="M185" s="39">
        <f>Table3[[#This Row],[LineAmount]]-Table3[[#This Row],[TotalCost]]</f>
        <v>59.488000000000014</v>
      </c>
      <c r="N185" t="str">
        <f>IF(AND(COUNTIFS([0]!OrderID,Table3[[#This Row],[OrderID]],[0]!Category,"hot meal")&gt;0,COUNTIFS([0]!OrderID,Table3[[#This Row],[OrderID]],[0]!Category,"beverage")&gt;0),"combo","single")</f>
        <v>single</v>
      </c>
      <c r="O185" t="str">
        <f>IF((Table3[[#This Row],[LineAmount]]/(1-Table3[[#This Row],[DiscountPct]]))*Table3[[#This Row],[DiscountPct]]&gt;40,"High Disc","OK")</f>
        <v>OK</v>
      </c>
    </row>
    <row r="186" spans="1:15" x14ac:dyDescent="0.3">
      <c r="A186" t="s">
        <v>222</v>
      </c>
      <c r="B186" s="7">
        <v>45849.008275462962</v>
      </c>
      <c r="C186" t="s">
        <v>15</v>
      </c>
      <c r="D186" t="s">
        <v>28</v>
      </c>
      <c r="E186" t="s">
        <v>11</v>
      </c>
      <c r="F186" t="s">
        <v>12</v>
      </c>
      <c r="G186">
        <v>0.06</v>
      </c>
      <c r="H186" s="3">
        <f t="shared" si="2"/>
        <v>45849</v>
      </c>
      <c r="I186" t="str">
        <f>IF(COUNTIFS([0]!OrderID,Table3[[#This Row],[OrderID]],[0]!Category,"beverage")&gt;0,"yes","no")</f>
        <v>yes</v>
      </c>
      <c r="J186">
        <f>SUMIFS([0]!LineNetAmount,[0]!OrderID,Table3[[#This Row],[OrderID]])</f>
        <v>138.85679999999999</v>
      </c>
      <c r="K186" t="str" cm="1">
        <f t="array" ref="K186">_xlfn.TEXTJOIN("+",,_xlfn._xlws.SORT(_xlfn.UNIQUE(_xlfn._xlws.FILTER([0]!Category,[0]!OrderID=Table3[[#This Row],[OrderID]]))))</f>
        <v>Beverage+Dessert+Snack</v>
      </c>
      <c r="L186" s="39">
        <f>SUMIFS([0]!FoodCost,[0]!OrderID,Table3[[#This Row],[OrderID]])</f>
        <v>72.95</v>
      </c>
      <c r="M186" s="39">
        <f>Table3[[#This Row],[LineAmount]]-Table3[[#This Row],[TotalCost]]</f>
        <v>65.90679999999999</v>
      </c>
      <c r="N186" t="str">
        <f>IF(AND(COUNTIFS([0]!OrderID,Table3[[#This Row],[OrderID]],[0]!Category,"hot meal")&gt;0,COUNTIFS([0]!OrderID,Table3[[#This Row],[OrderID]],[0]!Category,"beverage")&gt;0),"combo","single")</f>
        <v>single</v>
      </c>
      <c r="O186" t="str">
        <f>IF((Table3[[#This Row],[LineAmount]]/(1-Table3[[#This Row],[DiscountPct]]))*Table3[[#This Row],[DiscountPct]]&gt;40,"High Disc","OK")</f>
        <v>OK</v>
      </c>
    </row>
    <row r="187" spans="1:15" x14ac:dyDescent="0.3">
      <c r="A187" t="s">
        <v>223</v>
      </c>
      <c r="B187" s="7">
        <v>45842.060497685183</v>
      </c>
      <c r="C187" t="s">
        <v>27</v>
      </c>
      <c r="D187" t="s">
        <v>16</v>
      </c>
      <c r="E187" t="s">
        <v>17</v>
      </c>
      <c r="F187" t="s">
        <v>12</v>
      </c>
      <c r="G187">
        <v>0.02</v>
      </c>
      <c r="H187" s="3">
        <f t="shared" si="2"/>
        <v>45842</v>
      </c>
      <c r="I187" t="str">
        <f>IF(COUNTIFS([0]!OrderID,Table3[[#This Row],[OrderID]],[0]!Category,"beverage")&gt;0,"yes","no")</f>
        <v>yes</v>
      </c>
      <c r="J187">
        <f>SUMIFS([0]!LineNetAmount,[0]!OrderID,Table3[[#This Row],[OrderID]])</f>
        <v>59.4664</v>
      </c>
      <c r="K187" t="str" cm="1">
        <f t="array" ref="K187">_xlfn.TEXTJOIN("+",,_xlfn._xlws.SORT(_xlfn.UNIQUE(_xlfn._xlws.FILTER([0]!Category,[0]!OrderID=Table3[[#This Row],[OrderID]]))))</f>
        <v>Beverage</v>
      </c>
      <c r="L187" s="39">
        <f>SUMIFS([0]!FoodCost,[0]!OrderID,Table3[[#This Row],[OrderID]])</f>
        <v>28.36</v>
      </c>
      <c r="M187" s="39">
        <f>Table3[[#This Row],[LineAmount]]-Table3[[#This Row],[TotalCost]]</f>
        <v>31.106400000000001</v>
      </c>
      <c r="N187" t="str">
        <f>IF(AND(COUNTIFS([0]!OrderID,Table3[[#This Row],[OrderID]],[0]!Category,"hot meal")&gt;0,COUNTIFS([0]!OrderID,Table3[[#This Row],[OrderID]],[0]!Category,"beverage")&gt;0),"combo","single")</f>
        <v>single</v>
      </c>
      <c r="O187" t="str">
        <f>IF((Table3[[#This Row],[LineAmount]]/(1-Table3[[#This Row],[DiscountPct]]))*Table3[[#This Row],[DiscountPct]]&gt;40,"High Disc","OK")</f>
        <v>OK</v>
      </c>
    </row>
    <row r="188" spans="1:15" x14ac:dyDescent="0.3">
      <c r="A188" t="s">
        <v>224</v>
      </c>
      <c r="B188" s="7">
        <v>45874.053333333337</v>
      </c>
      <c r="C188" t="s">
        <v>15</v>
      </c>
      <c r="D188" t="s">
        <v>16</v>
      </c>
      <c r="E188" t="s">
        <v>17</v>
      </c>
      <c r="F188" t="s">
        <v>12</v>
      </c>
      <c r="G188">
        <v>0.03</v>
      </c>
      <c r="H188" s="3">
        <f t="shared" si="2"/>
        <v>45874</v>
      </c>
      <c r="I188" t="str">
        <f>IF(COUNTIFS([0]!OrderID,Table3[[#This Row],[OrderID]],[0]!Category,"beverage")&gt;0,"yes","no")</f>
        <v>yes</v>
      </c>
      <c r="J188">
        <f>SUMIFS([0]!LineNetAmount,[0]!OrderID,Table3[[#This Row],[OrderID]])</f>
        <v>403.25810000000001</v>
      </c>
      <c r="K188" t="str" cm="1">
        <f t="array" ref="K188">_xlfn.TEXTJOIN("+",,_xlfn._xlws.SORT(_xlfn.UNIQUE(_xlfn._xlws.FILTER([0]!Category,[0]!OrderID=Table3[[#This Row],[OrderID]]))))</f>
        <v>Beverage+Dessert+Hot Meal+Snack</v>
      </c>
      <c r="L188" s="39">
        <f>SUMIFS([0]!FoodCost,[0]!OrderID,Table3[[#This Row],[OrderID]])</f>
        <v>177.45999999999998</v>
      </c>
      <c r="M188" s="39">
        <f>Table3[[#This Row],[LineAmount]]-Table3[[#This Row],[TotalCost]]</f>
        <v>225.79810000000003</v>
      </c>
      <c r="N188" t="str">
        <f>IF(AND(COUNTIFS([0]!OrderID,Table3[[#This Row],[OrderID]],[0]!Category,"hot meal")&gt;0,COUNTIFS([0]!OrderID,Table3[[#This Row],[OrderID]],[0]!Category,"beverage")&gt;0),"combo","single")</f>
        <v>combo</v>
      </c>
      <c r="O188" t="str">
        <f>IF((Table3[[#This Row],[LineAmount]]/(1-Table3[[#This Row],[DiscountPct]]))*Table3[[#This Row],[DiscountPct]]&gt;40,"High Disc","OK")</f>
        <v>OK</v>
      </c>
    </row>
    <row r="189" spans="1:15" x14ac:dyDescent="0.3">
      <c r="A189" t="s">
        <v>225</v>
      </c>
      <c r="B189" s="7">
        <v>45890.821134259262</v>
      </c>
      <c r="C189" t="s">
        <v>15</v>
      </c>
      <c r="D189" t="s">
        <v>10</v>
      </c>
      <c r="E189" t="s">
        <v>11</v>
      </c>
      <c r="F189" t="s">
        <v>18</v>
      </c>
      <c r="G189">
        <v>0.09</v>
      </c>
      <c r="H189" s="3">
        <f t="shared" si="2"/>
        <v>45890</v>
      </c>
      <c r="I189" t="str">
        <f>IF(COUNTIFS([0]!OrderID,Table3[[#This Row],[OrderID]],[0]!Category,"beverage")&gt;0,"yes","no")</f>
        <v>yes</v>
      </c>
      <c r="J189">
        <f>SUMIFS([0]!LineNetAmount,[0]!OrderID,Table3[[#This Row],[OrderID]])</f>
        <v>186.86850000000001</v>
      </c>
      <c r="K189" t="str" cm="1">
        <f t="array" ref="K189">_xlfn.TEXTJOIN("+",,_xlfn._xlws.SORT(_xlfn.UNIQUE(_xlfn._xlws.FILTER([0]!Category,[0]!OrderID=Table3[[#This Row],[OrderID]]))))</f>
        <v>Beverage+Snack</v>
      </c>
      <c r="L189" s="39">
        <f>SUMIFS([0]!FoodCost,[0]!OrderID,Table3[[#This Row],[OrderID]])</f>
        <v>93.18</v>
      </c>
      <c r="M189" s="39">
        <f>Table3[[#This Row],[LineAmount]]-Table3[[#This Row],[TotalCost]]</f>
        <v>93.688500000000005</v>
      </c>
      <c r="N189" t="str">
        <f>IF(AND(COUNTIFS([0]!OrderID,Table3[[#This Row],[OrderID]],[0]!Category,"hot meal")&gt;0,COUNTIFS([0]!OrderID,Table3[[#This Row],[OrderID]],[0]!Category,"beverage")&gt;0),"combo","single")</f>
        <v>single</v>
      </c>
      <c r="O189" t="str">
        <f>IF((Table3[[#This Row],[LineAmount]]/(1-Table3[[#This Row],[DiscountPct]]))*Table3[[#This Row],[DiscountPct]]&gt;40,"High Disc","OK")</f>
        <v>OK</v>
      </c>
    </row>
    <row r="190" spans="1:15" x14ac:dyDescent="0.3">
      <c r="A190" t="s">
        <v>226</v>
      </c>
      <c r="B190" s="7">
        <v>45855.75377314815</v>
      </c>
      <c r="C190" t="s">
        <v>27</v>
      </c>
      <c r="D190" t="s">
        <v>28</v>
      </c>
      <c r="E190" t="s">
        <v>11</v>
      </c>
      <c r="F190" t="s">
        <v>18</v>
      </c>
      <c r="G190">
        <v>0.03</v>
      </c>
      <c r="H190" s="3">
        <f t="shared" si="2"/>
        <v>45855</v>
      </c>
      <c r="I190" t="str">
        <f>IF(COUNTIFS([0]!OrderID,Table3[[#This Row],[OrderID]],[0]!Category,"beverage")&gt;0,"yes","no")</f>
        <v>yes</v>
      </c>
      <c r="J190">
        <f>SUMIFS([0]!LineNetAmount,[0]!OrderID,Table3[[#This Row],[OrderID]])</f>
        <v>584.85180000000003</v>
      </c>
      <c r="K190" t="str" cm="1">
        <f t="array" ref="K190">_xlfn.TEXTJOIN("+",,_xlfn._xlws.SORT(_xlfn.UNIQUE(_xlfn._xlws.FILTER([0]!Category,[0]!OrderID=Table3[[#This Row],[OrderID]]))))</f>
        <v>Beverage+Hot Meal+Snack</v>
      </c>
      <c r="L190" s="39">
        <f>SUMIFS([0]!FoodCost,[0]!OrderID,Table3[[#This Row],[OrderID]])</f>
        <v>275.97000000000003</v>
      </c>
      <c r="M190" s="39">
        <f>Table3[[#This Row],[LineAmount]]-Table3[[#This Row],[TotalCost]]</f>
        <v>308.8818</v>
      </c>
      <c r="N190" t="str">
        <f>IF(AND(COUNTIFS([0]!OrderID,Table3[[#This Row],[OrderID]],[0]!Category,"hot meal")&gt;0,COUNTIFS([0]!OrderID,Table3[[#This Row],[OrderID]],[0]!Category,"beverage")&gt;0),"combo","single")</f>
        <v>combo</v>
      </c>
      <c r="O190" t="str">
        <f>IF((Table3[[#This Row],[LineAmount]]/(1-Table3[[#This Row],[DiscountPct]]))*Table3[[#This Row],[DiscountPct]]&gt;40,"High Disc","OK")</f>
        <v>OK</v>
      </c>
    </row>
    <row r="191" spans="1:15" x14ac:dyDescent="0.3">
      <c r="A191" t="s">
        <v>227</v>
      </c>
      <c r="B191" s="7">
        <v>45862.632245370369</v>
      </c>
      <c r="C191" t="s">
        <v>15</v>
      </c>
      <c r="D191" t="s">
        <v>10</v>
      </c>
      <c r="E191" t="s">
        <v>17</v>
      </c>
      <c r="F191" t="s">
        <v>22</v>
      </c>
      <c r="G191">
        <v>7.0000000000000007E-2</v>
      </c>
      <c r="H191" s="3">
        <f t="shared" si="2"/>
        <v>45862</v>
      </c>
      <c r="I191" t="str">
        <f>IF(COUNTIFS([0]!OrderID,Table3[[#This Row],[OrderID]],[0]!Category,"beverage")&gt;0,"yes","no")</f>
        <v>no</v>
      </c>
      <c r="J191">
        <f>SUMIFS([0]!LineNetAmount,[0]!OrderID,Table3[[#This Row],[OrderID]])</f>
        <v>136.15199999999999</v>
      </c>
      <c r="K191" t="str" cm="1">
        <f t="array" ref="K191">_xlfn.TEXTJOIN("+",,_xlfn._xlws.SORT(_xlfn.UNIQUE(_xlfn._xlws.FILTER([0]!Category,[0]!OrderID=Table3[[#This Row],[OrderID]]))))</f>
        <v>Hot Meal</v>
      </c>
      <c r="L191" s="39">
        <f>SUMIFS([0]!FoodCost,[0]!OrderID,Table3[[#This Row],[OrderID]])</f>
        <v>80.92</v>
      </c>
      <c r="M191" s="39">
        <f>Table3[[#This Row],[LineAmount]]-Table3[[#This Row],[TotalCost]]</f>
        <v>55.231999999999985</v>
      </c>
      <c r="N191" t="str">
        <f>IF(AND(COUNTIFS([0]!OrderID,Table3[[#This Row],[OrderID]],[0]!Category,"hot meal")&gt;0,COUNTIFS([0]!OrderID,Table3[[#This Row],[OrderID]],[0]!Category,"beverage")&gt;0),"combo","single")</f>
        <v>single</v>
      </c>
      <c r="O191" t="str">
        <f>IF((Table3[[#This Row],[LineAmount]]/(1-Table3[[#This Row],[DiscountPct]]))*Table3[[#This Row],[DiscountPct]]&gt;40,"High Disc","OK")</f>
        <v>OK</v>
      </c>
    </row>
    <row r="192" spans="1:15" x14ac:dyDescent="0.3">
      <c r="A192" t="s">
        <v>228</v>
      </c>
      <c r="B192" s="7">
        <v>45884.023206018523</v>
      </c>
      <c r="C192" t="s">
        <v>9</v>
      </c>
      <c r="D192" t="s">
        <v>16</v>
      </c>
      <c r="E192" t="s">
        <v>21</v>
      </c>
      <c r="F192" t="s">
        <v>12</v>
      </c>
      <c r="G192">
        <v>0.06</v>
      </c>
      <c r="H192" s="3">
        <f t="shared" si="2"/>
        <v>45884</v>
      </c>
      <c r="I192" t="str">
        <f>IF(COUNTIFS([0]!OrderID,Table3[[#This Row],[OrderID]],[0]!Category,"beverage")&gt;0,"yes","no")</f>
        <v>no</v>
      </c>
      <c r="J192">
        <f>SUMIFS([0]!LineNetAmount,[0]!OrderID,Table3[[#This Row],[OrderID]])</f>
        <v>255.2946</v>
      </c>
      <c r="K192" t="str" cm="1">
        <f t="array" ref="K192">_xlfn.TEXTJOIN("+",,_xlfn._xlws.SORT(_xlfn.UNIQUE(_xlfn._xlws.FILTER([0]!Category,[0]!OrderID=Table3[[#This Row],[OrderID]]))))</f>
        <v>Dessert+Snack</v>
      </c>
      <c r="L192" s="39">
        <f>SUMIFS([0]!FoodCost,[0]!OrderID,Table3[[#This Row],[OrderID]])</f>
        <v>132.63999999999999</v>
      </c>
      <c r="M192" s="39">
        <f>Table3[[#This Row],[LineAmount]]-Table3[[#This Row],[TotalCost]]</f>
        <v>122.65460000000002</v>
      </c>
      <c r="N192" t="str">
        <f>IF(AND(COUNTIFS([0]!OrderID,Table3[[#This Row],[OrderID]],[0]!Category,"hot meal")&gt;0,COUNTIFS([0]!OrderID,Table3[[#This Row],[OrderID]],[0]!Category,"beverage")&gt;0),"combo","single")</f>
        <v>single</v>
      </c>
      <c r="O192" t="str">
        <f>IF((Table3[[#This Row],[LineAmount]]/(1-Table3[[#This Row],[DiscountPct]]))*Table3[[#This Row],[DiscountPct]]&gt;40,"High Disc","OK")</f>
        <v>OK</v>
      </c>
    </row>
    <row r="193" spans="1:15" x14ac:dyDescent="0.3">
      <c r="A193" t="s">
        <v>229</v>
      </c>
      <c r="B193" s="7">
        <v>45840.162395833337</v>
      </c>
      <c r="C193" t="s">
        <v>15</v>
      </c>
      <c r="D193" t="s">
        <v>16</v>
      </c>
      <c r="E193" t="s">
        <v>11</v>
      </c>
      <c r="F193" t="s">
        <v>12</v>
      </c>
      <c r="G193">
        <v>0.03</v>
      </c>
      <c r="H193" s="3">
        <f t="shared" si="2"/>
        <v>45840</v>
      </c>
      <c r="I193" t="str">
        <f>IF(COUNTIFS([0]!OrderID,Table3[[#This Row],[OrderID]],[0]!Category,"beverage")&gt;0,"yes","no")</f>
        <v>no</v>
      </c>
      <c r="J193">
        <f>SUMIFS([0]!LineNetAmount,[0]!OrderID,Table3[[#This Row],[OrderID]])</f>
        <v>498.40540000000004</v>
      </c>
      <c r="K193" t="str" cm="1">
        <f t="array" ref="K193">_xlfn.TEXTJOIN("+",,_xlfn._xlws.SORT(_xlfn.UNIQUE(_xlfn._xlws.FILTER([0]!Category,[0]!OrderID=Table3[[#This Row],[OrderID]]))))</f>
        <v>Hot Meal</v>
      </c>
      <c r="L193" s="39">
        <f>SUMIFS([0]!FoodCost,[0]!OrderID,Table3[[#This Row],[OrderID]])</f>
        <v>242.48</v>
      </c>
      <c r="M193" s="39">
        <f>Table3[[#This Row],[LineAmount]]-Table3[[#This Row],[TotalCost]]</f>
        <v>255.92540000000005</v>
      </c>
      <c r="N193" t="str">
        <f>IF(AND(COUNTIFS([0]!OrderID,Table3[[#This Row],[OrderID]],[0]!Category,"hot meal")&gt;0,COUNTIFS([0]!OrderID,Table3[[#This Row],[OrderID]],[0]!Category,"beverage")&gt;0),"combo","single")</f>
        <v>single</v>
      </c>
      <c r="O193" t="str">
        <f>IF((Table3[[#This Row],[LineAmount]]/(1-Table3[[#This Row],[DiscountPct]]))*Table3[[#This Row],[DiscountPct]]&gt;40,"High Disc","OK")</f>
        <v>OK</v>
      </c>
    </row>
    <row r="194" spans="1:15" x14ac:dyDescent="0.3">
      <c r="A194" t="s">
        <v>230</v>
      </c>
      <c r="B194" s="7">
        <v>45854.587905092587</v>
      </c>
      <c r="C194" t="s">
        <v>27</v>
      </c>
      <c r="D194" t="s">
        <v>16</v>
      </c>
      <c r="E194" t="s">
        <v>21</v>
      </c>
      <c r="F194" t="s">
        <v>22</v>
      </c>
      <c r="G194">
        <v>0.15</v>
      </c>
      <c r="H194" s="3">
        <f t="shared" si="2"/>
        <v>45854</v>
      </c>
      <c r="I194" t="str">
        <f>IF(COUNTIFS([0]!OrderID,Table3[[#This Row],[OrderID]],[0]!Category,"beverage")&gt;0,"yes","no")</f>
        <v>yes</v>
      </c>
      <c r="J194">
        <f>SUMIFS([0]!LineNetAmount,[0]!OrderID,Table3[[#This Row],[OrderID]])</f>
        <v>209.661</v>
      </c>
      <c r="K194" t="str" cm="1">
        <f t="array" ref="K194">_xlfn.TEXTJOIN("+",,_xlfn._xlws.SORT(_xlfn.UNIQUE(_xlfn._xlws.FILTER([0]!Category,[0]!OrderID=Table3[[#This Row],[OrderID]]))))</f>
        <v>Beverage+Dessert+Snack</v>
      </c>
      <c r="L194" s="39">
        <f>SUMIFS([0]!FoodCost,[0]!OrderID,Table3[[#This Row],[OrderID]])</f>
        <v>108.47</v>
      </c>
      <c r="M194" s="39">
        <f>Table3[[#This Row],[LineAmount]]-Table3[[#This Row],[TotalCost]]</f>
        <v>101.191</v>
      </c>
      <c r="N194" t="str">
        <f>IF(AND(COUNTIFS([0]!OrderID,Table3[[#This Row],[OrderID]],[0]!Category,"hot meal")&gt;0,COUNTIFS([0]!OrderID,Table3[[#This Row],[OrderID]],[0]!Category,"beverage")&gt;0),"combo","single")</f>
        <v>single</v>
      </c>
      <c r="O194" t="str">
        <f>IF((Table3[[#This Row],[LineAmount]]/(1-Table3[[#This Row],[DiscountPct]]))*Table3[[#This Row],[DiscountPct]]&gt;40,"High Disc","OK")</f>
        <v>OK</v>
      </c>
    </row>
    <row r="195" spans="1:15" x14ac:dyDescent="0.3">
      <c r="A195" t="s">
        <v>231</v>
      </c>
      <c r="B195" s="7">
        <v>45880.44630787037</v>
      </c>
      <c r="C195" t="s">
        <v>9</v>
      </c>
      <c r="D195" t="s">
        <v>16</v>
      </c>
      <c r="E195" t="s">
        <v>21</v>
      </c>
      <c r="F195" t="s">
        <v>12</v>
      </c>
      <c r="G195">
        <v>0.09</v>
      </c>
      <c r="H195" s="3">
        <f t="shared" ref="H195:H258" si="3">INT($B195)</f>
        <v>45880</v>
      </c>
      <c r="I195" t="str">
        <f>IF(COUNTIFS([0]!OrderID,Table3[[#This Row],[OrderID]],[0]!Category,"beverage")&gt;0,"yes","no")</f>
        <v>yes</v>
      </c>
      <c r="J195">
        <f>SUMIFS([0]!LineNetAmount,[0]!OrderID,Table3[[#This Row],[OrderID]])</f>
        <v>227.2088</v>
      </c>
      <c r="K195" t="str" cm="1">
        <f t="array" ref="K195">_xlfn.TEXTJOIN("+",,_xlfn._xlws.SORT(_xlfn.UNIQUE(_xlfn._xlws.FILTER([0]!Category,[0]!OrderID=Table3[[#This Row],[OrderID]]))))</f>
        <v>Beverage+Snack</v>
      </c>
      <c r="L195" s="39">
        <f>SUMIFS([0]!FoodCost,[0]!OrderID,Table3[[#This Row],[OrderID]])</f>
        <v>115.58000000000001</v>
      </c>
      <c r="M195" s="39">
        <f>Table3[[#This Row],[LineAmount]]-Table3[[#This Row],[TotalCost]]</f>
        <v>111.62879999999998</v>
      </c>
      <c r="N195" t="str">
        <f>IF(AND(COUNTIFS([0]!OrderID,Table3[[#This Row],[OrderID]],[0]!Category,"hot meal")&gt;0,COUNTIFS([0]!OrderID,Table3[[#This Row],[OrderID]],[0]!Category,"beverage")&gt;0),"combo","single")</f>
        <v>single</v>
      </c>
      <c r="O195" t="str">
        <f>IF((Table3[[#This Row],[LineAmount]]/(1-Table3[[#This Row],[DiscountPct]]))*Table3[[#This Row],[DiscountPct]]&gt;40,"High Disc","OK")</f>
        <v>OK</v>
      </c>
    </row>
    <row r="196" spans="1:15" x14ac:dyDescent="0.3">
      <c r="A196" t="s">
        <v>232</v>
      </c>
      <c r="B196" s="7">
        <v>45858.592048611114</v>
      </c>
      <c r="C196" t="s">
        <v>15</v>
      </c>
      <c r="D196" t="s">
        <v>16</v>
      </c>
      <c r="E196" t="s">
        <v>17</v>
      </c>
      <c r="F196" t="s">
        <v>22</v>
      </c>
      <c r="G196">
        <v>0</v>
      </c>
      <c r="H196" s="3">
        <f t="shared" si="3"/>
        <v>45858</v>
      </c>
      <c r="I196" t="str">
        <f>IF(COUNTIFS([0]!OrderID,Table3[[#This Row],[OrderID]],[0]!Category,"beverage")&gt;0,"yes","no")</f>
        <v>no</v>
      </c>
      <c r="J196">
        <f>SUMIFS([0]!LineNetAmount,[0]!OrderID,Table3[[#This Row],[OrderID]])</f>
        <v>731</v>
      </c>
      <c r="K196" t="str" cm="1">
        <f t="array" ref="K196">_xlfn.TEXTJOIN("+",,_xlfn._xlws.SORT(_xlfn.UNIQUE(_xlfn._xlws.FILTER([0]!Category,[0]!OrderID=Table3[[#This Row],[OrderID]]))))</f>
        <v>Dessert+Hot Meal+Snack</v>
      </c>
      <c r="L196" s="39">
        <f>SUMIFS([0]!FoodCost,[0]!OrderID,Table3[[#This Row],[OrderID]])</f>
        <v>336.66999999999996</v>
      </c>
      <c r="M196" s="39">
        <f>Table3[[#This Row],[LineAmount]]-Table3[[#This Row],[TotalCost]]</f>
        <v>394.33000000000004</v>
      </c>
      <c r="N196" t="str">
        <f>IF(AND(COUNTIFS([0]!OrderID,Table3[[#This Row],[OrderID]],[0]!Category,"hot meal")&gt;0,COUNTIFS([0]!OrderID,Table3[[#This Row],[OrderID]],[0]!Category,"beverage")&gt;0),"combo","single")</f>
        <v>single</v>
      </c>
      <c r="O196" t="str">
        <f>IF((Table3[[#This Row],[LineAmount]]/(1-Table3[[#This Row],[DiscountPct]]))*Table3[[#This Row],[DiscountPct]]&gt;40,"High Disc","OK")</f>
        <v>OK</v>
      </c>
    </row>
    <row r="197" spans="1:15" x14ac:dyDescent="0.3">
      <c r="A197" t="s">
        <v>233</v>
      </c>
      <c r="B197" s="7">
        <v>45876.27679398148</v>
      </c>
      <c r="C197" t="s">
        <v>9</v>
      </c>
      <c r="D197" t="s">
        <v>16</v>
      </c>
      <c r="E197" t="s">
        <v>11</v>
      </c>
      <c r="F197" t="s">
        <v>12</v>
      </c>
      <c r="G197">
        <v>7.0000000000000007E-2</v>
      </c>
      <c r="H197" s="3">
        <f t="shared" si="3"/>
        <v>45876</v>
      </c>
      <c r="I197" t="str">
        <f>IF(COUNTIFS([0]!OrderID,Table3[[#This Row],[OrderID]],[0]!Category,"beverage")&gt;0,"yes","no")</f>
        <v>no</v>
      </c>
      <c r="J197">
        <f>SUMIFS([0]!LineNetAmount,[0]!OrderID,Table3[[#This Row],[OrderID]])</f>
        <v>318.80399999999997</v>
      </c>
      <c r="K197" t="str" cm="1">
        <f t="array" ref="K197">_xlfn.TEXTJOIN("+",,_xlfn._xlws.SORT(_xlfn.UNIQUE(_xlfn._xlws.FILTER([0]!Category,[0]!OrderID=Table3[[#This Row],[OrderID]]))))</f>
        <v>Dessert+Hot Meal+Snack</v>
      </c>
      <c r="L197" s="39">
        <f>SUMIFS([0]!FoodCost,[0]!OrderID,Table3[[#This Row],[OrderID]])</f>
        <v>165.68</v>
      </c>
      <c r="M197" s="39">
        <f>Table3[[#This Row],[LineAmount]]-Table3[[#This Row],[TotalCost]]</f>
        <v>153.12399999999997</v>
      </c>
      <c r="N197" t="str">
        <f>IF(AND(COUNTIFS([0]!OrderID,Table3[[#This Row],[OrderID]],[0]!Category,"hot meal")&gt;0,COUNTIFS([0]!OrderID,Table3[[#This Row],[OrderID]],[0]!Category,"beverage")&gt;0),"combo","single")</f>
        <v>single</v>
      </c>
      <c r="O197" t="str">
        <f>IF((Table3[[#This Row],[LineAmount]]/(1-Table3[[#This Row],[DiscountPct]]))*Table3[[#This Row],[DiscountPct]]&gt;40,"High Disc","OK")</f>
        <v>OK</v>
      </c>
    </row>
    <row r="198" spans="1:15" x14ac:dyDescent="0.3">
      <c r="A198" t="s">
        <v>234</v>
      </c>
      <c r="B198" s="7">
        <v>45867.9140625</v>
      </c>
      <c r="C198" t="s">
        <v>27</v>
      </c>
      <c r="D198" t="s">
        <v>10</v>
      </c>
      <c r="E198" t="s">
        <v>21</v>
      </c>
      <c r="F198" t="s">
        <v>18</v>
      </c>
      <c r="G198">
        <v>0.03</v>
      </c>
      <c r="H198" s="3">
        <f t="shared" si="3"/>
        <v>45867</v>
      </c>
      <c r="I198" t="str">
        <f>IF(COUNTIFS([0]!OrderID,Table3[[#This Row],[OrderID]],[0]!Category,"beverage")&gt;0,"yes","no")</f>
        <v>yes</v>
      </c>
      <c r="J198">
        <f>SUMIFS([0]!LineNetAmount,[0]!OrderID,Table3[[#This Row],[OrderID]])</f>
        <v>308.06230000000005</v>
      </c>
      <c r="K198" t="str" cm="1">
        <f t="array" ref="K198">_xlfn.TEXTJOIN("+",,_xlfn._xlws.SORT(_xlfn.UNIQUE(_xlfn._xlws.FILTER([0]!Category,[0]!OrderID=Table3[[#This Row],[OrderID]]))))</f>
        <v>Beverage+Hot Meal</v>
      </c>
      <c r="L198" s="39">
        <f>SUMIFS([0]!FoodCost,[0]!OrderID,Table3[[#This Row],[OrderID]])</f>
        <v>149.6</v>
      </c>
      <c r="M198" s="39">
        <f>Table3[[#This Row],[LineAmount]]-Table3[[#This Row],[TotalCost]]</f>
        <v>158.46230000000006</v>
      </c>
      <c r="N198" t="str">
        <f>IF(AND(COUNTIFS([0]!OrderID,Table3[[#This Row],[OrderID]],[0]!Category,"hot meal")&gt;0,COUNTIFS([0]!OrderID,Table3[[#This Row],[OrderID]],[0]!Category,"beverage")&gt;0),"combo","single")</f>
        <v>combo</v>
      </c>
      <c r="O198" t="str">
        <f>IF((Table3[[#This Row],[LineAmount]]/(1-Table3[[#This Row],[DiscountPct]]))*Table3[[#This Row],[DiscountPct]]&gt;40,"High Disc","OK")</f>
        <v>OK</v>
      </c>
    </row>
    <row r="199" spans="1:15" x14ac:dyDescent="0.3">
      <c r="A199" t="s">
        <v>235</v>
      </c>
      <c r="B199" s="7">
        <v>45840.036226851851</v>
      </c>
      <c r="C199" t="s">
        <v>9</v>
      </c>
      <c r="D199" t="s">
        <v>10</v>
      </c>
      <c r="E199" t="s">
        <v>11</v>
      </c>
      <c r="F199" t="s">
        <v>12</v>
      </c>
      <c r="G199">
        <v>0.09</v>
      </c>
      <c r="H199" s="3">
        <f t="shared" si="3"/>
        <v>45840</v>
      </c>
      <c r="I199" t="str">
        <f>IF(COUNTIFS([0]!OrderID,Table3[[#This Row],[OrderID]],[0]!Category,"beverage")&gt;0,"yes","no")</f>
        <v>yes</v>
      </c>
      <c r="J199">
        <f>SUMIFS([0]!LineNetAmount,[0]!OrderID,Table3[[#This Row],[OrderID]])</f>
        <v>107.1525</v>
      </c>
      <c r="K199" t="str" cm="1">
        <f t="array" ref="K199">_xlfn.TEXTJOIN("+",,_xlfn._xlws.SORT(_xlfn.UNIQUE(_xlfn._xlws.FILTER([0]!Category,[0]!OrderID=Table3[[#This Row],[OrderID]]))))</f>
        <v>Beverage+Dessert</v>
      </c>
      <c r="L199" s="39">
        <f>SUMIFS([0]!FoodCost,[0]!OrderID,Table3[[#This Row],[OrderID]])</f>
        <v>57.5</v>
      </c>
      <c r="M199" s="39">
        <f>Table3[[#This Row],[LineAmount]]-Table3[[#This Row],[TotalCost]]</f>
        <v>49.652500000000003</v>
      </c>
      <c r="N199" t="str">
        <f>IF(AND(COUNTIFS([0]!OrderID,Table3[[#This Row],[OrderID]],[0]!Category,"hot meal")&gt;0,COUNTIFS([0]!OrderID,Table3[[#This Row],[OrderID]],[0]!Category,"beverage")&gt;0),"combo","single")</f>
        <v>single</v>
      </c>
      <c r="O199" t="str">
        <f>IF((Table3[[#This Row],[LineAmount]]/(1-Table3[[#This Row],[DiscountPct]]))*Table3[[#This Row],[DiscountPct]]&gt;40,"High Disc","OK")</f>
        <v>OK</v>
      </c>
    </row>
    <row r="200" spans="1:15" x14ac:dyDescent="0.3">
      <c r="A200" t="s">
        <v>236</v>
      </c>
      <c r="B200" s="7">
        <v>45898.126226851848</v>
      </c>
      <c r="C200" t="s">
        <v>9</v>
      </c>
      <c r="D200" t="s">
        <v>16</v>
      </c>
      <c r="E200" t="s">
        <v>21</v>
      </c>
      <c r="F200" t="s">
        <v>12</v>
      </c>
      <c r="G200">
        <v>0.03</v>
      </c>
      <c r="H200" s="3">
        <f t="shared" si="3"/>
        <v>45898</v>
      </c>
      <c r="I200" t="str">
        <f>IF(COUNTIFS([0]!OrderID,Table3[[#This Row],[OrderID]],[0]!Category,"beverage")&gt;0,"yes","no")</f>
        <v>yes</v>
      </c>
      <c r="J200">
        <f>SUMIFS([0]!LineNetAmount,[0]!OrderID,Table3[[#This Row],[OrderID]])</f>
        <v>851.31080000000009</v>
      </c>
      <c r="K200" t="str" cm="1">
        <f t="array" ref="K200">_xlfn.TEXTJOIN("+",,_xlfn._xlws.SORT(_xlfn.UNIQUE(_xlfn._xlws.FILTER([0]!Category,[0]!OrderID=Table3[[#This Row],[OrderID]]))))</f>
        <v>Beverage+Hot Meal</v>
      </c>
      <c r="L200" s="39">
        <f>SUMIFS([0]!FoodCost,[0]!OrderID,Table3[[#This Row],[OrderID]])</f>
        <v>393.29999999999995</v>
      </c>
      <c r="M200" s="39">
        <f>Table3[[#This Row],[LineAmount]]-Table3[[#This Row],[TotalCost]]</f>
        <v>458.01080000000013</v>
      </c>
      <c r="N200" t="str">
        <f>IF(AND(COUNTIFS([0]!OrderID,Table3[[#This Row],[OrderID]],[0]!Category,"hot meal")&gt;0,COUNTIFS([0]!OrderID,Table3[[#This Row],[OrderID]],[0]!Category,"beverage")&gt;0),"combo","single")</f>
        <v>combo</v>
      </c>
      <c r="O200" t="str">
        <f>IF((Table3[[#This Row],[LineAmount]]/(1-Table3[[#This Row],[DiscountPct]]))*Table3[[#This Row],[DiscountPct]]&gt;40,"High Disc","OK")</f>
        <v>OK</v>
      </c>
    </row>
    <row r="201" spans="1:15" x14ac:dyDescent="0.3">
      <c r="A201" t="s">
        <v>237</v>
      </c>
      <c r="B201" s="7">
        <v>45898.190162037034</v>
      </c>
      <c r="C201" t="s">
        <v>15</v>
      </c>
      <c r="D201" t="s">
        <v>28</v>
      </c>
      <c r="E201" t="s">
        <v>11</v>
      </c>
      <c r="F201" t="s">
        <v>12</v>
      </c>
      <c r="G201">
        <v>0.06</v>
      </c>
      <c r="H201" s="3">
        <f t="shared" si="3"/>
        <v>45898</v>
      </c>
      <c r="I201" t="str">
        <f>IF(COUNTIFS([0]!OrderID,Table3[[#This Row],[OrderID]],[0]!Category,"beverage")&gt;0,"yes","no")</f>
        <v>no</v>
      </c>
      <c r="J201">
        <f>SUMIFS([0]!LineNetAmount,[0]!OrderID,Table3[[#This Row],[OrderID]])</f>
        <v>37.552999999999997</v>
      </c>
      <c r="K201" t="str" cm="1">
        <f t="array" ref="K201">_xlfn.TEXTJOIN("+",,_xlfn._xlws.SORT(_xlfn.UNIQUE(_xlfn._xlws.FILTER([0]!Category,[0]!OrderID=Table3[[#This Row],[OrderID]]))))</f>
        <v>Snack</v>
      </c>
      <c r="L201" s="39">
        <f>SUMIFS([0]!FoodCost,[0]!OrderID,Table3[[#This Row],[OrderID]])</f>
        <v>15.51</v>
      </c>
      <c r="M201" s="39">
        <f>Table3[[#This Row],[LineAmount]]-Table3[[#This Row],[TotalCost]]</f>
        <v>22.042999999999999</v>
      </c>
      <c r="N201" t="str">
        <f>IF(AND(COUNTIFS([0]!OrderID,Table3[[#This Row],[OrderID]],[0]!Category,"hot meal")&gt;0,COUNTIFS([0]!OrderID,Table3[[#This Row],[OrderID]],[0]!Category,"beverage")&gt;0),"combo","single")</f>
        <v>single</v>
      </c>
      <c r="O201" t="str">
        <f>IF((Table3[[#This Row],[LineAmount]]/(1-Table3[[#This Row],[DiscountPct]]))*Table3[[#This Row],[DiscountPct]]&gt;40,"High Disc","OK")</f>
        <v>OK</v>
      </c>
    </row>
    <row r="202" spans="1:15" x14ac:dyDescent="0.3">
      <c r="A202" t="s">
        <v>238</v>
      </c>
      <c r="B202" s="7">
        <v>45863.583437499998</v>
      </c>
      <c r="C202" t="s">
        <v>9</v>
      </c>
      <c r="D202" t="s">
        <v>10</v>
      </c>
      <c r="E202" t="s">
        <v>11</v>
      </c>
      <c r="F202" t="s">
        <v>22</v>
      </c>
      <c r="G202">
        <v>0.08</v>
      </c>
      <c r="H202" s="3">
        <f t="shared" si="3"/>
        <v>45863</v>
      </c>
      <c r="I202" t="str">
        <f>IF(COUNTIFS([0]!OrderID,Table3[[#This Row],[OrderID]],[0]!Category,"beverage")&gt;0,"yes","no")</f>
        <v>no</v>
      </c>
      <c r="J202">
        <f>SUMIFS([0]!LineNetAmount,[0]!OrderID,Table3[[#This Row],[OrderID]])</f>
        <v>35.0152</v>
      </c>
      <c r="K202" t="str" cm="1">
        <f t="array" ref="K202">_xlfn.TEXTJOIN("+",,_xlfn._xlws.SORT(_xlfn.UNIQUE(_xlfn._xlws.FILTER([0]!Category,[0]!OrderID=Table3[[#This Row],[OrderID]]))))</f>
        <v>Snack</v>
      </c>
      <c r="L202" s="39">
        <f>SUMIFS([0]!FoodCost,[0]!OrderID,Table3[[#This Row],[OrderID]])</f>
        <v>19.55</v>
      </c>
      <c r="M202" s="39">
        <f>Table3[[#This Row],[LineAmount]]-Table3[[#This Row],[TotalCost]]</f>
        <v>15.465199999999999</v>
      </c>
      <c r="N202" t="str">
        <f>IF(AND(COUNTIFS([0]!OrderID,Table3[[#This Row],[OrderID]],[0]!Category,"hot meal")&gt;0,COUNTIFS([0]!OrderID,Table3[[#This Row],[OrderID]],[0]!Category,"beverage")&gt;0),"combo","single")</f>
        <v>single</v>
      </c>
      <c r="O202" t="str">
        <f>IF((Table3[[#This Row],[LineAmount]]/(1-Table3[[#This Row],[DiscountPct]]))*Table3[[#This Row],[DiscountPct]]&gt;40,"High Disc","OK")</f>
        <v>OK</v>
      </c>
    </row>
    <row r="203" spans="1:15" x14ac:dyDescent="0.3">
      <c r="A203" t="s">
        <v>239</v>
      </c>
      <c r="B203" s="7">
        <v>45848.683680555558</v>
      </c>
      <c r="C203" t="s">
        <v>9</v>
      </c>
      <c r="D203" t="s">
        <v>10</v>
      </c>
      <c r="E203" t="s">
        <v>17</v>
      </c>
      <c r="F203" t="s">
        <v>18</v>
      </c>
      <c r="G203">
        <v>0.09</v>
      </c>
      <c r="H203" s="3">
        <f t="shared" si="3"/>
        <v>45848</v>
      </c>
      <c r="I203" t="str">
        <f>IF(COUNTIFS([0]!OrderID,Table3[[#This Row],[OrderID]],[0]!Category,"beverage")&gt;0,"yes","no")</f>
        <v>no</v>
      </c>
      <c r="J203">
        <f>SUMIFS([0]!LineNetAmount,[0]!OrderID,Table3[[#This Row],[OrderID]])</f>
        <v>155.45530000000002</v>
      </c>
      <c r="K203" t="str" cm="1">
        <f t="array" ref="K203">_xlfn.TEXTJOIN("+",,_xlfn._xlws.SORT(_xlfn.UNIQUE(_xlfn._xlws.FILTER([0]!Category,[0]!OrderID=Table3[[#This Row],[OrderID]]))))</f>
        <v>Hot Meal</v>
      </c>
      <c r="L203" s="39">
        <f>SUMIFS([0]!FoodCost,[0]!OrderID,Table3[[#This Row],[OrderID]])</f>
        <v>74.069999999999993</v>
      </c>
      <c r="M203" s="39">
        <f>Table3[[#This Row],[LineAmount]]-Table3[[#This Row],[TotalCost]]</f>
        <v>81.385300000000029</v>
      </c>
      <c r="N203" t="str">
        <f>IF(AND(COUNTIFS([0]!OrderID,Table3[[#This Row],[OrderID]],[0]!Category,"hot meal")&gt;0,COUNTIFS([0]!OrderID,Table3[[#This Row],[OrderID]],[0]!Category,"beverage")&gt;0),"combo","single")</f>
        <v>single</v>
      </c>
      <c r="O203" t="str">
        <f>IF((Table3[[#This Row],[LineAmount]]/(1-Table3[[#This Row],[DiscountPct]]))*Table3[[#This Row],[DiscountPct]]&gt;40,"High Disc","OK")</f>
        <v>OK</v>
      </c>
    </row>
    <row r="204" spans="1:15" x14ac:dyDescent="0.3">
      <c r="A204" t="s">
        <v>240</v>
      </c>
      <c r="B204" s="7">
        <v>45882.049675925933</v>
      </c>
      <c r="C204" t="s">
        <v>27</v>
      </c>
      <c r="D204" t="s">
        <v>10</v>
      </c>
      <c r="E204" t="s">
        <v>21</v>
      </c>
      <c r="F204" t="s">
        <v>12</v>
      </c>
      <c r="G204">
        <v>0.01</v>
      </c>
      <c r="H204" s="3">
        <f t="shared" si="3"/>
        <v>45882</v>
      </c>
      <c r="I204" t="str">
        <f>IF(COUNTIFS([0]!OrderID,Table3[[#This Row],[OrderID]],[0]!Category,"beverage")&gt;0,"yes","no")</f>
        <v>no</v>
      </c>
      <c r="J204">
        <f>SUMIFS([0]!LineNetAmount,[0]!OrderID,Table3[[#This Row],[OrderID]])</f>
        <v>252.25200000000001</v>
      </c>
      <c r="K204" t="str" cm="1">
        <f t="array" ref="K204">_xlfn.TEXTJOIN("+",,_xlfn._xlws.SORT(_xlfn.UNIQUE(_xlfn._xlws.FILTER([0]!Category,[0]!OrderID=Table3[[#This Row],[OrderID]]))))</f>
        <v>Dessert+Hot Meal</v>
      </c>
      <c r="L204" s="39">
        <f>SUMIFS([0]!FoodCost,[0]!OrderID,Table3[[#This Row],[OrderID]])</f>
        <v>124.82</v>
      </c>
      <c r="M204" s="39">
        <f>Table3[[#This Row],[LineAmount]]-Table3[[#This Row],[TotalCost]]</f>
        <v>127.43200000000002</v>
      </c>
      <c r="N204" t="str">
        <f>IF(AND(COUNTIFS([0]!OrderID,Table3[[#This Row],[OrderID]],[0]!Category,"hot meal")&gt;0,COUNTIFS([0]!OrderID,Table3[[#This Row],[OrderID]],[0]!Category,"beverage")&gt;0),"combo","single")</f>
        <v>single</v>
      </c>
      <c r="O204" t="str">
        <f>IF((Table3[[#This Row],[LineAmount]]/(1-Table3[[#This Row],[DiscountPct]]))*Table3[[#This Row],[DiscountPct]]&gt;40,"High Disc","OK")</f>
        <v>OK</v>
      </c>
    </row>
    <row r="205" spans="1:15" x14ac:dyDescent="0.3">
      <c r="A205" t="s">
        <v>241</v>
      </c>
      <c r="B205" s="7">
        <v>45848.001076388893</v>
      </c>
      <c r="C205" t="s">
        <v>15</v>
      </c>
      <c r="D205" t="s">
        <v>16</v>
      </c>
      <c r="E205" t="s">
        <v>11</v>
      </c>
      <c r="F205" t="s">
        <v>12</v>
      </c>
      <c r="G205">
        <v>0.05</v>
      </c>
      <c r="H205" s="3">
        <f t="shared" si="3"/>
        <v>45848</v>
      </c>
      <c r="I205" t="str">
        <f>IF(COUNTIFS([0]!OrderID,Table3[[#This Row],[OrderID]],[0]!Category,"beverage")&gt;0,"yes","no")</f>
        <v>yes</v>
      </c>
      <c r="J205">
        <f>SUMIFS([0]!LineNetAmount,[0]!OrderID,Table3[[#This Row],[OrderID]])</f>
        <v>903.56399999999996</v>
      </c>
      <c r="K205" t="str" cm="1">
        <f t="array" ref="K205">_xlfn.TEXTJOIN("+",,_xlfn._xlws.SORT(_xlfn.UNIQUE(_xlfn._xlws.FILTER([0]!Category,[0]!OrderID=Table3[[#This Row],[OrderID]]))))</f>
        <v>Beverage+Hot Meal</v>
      </c>
      <c r="L205" s="39">
        <f>SUMIFS([0]!FoodCost,[0]!OrderID,Table3[[#This Row],[OrderID]])</f>
        <v>410.11999999999995</v>
      </c>
      <c r="M205" s="39">
        <f>Table3[[#This Row],[LineAmount]]-Table3[[#This Row],[TotalCost]]</f>
        <v>493.44400000000002</v>
      </c>
      <c r="N205" t="str">
        <f>IF(AND(COUNTIFS([0]!OrderID,Table3[[#This Row],[OrderID]],[0]!Category,"hot meal")&gt;0,COUNTIFS([0]!OrderID,Table3[[#This Row],[OrderID]],[0]!Category,"beverage")&gt;0),"combo","single")</f>
        <v>combo</v>
      </c>
      <c r="O205" t="str">
        <f>IF((Table3[[#This Row],[LineAmount]]/(1-Table3[[#This Row],[DiscountPct]]))*Table3[[#This Row],[DiscountPct]]&gt;40,"High Disc","OK")</f>
        <v>High Disc</v>
      </c>
    </row>
    <row r="206" spans="1:15" x14ac:dyDescent="0.3">
      <c r="A206" t="s">
        <v>242</v>
      </c>
      <c r="B206" s="7">
        <v>45856.302951388891</v>
      </c>
      <c r="C206" t="s">
        <v>27</v>
      </c>
      <c r="D206" t="s">
        <v>28</v>
      </c>
      <c r="E206" t="s">
        <v>11</v>
      </c>
      <c r="F206" t="s">
        <v>12</v>
      </c>
      <c r="G206">
        <v>0.04</v>
      </c>
      <c r="H206" s="3">
        <f t="shared" si="3"/>
        <v>45856</v>
      </c>
      <c r="I206" t="str">
        <f>IF(COUNTIFS([0]!OrderID,Table3[[#This Row],[OrderID]],[0]!Category,"beverage")&gt;0,"yes","no")</f>
        <v>yes</v>
      </c>
      <c r="J206">
        <f>SUMIFS([0]!LineNetAmount,[0]!OrderID,Table3[[#This Row],[OrderID]])</f>
        <v>296.72640000000001</v>
      </c>
      <c r="K206" t="str" cm="1">
        <f t="array" ref="K206">_xlfn.TEXTJOIN("+",,_xlfn._xlws.SORT(_xlfn.UNIQUE(_xlfn._xlws.FILTER([0]!Category,[0]!OrderID=Table3[[#This Row],[OrderID]]))))</f>
        <v>Beverage+Hot Meal+Snack</v>
      </c>
      <c r="L206" s="39">
        <f>SUMIFS([0]!FoodCost,[0]!OrderID,Table3[[#This Row],[OrderID]])</f>
        <v>151.92000000000002</v>
      </c>
      <c r="M206" s="39">
        <f>Table3[[#This Row],[LineAmount]]-Table3[[#This Row],[TotalCost]]</f>
        <v>144.8064</v>
      </c>
      <c r="N206" t="str">
        <f>IF(AND(COUNTIFS([0]!OrderID,Table3[[#This Row],[OrderID]],[0]!Category,"hot meal")&gt;0,COUNTIFS([0]!OrderID,Table3[[#This Row],[OrderID]],[0]!Category,"beverage")&gt;0),"combo","single")</f>
        <v>combo</v>
      </c>
      <c r="O206" t="str">
        <f>IF((Table3[[#This Row],[LineAmount]]/(1-Table3[[#This Row],[DiscountPct]]))*Table3[[#This Row],[DiscountPct]]&gt;40,"High Disc","OK")</f>
        <v>OK</v>
      </c>
    </row>
    <row r="207" spans="1:15" x14ac:dyDescent="0.3">
      <c r="A207" t="s">
        <v>243</v>
      </c>
      <c r="B207" s="7">
        <v>45890.790648148148</v>
      </c>
      <c r="C207" t="s">
        <v>9</v>
      </c>
      <c r="D207" t="s">
        <v>16</v>
      </c>
      <c r="E207" t="s">
        <v>17</v>
      </c>
      <c r="F207" t="s">
        <v>18</v>
      </c>
      <c r="G207">
        <v>0.03</v>
      </c>
      <c r="H207" s="3">
        <f t="shared" si="3"/>
        <v>45890</v>
      </c>
      <c r="I207" t="str">
        <f>IF(COUNTIFS([0]!OrderID,Table3[[#This Row],[OrderID]],[0]!Category,"beverage")&gt;0,"yes","no")</f>
        <v>yes</v>
      </c>
      <c r="J207">
        <f>SUMIFS([0]!LineNetAmount,[0]!OrderID,Table3[[#This Row],[OrderID]])</f>
        <v>213.06049999999999</v>
      </c>
      <c r="K207" t="str" cm="1">
        <f t="array" ref="K207">_xlfn.TEXTJOIN("+",,_xlfn._xlws.SORT(_xlfn.UNIQUE(_xlfn._xlws.FILTER([0]!Category,[0]!OrderID=Table3[[#This Row],[OrderID]]))))</f>
        <v>Beverage+Snack</v>
      </c>
      <c r="L207" s="39">
        <f>SUMIFS([0]!FoodCost,[0]!OrderID,Table3[[#This Row],[OrderID]])</f>
        <v>99.080000000000013</v>
      </c>
      <c r="M207" s="39">
        <f>Table3[[#This Row],[LineAmount]]-Table3[[#This Row],[TotalCost]]</f>
        <v>113.98049999999998</v>
      </c>
      <c r="N207" t="str">
        <f>IF(AND(COUNTIFS([0]!OrderID,Table3[[#This Row],[OrderID]],[0]!Category,"hot meal")&gt;0,COUNTIFS([0]!OrderID,Table3[[#This Row],[OrderID]],[0]!Category,"beverage")&gt;0),"combo","single")</f>
        <v>single</v>
      </c>
      <c r="O207" t="str">
        <f>IF((Table3[[#This Row],[LineAmount]]/(1-Table3[[#This Row],[DiscountPct]]))*Table3[[#This Row],[DiscountPct]]&gt;40,"High Disc","OK")</f>
        <v>OK</v>
      </c>
    </row>
    <row r="208" spans="1:15" x14ac:dyDescent="0.3">
      <c r="A208" t="s">
        <v>244</v>
      </c>
      <c r="B208" s="7">
        <v>45886.032777777778</v>
      </c>
      <c r="C208" t="s">
        <v>15</v>
      </c>
      <c r="D208" t="s">
        <v>10</v>
      </c>
      <c r="E208" t="s">
        <v>21</v>
      </c>
      <c r="F208" t="s">
        <v>12</v>
      </c>
      <c r="G208">
        <v>0.13</v>
      </c>
      <c r="H208" s="3">
        <f t="shared" si="3"/>
        <v>45886</v>
      </c>
      <c r="I208" t="str">
        <f>IF(COUNTIFS([0]!OrderID,Table3[[#This Row],[OrderID]],[0]!Category,"beverage")&gt;0,"yes","no")</f>
        <v>no</v>
      </c>
      <c r="J208">
        <f>SUMIFS([0]!LineNetAmount,[0]!OrderID,Table3[[#This Row],[OrderID]])</f>
        <v>363.05099999999999</v>
      </c>
      <c r="K208" t="str" cm="1">
        <f t="array" ref="K208">_xlfn.TEXTJOIN("+",,_xlfn._xlws.SORT(_xlfn.UNIQUE(_xlfn._xlws.FILTER([0]!Category,[0]!OrderID=Table3[[#This Row],[OrderID]]))))</f>
        <v>Dessert+Hot Meal</v>
      </c>
      <c r="L208" s="39">
        <f>SUMIFS([0]!FoodCost,[0]!OrderID,Table3[[#This Row],[OrderID]])</f>
        <v>199.5</v>
      </c>
      <c r="M208" s="39">
        <f>Table3[[#This Row],[LineAmount]]-Table3[[#This Row],[TotalCost]]</f>
        <v>163.55099999999999</v>
      </c>
      <c r="N208" t="str">
        <f>IF(AND(COUNTIFS([0]!OrderID,Table3[[#This Row],[OrderID]],[0]!Category,"hot meal")&gt;0,COUNTIFS([0]!OrderID,Table3[[#This Row],[OrderID]],[0]!Category,"beverage")&gt;0),"combo","single")</f>
        <v>single</v>
      </c>
      <c r="O208" t="str">
        <f>IF((Table3[[#This Row],[LineAmount]]/(1-Table3[[#This Row],[DiscountPct]]))*Table3[[#This Row],[DiscountPct]]&gt;40,"High Disc","OK")</f>
        <v>High Disc</v>
      </c>
    </row>
    <row r="209" spans="1:15" x14ac:dyDescent="0.3">
      <c r="A209" t="s">
        <v>245</v>
      </c>
      <c r="B209" s="7">
        <v>45884.720462962963</v>
      </c>
      <c r="C209" t="s">
        <v>27</v>
      </c>
      <c r="D209" t="s">
        <v>28</v>
      </c>
      <c r="E209" t="s">
        <v>17</v>
      </c>
      <c r="F209" t="s">
        <v>18</v>
      </c>
      <c r="G209">
        <v>0.08</v>
      </c>
      <c r="H209" s="3">
        <f t="shared" si="3"/>
        <v>45884</v>
      </c>
      <c r="I209" t="str">
        <f>IF(COUNTIFS([0]!OrderID,Table3[[#This Row],[OrderID]],[0]!Category,"beverage")&gt;0,"yes","no")</f>
        <v>yes</v>
      </c>
      <c r="J209">
        <f>SUMIFS([0]!LineNetAmount,[0]!OrderID,Table3[[#This Row],[OrderID]])</f>
        <v>131.30240000000001</v>
      </c>
      <c r="K209" t="str" cm="1">
        <f t="array" ref="K209">_xlfn.TEXTJOIN("+",,_xlfn._xlws.SORT(_xlfn.UNIQUE(_xlfn._xlws.FILTER([0]!Category,[0]!OrderID=Table3[[#This Row],[OrderID]]))))</f>
        <v>Beverage+Snack</v>
      </c>
      <c r="L209" s="39">
        <f>SUMIFS([0]!FoodCost,[0]!OrderID,Table3[[#This Row],[OrderID]])</f>
        <v>67.240000000000009</v>
      </c>
      <c r="M209" s="39">
        <f>Table3[[#This Row],[LineAmount]]-Table3[[#This Row],[TotalCost]]</f>
        <v>64.062399999999997</v>
      </c>
      <c r="N209" t="str">
        <f>IF(AND(COUNTIFS([0]!OrderID,Table3[[#This Row],[OrderID]],[0]!Category,"hot meal")&gt;0,COUNTIFS([0]!OrderID,Table3[[#This Row],[OrderID]],[0]!Category,"beverage")&gt;0),"combo","single")</f>
        <v>single</v>
      </c>
      <c r="O209" t="str">
        <f>IF((Table3[[#This Row],[LineAmount]]/(1-Table3[[#This Row],[DiscountPct]]))*Table3[[#This Row],[DiscountPct]]&gt;40,"High Disc","OK")</f>
        <v>OK</v>
      </c>
    </row>
    <row r="210" spans="1:15" x14ac:dyDescent="0.3">
      <c r="A210" t="s">
        <v>246</v>
      </c>
      <c r="B210" s="7">
        <v>45893.3596875</v>
      </c>
      <c r="C210" t="s">
        <v>15</v>
      </c>
      <c r="D210" t="s">
        <v>28</v>
      </c>
      <c r="E210" t="s">
        <v>21</v>
      </c>
      <c r="F210" t="s">
        <v>12</v>
      </c>
      <c r="G210">
        <v>0.01</v>
      </c>
      <c r="H210" s="3">
        <f t="shared" si="3"/>
        <v>45893</v>
      </c>
      <c r="I210" t="str">
        <f>IF(COUNTIFS([0]!OrderID,Table3[[#This Row],[OrderID]],[0]!Category,"beverage")&gt;0,"yes","no")</f>
        <v>yes</v>
      </c>
      <c r="J210">
        <f>SUMIFS([0]!LineNetAmount,[0]!OrderID,Table3[[#This Row],[OrderID]])</f>
        <v>225.26459999999997</v>
      </c>
      <c r="K210" t="str" cm="1">
        <f t="array" ref="K210">_xlfn.TEXTJOIN("+",,_xlfn._xlws.SORT(_xlfn.UNIQUE(_xlfn._xlws.FILTER([0]!Category,[0]!OrderID=Table3[[#This Row],[OrderID]]))))</f>
        <v>Beverage+Snack</v>
      </c>
      <c r="L210" s="39">
        <f>SUMIFS([0]!FoodCost,[0]!OrderID,Table3[[#This Row],[OrderID]])</f>
        <v>103.61</v>
      </c>
      <c r="M210" s="39">
        <f>Table3[[#This Row],[LineAmount]]-Table3[[#This Row],[TotalCost]]</f>
        <v>121.65459999999997</v>
      </c>
      <c r="N210" t="str">
        <f>IF(AND(COUNTIFS([0]!OrderID,Table3[[#This Row],[OrderID]],[0]!Category,"hot meal")&gt;0,COUNTIFS([0]!OrderID,Table3[[#This Row],[OrderID]],[0]!Category,"beverage")&gt;0),"combo","single")</f>
        <v>single</v>
      </c>
      <c r="O210" t="str">
        <f>IF((Table3[[#This Row],[LineAmount]]/(1-Table3[[#This Row],[DiscountPct]]))*Table3[[#This Row],[DiscountPct]]&gt;40,"High Disc","OK")</f>
        <v>OK</v>
      </c>
    </row>
    <row r="211" spans="1:15" x14ac:dyDescent="0.3">
      <c r="A211" t="s">
        <v>247</v>
      </c>
      <c r="B211" s="7">
        <v>45864.926377314812</v>
      </c>
      <c r="C211" t="s">
        <v>9</v>
      </c>
      <c r="D211" t="s">
        <v>28</v>
      </c>
      <c r="E211" t="s">
        <v>21</v>
      </c>
      <c r="F211" t="s">
        <v>18</v>
      </c>
      <c r="G211">
        <v>0.1</v>
      </c>
      <c r="H211" s="3">
        <f t="shared" si="3"/>
        <v>45864</v>
      </c>
      <c r="I211" t="str">
        <f>IF(COUNTIFS([0]!OrderID,Table3[[#This Row],[OrderID]],[0]!Category,"beverage")&gt;0,"yes","no")</f>
        <v>yes</v>
      </c>
      <c r="J211">
        <f>SUMIFS([0]!LineNetAmount,[0]!OrderID,Table3[[#This Row],[OrderID]])</f>
        <v>481.041</v>
      </c>
      <c r="K211" t="str" cm="1">
        <f t="array" ref="K211">_xlfn.TEXTJOIN("+",,_xlfn._xlws.SORT(_xlfn.UNIQUE(_xlfn._xlws.FILTER([0]!Category,[0]!OrderID=Table3[[#This Row],[OrderID]]))))</f>
        <v>Beverage+Hot Meal</v>
      </c>
      <c r="L211" s="39">
        <f>SUMIFS([0]!FoodCost,[0]!OrderID,Table3[[#This Row],[OrderID]])</f>
        <v>241.54</v>
      </c>
      <c r="M211" s="39">
        <f>Table3[[#This Row],[LineAmount]]-Table3[[#This Row],[TotalCost]]</f>
        <v>239.501</v>
      </c>
      <c r="N211" t="str">
        <f>IF(AND(COUNTIFS([0]!OrderID,Table3[[#This Row],[OrderID]],[0]!Category,"hot meal")&gt;0,COUNTIFS([0]!OrderID,Table3[[#This Row],[OrderID]],[0]!Category,"beverage")&gt;0),"combo","single")</f>
        <v>combo</v>
      </c>
      <c r="O211" t="str">
        <f>IF((Table3[[#This Row],[LineAmount]]/(1-Table3[[#This Row],[DiscountPct]]))*Table3[[#This Row],[DiscountPct]]&gt;40,"High Disc","OK")</f>
        <v>High Disc</v>
      </c>
    </row>
    <row r="212" spans="1:15" x14ac:dyDescent="0.3">
      <c r="A212" t="s">
        <v>248</v>
      </c>
      <c r="B212" s="7">
        <v>45864.703344907408</v>
      </c>
      <c r="C212" t="s">
        <v>9</v>
      </c>
      <c r="D212" t="s">
        <v>16</v>
      </c>
      <c r="E212" t="s">
        <v>11</v>
      </c>
      <c r="F212" t="s">
        <v>18</v>
      </c>
      <c r="G212">
        <v>0.14000000000000001</v>
      </c>
      <c r="H212" s="3">
        <f t="shared" si="3"/>
        <v>45864</v>
      </c>
      <c r="I212" t="str">
        <f>IF(COUNTIFS([0]!OrderID,Table3[[#This Row],[OrderID]],[0]!Category,"beverage")&gt;0,"yes","no")</f>
        <v>no</v>
      </c>
      <c r="J212">
        <f>SUMIFS([0]!LineNetAmount,[0]!OrderID,Table3[[#This Row],[OrderID]])</f>
        <v>844.82100000000003</v>
      </c>
      <c r="K212" t="str" cm="1">
        <f t="array" ref="K212">_xlfn.TEXTJOIN("+",,_xlfn._xlws.SORT(_xlfn.UNIQUE(_xlfn._xlws.FILTER([0]!Category,[0]!OrderID=Table3[[#This Row],[OrderID]]))))</f>
        <v>Hot Meal+Snack</v>
      </c>
      <c r="L212" s="39">
        <f>SUMIFS([0]!FoodCost,[0]!OrderID,Table3[[#This Row],[OrderID]])</f>
        <v>471.15</v>
      </c>
      <c r="M212" s="39">
        <f>Table3[[#This Row],[LineAmount]]-Table3[[#This Row],[TotalCost]]</f>
        <v>373.67100000000005</v>
      </c>
      <c r="N212" t="str">
        <f>IF(AND(COUNTIFS([0]!OrderID,Table3[[#This Row],[OrderID]],[0]!Category,"hot meal")&gt;0,COUNTIFS([0]!OrderID,Table3[[#This Row],[OrderID]],[0]!Category,"beverage")&gt;0),"combo","single")</f>
        <v>single</v>
      </c>
      <c r="O212" t="str">
        <f>IF((Table3[[#This Row],[LineAmount]]/(1-Table3[[#This Row],[DiscountPct]]))*Table3[[#This Row],[DiscountPct]]&gt;40,"High Disc","OK")</f>
        <v>High Disc</v>
      </c>
    </row>
    <row r="213" spans="1:15" x14ac:dyDescent="0.3">
      <c r="A213" t="s">
        <v>249</v>
      </c>
      <c r="B213" s="7">
        <v>45849.76935185185</v>
      </c>
      <c r="C213" t="s">
        <v>9</v>
      </c>
      <c r="D213" t="s">
        <v>28</v>
      </c>
      <c r="E213" t="s">
        <v>21</v>
      </c>
      <c r="F213" t="s">
        <v>18</v>
      </c>
      <c r="G213">
        <v>0.1</v>
      </c>
      <c r="H213" s="3">
        <f t="shared" si="3"/>
        <v>45849</v>
      </c>
      <c r="I213" t="str">
        <f>IF(COUNTIFS([0]!OrderID,Table3[[#This Row],[OrderID]],[0]!Category,"beverage")&gt;0,"yes","no")</f>
        <v>yes</v>
      </c>
      <c r="J213">
        <f>SUMIFS([0]!LineNetAmount,[0]!OrderID,Table3[[#This Row],[OrderID]])</f>
        <v>317.75400000000002</v>
      </c>
      <c r="K213" t="str" cm="1">
        <f t="array" ref="K213">_xlfn.TEXTJOIN("+",,_xlfn._xlws.SORT(_xlfn.UNIQUE(_xlfn._xlws.FILTER([0]!Category,[0]!OrderID=Table3[[#This Row],[OrderID]]))))</f>
        <v>Beverage+Dessert+Hot Meal+Snack</v>
      </c>
      <c r="L213" s="39">
        <f>SUMIFS([0]!FoodCost,[0]!OrderID,Table3[[#This Row],[OrderID]])</f>
        <v>154.76</v>
      </c>
      <c r="M213" s="39">
        <f>Table3[[#This Row],[LineAmount]]-Table3[[#This Row],[TotalCost]]</f>
        <v>162.99400000000003</v>
      </c>
      <c r="N213" t="str">
        <f>IF(AND(COUNTIFS([0]!OrderID,Table3[[#This Row],[OrderID]],[0]!Category,"hot meal")&gt;0,COUNTIFS([0]!OrderID,Table3[[#This Row],[OrderID]],[0]!Category,"beverage")&gt;0),"combo","single")</f>
        <v>combo</v>
      </c>
      <c r="O213" t="str">
        <f>IF((Table3[[#This Row],[LineAmount]]/(1-Table3[[#This Row],[DiscountPct]]))*Table3[[#This Row],[DiscountPct]]&gt;40,"High Disc","OK")</f>
        <v>OK</v>
      </c>
    </row>
    <row r="214" spans="1:15" x14ac:dyDescent="0.3">
      <c r="A214" t="s">
        <v>250</v>
      </c>
      <c r="B214" s="7">
        <v>45893.757245370369</v>
      </c>
      <c r="C214" t="s">
        <v>15</v>
      </c>
      <c r="D214" t="s">
        <v>10</v>
      </c>
      <c r="E214" t="s">
        <v>17</v>
      </c>
      <c r="F214" t="s">
        <v>18</v>
      </c>
      <c r="G214">
        <v>0</v>
      </c>
      <c r="H214" s="3">
        <f t="shared" si="3"/>
        <v>45893</v>
      </c>
      <c r="I214" t="str">
        <f>IF(COUNTIFS([0]!OrderID,Table3[[#This Row],[OrderID]],[0]!Category,"beverage")&gt;0,"yes","no")</f>
        <v>no</v>
      </c>
      <c r="J214">
        <f>SUMIFS([0]!LineNetAmount,[0]!OrderID,Table3[[#This Row],[OrderID]])</f>
        <v>442.17</v>
      </c>
      <c r="K214" t="str" cm="1">
        <f t="array" ref="K214">_xlfn.TEXTJOIN("+",,_xlfn._xlws.SORT(_xlfn.UNIQUE(_xlfn._xlws.FILTER([0]!Category,[0]!OrderID=Table3[[#This Row],[OrderID]]))))</f>
        <v>Hot Meal+Snack</v>
      </c>
      <c r="L214" s="39">
        <f>SUMIFS([0]!FoodCost,[0]!OrderID,Table3[[#This Row],[OrderID]])</f>
        <v>200.09</v>
      </c>
      <c r="M214" s="39">
        <f>Table3[[#This Row],[LineAmount]]-Table3[[#This Row],[TotalCost]]</f>
        <v>242.08</v>
      </c>
      <c r="N214" t="str">
        <f>IF(AND(COUNTIFS([0]!OrderID,Table3[[#This Row],[OrderID]],[0]!Category,"hot meal")&gt;0,COUNTIFS([0]!OrderID,Table3[[#This Row],[OrderID]],[0]!Category,"beverage")&gt;0),"combo","single")</f>
        <v>single</v>
      </c>
      <c r="O214" t="str">
        <f>IF((Table3[[#This Row],[LineAmount]]/(1-Table3[[#This Row],[DiscountPct]]))*Table3[[#This Row],[DiscountPct]]&gt;40,"High Disc","OK")</f>
        <v>OK</v>
      </c>
    </row>
    <row r="215" spans="1:15" x14ac:dyDescent="0.3">
      <c r="A215" t="s">
        <v>251</v>
      </c>
      <c r="B215" s="7">
        <v>45884.325902777768</v>
      </c>
      <c r="C215" t="s">
        <v>9</v>
      </c>
      <c r="D215" t="s">
        <v>16</v>
      </c>
      <c r="E215" t="s">
        <v>11</v>
      </c>
      <c r="F215" t="s">
        <v>12</v>
      </c>
      <c r="G215">
        <v>0.04</v>
      </c>
      <c r="H215" s="3">
        <f t="shared" si="3"/>
        <v>45884</v>
      </c>
      <c r="I215" t="str">
        <f>IF(COUNTIFS([0]!OrderID,Table3[[#This Row],[OrderID]],[0]!Category,"beverage")&gt;0,"yes","no")</f>
        <v>yes</v>
      </c>
      <c r="J215">
        <f>SUMIFS([0]!LineNetAmount,[0]!OrderID,Table3[[#This Row],[OrderID]])</f>
        <v>731.61599999999999</v>
      </c>
      <c r="K215" t="str" cm="1">
        <f t="array" ref="K215">_xlfn.TEXTJOIN("+",,_xlfn._xlws.SORT(_xlfn.UNIQUE(_xlfn._xlws.FILTER([0]!Category,[0]!OrderID=Table3[[#This Row],[OrderID]]))))</f>
        <v>Beverage+Dessert+Hot Meal</v>
      </c>
      <c r="L215" s="39">
        <f>SUMIFS([0]!FoodCost,[0]!OrderID,Table3[[#This Row],[OrderID]])</f>
        <v>327.17999999999995</v>
      </c>
      <c r="M215" s="39">
        <f>Table3[[#This Row],[LineAmount]]-Table3[[#This Row],[TotalCost]]</f>
        <v>404.43600000000004</v>
      </c>
      <c r="N215" t="str">
        <f>IF(AND(COUNTIFS([0]!OrderID,Table3[[#This Row],[OrderID]],[0]!Category,"hot meal")&gt;0,COUNTIFS([0]!OrderID,Table3[[#This Row],[OrderID]],[0]!Category,"beverage")&gt;0),"combo","single")</f>
        <v>combo</v>
      </c>
      <c r="O215" t="str">
        <f>IF((Table3[[#This Row],[LineAmount]]/(1-Table3[[#This Row],[DiscountPct]]))*Table3[[#This Row],[DiscountPct]]&gt;40,"High Disc","OK")</f>
        <v>OK</v>
      </c>
    </row>
    <row r="216" spans="1:15" x14ac:dyDescent="0.3">
      <c r="A216" t="s">
        <v>252</v>
      </c>
      <c r="B216" s="7">
        <v>45850.578101851846</v>
      </c>
      <c r="C216" t="s">
        <v>27</v>
      </c>
      <c r="D216" t="s">
        <v>28</v>
      </c>
      <c r="E216" t="s">
        <v>17</v>
      </c>
      <c r="F216" t="s">
        <v>22</v>
      </c>
      <c r="G216">
        <v>0.11</v>
      </c>
      <c r="H216" s="3">
        <f t="shared" si="3"/>
        <v>45850</v>
      </c>
      <c r="I216" t="str">
        <f>IF(COUNTIFS([0]!OrderID,Table3[[#This Row],[OrderID]],[0]!Category,"beverage")&gt;0,"yes","no")</f>
        <v>yes</v>
      </c>
      <c r="J216">
        <f>SUMIFS([0]!LineNetAmount,[0]!OrderID,Table3[[#This Row],[OrderID]])</f>
        <v>329.12199999999996</v>
      </c>
      <c r="K216" t="str" cm="1">
        <f t="array" ref="K216">_xlfn.TEXTJOIN("+",,_xlfn._xlws.SORT(_xlfn.UNIQUE(_xlfn._xlws.FILTER([0]!Category,[0]!OrderID=Table3[[#This Row],[OrderID]]))))</f>
        <v>Beverage+Dessert+Hot Meal+Snack</v>
      </c>
      <c r="L216" s="39">
        <f>SUMIFS([0]!FoodCost,[0]!OrderID,Table3[[#This Row],[OrderID]])</f>
        <v>187.99</v>
      </c>
      <c r="M216" s="39">
        <f>Table3[[#This Row],[LineAmount]]-Table3[[#This Row],[TotalCost]]</f>
        <v>141.13199999999995</v>
      </c>
      <c r="N216" t="str">
        <f>IF(AND(COUNTIFS([0]!OrderID,Table3[[#This Row],[OrderID]],[0]!Category,"hot meal")&gt;0,COUNTIFS([0]!OrderID,Table3[[#This Row],[OrderID]],[0]!Category,"beverage")&gt;0),"combo","single")</f>
        <v>combo</v>
      </c>
      <c r="O216" t="str">
        <f>IF((Table3[[#This Row],[LineAmount]]/(1-Table3[[#This Row],[DiscountPct]]))*Table3[[#This Row],[DiscountPct]]&gt;40,"High Disc","OK")</f>
        <v>High Disc</v>
      </c>
    </row>
    <row r="217" spans="1:15" x14ac:dyDescent="0.3">
      <c r="A217" t="s">
        <v>253</v>
      </c>
      <c r="B217" s="7">
        <v>45887.079097222217</v>
      </c>
      <c r="C217" t="s">
        <v>27</v>
      </c>
      <c r="D217" t="s">
        <v>28</v>
      </c>
      <c r="E217" t="s">
        <v>17</v>
      </c>
      <c r="F217" t="s">
        <v>12</v>
      </c>
      <c r="G217">
        <v>0.03</v>
      </c>
      <c r="H217" s="3">
        <f t="shared" si="3"/>
        <v>45887</v>
      </c>
      <c r="I217" t="str">
        <f>IF(COUNTIFS([0]!OrderID,Table3[[#This Row],[OrderID]],[0]!Category,"beverage")&gt;0,"yes","no")</f>
        <v>yes</v>
      </c>
      <c r="J217">
        <f>SUMIFS([0]!LineNetAmount,[0]!OrderID,Table3[[#This Row],[OrderID]])</f>
        <v>166.29679999999999</v>
      </c>
      <c r="K217" t="str" cm="1">
        <f t="array" ref="K217">_xlfn.TEXTJOIN("+",,_xlfn._xlws.SORT(_xlfn.UNIQUE(_xlfn._xlws.FILTER([0]!Category,[0]!OrderID=Table3[[#This Row],[OrderID]]))))</f>
        <v>Beverage+Snack</v>
      </c>
      <c r="L217" s="39">
        <f>SUMIFS([0]!FoodCost,[0]!OrderID,Table3[[#This Row],[OrderID]])</f>
        <v>80.17</v>
      </c>
      <c r="M217" s="39">
        <f>Table3[[#This Row],[LineAmount]]-Table3[[#This Row],[TotalCost]]</f>
        <v>86.126799999999989</v>
      </c>
      <c r="N217" t="str">
        <f>IF(AND(COUNTIFS([0]!OrderID,Table3[[#This Row],[OrderID]],[0]!Category,"hot meal")&gt;0,COUNTIFS([0]!OrderID,Table3[[#This Row],[OrderID]],[0]!Category,"beverage")&gt;0),"combo","single")</f>
        <v>single</v>
      </c>
      <c r="O217" t="str">
        <f>IF((Table3[[#This Row],[LineAmount]]/(1-Table3[[#This Row],[DiscountPct]]))*Table3[[#This Row],[DiscountPct]]&gt;40,"High Disc","OK")</f>
        <v>OK</v>
      </c>
    </row>
    <row r="218" spans="1:15" x14ac:dyDescent="0.3">
      <c r="A218" t="s">
        <v>254</v>
      </c>
      <c r="B218" s="7">
        <v>45852.421666666669</v>
      </c>
      <c r="C218" t="s">
        <v>15</v>
      </c>
      <c r="D218" t="s">
        <v>16</v>
      </c>
      <c r="E218" t="s">
        <v>21</v>
      </c>
      <c r="F218" t="s">
        <v>12</v>
      </c>
      <c r="G218">
        <v>0.08</v>
      </c>
      <c r="H218" s="3">
        <f t="shared" si="3"/>
        <v>45852</v>
      </c>
      <c r="I218" t="str">
        <f>IF(COUNTIFS([0]!OrderID,Table3[[#This Row],[OrderID]],[0]!Category,"beverage")&gt;0,"yes","no")</f>
        <v>no</v>
      </c>
      <c r="J218">
        <f>SUMIFS([0]!LineNetAmount,[0]!OrderID,Table3[[#This Row],[OrderID]])</f>
        <v>611.7908000000001</v>
      </c>
      <c r="K218" t="str" cm="1">
        <f t="array" ref="K218">_xlfn.TEXTJOIN("+",,_xlfn._xlws.SORT(_xlfn.UNIQUE(_xlfn._xlws.FILTER([0]!Category,[0]!OrderID=Table3[[#This Row],[OrderID]]))))</f>
        <v>Hot Meal+Snack</v>
      </c>
      <c r="L218" s="39">
        <f>SUMIFS([0]!FoodCost,[0]!OrderID,Table3[[#This Row],[OrderID]])</f>
        <v>303.73</v>
      </c>
      <c r="M218" s="39">
        <f>Table3[[#This Row],[LineAmount]]-Table3[[#This Row],[TotalCost]]</f>
        <v>308.06080000000009</v>
      </c>
      <c r="N218" t="str">
        <f>IF(AND(COUNTIFS([0]!OrderID,Table3[[#This Row],[OrderID]],[0]!Category,"hot meal")&gt;0,COUNTIFS([0]!OrderID,Table3[[#This Row],[OrderID]],[0]!Category,"beverage")&gt;0),"combo","single")</f>
        <v>single</v>
      </c>
      <c r="O218" t="str">
        <f>IF((Table3[[#This Row],[LineAmount]]/(1-Table3[[#This Row],[DiscountPct]]))*Table3[[#This Row],[DiscountPct]]&gt;40,"High Disc","OK")</f>
        <v>High Disc</v>
      </c>
    </row>
    <row r="219" spans="1:15" x14ac:dyDescent="0.3">
      <c r="A219" t="s">
        <v>255</v>
      </c>
      <c r="B219" s="7">
        <v>45879.943171296298</v>
      </c>
      <c r="C219" t="s">
        <v>9</v>
      </c>
      <c r="D219" t="s">
        <v>10</v>
      </c>
      <c r="E219" t="s">
        <v>11</v>
      </c>
      <c r="F219" t="s">
        <v>18</v>
      </c>
      <c r="G219">
        <v>0.09</v>
      </c>
      <c r="H219" s="3">
        <f t="shared" si="3"/>
        <v>45879</v>
      </c>
      <c r="I219" t="str">
        <f>IF(COUNTIFS([0]!OrderID,Table3[[#This Row],[OrderID]],[0]!Category,"beverage")&gt;0,"yes","no")</f>
        <v>yes</v>
      </c>
      <c r="J219">
        <f>SUMIFS([0]!LineNetAmount,[0]!OrderID,Table3[[#This Row],[OrderID]])</f>
        <v>25.871300000000002</v>
      </c>
      <c r="K219" t="str" cm="1">
        <f t="array" ref="K219">_xlfn.TEXTJOIN("+",,_xlfn._xlws.SORT(_xlfn.UNIQUE(_xlfn._xlws.FILTER([0]!Category,[0]!OrderID=Table3[[#This Row],[OrderID]]))))</f>
        <v>Beverage</v>
      </c>
      <c r="L219" s="39">
        <f>SUMIFS([0]!FoodCost,[0]!OrderID,Table3[[#This Row],[OrderID]])</f>
        <v>13.89</v>
      </c>
      <c r="M219" s="39">
        <f>Table3[[#This Row],[LineAmount]]-Table3[[#This Row],[TotalCost]]</f>
        <v>11.981300000000001</v>
      </c>
      <c r="N219" t="str">
        <f>IF(AND(COUNTIFS([0]!OrderID,Table3[[#This Row],[OrderID]],[0]!Category,"hot meal")&gt;0,COUNTIFS([0]!OrderID,Table3[[#This Row],[OrderID]],[0]!Category,"beverage")&gt;0),"combo","single")</f>
        <v>single</v>
      </c>
      <c r="O219" t="str">
        <f>IF((Table3[[#This Row],[LineAmount]]/(1-Table3[[#This Row],[DiscountPct]]))*Table3[[#This Row],[DiscountPct]]&gt;40,"High Disc","OK")</f>
        <v>OK</v>
      </c>
    </row>
    <row r="220" spans="1:15" x14ac:dyDescent="0.3">
      <c r="A220" t="s">
        <v>256</v>
      </c>
      <c r="B220" s="7">
        <v>45879.531284722223</v>
      </c>
      <c r="C220" t="s">
        <v>9</v>
      </c>
      <c r="D220" t="s">
        <v>28</v>
      </c>
      <c r="E220" t="s">
        <v>21</v>
      </c>
      <c r="F220" t="s">
        <v>22</v>
      </c>
      <c r="G220">
        <v>0.02</v>
      </c>
      <c r="H220" s="3">
        <f t="shared" si="3"/>
        <v>45879</v>
      </c>
      <c r="I220" t="str">
        <f>IF(COUNTIFS([0]!OrderID,Table3[[#This Row],[OrderID]],[0]!Category,"beverage")&gt;0,"yes","no")</f>
        <v>no</v>
      </c>
      <c r="J220">
        <f>SUMIFS([0]!LineNetAmount,[0]!OrderID,Table3[[#This Row],[OrderID]])</f>
        <v>669.74180000000001</v>
      </c>
      <c r="K220" t="str" cm="1">
        <f t="array" ref="K220">_xlfn.TEXTJOIN("+",,_xlfn._xlws.SORT(_xlfn.UNIQUE(_xlfn._xlws.FILTER([0]!Category,[0]!OrderID=Table3[[#This Row],[OrderID]]))))</f>
        <v>Dessert+Hot Meal</v>
      </c>
      <c r="L220" s="39">
        <f>SUMIFS([0]!FoodCost,[0]!OrderID,Table3[[#This Row],[OrderID]])</f>
        <v>302.64</v>
      </c>
      <c r="M220" s="39">
        <f>Table3[[#This Row],[LineAmount]]-Table3[[#This Row],[TotalCost]]</f>
        <v>367.10180000000003</v>
      </c>
      <c r="N220" t="str">
        <f>IF(AND(COUNTIFS([0]!OrderID,Table3[[#This Row],[OrderID]],[0]!Category,"hot meal")&gt;0,COUNTIFS([0]!OrderID,Table3[[#This Row],[OrderID]],[0]!Category,"beverage")&gt;0),"combo","single")</f>
        <v>single</v>
      </c>
      <c r="O220" t="str">
        <f>IF((Table3[[#This Row],[LineAmount]]/(1-Table3[[#This Row],[DiscountPct]]))*Table3[[#This Row],[DiscountPct]]&gt;40,"High Disc","OK")</f>
        <v>OK</v>
      </c>
    </row>
    <row r="221" spans="1:15" x14ac:dyDescent="0.3">
      <c r="A221" t="s">
        <v>257</v>
      </c>
      <c r="B221" s="7">
        <v>45866.410069444442</v>
      </c>
      <c r="C221" t="s">
        <v>27</v>
      </c>
      <c r="D221" t="s">
        <v>10</v>
      </c>
      <c r="E221" t="s">
        <v>21</v>
      </c>
      <c r="F221" t="s">
        <v>12</v>
      </c>
      <c r="G221">
        <v>0.06</v>
      </c>
      <c r="H221" s="3">
        <f t="shared" si="3"/>
        <v>45866</v>
      </c>
      <c r="I221" t="str">
        <f>IF(COUNTIFS([0]!OrderID,Table3[[#This Row],[OrderID]],[0]!Category,"beverage")&gt;0,"yes","no")</f>
        <v>no</v>
      </c>
      <c r="J221">
        <f>SUMIFS([0]!LineNetAmount,[0]!OrderID,Table3[[#This Row],[OrderID]])</f>
        <v>582.66840000000002</v>
      </c>
      <c r="K221" t="str" cm="1">
        <f t="array" ref="K221">_xlfn.TEXTJOIN("+",,_xlfn._xlws.SORT(_xlfn.UNIQUE(_xlfn._xlws.FILTER([0]!Category,[0]!OrderID=Table3[[#This Row],[OrderID]]))))</f>
        <v>Dessert+Hot Meal</v>
      </c>
      <c r="L221" s="39">
        <f>SUMIFS([0]!FoodCost,[0]!OrderID,Table3[[#This Row],[OrderID]])</f>
        <v>276.76</v>
      </c>
      <c r="M221" s="39">
        <f>Table3[[#This Row],[LineAmount]]-Table3[[#This Row],[TotalCost]]</f>
        <v>305.90840000000003</v>
      </c>
      <c r="N221" t="str">
        <f>IF(AND(COUNTIFS([0]!OrderID,Table3[[#This Row],[OrderID]],[0]!Category,"hot meal")&gt;0,COUNTIFS([0]!OrderID,Table3[[#This Row],[OrderID]],[0]!Category,"beverage")&gt;0),"combo","single")</f>
        <v>single</v>
      </c>
      <c r="O221" t="str">
        <f>IF((Table3[[#This Row],[LineAmount]]/(1-Table3[[#This Row],[DiscountPct]]))*Table3[[#This Row],[DiscountPct]]&gt;40,"High Disc","OK")</f>
        <v>OK</v>
      </c>
    </row>
    <row r="222" spans="1:15" x14ac:dyDescent="0.3">
      <c r="A222" t="s">
        <v>258</v>
      </c>
      <c r="B222" s="7">
        <v>45882.298217592594</v>
      </c>
      <c r="C222" t="s">
        <v>15</v>
      </c>
      <c r="D222" t="s">
        <v>28</v>
      </c>
      <c r="E222" t="s">
        <v>21</v>
      </c>
      <c r="F222" t="s">
        <v>12</v>
      </c>
      <c r="G222">
        <v>0</v>
      </c>
      <c r="H222" s="3">
        <f t="shared" si="3"/>
        <v>45882</v>
      </c>
      <c r="I222" t="str">
        <f>IF(COUNTIFS([0]!OrderID,Table3[[#This Row],[OrderID]],[0]!Category,"beverage")&gt;0,"yes","no")</f>
        <v>no</v>
      </c>
      <c r="J222">
        <f>SUMIFS([0]!LineNetAmount,[0]!OrderID,Table3[[#This Row],[OrderID]])</f>
        <v>57.07</v>
      </c>
      <c r="K222" t="str" cm="1">
        <f t="array" ref="K222">_xlfn.TEXTJOIN("+",,_xlfn._xlws.SORT(_xlfn.UNIQUE(_xlfn._xlws.FILTER([0]!Category,[0]!OrderID=Table3[[#This Row],[OrderID]]))))</f>
        <v>Dessert</v>
      </c>
      <c r="L222" s="39">
        <f>SUMIFS([0]!FoodCost,[0]!OrderID,Table3[[#This Row],[OrderID]])</f>
        <v>29.14</v>
      </c>
      <c r="M222" s="39">
        <f>Table3[[#This Row],[LineAmount]]-Table3[[#This Row],[TotalCost]]</f>
        <v>27.93</v>
      </c>
      <c r="N222" t="str">
        <f>IF(AND(COUNTIFS([0]!OrderID,Table3[[#This Row],[OrderID]],[0]!Category,"hot meal")&gt;0,COUNTIFS([0]!OrderID,Table3[[#This Row],[OrderID]],[0]!Category,"beverage")&gt;0),"combo","single")</f>
        <v>single</v>
      </c>
      <c r="O222" t="str">
        <f>IF((Table3[[#This Row],[LineAmount]]/(1-Table3[[#This Row],[DiscountPct]]))*Table3[[#This Row],[DiscountPct]]&gt;40,"High Disc","OK")</f>
        <v>OK</v>
      </c>
    </row>
    <row r="223" spans="1:15" x14ac:dyDescent="0.3">
      <c r="A223" t="s">
        <v>259</v>
      </c>
      <c r="B223" s="7">
        <v>45874.914675925917</v>
      </c>
      <c r="C223" t="s">
        <v>9</v>
      </c>
      <c r="D223" t="s">
        <v>10</v>
      </c>
      <c r="E223" t="s">
        <v>21</v>
      </c>
      <c r="F223" t="s">
        <v>18</v>
      </c>
      <c r="G223">
        <v>0.02</v>
      </c>
      <c r="H223" s="3">
        <f t="shared" si="3"/>
        <v>45874</v>
      </c>
      <c r="I223" t="str">
        <f>IF(COUNTIFS([0]!OrderID,Table3[[#This Row],[OrderID]],[0]!Category,"beverage")&gt;0,"yes","no")</f>
        <v>yes</v>
      </c>
      <c r="J223">
        <f>SUMIFS([0]!LineNetAmount,[0]!OrderID,Table3[[#This Row],[OrderID]])</f>
        <v>297.38099999999997</v>
      </c>
      <c r="K223" t="str" cm="1">
        <f t="array" ref="K223">_xlfn.TEXTJOIN("+",,_xlfn._xlws.SORT(_xlfn.UNIQUE(_xlfn._xlws.FILTER([0]!Category,[0]!OrderID=Table3[[#This Row],[OrderID]]))))</f>
        <v>Beverage+Dessert+Snack</v>
      </c>
      <c r="L223" s="39">
        <f>SUMIFS([0]!FoodCost,[0]!OrderID,Table3[[#This Row],[OrderID]])</f>
        <v>125.72</v>
      </c>
      <c r="M223" s="39">
        <f>Table3[[#This Row],[LineAmount]]-Table3[[#This Row],[TotalCost]]</f>
        <v>171.66099999999997</v>
      </c>
      <c r="N223" t="str">
        <f>IF(AND(COUNTIFS([0]!OrderID,Table3[[#This Row],[OrderID]],[0]!Category,"hot meal")&gt;0,COUNTIFS([0]!OrderID,Table3[[#This Row],[OrderID]],[0]!Category,"beverage")&gt;0),"combo","single")</f>
        <v>single</v>
      </c>
      <c r="O223" t="str">
        <f>IF((Table3[[#This Row],[LineAmount]]/(1-Table3[[#This Row],[DiscountPct]]))*Table3[[#This Row],[DiscountPct]]&gt;40,"High Disc","OK")</f>
        <v>OK</v>
      </c>
    </row>
    <row r="224" spans="1:15" x14ac:dyDescent="0.3">
      <c r="A224" t="s">
        <v>260</v>
      </c>
      <c r="B224" s="7">
        <v>45877.90552083333</v>
      </c>
      <c r="C224" t="s">
        <v>15</v>
      </c>
      <c r="D224" t="s">
        <v>28</v>
      </c>
      <c r="E224" t="s">
        <v>17</v>
      </c>
      <c r="F224" t="s">
        <v>18</v>
      </c>
      <c r="G224">
        <v>0.05</v>
      </c>
      <c r="H224" s="3">
        <f t="shared" si="3"/>
        <v>45877</v>
      </c>
      <c r="I224" t="str">
        <f>IF(COUNTIFS([0]!OrderID,Table3[[#This Row],[OrderID]],[0]!Category,"beverage")&gt;0,"yes","no")</f>
        <v>yes</v>
      </c>
      <c r="J224">
        <f>SUMIFS([0]!LineNetAmount,[0]!OrderID,Table3[[#This Row],[OrderID]])</f>
        <v>178.08699999999999</v>
      </c>
      <c r="K224" t="str" cm="1">
        <f t="array" ref="K224">_xlfn.TEXTJOIN("+",,_xlfn._xlws.SORT(_xlfn.UNIQUE(_xlfn._xlws.FILTER([0]!Category,[0]!OrderID=Table3[[#This Row],[OrderID]]))))</f>
        <v>Beverage+Dessert</v>
      </c>
      <c r="L224" s="39">
        <f>SUMIFS([0]!FoodCost,[0]!OrderID,Table3[[#This Row],[OrderID]])</f>
        <v>81.06</v>
      </c>
      <c r="M224" s="39">
        <f>Table3[[#This Row],[LineAmount]]-Table3[[#This Row],[TotalCost]]</f>
        <v>97.026999999999987</v>
      </c>
      <c r="N224" t="str">
        <f>IF(AND(COUNTIFS([0]!OrderID,Table3[[#This Row],[OrderID]],[0]!Category,"hot meal")&gt;0,COUNTIFS([0]!OrderID,Table3[[#This Row],[OrderID]],[0]!Category,"beverage")&gt;0),"combo","single")</f>
        <v>single</v>
      </c>
      <c r="O224" t="str">
        <f>IF((Table3[[#This Row],[LineAmount]]/(1-Table3[[#This Row],[DiscountPct]]))*Table3[[#This Row],[DiscountPct]]&gt;40,"High Disc","OK")</f>
        <v>OK</v>
      </c>
    </row>
    <row r="225" spans="1:15" x14ac:dyDescent="0.3">
      <c r="A225" t="s">
        <v>261</v>
      </c>
      <c r="B225" s="7">
        <v>45848.150601851848</v>
      </c>
      <c r="C225" t="s">
        <v>9</v>
      </c>
      <c r="D225" t="s">
        <v>28</v>
      </c>
      <c r="E225" t="s">
        <v>11</v>
      </c>
      <c r="F225" t="s">
        <v>12</v>
      </c>
      <c r="G225">
        <v>0.01</v>
      </c>
      <c r="H225" s="3">
        <f t="shared" si="3"/>
        <v>45848</v>
      </c>
      <c r="I225" t="str">
        <f>IF(COUNTIFS([0]!OrderID,Table3[[#This Row],[OrderID]],[0]!Category,"beverage")&gt;0,"yes","no")</f>
        <v>no</v>
      </c>
      <c r="J225">
        <f>SUMIFS([0]!LineNetAmount,[0]!OrderID,Table3[[#This Row],[OrderID]])</f>
        <v>155.77650000000003</v>
      </c>
      <c r="K225" t="str" cm="1">
        <f t="array" ref="K225">_xlfn.TEXTJOIN("+",,_xlfn._xlws.SORT(_xlfn.UNIQUE(_xlfn._xlws.FILTER([0]!Category,[0]!OrderID=Table3[[#This Row],[OrderID]]))))</f>
        <v>Snack</v>
      </c>
      <c r="L225" s="39">
        <f>SUMIFS([0]!FoodCost,[0]!OrderID,Table3[[#This Row],[OrderID]])</f>
        <v>77.400000000000006</v>
      </c>
      <c r="M225" s="39">
        <f>Table3[[#This Row],[LineAmount]]-Table3[[#This Row],[TotalCost]]</f>
        <v>78.376500000000021</v>
      </c>
      <c r="N225" t="str">
        <f>IF(AND(COUNTIFS([0]!OrderID,Table3[[#This Row],[OrderID]],[0]!Category,"hot meal")&gt;0,COUNTIFS([0]!OrderID,Table3[[#This Row],[OrderID]],[0]!Category,"beverage")&gt;0),"combo","single")</f>
        <v>single</v>
      </c>
      <c r="O225" t="str">
        <f>IF((Table3[[#This Row],[LineAmount]]/(1-Table3[[#This Row],[DiscountPct]]))*Table3[[#This Row],[DiscountPct]]&gt;40,"High Disc","OK")</f>
        <v>OK</v>
      </c>
    </row>
    <row r="226" spans="1:15" x14ac:dyDescent="0.3">
      <c r="A226" t="s">
        <v>262</v>
      </c>
      <c r="B226" s="7">
        <v>45844.160682870373</v>
      </c>
      <c r="C226" t="s">
        <v>15</v>
      </c>
      <c r="D226" t="s">
        <v>28</v>
      </c>
      <c r="E226" t="s">
        <v>17</v>
      </c>
      <c r="F226" t="s">
        <v>12</v>
      </c>
      <c r="G226">
        <v>0.13</v>
      </c>
      <c r="H226" s="3">
        <f t="shared" si="3"/>
        <v>45844</v>
      </c>
      <c r="I226" t="str">
        <f>IF(COUNTIFS([0]!OrderID,Table3[[#This Row],[OrderID]],[0]!Category,"beverage")&gt;0,"yes","no")</f>
        <v>yes</v>
      </c>
      <c r="J226">
        <f>SUMIFS([0]!LineNetAmount,[0]!OrderID,Table3[[#This Row],[OrderID]])</f>
        <v>834.16470000000004</v>
      </c>
      <c r="K226" t="str" cm="1">
        <f t="array" ref="K226">_xlfn.TEXTJOIN("+",,_xlfn._xlws.SORT(_xlfn.UNIQUE(_xlfn._xlws.FILTER([0]!Category,[0]!OrderID=Table3[[#This Row],[OrderID]]))))</f>
        <v>Beverage+Hot Meal+Snack</v>
      </c>
      <c r="L226" s="39">
        <f>SUMIFS([0]!FoodCost,[0]!OrderID,Table3[[#This Row],[OrderID]])</f>
        <v>455.66999999999996</v>
      </c>
      <c r="M226" s="39">
        <f>Table3[[#This Row],[LineAmount]]-Table3[[#This Row],[TotalCost]]</f>
        <v>378.49470000000008</v>
      </c>
      <c r="N226" t="str">
        <f>IF(AND(COUNTIFS([0]!OrderID,Table3[[#This Row],[OrderID]],[0]!Category,"hot meal")&gt;0,COUNTIFS([0]!OrderID,Table3[[#This Row],[OrderID]],[0]!Category,"beverage")&gt;0),"combo","single")</f>
        <v>combo</v>
      </c>
      <c r="O226" t="str">
        <f>IF((Table3[[#This Row],[LineAmount]]/(1-Table3[[#This Row],[DiscountPct]]))*Table3[[#This Row],[DiscountPct]]&gt;40,"High Disc","OK")</f>
        <v>High Disc</v>
      </c>
    </row>
    <row r="227" spans="1:15" x14ac:dyDescent="0.3">
      <c r="A227" t="s">
        <v>263</v>
      </c>
      <c r="B227" s="7">
        <v>45845.911377314813</v>
      </c>
      <c r="C227" t="s">
        <v>9</v>
      </c>
      <c r="D227" t="s">
        <v>28</v>
      </c>
      <c r="E227" t="s">
        <v>11</v>
      </c>
      <c r="F227" t="s">
        <v>18</v>
      </c>
      <c r="G227">
        <v>0</v>
      </c>
      <c r="H227" s="3">
        <f t="shared" si="3"/>
        <v>45845</v>
      </c>
      <c r="I227" t="str">
        <f>IF(COUNTIFS([0]!OrderID,Table3[[#This Row],[OrderID]],[0]!Category,"beverage")&gt;0,"yes","no")</f>
        <v>yes</v>
      </c>
      <c r="J227">
        <f>SUMIFS([0]!LineNetAmount,[0]!OrderID,Table3[[#This Row],[OrderID]])</f>
        <v>329.84000000000003</v>
      </c>
      <c r="K227" t="str" cm="1">
        <f t="array" ref="K227">_xlfn.TEXTJOIN("+",,_xlfn._xlws.SORT(_xlfn.UNIQUE(_xlfn._xlws.FILTER([0]!Category,[0]!OrderID=Table3[[#This Row],[OrderID]]))))</f>
        <v>Beverage+Dessert+Hot Meal</v>
      </c>
      <c r="L227" s="39">
        <f>SUMIFS([0]!FoodCost,[0]!OrderID,Table3[[#This Row],[OrderID]])</f>
        <v>171.56</v>
      </c>
      <c r="M227" s="39">
        <f>Table3[[#This Row],[LineAmount]]-Table3[[#This Row],[TotalCost]]</f>
        <v>158.28000000000003</v>
      </c>
      <c r="N227" t="str">
        <f>IF(AND(COUNTIFS([0]!OrderID,Table3[[#This Row],[OrderID]],[0]!Category,"hot meal")&gt;0,COUNTIFS([0]!OrderID,Table3[[#This Row],[OrderID]],[0]!Category,"beverage")&gt;0),"combo","single")</f>
        <v>combo</v>
      </c>
      <c r="O227" t="str">
        <f>IF((Table3[[#This Row],[LineAmount]]/(1-Table3[[#This Row],[DiscountPct]]))*Table3[[#This Row],[DiscountPct]]&gt;40,"High Disc","OK")</f>
        <v>OK</v>
      </c>
    </row>
    <row r="228" spans="1:15" x14ac:dyDescent="0.3">
      <c r="A228" t="s">
        <v>264</v>
      </c>
      <c r="B228" s="7">
        <v>45861.871921296297</v>
      </c>
      <c r="C228" t="s">
        <v>15</v>
      </c>
      <c r="D228" t="s">
        <v>28</v>
      </c>
      <c r="E228" t="s">
        <v>11</v>
      </c>
      <c r="F228" t="s">
        <v>18</v>
      </c>
      <c r="G228">
        <v>0.04</v>
      </c>
      <c r="H228" s="3">
        <f t="shared" si="3"/>
        <v>45861</v>
      </c>
      <c r="I228" t="str">
        <f>IF(COUNTIFS([0]!OrderID,Table3[[#This Row],[OrderID]],[0]!Category,"beverage")&gt;0,"yes","no")</f>
        <v>no</v>
      </c>
      <c r="J228">
        <f>SUMIFS([0]!LineNetAmount,[0]!OrderID,Table3[[#This Row],[OrderID]])</f>
        <v>380.0256</v>
      </c>
      <c r="K228" t="str" cm="1">
        <f t="array" ref="K228">_xlfn.TEXTJOIN("+",,_xlfn._xlws.SORT(_xlfn.UNIQUE(_xlfn._xlws.FILTER([0]!Category,[0]!OrderID=Table3[[#This Row],[OrderID]]))))</f>
        <v>Dessert+Hot Meal</v>
      </c>
      <c r="L228" s="39">
        <f>SUMIFS([0]!FoodCost,[0]!OrderID,Table3[[#This Row],[OrderID]])</f>
        <v>170.08999999999997</v>
      </c>
      <c r="M228" s="39">
        <f>Table3[[#This Row],[LineAmount]]-Table3[[#This Row],[TotalCost]]</f>
        <v>209.93560000000002</v>
      </c>
      <c r="N228" t="str">
        <f>IF(AND(COUNTIFS([0]!OrderID,Table3[[#This Row],[OrderID]],[0]!Category,"hot meal")&gt;0,COUNTIFS([0]!OrderID,Table3[[#This Row],[OrderID]],[0]!Category,"beverage")&gt;0),"combo","single")</f>
        <v>single</v>
      </c>
      <c r="O228" t="str">
        <f>IF((Table3[[#This Row],[LineAmount]]/(1-Table3[[#This Row],[DiscountPct]]))*Table3[[#This Row],[DiscountPct]]&gt;40,"High Disc","OK")</f>
        <v>OK</v>
      </c>
    </row>
    <row r="229" spans="1:15" x14ac:dyDescent="0.3">
      <c r="A229" t="s">
        <v>265</v>
      </c>
      <c r="B229" s="7">
        <v>45866.170706018522</v>
      </c>
      <c r="C229" t="s">
        <v>27</v>
      </c>
      <c r="D229" t="s">
        <v>28</v>
      </c>
      <c r="E229" t="s">
        <v>11</v>
      </c>
      <c r="F229" t="s">
        <v>12</v>
      </c>
      <c r="G229">
        <v>7.0000000000000007E-2</v>
      </c>
      <c r="H229" s="3">
        <f t="shared" si="3"/>
        <v>45866</v>
      </c>
      <c r="I229" t="str">
        <f>IF(COUNTIFS([0]!OrderID,Table3[[#This Row],[OrderID]],[0]!Category,"beverage")&gt;0,"yes","no")</f>
        <v>no</v>
      </c>
      <c r="J229">
        <f>SUMIFS([0]!LineNetAmount,[0]!OrderID,Table3[[#This Row],[OrderID]])</f>
        <v>100.812</v>
      </c>
      <c r="K229" t="str" cm="1">
        <f t="array" ref="K229">_xlfn.TEXTJOIN("+",,_xlfn._xlws.SORT(_xlfn.UNIQUE(_xlfn._xlws.FILTER([0]!Category,[0]!OrderID=Table3[[#This Row],[OrderID]]))))</f>
        <v>Dessert</v>
      </c>
      <c r="L229" s="39">
        <f>SUMIFS([0]!FoodCost,[0]!OrderID,Table3[[#This Row],[OrderID]])</f>
        <v>43.9</v>
      </c>
      <c r="M229" s="39">
        <f>Table3[[#This Row],[LineAmount]]-Table3[[#This Row],[TotalCost]]</f>
        <v>56.911999999999999</v>
      </c>
      <c r="N229" t="str">
        <f>IF(AND(COUNTIFS([0]!OrderID,Table3[[#This Row],[OrderID]],[0]!Category,"hot meal")&gt;0,COUNTIFS([0]!OrderID,Table3[[#This Row],[OrderID]],[0]!Category,"beverage")&gt;0),"combo","single")</f>
        <v>single</v>
      </c>
      <c r="O229" t="str">
        <f>IF((Table3[[#This Row],[LineAmount]]/(1-Table3[[#This Row],[DiscountPct]]))*Table3[[#This Row],[DiscountPct]]&gt;40,"High Disc","OK")</f>
        <v>OK</v>
      </c>
    </row>
    <row r="230" spans="1:15" x14ac:dyDescent="0.3">
      <c r="A230" t="s">
        <v>266</v>
      </c>
      <c r="B230" s="7">
        <v>45856.191979166673</v>
      </c>
      <c r="C230" t="s">
        <v>27</v>
      </c>
      <c r="D230" t="s">
        <v>10</v>
      </c>
      <c r="E230" t="s">
        <v>17</v>
      </c>
      <c r="F230" t="s">
        <v>12</v>
      </c>
      <c r="G230">
        <v>0.12</v>
      </c>
      <c r="H230" s="3">
        <f t="shared" si="3"/>
        <v>45856</v>
      </c>
      <c r="I230" t="str">
        <f>IF(COUNTIFS([0]!OrderID,Table3[[#This Row],[OrderID]],[0]!Category,"beverage")&gt;0,"yes","no")</f>
        <v>no</v>
      </c>
      <c r="J230">
        <f>SUMIFS([0]!LineNetAmount,[0]!OrderID,Table3[[#This Row],[OrderID]])</f>
        <v>455.21519999999998</v>
      </c>
      <c r="K230" t="str" cm="1">
        <f t="array" ref="K230">_xlfn.TEXTJOIN("+",,_xlfn._xlws.SORT(_xlfn.UNIQUE(_xlfn._xlws.FILTER([0]!Category,[0]!OrderID=Table3[[#This Row],[OrderID]]))))</f>
        <v>Dessert+Hot Meal+Snack</v>
      </c>
      <c r="L230" s="39">
        <f>SUMIFS([0]!FoodCost,[0]!OrderID,Table3[[#This Row],[OrderID]])</f>
        <v>233.29000000000002</v>
      </c>
      <c r="M230" s="39">
        <f>Table3[[#This Row],[LineAmount]]-Table3[[#This Row],[TotalCost]]</f>
        <v>221.92519999999996</v>
      </c>
      <c r="N230" t="str">
        <f>IF(AND(COUNTIFS([0]!OrderID,Table3[[#This Row],[OrderID]],[0]!Category,"hot meal")&gt;0,COUNTIFS([0]!OrderID,Table3[[#This Row],[OrderID]],[0]!Category,"beverage")&gt;0),"combo","single")</f>
        <v>single</v>
      </c>
      <c r="O230" t="str">
        <f>IF((Table3[[#This Row],[LineAmount]]/(1-Table3[[#This Row],[DiscountPct]]))*Table3[[#This Row],[DiscountPct]]&gt;40,"High Disc","OK")</f>
        <v>High Disc</v>
      </c>
    </row>
    <row r="231" spans="1:15" x14ac:dyDescent="0.3">
      <c r="A231" t="s">
        <v>267</v>
      </c>
      <c r="B231" s="7">
        <v>45840.692789351851</v>
      </c>
      <c r="C231" t="s">
        <v>15</v>
      </c>
      <c r="D231" t="s">
        <v>28</v>
      </c>
      <c r="E231" t="s">
        <v>11</v>
      </c>
      <c r="F231" t="s">
        <v>18</v>
      </c>
      <c r="G231">
        <v>0</v>
      </c>
      <c r="H231" s="3">
        <f t="shared" si="3"/>
        <v>45840</v>
      </c>
      <c r="I231" t="str">
        <f>IF(COUNTIFS([0]!OrderID,Table3[[#This Row],[OrderID]],[0]!Category,"beverage")&gt;0,"yes","no")</f>
        <v>yes</v>
      </c>
      <c r="J231">
        <f>SUMIFS([0]!LineNetAmount,[0]!OrderID,Table3[[#This Row],[OrderID]])</f>
        <v>199.26000000000002</v>
      </c>
      <c r="K231" t="str" cm="1">
        <f t="array" ref="K231">_xlfn.TEXTJOIN("+",,_xlfn._xlws.SORT(_xlfn.UNIQUE(_xlfn._xlws.FILTER([0]!Category,[0]!OrderID=Table3[[#This Row],[OrderID]]))))</f>
        <v>Beverage+Hot Meal</v>
      </c>
      <c r="L231" s="39">
        <f>SUMIFS([0]!FoodCost,[0]!OrderID,Table3[[#This Row],[OrderID]])</f>
        <v>87.96</v>
      </c>
      <c r="M231" s="39">
        <f>Table3[[#This Row],[LineAmount]]-Table3[[#This Row],[TotalCost]]</f>
        <v>111.30000000000003</v>
      </c>
      <c r="N231" t="str">
        <f>IF(AND(COUNTIFS([0]!OrderID,Table3[[#This Row],[OrderID]],[0]!Category,"hot meal")&gt;0,COUNTIFS([0]!OrderID,Table3[[#This Row],[OrderID]],[0]!Category,"beverage")&gt;0),"combo","single")</f>
        <v>combo</v>
      </c>
      <c r="O231" t="str">
        <f>IF((Table3[[#This Row],[LineAmount]]/(1-Table3[[#This Row],[DiscountPct]]))*Table3[[#This Row],[DiscountPct]]&gt;40,"High Disc","OK")</f>
        <v>OK</v>
      </c>
    </row>
    <row r="232" spans="1:15" x14ac:dyDescent="0.3">
      <c r="A232" t="s">
        <v>268</v>
      </c>
      <c r="B232" s="7">
        <v>45840.782187500001</v>
      </c>
      <c r="C232" t="s">
        <v>27</v>
      </c>
      <c r="D232" t="s">
        <v>16</v>
      </c>
      <c r="E232" t="s">
        <v>17</v>
      </c>
      <c r="F232" t="s">
        <v>18</v>
      </c>
      <c r="G232">
        <v>0.11</v>
      </c>
      <c r="H232" s="3">
        <f t="shared" si="3"/>
        <v>45840</v>
      </c>
      <c r="I232" t="str">
        <f>IF(COUNTIFS([0]!OrderID,Table3[[#This Row],[OrderID]],[0]!Category,"beverage")&gt;0,"yes","no")</f>
        <v>yes</v>
      </c>
      <c r="J232">
        <f>SUMIFS([0]!LineNetAmount,[0]!OrderID,Table3[[#This Row],[OrderID]])</f>
        <v>460.40589999999997</v>
      </c>
      <c r="K232" t="str" cm="1">
        <f t="array" ref="K232">_xlfn.TEXTJOIN("+",,_xlfn._xlws.SORT(_xlfn.UNIQUE(_xlfn._xlws.FILTER([0]!Category,[0]!OrderID=Table3[[#This Row],[OrderID]]))))</f>
        <v>Beverage+Dessert+Snack</v>
      </c>
      <c r="L232" s="39">
        <f>SUMIFS([0]!FoodCost,[0]!OrderID,Table3[[#This Row],[OrderID]])</f>
        <v>238.94</v>
      </c>
      <c r="M232" s="39">
        <f>Table3[[#This Row],[LineAmount]]-Table3[[#This Row],[TotalCost]]</f>
        <v>221.46589999999998</v>
      </c>
      <c r="N232" t="str">
        <f>IF(AND(COUNTIFS([0]!OrderID,Table3[[#This Row],[OrderID]],[0]!Category,"hot meal")&gt;0,COUNTIFS([0]!OrderID,Table3[[#This Row],[OrderID]],[0]!Category,"beverage")&gt;0),"combo","single")</f>
        <v>single</v>
      </c>
      <c r="O232" t="str">
        <f>IF((Table3[[#This Row],[LineAmount]]/(1-Table3[[#This Row],[DiscountPct]]))*Table3[[#This Row],[DiscountPct]]&gt;40,"High Disc","OK")</f>
        <v>High Disc</v>
      </c>
    </row>
    <row r="233" spans="1:15" x14ac:dyDescent="0.3">
      <c r="A233" t="s">
        <v>269</v>
      </c>
      <c r="B233" s="7">
        <v>45880.121215277781</v>
      </c>
      <c r="C233" t="s">
        <v>9</v>
      </c>
      <c r="D233" t="s">
        <v>28</v>
      </c>
      <c r="E233" t="s">
        <v>11</v>
      </c>
      <c r="F233" t="s">
        <v>12</v>
      </c>
      <c r="G233">
        <v>0.06</v>
      </c>
      <c r="H233" s="3">
        <f t="shared" si="3"/>
        <v>45880</v>
      </c>
      <c r="I233" t="str">
        <f>IF(COUNTIFS([0]!OrderID,Table3[[#This Row],[OrderID]],[0]!Category,"beverage")&gt;0,"yes","no")</f>
        <v>yes</v>
      </c>
      <c r="J233">
        <f>SUMIFS([0]!LineNetAmount,[0]!OrderID,Table3[[#This Row],[OrderID]])</f>
        <v>483.5172</v>
      </c>
      <c r="K233" t="str" cm="1">
        <f t="array" ref="K233">_xlfn.TEXTJOIN("+",,_xlfn._xlws.SORT(_xlfn.UNIQUE(_xlfn._xlws.FILTER([0]!Category,[0]!OrderID=Table3[[#This Row],[OrderID]]))))</f>
        <v>Beverage+Hot Meal</v>
      </c>
      <c r="L233" s="39">
        <f>SUMIFS([0]!FoodCost,[0]!OrderID,Table3[[#This Row],[OrderID]])</f>
        <v>233.54</v>
      </c>
      <c r="M233" s="39">
        <f>Table3[[#This Row],[LineAmount]]-Table3[[#This Row],[TotalCost]]</f>
        <v>249.97720000000001</v>
      </c>
      <c r="N233" t="str">
        <f>IF(AND(COUNTIFS([0]!OrderID,Table3[[#This Row],[OrderID]],[0]!Category,"hot meal")&gt;0,COUNTIFS([0]!OrderID,Table3[[#This Row],[OrderID]],[0]!Category,"beverage")&gt;0),"combo","single")</f>
        <v>combo</v>
      </c>
      <c r="O233" t="str">
        <f>IF((Table3[[#This Row],[LineAmount]]/(1-Table3[[#This Row],[DiscountPct]]))*Table3[[#This Row],[DiscountPct]]&gt;40,"High Disc","OK")</f>
        <v>OK</v>
      </c>
    </row>
    <row r="234" spans="1:15" x14ac:dyDescent="0.3">
      <c r="A234" t="s">
        <v>270</v>
      </c>
      <c r="B234" s="7">
        <v>45885.488888888889</v>
      </c>
      <c r="C234" t="s">
        <v>15</v>
      </c>
      <c r="D234" t="s">
        <v>16</v>
      </c>
      <c r="E234" t="s">
        <v>11</v>
      </c>
      <c r="F234" t="s">
        <v>22</v>
      </c>
      <c r="G234">
        <v>0.02</v>
      </c>
      <c r="H234" s="3">
        <f t="shared" si="3"/>
        <v>45885</v>
      </c>
      <c r="I234" t="str">
        <f>IF(COUNTIFS([0]!OrderID,Table3[[#This Row],[OrderID]],[0]!Category,"beverage")&gt;0,"yes","no")</f>
        <v>yes</v>
      </c>
      <c r="J234">
        <f>SUMIFS([0]!LineNetAmount,[0]!OrderID,Table3[[#This Row],[OrderID]])</f>
        <v>128.10560000000001</v>
      </c>
      <c r="K234" t="str" cm="1">
        <f t="array" ref="K234">_xlfn.TEXTJOIN("+",,_xlfn._xlws.SORT(_xlfn.UNIQUE(_xlfn._xlws.FILTER([0]!Category,[0]!OrderID=Table3[[#This Row],[OrderID]]))))</f>
        <v>Beverage+Snack</v>
      </c>
      <c r="L234" s="39">
        <f>SUMIFS([0]!FoodCost,[0]!OrderID,Table3[[#This Row],[OrderID]])</f>
        <v>59.4</v>
      </c>
      <c r="M234" s="39">
        <f>Table3[[#This Row],[LineAmount]]-Table3[[#This Row],[TotalCost]]</f>
        <v>68.705600000000004</v>
      </c>
      <c r="N234" t="str">
        <f>IF(AND(COUNTIFS([0]!OrderID,Table3[[#This Row],[OrderID]],[0]!Category,"hot meal")&gt;0,COUNTIFS([0]!OrderID,Table3[[#This Row],[OrderID]],[0]!Category,"beverage")&gt;0),"combo","single")</f>
        <v>single</v>
      </c>
      <c r="O234" t="str">
        <f>IF((Table3[[#This Row],[LineAmount]]/(1-Table3[[#This Row],[DiscountPct]]))*Table3[[#This Row],[DiscountPct]]&gt;40,"High Disc","OK")</f>
        <v>OK</v>
      </c>
    </row>
    <row r="235" spans="1:15" x14ac:dyDescent="0.3">
      <c r="A235" t="s">
        <v>271</v>
      </c>
      <c r="B235" s="7">
        <v>45883.135370370372</v>
      </c>
      <c r="C235" t="s">
        <v>9</v>
      </c>
      <c r="D235" t="s">
        <v>28</v>
      </c>
      <c r="E235" t="s">
        <v>11</v>
      </c>
      <c r="F235" t="s">
        <v>12</v>
      </c>
      <c r="G235">
        <v>0.08</v>
      </c>
      <c r="H235" s="3">
        <f t="shared" si="3"/>
        <v>45883</v>
      </c>
      <c r="I235" t="str">
        <f>IF(COUNTIFS([0]!OrderID,Table3[[#This Row],[OrderID]],[0]!Category,"beverage")&gt;0,"yes","no")</f>
        <v>no</v>
      </c>
      <c r="J235">
        <f>SUMIFS([0]!LineNetAmount,[0]!OrderID,Table3[[#This Row],[OrderID]])</f>
        <v>36.754000000000005</v>
      </c>
      <c r="K235" t="str" cm="1">
        <f t="array" ref="K235">_xlfn.TEXTJOIN("+",,_xlfn._xlws.SORT(_xlfn.UNIQUE(_xlfn._xlws.FILTER([0]!Category,[0]!OrderID=Table3[[#This Row],[OrderID]]))))</f>
        <v>Snack</v>
      </c>
      <c r="L235" s="39">
        <f>SUMIFS([0]!FoodCost,[0]!OrderID,Table3[[#This Row],[OrderID]])</f>
        <v>15.51</v>
      </c>
      <c r="M235" s="39">
        <f>Table3[[#This Row],[LineAmount]]-Table3[[#This Row],[TotalCost]]</f>
        <v>21.244000000000007</v>
      </c>
      <c r="N235" t="str">
        <f>IF(AND(COUNTIFS([0]!OrderID,Table3[[#This Row],[OrderID]],[0]!Category,"hot meal")&gt;0,COUNTIFS([0]!OrderID,Table3[[#This Row],[OrderID]],[0]!Category,"beverage")&gt;0),"combo","single")</f>
        <v>single</v>
      </c>
      <c r="O235" t="str">
        <f>IF((Table3[[#This Row],[LineAmount]]/(1-Table3[[#This Row],[DiscountPct]]))*Table3[[#This Row],[DiscountPct]]&gt;40,"High Disc","OK")</f>
        <v>OK</v>
      </c>
    </row>
    <row r="236" spans="1:15" x14ac:dyDescent="0.3">
      <c r="A236" t="s">
        <v>272</v>
      </c>
      <c r="B236" s="7">
        <v>45889.877881944441</v>
      </c>
      <c r="C236" t="s">
        <v>15</v>
      </c>
      <c r="D236" t="s">
        <v>16</v>
      </c>
      <c r="E236" t="s">
        <v>11</v>
      </c>
      <c r="F236" t="s">
        <v>18</v>
      </c>
      <c r="G236">
        <v>7.0000000000000007E-2</v>
      </c>
      <c r="H236" s="3">
        <f t="shared" si="3"/>
        <v>45889</v>
      </c>
      <c r="I236" t="str">
        <f>IF(COUNTIFS([0]!OrderID,Table3[[#This Row],[OrderID]],[0]!Category,"beverage")&gt;0,"yes","no")</f>
        <v>no</v>
      </c>
      <c r="J236">
        <f>SUMIFS([0]!LineNetAmount,[0]!OrderID,Table3[[#This Row],[OrderID]])</f>
        <v>136.15199999999999</v>
      </c>
      <c r="K236" t="str" cm="1">
        <f t="array" ref="K236">_xlfn.TEXTJOIN("+",,_xlfn._xlws.SORT(_xlfn.UNIQUE(_xlfn._xlws.FILTER([0]!Category,[0]!OrderID=Table3[[#This Row],[OrderID]]))))</f>
        <v>Hot Meal</v>
      </c>
      <c r="L236" s="39">
        <f>SUMIFS([0]!FoodCost,[0]!OrderID,Table3[[#This Row],[OrderID]])</f>
        <v>80.92</v>
      </c>
      <c r="M236" s="39">
        <f>Table3[[#This Row],[LineAmount]]-Table3[[#This Row],[TotalCost]]</f>
        <v>55.231999999999985</v>
      </c>
      <c r="N236" t="str">
        <f>IF(AND(COUNTIFS([0]!OrderID,Table3[[#This Row],[OrderID]],[0]!Category,"hot meal")&gt;0,COUNTIFS([0]!OrderID,Table3[[#This Row],[OrderID]],[0]!Category,"beverage")&gt;0),"combo","single")</f>
        <v>single</v>
      </c>
      <c r="O236" t="str">
        <f>IF((Table3[[#This Row],[LineAmount]]/(1-Table3[[#This Row],[DiscountPct]]))*Table3[[#This Row],[DiscountPct]]&gt;40,"High Disc","OK")</f>
        <v>OK</v>
      </c>
    </row>
    <row r="237" spans="1:15" x14ac:dyDescent="0.3">
      <c r="A237" t="s">
        <v>273</v>
      </c>
      <c r="B237" s="7">
        <v>45845.155555555553</v>
      </c>
      <c r="C237" t="s">
        <v>15</v>
      </c>
      <c r="D237" t="s">
        <v>16</v>
      </c>
      <c r="E237" t="s">
        <v>21</v>
      </c>
      <c r="F237" t="s">
        <v>12</v>
      </c>
      <c r="G237">
        <v>0.04</v>
      </c>
      <c r="H237" s="3">
        <f t="shared" si="3"/>
        <v>45845</v>
      </c>
      <c r="I237" t="str">
        <f>IF(COUNTIFS([0]!OrderID,Table3[[#This Row],[OrderID]],[0]!Category,"beverage")&gt;0,"yes","no")</f>
        <v>no</v>
      </c>
      <c r="J237">
        <f>SUMIFS([0]!LineNetAmount,[0]!OrderID,Table3[[#This Row],[OrderID]])</f>
        <v>190.22399999999999</v>
      </c>
      <c r="K237" t="str" cm="1">
        <f t="array" ref="K237">_xlfn.TEXTJOIN("+",,_xlfn._xlws.SORT(_xlfn.UNIQUE(_xlfn._xlws.FILTER([0]!Category,[0]!OrderID=Table3[[#This Row],[OrderID]]))))</f>
        <v>Dessert+Snack</v>
      </c>
      <c r="L237" s="39">
        <f>SUMIFS([0]!FoodCost,[0]!OrderID,Table3[[#This Row],[OrderID]])</f>
        <v>100.76</v>
      </c>
      <c r="M237" s="39">
        <f>Table3[[#This Row],[LineAmount]]-Table3[[#This Row],[TotalCost]]</f>
        <v>89.463999999999984</v>
      </c>
      <c r="N237" t="str">
        <f>IF(AND(COUNTIFS([0]!OrderID,Table3[[#This Row],[OrderID]],[0]!Category,"hot meal")&gt;0,COUNTIFS([0]!OrderID,Table3[[#This Row],[OrderID]],[0]!Category,"beverage")&gt;0),"combo","single")</f>
        <v>single</v>
      </c>
      <c r="O237" t="str">
        <f>IF((Table3[[#This Row],[LineAmount]]/(1-Table3[[#This Row],[DiscountPct]]))*Table3[[#This Row],[DiscountPct]]&gt;40,"High Disc","OK")</f>
        <v>OK</v>
      </c>
    </row>
    <row r="238" spans="1:15" x14ac:dyDescent="0.3">
      <c r="A238" t="s">
        <v>274</v>
      </c>
      <c r="B238" s="7">
        <v>45886.850381944438</v>
      </c>
      <c r="C238" t="s">
        <v>9</v>
      </c>
      <c r="D238" t="s">
        <v>16</v>
      </c>
      <c r="E238" t="s">
        <v>17</v>
      </c>
      <c r="F238" t="s">
        <v>18</v>
      </c>
      <c r="G238">
        <v>0.06</v>
      </c>
      <c r="H238" s="3">
        <f t="shared" si="3"/>
        <v>45886</v>
      </c>
      <c r="I238" t="str">
        <f>IF(COUNTIFS([0]!OrderID,Table3[[#This Row],[OrderID]],[0]!Category,"beverage")&gt;0,"yes","no")</f>
        <v>no</v>
      </c>
      <c r="J238">
        <f>SUMIFS([0]!LineNetAmount,[0]!OrderID,Table3[[#This Row],[OrderID]])</f>
        <v>75.105999999999995</v>
      </c>
      <c r="K238" t="str" cm="1">
        <f t="array" ref="K238">_xlfn.TEXTJOIN("+",,_xlfn._xlws.SORT(_xlfn.UNIQUE(_xlfn._xlws.FILTER([0]!Category,[0]!OrderID=Table3[[#This Row],[OrderID]]))))</f>
        <v>Snack</v>
      </c>
      <c r="L238" s="39">
        <f>SUMIFS([0]!FoodCost,[0]!OrderID,Table3[[#This Row],[OrderID]])</f>
        <v>31.02</v>
      </c>
      <c r="M238" s="39">
        <f>Table3[[#This Row],[LineAmount]]-Table3[[#This Row],[TotalCost]]</f>
        <v>44.085999999999999</v>
      </c>
      <c r="N238" t="str">
        <f>IF(AND(COUNTIFS([0]!OrderID,Table3[[#This Row],[OrderID]],[0]!Category,"hot meal")&gt;0,COUNTIFS([0]!OrderID,Table3[[#This Row],[OrderID]],[0]!Category,"beverage")&gt;0),"combo","single")</f>
        <v>single</v>
      </c>
      <c r="O238" t="str">
        <f>IF((Table3[[#This Row],[LineAmount]]/(1-Table3[[#This Row],[DiscountPct]]))*Table3[[#This Row],[DiscountPct]]&gt;40,"High Disc","OK")</f>
        <v>OK</v>
      </c>
    </row>
    <row r="239" spans="1:15" x14ac:dyDescent="0.3">
      <c r="A239" t="s">
        <v>275</v>
      </c>
      <c r="B239" s="7">
        <v>45870.523946759262</v>
      </c>
      <c r="C239" t="s">
        <v>9</v>
      </c>
      <c r="D239" t="s">
        <v>28</v>
      </c>
      <c r="E239" t="s">
        <v>17</v>
      </c>
      <c r="F239" t="s">
        <v>22</v>
      </c>
      <c r="G239">
        <v>0.04</v>
      </c>
      <c r="H239" s="3">
        <f t="shared" si="3"/>
        <v>45870</v>
      </c>
      <c r="I239" t="str">
        <f>IF(COUNTIFS([0]!OrderID,Table3[[#This Row],[OrderID]],[0]!Category,"beverage")&gt;0,"yes","no")</f>
        <v>yes</v>
      </c>
      <c r="J239">
        <f>SUMIFS([0]!LineNetAmount,[0]!OrderID,Table3[[#This Row],[OrderID]])</f>
        <v>358.31040000000002</v>
      </c>
      <c r="K239" t="str" cm="1">
        <f t="array" ref="K239">_xlfn.TEXTJOIN("+",,_xlfn._xlws.SORT(_xlfn.UNIQUE(_xlfn._xlws.FILTER([0]!Category,[0]!OrderID=Table3[[#This Row],[OrderID]]))))</f>
        <v>Beverage+Dessert+Snack</v>
      </c>
      <c r="L239" s="39">
        <f>SUMIFS([0]!FoodCost,[0]!OrderID,Table3[[#This Row],[OrderID]])</f>
        <v>185.23999999999998</v>
      </c>
      <c r="M239" s="39">
        <f>Table3[[#This Row],[LineAmount]]-Table3[[#This Row],[TotalCost]]</f>
        <v>173.07040000000003</v>
      </c>
      <c r="N239" t="str">
        <f>IF(AND(COUNTIFS([0]!OrderID,Table3[[#This Row],[OrderID]],[0]!Category,"hot meal")&gt;0,COUNTIFS([0]!OrderID,Table3[[#This Row],[OrderID]],[0]!Category,"beverage")&gt;0),"combo","single")</f>
        <v>single</v>
      </c>
      <c r="O239" t="str">
        <f>IF((Table3[[#This Row],[LineAmount]]/(1-Table3[[#This Row],[DiscountPct]]))*Table3[[#This Row],[DiscountPct]]&gt;40,"High Disc","OK")</f>
        <v>OK</v>
      </c>
    </row>
    <row r="240" spans="1:15" x14ac:dyDescent="0.3">
      <c r="A240" t="s">
        <v>276</v>
      </c>
      <c r="B240" s="7">
        <v>45865.95140046296</v>
      </c>
      <c r="C240" t="s">
        <v>9</v>
      </c>
      <c r="D240" t="s">
        <v>10</v>
      </c>
      <c r="E240" t="s">
        <v>11</v>
      </c>
      <c r="F240" t="s">
        <v>18</v>
      </c>
      <c r="G240">
        <v>0.06</v>
      </c>
      <c r="H240" s="3">
        <f t="shared" si="3"/>
        <v>45865</v>
      </c>
      <c r="I240" t="str">
        <f>IF(COUNTIFS([0]!OrderID,Table3[[#This Row],[OrderID]],[0]!Category,"beverage")&gt;0,"yes","no")</f>
        <v>yes</v>
      </c>
      <c r="J240">
        <f>SUMIFS([0]!LineNetAmount,[0]!OrderID,Table3[[#This Row],[OrderID]])</f>
        <v>403.89919999999995</v>
      </c>
      <c r="K240" t="str" cm="1">
        <f t="array" ref="K240">_xlfn.TEXTJOIN("+",,_xlfn._xlws.SORT(_xlfn.UNIQUE(_xlfn._xlws.FILTER([0]!Category,[0]!OrderID=Table3[[#This Row],[OrderID]]))))</f>
        <v>Beverage+Dessert+Hot Meal</v>
      </c>
      <c r="L240" s="39">
        <f>SUMIFS([0]!FoodCost,[0]!OrderID,Table3[[#This Row],[OrderID]])</f>
        <v>224.07</v>
      </c>
      <c r="M240" s="39">
        <f>Table3[[#This Row],[LineAmount]]-Table3[[#This Row],[TotalCost]]</f>
        <v>179.82919999999996</v>
      </c>
      <c r="N240" t="str">
        <f>IF(AND(COUNTIFS([0]!OrderID,Table3[[#This Row],[OrderID]],[0]!Category,"hot meal")&gt;0,COUNTIFS([0]!OrderID,Table3[[#This Row],[OrderID]],[0]!Category,"beverage")&gt;0),"combo","single")</f>
        <v>combo</v>
      </c>
      <c r="O240" t="str">
        <f>IF((Table3[[#This Row],[LineAmount]]/(1-Table3[[#This Row],[DiscountPct]]))*Table3[[#This Row],[DiscountPct]]&gt;40,"High Disc","OK")</f>
        <v>OK</v>
      </c>
    </row>
    <row r="241" spans="1:15" x14ac:dyDescent="0.3">
      <c r="A241" t="s">
        <v>277</v>
      </c>
      <c r="B241" s="7">
        <v>45870.822372685187</v>
      </c>
      <c r="C241" t="s">
        <v>15</v>
      </c>
      <c r="D241" t="s">
        <v>10</v>
      </c>
      <c r="E241" t="s">
        <v>11</v>
      </c>
      <c r="F241" t="s">
        <v>18</v>
      </c>
      <c r="G241">
        <v>0.09</v>
      </c>
      <c r="H241" s="3">
        <f t="shared" si="3"/>
        <v>45870</v>
      </c>
      <c r="I241" t="str">
        <f>IF(COUNTIFS([0]!OrderID,Table3[[#This Row],[OrderID]],[0]!Category,"beverage")&gt;0,"yes","no")</f>
        <v>no</v>
      </c>
      <c r="J241">
        <f>SUMIFS([0]!LineNetAmount,[0]!OrderID,Table3[[#This Row],[OrderID]])</f>
        <v>1180.0425</v>
      </c>
      <c r="K241" t="str" cm="1">
        <f t="array" ref="K241">_xlfn.TEXTJOIN("+",,_xlfn._xlws.SORT(_xlfn.UNIQUE(_xlfn._xlws.FILTER([0]!Category,[0]!OrderID=Table3[[#This Row],[OrderID]]))))</f>
        <v>Dessert+Hot Meal+Snack</v>
      </c>
      <c r="L241" s="39">
        <f>SUMIFS([0]!FoodCost,[0]!OrderID,Table3[[#This Row],[OrderID]])</f>
        <v>612.74</v>
      </c>
      <c r="M241" s="39">
        <f>Table3[[#This Row],[LineAmount]]-Table3[[#This Row],[TotalCost]]</f>
        <v>567.30250000000001</v>
      </c>
      <c r="N241" t="str">
        <f>IF(AND(COUNTIFS([0]!OrderID,Table3[[#This Row],[OrderID]],[0]!Category,"hot meal")&gt;0,COUNTIFS([0]!OrderID,Table3[[#This Row],[OrderID]],[0]!Category,"beverage")&gt;0),"combo","single")</f>
        <v>single</v>
      </c>
      <c r="O241" t="str">
        <f>IF((Table3[[#This Row],[LineAmount]]/(1-Table3[[#This Row],[DiscountPct]]))*Table3[[#This Row],[DiscountPct]]&gt;40,"High Disc","OK")</f>
        <v>High Disc</v>
      </c>
    </row>
    <row r="242" spans="1:15" x14ac:dyDescent="0.3">
      <c r="A242" t="s">
        <v>278</v>
      </c>
      <c r="B242" s="7">
        <v>45883.301388888889</v>
      </c>
      <c r="C242" t="s">
        <v>9</v>
      </c>
      <c r="D242" t="s">
        <v>10</v>
      </c>
      <c r="E242" t="s">
        <v>21</v>
      </c>
      <c r="F242" t="s">
        <v>12</v>
      </c>
      <c r="G242">
        <v>0.12</v>
      </c>
      <c r="H242" s="3">
        <f t="shared" si="3"/>
        <v>45883</v>
      </c>
      <c r="I242" t="str">
        <f>IF(COUNTIFS([0]!OrderID,Table3[[#This Row],[OrderID]],[0]!Category,"beverage")&gt;0,"yes","no")</f>
        <v>yes</v>
      </c>
      <c r="J242">
        <f>SUMIFS([0]!LineNetAmount,[0]!OrderID,Table3[[#This Row],[OrderID]])</f>
        <v>129.48319999999998</v>
      </c>
      <c r="K242" t="str" cm="1">
        <f t="array" ref="K242">_xlfn.TEXTJOIN("+",,_xlfn._xlws.SORT(_xlfn.UNIQUE(_xlfn._xlws.FILTER([0]!Category,[0]!OrderID=Table3[[#This Row],[OrderID]]))))</f>
        <v>Beverage+Dessert</v>
      </c>
      <c r="L242" s="39">
        <f>SUMIFS([0]!FoodCost,[0]!OrderID,Table3[[#This Row],[OrderID]])</f>
        <v>63.15</v>
      </c>
      <c r="M242" s="39">
        <f>Table3[[#This Row],[LineAmount]]-Table3[[#This Row],[TotalCost]]</f>
        <v>66.333199999999977</v>
      </c>
      <c r="N242" t="str">
        <f>IF(AND(COUNTIFS([0]!OrderID,Table3[[#This Row],[OrderID]],[0]!Category,"hot meal")&gt;0,COUNTIFS([0]!OrderID,Table3[[#This Row],[OrderID]],[0]!Category,"beverage")&gt;0),"combo","single")</f>
        <v>single</v>
      </c>
      <c r="O242" t="str">
        <f>IF((Table3[[#This Row],[LineAmount]]/(1-Table3[[#This Row],[DiscountPct]]))*Table3[[#This Row],[DiscountPct]]&gt;40,"High Disc","OK")</f>
        <v>OK</v>
      </c>
    </row>
    <row r="243" spans="1:15" x14ac:dyDescent="0.3">
      <c r="A243" t="s">
        <v>279</v>
      </c>
      <c r="B243" s="7">
        <v>45850.358495370368</v>
      </c>
      <c r="C243" t="s">
        <v>9</v>
      </c>
      <c r="D243" t="s">
        <v>10</v>
      </c>
      <c r="E243" t="s">
        <v>11</v>
      </c>
      <c r="F243" t="s">
        <v>12</v>
      </c>
      <c r="G243">
        <v>0.01</v>
      </c>
      <c r="H243" s="3">
        <f t="shared" si="3"/>
        <v>45850</v>
      </c>
      <c r="I243" t="str">
        <f>IF(COUNTIFS([0]!OrderID,Table3[[#This Row],[OrderID]],[0]!Category,"beverage")&gt;0,"yes","no")</f>
        <v>no</v>
      </c>
      <c r="J243">
        <f>SUMIFS([0]!LineNetAmount,[0]!OrderID,Table3[[#This Row],[OrderID]])</f>
        <v>1112.7204000000002</v>
      </c>
      <c r="K243" t="str" cm="1">
        <f t="array" ref="K243">_xlfn.TEXTJOIN("+",,_xlfn._xlws.SORT(_xlfn.UNIQUE(_xlfn._xlws.FILTER([0]!Category,[0]!OrderID=Table3[[#This Row],[OrderID]]))))</f>
        <v>Hot Meal+Snack</v>
      </c>
      <c r="L243" s="39">
        <f>SUMIFS([0]!FoodCost,[0]!OrderID,Table3[[#This Row],[OrderID]])</f>
        <v>517.20999999999992</v>
      </c>
      <c r="M243" s="39">
        <f>Table3[[#This Row],[LineAmount]]-Table3[[#This Row],[TotalCost]]</f>
        <v>595.51040000000023</v>
      </c>
      <c r="N243" t="str">
        <f>IF(AND(COUNTIFS([0]!OrderID,Table3[[#This Row],[OrderID]],[0]!Category,"hot meal")&gt;0,COUNTIFS([0]!OrderID,Table3[[#This Row],[OrderID]],[0]!Category,"beverage")&gt;0),"combo","single")</f>
        <v>single</v>
      </c>
      <c r="O243" t="str">
        <f>IF((Table3[[#This Row],[LineAmount]]/(1-Table3[[#This Row],[DiscountPct]]))*Table3[[#This Row],[DiscountPct]]&gt;40,"High Disc","OK")</f>
        <v>OK</v>
      </c>
    </row>
    <row r="244" spans="1:15" x14ac:dyDescent="0.3">
      <c r="A244" t="s">
        <v>280</v>
      </c>
      <c r="B244" s="7">
        <v>45881.005648148152</v>
      </c>
      <c r="C244" t="s">
        <v>15</v>
      </c>
      <c r="D244" t="s">
        <v>28</v>
      </c>
      <c r="E244" t="s">
        <v>21</v>
      </c>
      <c r="F244" t="s">
        <v>12</v>
      </c>
      <c r="G244">
        <v>0.15</v>
      </c>
      <c r="H244" s="3">
        <f t="shared" si="3"/>
        <v>45881</v>
      </c>
      <c r="I244" t="str">
        <f>IF(COUNTIFS([0]!OrderID,Table3[[#This Row],[OrderID]],[0]!Category,"beverage")&gt;0,"yes","no")</f>
        <v>no</v>
      </c>
      <c r="J244">
        <f>SUMIFS([0]!LineNetAmount,[0]!OrderID,Table3[[#This Row],[OrderID]])</f>
        <v>196.29899999999998</v>
      </c>
      <c r="K244" t="str" cm="1">
        <f t="array" ref="K244">_xlfn.TEXTJOIN("+",,_xlfn._xlws.SORT(_xlfn.UNIQUE(_xlfn._xlws.FILTER([0]!Category,[0]!OrderID=Table3[[#This Row],[OrderID]]))))</f>
        <v>Dessert</v>
      </c>
      <c r="L244" s="39">
        <f>SUMIFS([0]!FoodCost,[0]!OrderID,Table3[[#This Row],[OrderID]])</f>
        <v>107.25</v>
      </c>
      <c r="M244" s="39">
        <f>Table3[[#This Row],[LineAmount]]-Table3[[#This Row],[TotalCost]]</f>
        <v>89.048999999999978</v>
      </c>
      <c r="N244" t="str">
        <f>IF(AND(COUNTIFS([0]!OrderID,Table3[[#This Row],[OrderID]],[0]!Category,"hot meal")&gt;0,COUNTIFS([0]!OrderID,Table3[[#This Row],[OrderID]],[0]!Category,"beverage")&gt;0),"combo","single")</f>
        <v>single</v>
      </c>
      <c r="O244" t="str">
        <f>IF((Table3[[#This Row],[LineAmount]]/(1-Table3[[#This Row],[DiscountPct]]))*Table3[[#This Row],[DiscountPct]]&gt;40,"High Disc","OK")</f>
        <v>OK</v>
      </c>
    </row>
    <row r="245" spans="1:15" x14ac:dyDescent="0.3">
      <c r="A245" t="s">
        <v>281</v>
      </c>
      <c r="B245" s="7">
        <v>45883.280370370368</v>
      </c>
      <c r="C245" t="s">
        <v>15</v>
      </c>
      <c r="D245" t="s">
        <v>16</v>
      </c>
      <c r="E245" t="s">
        <v>11</v>
      </c>
      <c r="F245" t="s">
        <v>12</v>
      </c>
      <c r="G245">
        <v>0</v>
      </c>
      <c r="H245" s="3">
        <f t="shared" si="3"/>
        <v>45883</v>
      </c>
      <c r="I245" t="str">
        <f>IF(COUNTIFS([0]!OrderID,Table3[[#This Row],[OrderID]],[0]!Category,"beverage")&gt;0,"yes","no")</f>
        <v>yes</v>
      </c>
      <c r="J245">
        <f>SUMIFS([0]!LineNetAmount,[0]!OrderID,Table3[[#This Row],[OrderID]])</f>
        <v>420.02000000000004</v>
      </c>
      <c r="K245" t="str" cm="1">
        <f t="array" ref="K245">_xlfn.TEXTJOIN("+",,_xlfn._xlws.SORT(_xlfn.UNIQUE(_xlfn._xlws.FILTER([0]!Category,[0]!OrderID=Table3[[#This Row],[OrderID]]))))</f>
        <v>Beverage+Hot Meal+Snack</v>
      </c>
      <c r="L245" s="39">
        <f>SUMIFS([0]!FoodCost,[0]!OrderID,Table3[[#This Row],[OrderID]])</f>
        <v>176.55</v>
      </c>
      <c r="M245" s="39">
        <f>Table3[[#This Row],[LineAmount]]-Table3[[#This Row],[TotalCost]]</f>
        <v>243.47000000000003</v>
      </c>
      <c r="N245" t="str">
        <f>IF(AND(COUNTIFS([0]!OrderID,Table3[[#This Row],[OrderID]],[0]!Category,"hot meal")&gt;0,COUNTIFS([0]!OrderID,Table3[[#This Row],[OrderID]],[0]!Category,"beverage")&gt;0),"combo","single")</f>
        <v>combo</v>
      </c>
      <c r="O245" t="str">
        <f>IF((Table3[[#This Row],[LineAmount]]/(1-Table3[[#This Row],[DiscountPct]]))*Table3[[#This Row],[DiscountPct]]&gt;40,"High Disc","OK")</f>
        <v>OK</v>
      </c>
    </row>
    <row r="246" spans="1:15" x14ac:dyDescent="0.3">
      <c r="A246" t="s">
        <v>282</v>
      </c>
      <c r="B246" s="7">
        <v>45869.59542824074</v>
      </c>
      <c r="C246" t="s">
        <v>15</v>
      </c>
      <c r="D246" t="s">
        <v>16</v>
      </c>
      <c r="E246" t="s">
        <v>11</v>
      </c>
      <c r="F246" t="s">
        <v>22</v>
      </c>
      <c r="G246">
        <v>0.05</v>
      </c>
      <c r="H246" s="3">
        <f t="shared" si="3"/>
        <v>45869</v>
      </c>
      <c r="I246" t="str">
        <f>IF(COUNTIFS([0]!OrderID,Table3[[#This Row],[OrderID]],[0]!Category,"beverage")&gt;0,"yes","no")</f>
        <v>no</v>
      </c>
      <c r="J246">
        <f>SUMIFS([0]!LineNetAmount,[0]!OrderID,Table3[[#This Row],[OrderID]])</f>
        <v>591.89749999999992</v>
      </c>
      <c r="K246" t="str" cm="1">
        <f t="array" ref="K246">_xlfn.TEXTJOIN("+",,_xlfn._xlws.SORT(_xlfn.UNIQUE(_xlfn._xlws.FILTER([0]!Category,[0]!OrderID=Table3[[#This Row],[OrderID]]))))</f>
        <v>Hot Meal+Snack</v>
      </c>
      <c r="L246" s="39">
        <f>SUMIFS([0]!FoodCost,[0]!OrderID,Table3[[#This Row],[OrderID]])</f>
        <v>306.47000000000003</v>
      </c>
      <c r="M246" s="39">
        <f>Table3[[#This Row],[LineAmount]]-Table3[[#This Row],[TotalCost]]</f>
        <v>285.4274999999999</v>
      </c>
      <c r="N246" t="str">
        <f>IF(AND(COUNTIFS([0]!OrderID,Table3[[#This Row],[OrderID]],[0]!Category,"hot meal")&gt;0,COUNTIFS([0]!OrderID,Table3[[#This Row],[OrderID]],[0]!Category,"beverage")&gt;0),"combo","single")</f>
        <v>single</v>
      </c>
      <c r="O246" t="str">
        <f>IF((Table3[[#This Row],[LineAmount]]/(1-Table3[[#This Row],[DiscountPct]]))*Table3[[#This Row],[DiscountPct]]&gt;40,"High Disc","OK")</f>
        <v>OK</v>
      </c>
    </row>
    <row r="247" spans="1:15" x14ac:dyDescent="0.3">
      <c r="A247" t="s">
        <v>283</v>
      </c>
      <c r="B247" s="7">
        <v>45875.59101851852</v>
      </c>
      <c r="C247" t="s">
        <v>27</v>
      </c>
      <c r="D247" t="s">
        <v>10</v>
      </c>
      <c r="E247" t="s">
        <v>21</v>
      </c>
      <c r="F247" t="s">
        <v>22</v>
      </c>
      <c r="G247">
        <v>0.08</v>
      </c>
      <c r="H247" s="3">
        <f t="shared" si="3"/>
        <v>45875</v>
      </c>
      <c r="I247" t="str">
        <f>IF(COUNTIFS([0]!OrderID,Table3[[#This Row],[OrderID]],[0]!Category,"beverage")&gt;0,"yes","no")</f>
        <v>no</v>
      </c>
      <c r="J247">
        <f>SUMIFS([0]!LineNetAmount,[0]!OrderID,Table3[[#This Row],[OrderID]])</f>
        <v>194.69040000000001</v>
      </c>
      <c r="K247" t="str" cm="1">
        <f t="array" ref="K247">_xlfn.TEXTJOIN("+",,_xlfn._xlws.SORT(_xlfn.UNIQUE(_xlfn._xlws.FILTER([0]!Category,[0]!OrderID=Table3[[#This Row],[OrderID]]))))</f>
        <v>Snack</v>
      </c>
      <c r="L247" s="39">
        <f>SUMIFS([0]!FoodCost,[0]!OrderID,Table3[[#This Row],[OrderID]])</f>
        <v>107.43</v>
      </c>
      <c r="M247" s="39">
        <f>Table3[[#This Row],[LineAmount]]-Table3[[#This Row],[TotalCost]]</f>
        <v>87.260400000000004</v>
      </c>
      <c r="N247" t="str">
        <f>IF(AND(COUNTIFS([0]!OrderID,Table3[[#This Row],[OrderID]],[0]!Category,"hot meal")&gt;0,COUNTIFS([0]!OrderID,Table3[[#This Row],[OrderID]],[0]!Category,"beverage")&gt;0),"combo","single")</f>
        <v>single</v>
      </c>
      <c r="O247" t="str">
        <f>IF((Table3[[#This Row],[LineAmount]]/(1-Table3[[#This Row],[DiscountPct]]))*Table3[[#This Row],[DiscountPct]]&gt;40,"High Disc","OK")</f>
        <v>OK</v>
      </c>
    </row>
    <row r="248" spans="1:15" x14ac:dyDescent="0.3">
      <c r="A248" t="s">
        <v>284</v>
      </c>
      <c r="B248" s="7">
        <v>45848.107037037043</v>
      </c>
      <c r="C248" t="s">
        <v>27</v>
      </c>
      <c r="D248" t="s">
        <v>28</v>
      </c>
      <c r="E248" t="s">
        <v>21</v>
      </c>
      <c r="F248" t="s">
        <v>12</v>
      </c>
      <c r="G248">
        <v>7.0000000000000007E-2</v>
      </c>
      <c r="H248" s="3">
        <f t="shared" si="3"/>
        <v>45848</v>
      </c>
      <c r="I248" t="str">
        <f>IF(COUNTIFS([0]!OrderID,Table3[[#This Row],[OrderID]],[0]!Category,"beverage")&gt;0,"yes","no")</f>
        <v>no</v>
      </c>
      <c r="J248">
        <f>SUMIFS([0]!LineNetAmount,[0]!OrderID,Table3[[#This Row],[OrderID]])</f>
        <v>775.47119999999995</v>
      </c>
      <c r="K248" t="str" cm="1">
        <f t="array" ref="K248">_xlfn.TEXTJOIN("+",,_xlfn._xlws.SORT(_xlfn.UNIQUE(_xlfn._xlws.FILTER([0]!Category,[0]!OrderID=Table3[[#This Row],[OrderID]]))))</f>
        <v>Hot Meal</v>
      </c>
      <c r="L248" s="39">
        <f>SUMIFS([0]!FoodCost,[0]!OrderID,Table3[[#This Row],[OrderID]])</f>
        <v>372.29999999999995</v>
      </c>
      <c r="M248" s="39">
        <f>Table3[[#This Row],[LineAmount]]-Table3[[#This Row],[TotalCost]]</f>
        <v>403.1712</v>
      </c>
      <c r="N248" t="str">
        <f>IF(AND(COUNTIFS([0]!OrderID,Table3[[#This Row],[OrderID]],[0]!Category,"hot meal")&gt;0,COUNTIFS([0]!OrderID,Table3[[#This Row],[OrderID]],[0]!Category,"beverage")&gt;0),"combo","single")</f>
        <v>single</v>
      </c>
      <c r="O248" t="str">
        <f>IF((Table3[[#This Row],[LineAmount]]/(1-Table3[[#This Row],[DiscountPct]]))*Table3[[#This Row],[DiscountPct]]&gt;40,"High Disc","OK")</f>
        <v>High Disc</v>
      </c>
    </row>
    <row r="249" spans="1:15" x14ac:dyDescent="0.3">
      <c r="A249" t="s">
        <v>285</v>
      </c>
      <c r="B249" s="7">
        <v>45875.43041666667</v>
      </c>
      <c r="C249" t="s">
        <v>27</v>
      </c>
      <c r="D249" t="s">
        <v>10</v>
      </c>
      <c r="E249" t="s">
        <v>17</v>
      </c>
      <c r="F249" t="s">
        <v>12</v>
      </c>
      <c r="G249">
        <v>0.04</v>
      </c>
      <c r="H249" s="3">
        <f t="shared" si="3"/>
        <v>45875</v>
      </c>
      <c r="I249" t="str">
        <f>IF(COUNTIFS([0]!OrderID,Table3[[#This Row],[OrderID]],[0]!Category,"beverage")&gt;0,"yes","no")</f>
        <v>no</v>
      </c>
      <c r="J249">
        <f>SUMIFS([0]!LineNetAmount,[0]!OrderID,Table3[[#This Row],[OrderID]])</f>
        <v>274.59839999999997</v>
      </c>
      <c r="K249" t="str" cm="1">
        <f t="array" ref="K249">_xlfn.TEXTJOIN("+",,_xlfn._xlws.SORT(_xlfn.UNIQUE(_xlfn._xlws.FILTER([0]!Category,[0]!OrderID=Table3[[#This Row],[OrderID]]))))</f>
        <v>Hot Meal+Snack</v>
      </c>
      <c r="L249" s="39">
        <f>SUMIFS([0]!FoodCost,[0]!OrderID,Table3[[#This Row],[OrderID]])</f>
        <v>127.59</v>
      </c>
      <c r="M249" s="39">
        <f>Table3[[#This Row],[LineAmount]]-Table3[[#This Row],[TotalCost]]</f>
        <v>147.00839999999997</v>
      </c>
      <c r="N249" t="str">
        <f>IF(AND(COUNTIFS([0]!OrderID,Table3[[#This Row],[OrderID]],[0]!Category,"hot meal")&gt;0,COUNTIFS([0]!OrderID,Table3[[#This Row],[OrderID]],[0]!Category,"beverage")&gt;0),"combo","single")</f>
        <v>single</v>
      </c>
      <c r="O249" t="str">
        <f>IF((Table3[[#This Row],[LineAmount]]/(1-Table3[[#This Row],[DiscountPct]]))*Table3[[#This Row],[DiscountPct]]&gt;40,"High Disc","OK")</f>
        <v>OK</v>
      </c>
    </row>
    <row r="250" spans="1:15" x14ac:dyDescent="0.3">
      <c r="A250" t="s">
        <v>286</v>
      </c>
      <c r="B250" s="7">
        <v>45893.784039351849</v>
      </c>
      <c r="C250" t="s">
        <v>15</v>
      </c>
      <c r="D250" t="s">
        <v>10</v>
      </c>
      <c r="E250" t="s">
        <v>17</v>
      </c>
      <c r="F250" t="s">
        <v>18</v>
      </c>
      <c r="G250">
        <v>0.05</v>
      </c>
      <c r="H250" s="3">
        <f t="shared" si="3"/>
        <v>45893</v>
      </c>
      <c r="I250" t="str">
        <f>IF(COUNTIFS([0]!OrderID,Table3[[#This Row],[OrderID]],[0]!Category,"beverage")&gt;0,"yes","no")</f>
        <v>no</v>
      </c>
      <c r="J250">
        <f>SUMIFS([0]!LineNetAmount,[0]!OrderID,Table3[[#This Row],[OrderID]])</f>
        <v>612.57899999999995</v>
      </c>
      <c r="K250" t="str" cm="1">
        <f t="array" ref="K250">_xlfn.TEXTJOIN("+",,_xlfn._xlws.SORT(_xlfn.UNIQUE(_xlfn._xlws.FILTER([0]!Category,[0]!OrderID=Table3[[#This Row],[OrderID]]))))</f>
        <v>Dessert+Hot Meal</v>
      </c>
      <c r="L250" s="39">
        <f>SUMIFS([0]!FoodCost,[0]!OrderID,Table3[[#This Row],[OrderID]])</f>
        <v>289.35999999999996</v>
      </c>
      <c r="M250" s="39">
        <f>Table3[[#This Row],[LineAmount]]-Table3[[#This Row],[TotalCost]]</f>
        <v>323.21899999999999</v>
      </c>
      <c r="N250" t="str">
        <f>IF(AND(COUNTIFS([0]!OrderID,Table3[[#This Row],[OrderID]],[0]!Category,"hot meal")&gt;0,COUNTIFS([0]!OrderID,Table3[[#This Row],[OrderID]],[0]!Category,"beverage")&gt;0),"combo","single")</f>
        <v>single</v>
      </c>
      <c r="O250" t="str">
        <f>IF((Table3[[#This Row],[LineAmount]]/(1-Table3[[#This Row],[DiscountPct]]))*Table3[[#This Row],[DiscountPct]]&gt;40,"High Disc","OK")</f>
        <v>OK</v>
      </c>
    </row>
    <row r="251" spans="1:15" x14ac:dyDescent="0.3">
      <c r="A251" t="s">
        <v>287</v>
      </c>
      <c r="B251" s="7">
        <v>45873.580960648149</v>
      </c>
      <c r="C251" t="s">
        <v>9</v>
      </c>
      <c r="D251" t="s">
        <v>16</v>
      </c>
      <c r="E251" t="s">
        <v>11</v>
      </c>
      <c r="F251" t="s">
        <v>22</v>
      </c>
      <c r="G251">
        <v>0.04</v>
      </c>
      <c r="H251" s="3">
        <f t="shared" si="3"/>
        <v>45873</v>
      </c>
      <c r="I251" t="str">
        <f>IF(COUNTIFS([0]!OrderID,Table3[[#This Row],[OrderID]],[0]!Category,"beverage")&gt;0,"yes","no")</f>
        <v>yes</v>
      </c>
      <c r="J251">
        <f>SUMIFS([0]!LineNetAmount,[0]!OrderID,Table3[[#This Row],[OrderID]])</f>
        <v>1076.9951999999998</v>
      </c>
      <c r="K251" t="str" cm="1">
        <f t="array" ref="K251">_xlfn.TEXTJOIN("+",,_xlfn._xlws.SORT(_xlfn.UNIQUE(_xlfn._xlws.FILTER([0]!Category,[0]!OrderID=Table3[[#This Row],[OrderID]]))))</f>
        <v>Beverage+Dessert+Hot Meal</v>
      </c>
      <c r="L251" s="39">
        <f>SUMIFS([0]!FoodCost,[0]!OrderID,Table3[[#This Row],[OrderID]])</f>
        <v>498.88</v>
      </c>
      <c r="M251" s="39">
        <f>Table3[[#This Row],[LineAmount]]-Table3[[#This Row],[TotalCost]]</f>
        <v>578.11519999999985</v>
      </c>
      <c r="N251" t="str">
        <f>IF(AND(COUNTIFS([0]!OrderID,Table3[[#This Row],[OrderID]],[0]!Category,"hot meal")&gt;0,COUNTIFS([0]!OrderID,Table3[[#This Row],[OrderID]],[0]!Category,"beverage")&gt;0),"combo","single")</f>
        <v>combo</v>
      </c>
      <c r="O251" t="str">
        <f>IF((Table3[[#This Row],[LineAmount]]/(1-Table3[[#This Row],[DiscountPct]]))*Table3[[#This Row],[DiscountPct]]&gt;40,"High Disc","OK")</f>
        <v>High Disc</v>
      </c>
    </row>
    <row r="252" spans="1:15" x14ac:dyDescent="0.3">
      <c r="A252" t="s">
        <v>288</v>
      </c>
      <c r="B252" s="7">
        <v>45867.176041666673</v>
      </c>
      <c r="C252" t="s">
        <v>9</v>
      </c>
      <c r="D252" t="s">
        <v>16</v>
      </c>
      <c r="E252" t="s">
        <v>21</v>
      </c>
      <c r="F252" t="s">
        <v>12</v>
      </c>
      <c r="G252">
        <v>0.04</v>
      </c>
      <c r="H252" s="3">
        <f t="shared" si="3"/>
        <v>45867</v>
      </c>
      <c r="I252" t="str">
        <f>IF(COUNTIFS([0]!OrderID,Table3[[#This Row],[OrderID]],[0]!Category,"beverage")&gt;0,"yes","no")</f>
        <v>no</v>
      </c>
      <c r="J252">
        <f>SUMIFS([0]!LineNetAmount,[0]!OrderID,Table3[[#This Row],[OrderID]])</f>
        <v>1478.0544</v>
      </c>
      <c r="K252" t="str" cm="1">
        <f t="array" ref="K252">_xlfn.TEXTJOIN("+",,_xlfn._xlws.SORT(_xlfn.UNIQUE(_xlfn._xlws.FILTER([0]!Category,[0]!OrderID=Table3[[#This Row],[OrderID]]))))</f>
        <v>Hot Meal+Snack</v>
      </c>
      <c r="L252" s="39">
        <f>SUMIFS([0]!FoodCost,[0]!OrderID,Table3[[#This Row],[OrderID]])</f>
        <v>715.59</v>
      </c>
      <c r="M252" s="39">
        <f>Table3[[#This Row],[LineAmount]]-Table3[[#This Row],[TotalCost]]</f>
        <v>762.46439999999996</v>
      </c>
      <c r="N252" t="str">
        <f>IF(AND(COUNTIFS([0]!OrderID,Table3[[#This Row],[OrderID]],[0]!Category,"hot meal")&gt;0,COUNTIFS([0]!OrderID,Table3[[#This Row],[OrderID]],[0]!Category,"beverage")&gt;0),"combo","single")</f>
        <v>single</v>
      </c>
      <c r="O252" t="str">
        <f>IF((Table3[[#This Row],[LineAmount]]/(1-Table3[[#This Row],[DiscountPct]]))*Table3[[#This Row],[DiscountPct]]&gt;40,"High Disc","OK")</f>
        <v>High Disc</v>
      </c>
    </row>
    <row r="253" spans="1:15" x14ac:dyDescent="0.3">
      <c r="A253" t="s">
        <v>289</v>
      </c>
      <c r="B253" s="7">
        <v>45895.360312500001</v>
      </c>
      <c r="C253" t="s">
        <v>9</v>
      </c>
      <c r="D253" t="s">
        <v>28</v>
      </c>
      <c r="E253" t="s">
        <v>17</v>
      </c>
      <c r="F253" t="s">
        <v>12</v>
      </c>
      <c r="G253">
        <v>0.09</v>
      </c>
      <c r="H253" s="3">
        <f t="shared" si="3"/>
        <v>45895</v>
      </c>
      <c r="I253" t="str">
        <f>IF(COUNTIFS([0]!OrderID,Table3[[#This Row],[OrderID]],[0]!Category,"beverage")&gt;0,"yes","no")</f>
        <v>no</v>
      </c>
      <c r="J253">
        <f>SUMIFS([0]!LineNetAmount,[0]!OrderID,Table3[[#This Row],[OrderID]])</f>
        <v>924.43260000000009</v>
      </c>
      <c r="K253" t="str" cm="1">
        <f t="array" ref="K253">_xlfn.TEXTJOIN("+",,_xlfn._xlws.SORT(_xlfn.UNIQUE(_xlfn._xlws.FILTER([0]!Category,[0]!OrderID=Table3[[#This Row],[OrderID]]))))</f>
        <v>Hot Meal+Snack</v>
      </c>
      <c r="L253" s="39">
        <f>SUMIFS([0]!FoodCost,[0]!OrderID,Table3[[#This Row],[OrderID]])</f>
        <v>449</v>
      </c>
      <c r="M253" s="39">
        <f>Table3[[#This Row],[LineAmount]]-Table3[[#This Row],[TotalCost]]</f>
        <v>475.43260000000009</v>
      </c>
      <c r="N253" t="str">
        <f>IF(AND(COUNTIFS([0]!OrderID,Table3[[#This Row],[OrderID]],[0]!Category,"hot meal")&gt;0,COUNTIFS([0]!OrderID,Table3[[#This Row],[OrderID]],[0]!Category,"beverage")&gt;0),"combo","single")</f>
        <v>single</v>
      </c>
      <c r="O253" t="str">
        <f>IF((Table3[[#This Row],[LineAmount]]/(1-Table3[[#This Row],[DiscountPct]]))*Table3[[#This Row],[DiscountPct]]&gt;40,"High Disc","OK")</f>
        <v>High Disc</v>
      </c>
    </row>
    <row r="254" spans="1:15" x14ac:dyDescent="0.3">
      <c r="A254" t="s">
        <v>290</v>
      </c>
      <c r="B254" s="7">
        <v>45861.022013888891</v>
      </c>
      <c r="C254" t="s">
        <v>27</v>
      </c>
      <c r="D254" t="s">
        <v>16</v>
      </c>
      <c r="E254" t="s">
        <v>11</v>
      </c>
      <c r="F254" t="s">
        <v>12</v>
      </c>
      <c r="G254">
        <v>7.0000000000000007E-2</v>
      </c>
      <c r="H254" s="3">
        <f t="shared" si="3"/>
        <v>45861</v>
      </c>
      <c r="I254" t="str">
        <f>IF(COUNTIFS([0]!OrderID,Table3[[#This Row],[OrderID]],[0]!Category,"beverage")&gt;0,"yes","no")</f>
        <v>no</v>
      </c>
      <c r="J254">
        <f>SUMIFS([0]!LineNetAmount,[0]!OrderID,Table3[[#This Row],[OrderID]])</f>
        <v>260.45580000000001</v>
      </c>
      <c r="K254" t="str" cm="1">
        <f t="array" ref="K254">_xlfn.TEXTJOIN("+",,_xlfn._xlws.SORT(_xlfn.UNIQUE(_xlfn._xlws.FILTER([0]!Category,[0]!OrderID=Table3[[#This Row],[OrderID]]))))</f>
        <v>Hot Meal+Snack</v>
      </c>
      <c r="L254" s="39">
        <f>SUMIFS([0]!FoodCost,[0]!OrderID,Table3[[#This Row],[OrderID]])</f>
        <v>122.02</v>
      </c>
      <c r="M254" s="39">
        <f>Table3[[#This Row],[LineAmount]]-Table3[[#This Row],[TotalCost]]</f>
        <v>138.43580000000003</v>
      </c>
      <c r="N254" t="str">
        <f>IF(AND(COUNTIFS([0]!OrderID,Table3[[#This Row],[OrderID]],[0]!Category,"hot meal")&gt;0,COUNTIFS([0]!OrderID,Table3[[#This Row],[OrderID]],[0]!Category,"beverage")&gt;0),"combo","single")</f>
        <v>single</v>
      </c>
      <c r="O254" t="str">
        <f>IF((Table3[[#This Row],[LineAmount]]/(1-Table3[[#This Row],[DiscountPct]]))*Table3[[#This Row],[DiscountPct]]&gt;40,"High Disc","OK")</f>
        <v>OK</v>
      </c>
    </row>
    <row r="255" spans="1:15" x14ac:dyDescent="0.3">
      <c r="A255" t="s">
        <v>291</v>
      </c>
      <c r="B255" s="7">
        <v>45850.404247685183</v>
      </c>
      <c r="C255" t="s">
        <v>15</v>
      </c>
      <c r="D255" t="s">
        <v>10</v>
      </c>
      <c r="E255" t="s">
        <v>17</v>
      </c>
      <c r="F255" t="s">
        <v>12</v>
      </c>
      <c r="G255">
        <v>0.03</v>
      </c>
      <c r="H255" s="3">
        <f t="shared" si="3"/>
        <v>45850</v>
      </c>
      <c r="I255" t="str">
        <f>IF(COUNTIFS([0]!OrderID,Table3[[#This Row],[OrderID]],[0]!Category,"beverage")&gt;0,"yes","no")</f>
        <v>yes</v>
      </c>
      <c r="J255">
        <f>SUMIFS([0]!LineNetAmount,[0]!OrderID,Table3[[#This Row],[OrderID]])</f>
        <v>474.53370000000001</v>
      </c>
      <c r="K255" t="str" cm="1">
        <f t="array" ref="K255">_xlfn.TEXTJOIN("+",,_xlfn._xlws.SORT(_xlfn.UNIQUE(_xlfn._xlws.FILTER([0]!Category,[0]!OrderID=Table3[[#This Row],[OrderID]]))))</f>
        <v>Beverage+Hot Meal+Snack</v>
      </c>
      <c r="L255" s="39">
        <f>SUMIFS([0]!FoodCost,[0]!OrderID,Table3[[#This Row],[OrderID]])</f>
        <v>225.7</v>
      </c>
      <c r="M255" s="39">
        <f>Table3[[#This Row],[LineAmount]]-Table3[[#This Row],[TotalCost]]</f>
        <v>248.83370000000002</v>
      </c>
      <c r="N255" t="str">
        <f>IF(AND(COUNTIFS([0]!OrderID,Table3[[#This Row],[OrderID]],[0]!Category,"hot meal")&gt;0,COUNTIFS([0]!OrderID,Table3[[#This Row],[OrderID]],[0]!Category,"beverage")&gt;0),"combo","single")</f>
        <v>combo</v>
      </c>
      <c r="O255" t="str">
        <f>IF((Table3[[#This Row],[LineAmount]]/(1-Table3[[#This Row],[DiscountPct]]))*Table3[[#This Row],[DiscountPct]]&gt;40,"High Disc","OK")</f>
        <v>OK</v>
      </c>
    </row>
    <row r="256" spans="1:15" x14ac:dyDescent="0.3">
      <c r="A256" t="s">
        <v>292</v>
      </c>
      <c r="B256" s="7">
        <v>45893.714363425926</v>
      </c>
      <c r="C256" t="s">
        <v>9</v>
      </c>
      <c r="D256" t="s">
        <v>10</v>
      </c>
      <c r="E256" t="s">
        <v>11</v>
      </c>
      <c r="F256" t="s">
        <v>18</v>
      </c>
      <c r="G256">
        <v>0.1</v>
      </c>
      <c r="H256" s="3">
        <f t="shared" si="3"/>
        <v>45893</v>
      </c>
      <c r="I256" t="str">
        <f>IF(COUNTIFS([0]!OrderID,Table3[[#This Row],[OrderID]],[0]!Category,"beverage")&gt;0,"yes","no")</f>
        <v>no</v>
      </c>
      <c r="J256">
        <f>SUMIFS([0]!LineNetAmount,[0]!OrderID,Table3[[#This Row],[OrderID]])</f>
        <v>507.97800000000007</v>
      </c>
      <c r="K256" t="str" cm="1">
        <f t="array" ref="K256">_xlfn.TEXTJOIN("+",,_xlfn._xlws.SORT(_xlfn.UNIQUE(_xlfn._xlws.FILTER([0]!Category,[0]!OrderID=Table3[[#This Row],[OrderID]]))))</f>
        <v>Hot Meal+Snack</v>
      </c>
      <c r="L256" s="39">
        <f>SUMIFS([0]!FoodCost,[0]!OrderID,Table3[[#This Row],[OrderID]])</f>
        <v>248.48</v>
      </c>
      <c r="M256" s="39">
        <f>Table3[[#This Row],[LineAmount]]-Table3[[#This Row],[TotalCost]]</f>
        <v>259.49800000000005</v>
      </c>
      <c r="N256" t="str">
        <f>IF(AND(COUNTIFS([0]!OrderID,Table3[[#This Row],[OrderID]],[0]!Category,"hot meal")&gt;0,COUNTIFS([0]!OrderID,Table3[[#This Row],[OrderID]],[0]!Category,"beverage")&gt;0),"combo","single")</f>
        <v>single</v>
      </c>
      <c r="O256" t="str">
        <f>IF((Table3[[#This Row],[LineAmount]]/(1-Table3[[#This Row],[DiscountPct]]))*Table3[[#This Row],[DiscountPct]]&gt;40,"High Disc","OK")</f>
        <v>High Disc</v>
      </c>
    </row>
    <row r="257" spans="1:15" x14ac:dyDescent="0.3">
      <c r="A257" t="s">
        <v>293</v>
      </c>
      <c r="B257" s="7">
        <v>45841.798993055563</v>
      </c>
      <c r="C257" t="s">
        <v>9</v>
      </c>
      <c r="D257" t="s">
        <v>10</v>
      </c>
      <c r="E257" t="s">
        <v>11</v>
      </c>
      <c r="F257" t="s">
        <v>18</v>
      </c>
      <c r="G257">
        <v>7.0000000000000007E-2</v>
      </c>
      <c r="H257" s="3">
        <f t="shared" si="3"/>
        <v>45841</v>
      </c>
      <c r="I257" t="str">
        <f>IF(COUNTIFS([0]!OrderID,Table3[[#This Row],[OrderID]],[0]!Category,"beverage")&gt;0,"yes","no")</f>
        <v>yes</v>
      </c>
      <c r="J257">
        <f>SUMIFS([0]!LineNetAmount,[0]!OrderID,Table3[[#This Row],[OrderID]])</f>
        <v>341.72849999999994</v>
      </c>
      <c r="K257" t="str" cm="1">
        <f t="array" ref="K257">_xlfn.TEXTJOIN("+",,_xlfn._xlws.SORT(_xlfn.UNIQUE(_xlfn._xlws.FILTER([0]!Category,[0]!OrderID=Table3[[#This Row],[OrderID]]))))</f>
        <v>Beverage+Hot Meal+Snack</v>
      </c>
      <c r="L257" s="39">
        <f>SUMIFS([0]!FoodCost,[0]!OrderID,Table3[[#This Row],[OrderID]])</f>
        <v>197.02</v>
      </c>
      <c r="M257" s="39">
        <f>Table3[[#This Row],[LineAmount]]-Table3[[#This Row],[TotalCost]]</f>
        <v>144.70849999999993</v>
      </c>
      <c r="N257" t="str">
        <f>IF(AND(COUNTIFS([0]!OrderID,Table3[[#This Row],[OrderID]],[0]!Category,"hot meal")&gt;0,COUNTIFS([0]!OrderID,Table3[[#This Row],[OrderID]],[0]!Category,"beverage")&gt;0),"combo","single")</f>
        <v>combo</v>
      </c>
      <c r="O257" t="str">
        <f>IF((Table3[[#This Row],[LineAmount]]/(1-Table3[[#This Row],[DiscountPct]]))*Table3[[#This Row],[DiscountPct]]&gt;40,"High Disc","OK")</f>
        <v>OK</v>
      </c>
    </row>
    <row r="258" spans="1:15" x14ac:dyDescent="0.3">
      <c r="A258" t="s">
        <v>294</v>
      </c>
      <c r="B258" s="7">
        <v>45842.061064814807</v>
      </c>
      <c r="C258" t="s">
        <v>27</v>
      </c>
      <c r="D258" t="s">
        <v>16</v>
      </c>
      <c r="E258" t="s">
        <v>11</v>
      </c>
      <c r="F258" t="s">
        <v>12</v>
      </c>
      <c r="G258">
        <v>0.09</v>
      </c>
      <c r="H258" s="3">
        <f t="shared" si="3"/>
        <v>45842</v>
      </c>
      <c r="I258" t="str">
        <f>IF(COUNTIFS([0]!OrderID,Table3[[#This Row],[OrderID]],[0]!Category,"beverage")&gt;0,"yes","no")</f>
        <v>yes</v>
      </c>
      <c r="J258">
        <f>SUMIFS([0]!LineNetAmount,[0]!OrderID,Table3[[#This Row],[OrderID]])</f>
        <v>158.21260000000001</v>
      </c>
      <c r="K258" t="str" cm="1">
        <f t="array" ref="K258">_xlfn.TEXTJOIN("+",,_xlfn._xlws.SORT(_xlfn.UNIQUE(_xlfn._xlws.FILTER([0]!Category,[0]!OrderID=Table3[[#This Row],[OrderID]]))))</f>
        <v>Beverage+Dessert+Snack</v>
      </c>
      <c r="L258" s="39">
        <f>SUMIFS([0]!FoodCost,[0]!OrderID,Table3[[#This Row],[OrderID]])</f>
        <v>79.89</v>
      </c>
      <c r="M258" s="39">
        <f>Table3[[#This Row],[LineAmount]]-Table3[[#This Row],[TotalCost]]</f>
        <v>78.322600000000008</v>
      </c>
      <c r="N258" t="str">
        <f>IF(AND(COUNTIFS([0]!OrderID,Table3[[#This Row],[OrderID]],[0]!Category,"hot meal")&gt;0,COUNTIFS([0]!OrderID,Table3[[#This Row],[OrderID]],[0]!Category,"beverage")&gt;0),"combo","single")</f>
        <v>single</v>
      </c>
      <c r="O258" t="str">
        <f>IF((Table3[[#This Row],[LineAmount]]/(1-Table3[[#This Row],[DiscountPct]]))*Table3[[#This Row],[DiscountPct]]&gt;40,"High Disc","OK")</f>
        <v>OK</v>
      </c>
    </row>
    <row r="259" spans="1:15" x14ac:dyDescent="0.3">
      <c r="A259" t="s">
        <v>295</v>
      </c>
      <c r="B259" s="7">
        <v>45872.243692129632</v>
      </c>
      <c r="C259" t="s">
        <v>15</v>
      </c>
      <c r="D259" t="s">
        <v>28</v>
      </c>
      <c r="E259" t="s">
        <v>17</v>
      </c>
      <c r="F259" t="s">
        <v>12</v>
      </c>
      <c r="G259">
        <v>0.09</v>
      </c>
      <c r="H259" s="3">
        <f t="shared" ref="H259:H322" si="4">INT($B259)</f>
        <v>45872</v>
      </c>
      <c r="I259" t="str">
        <f>IF(COUNTIFS([0]!OrderID,Table3[[#This Row],[OrderID]],[0]!Category,"beverage")&gt;0,"yes","no")</f>
        <v>yes</v>
      </c>
      <c r="J259">
        <f>SUMIFS([0]!LineNetAmount,[0]!OrderID,Table3[[#This Row],[OrderID]])</f>
        <v>544.91710000000012</v>
      </c>
      <c r="K259" t="str" cm="1">
        <f t="array" ref="K259">_xlfn.TEXTJOIN("+",,_xlfn._xlws.SORT(_xlfn.UNIQUE(_xlfn._xlws.FILTER([0]!Category,[0]!OrderID=Table3[[#This Row],[OrderID]]))))</f>
        <v>Beverage+Hot Meal+Snack</v>
      </c>
      <c r="L259" s="39">
        <f>SUMIFS([0]!FoodCost,[0]!OrderID,Table3[[#This Row],[OrderID]])</f>
        <v>306.84000000000003</v>
      </c>
      <c r="M259" s="39">
        <f>Table3[[#This Row],[LineAmount]]-Table3[[#This Row],[TotalCost]]</f>
        <v>238.07710000000009</v>
      </c>
      <c r="N259" t="str">
        <f>IF(AND(COUNTIFS([0]!OrderID,Table3[[#This Row],[OrderID]],[0]!Category,"hot meal")&gt;0,COUNTIFS([0]!OrderID,Table3[[#This Row],[OrderID]],[0]!Category,"beverage")&gt;0),"combo","single")</f>
        <v>combo</v>
      </c>
      <c r="O259" t="str">
        <f>IF((Table3[[#This Row],[LineAmount]]/(1-Table3[[#This Row],[DiscountPct]]))*Table3[[#This Row],[DiscountPct]]&gt;40,"High Disc","OK")</f>
        <v>High Disc</v>
      </c>
    </row>
    <row r="260" spans="1:15" x14ac:dyDescent="0.3">
      <c r="A260" t="s">
        <v>296</v>
      </c>
      <c r="B260" s="7">
        <v>45894.234317129631</v>
      </c>
      <c r="C260" t="s">
        <v>9</v>
      </c>
      <c r="D260" t="s">
        <v>16</v>
      </c>
      <c r="E260" t="s">
        <v>17</v>
      </c>
      <c r="F260" t="s">
        <v>12</v>
      </c>
      <c r="G260">
        <v>0.03</v>
      </c>
      <c r="H260" s="3">
        <f t="shared" si="4"/>
        <v>45894</v>
      </c>
      <c r="I260" t="str">
        <f>IF(COUNTIFS([0]!OrderID,Table3[[#This Row],[OrderID]],[0]!Category,"beverage")&gt;0,"yes","no")</f>
        <v>no</v>
      </c>
      <c r="J260">
        <f>SUMIFS([0]!LineNetAmount,[0]!OrderID,Table3[[#This Row],[OrderID]])</f>
        <v>375.55489999999998</v>
      </c>
      <c r="K260" t="str" cm="1">
        <f t="array" ref="K260">_xlfn.TEXTJOIN("+",,_xlfn._xlws.SORT(_xlfn.UNIQUE(_xlfn._xlws.FILTER([0]!Category,[0]!OrderID=Table3[[#This Row],[OrderID]]))))</f>
        <v>Hot Meal+Snack</v>
      </c>
      <c r="L260" s="39">
        <f>SUMIFS([0]!FoodCost,[0]!OrderID,Table3[[#This Row],[OrderID]])</f>
        <v>183.7</v>
      </c>
      <c r="M260" s="39">
        <f>Table3[[#This Row],[LineAmount]]-Table3[[#This Row],[TotalCost]]</f>
        <v>191.85489999999999</v>
      </c>
      <c r="N260" t="str">
        <f>IF(AND(COUNTIFS([0]!OrderID,Table3[[#This Row],[OrderID]],[0]!Category,"hot meal")&gt;0,COUNTIFS([0]!OrderID,Table3[[#This Row],[OrderID]],[0]!Category,"beverage")&gt;0),"combo","single")</f>
        <v>single</v>
      </c>
      <c r="O260" t="str">
        <f>IF((Table3[[#This Row],[LineAmount]]/(1-Table3[[#This Row],[DiscountPct]]))*Table3[[#This Row],[DiscountPct]]&gt;40,"High Disc","OK")</f>
        <v>OK</v>
      </c>
    </row>
    <row r="261" spans="1:15" x14ac:dyDescent="0.3">
      <c r="A261" t="s">
        <v>297</v>
      </c>
      <c r="B261" s="7">
        <v>45842.226504629631</v>
      </c>
      <c r="C261" t="s">
        <v>27</v>
      </c>
      <c r="D261" t="s">
        <v>10</v>
      </c>
      <c r="E261" t="s">
        <v>11</v>
      </c>
      <c r="F261" t="s">
        <v>12</v>
      </c>
      <c r="G261">
        <v>0.04</v>
      </c>
      <c r="H261" s="3">
        <f t="shared" si="4"/>
        <v>45842</v>
      </c>
      <c r="I261" t="str">
        <f>IF(COUNTIFS([0]!OrderID,Table3[[#This Row],[OrderID]],[0]!Category,"beverage")&gt;0,"yes","no")</f>
        <v>no</v>
      </c>
      <c r="J261">
        <f>SUMIFS([0]!LineNetAmount,[0]!OrderID,Table3[[#This Row],[OrderID]])</f>
        <v>499.59360000000004</v>
      </c>
      <c r="K261" t="str" cm="1">
        <f t="array" ref="K261">_xlfn.TEXTJOIN("+",,_xlfn._xlws.SORT(_xlfn.UNIQUE(_xlfn._xlws.FILTER([0]!Category,[0]!OrderID=Table3[[#This Row],[OrderID]]))))</f>
        <v>Hot Meal</v>
      </c>
      <c r="L261" s="39">
        <f>SUMIFS([0]!FoodCost,[0]!OrderID,Table3[[#This Row],[OrderID]])</f>
        <v>258.06</v>
      </c>
      <c r="M261" s="39">
        <f>Table3[[#This Row],[LineAmount]]-Table3[[#This Row],[TotalCost]]</f>
        <v>241.53360000000004</v>
      </c>
      <c r="N261" t="str">
        <f>IF(AND(COUNTIFS([0]!OrderID,Table3[[#This Row],[OrderID]],[0]!Category,"hot meal")&gt;0,COUNTIFS([0]!OrderID,Table3[[#This Row],[OrderID]],[0]!Category,"beverage")&gt;0),"combo","single")</f>
        <v>single</v>
      </c>
      <c r="O261" t="str">
        <f>IF((Table3[[#This Row],[LineAmount]]/(1-Table3[[#This Row],[DiscountPct]]))*Table3[[#This Row],[DiscountPct]]&gt;40,"High Disc","OK")</f>
        <v>OK</v>
      </c>
    </row>
    <row r="262" spans="1:15" x14ac:dyDescent="0.3">
      <c r="A262" t="s">
        <v>298</v>
      </c>
      <c r="B262" s="7">
        <v>45875.77484953704</v>
      </c>
      <c r="C262" t="s">
        <v>15</v>
      </c>
      <c r="D262" t="s">
        <v>16</v>
      </c>
      <c r="E262" t="s">
        <v>21</v>
      </c>
      <c r="F262" t="s">
        <v>18</v>
      </c>
      <c r="G262">
        <v>0.09</v>
      </c>
      <c r="H262" s="3">
        <f t="shared" si="4"/>
        <v>45875</v>
      </c>
      <c r="I262" t="str">
        <f>IF(COUNTIFS([0]!OrderID,Table3[[#This Row],[OrderID]],[0]!Category,"beverage")&gt;0,"yes","no")</f>
        <v>yes</v>
      </c>
      <c r="J262">
        <f>SUMIFS([0]!LineNetAmount,[0]!OrderID,Table3[[#This Row],[OrderID]])</f>
        <v>232.69610000000003</v>
      </c>
      <c r="K262" t="str" cm="1">
        <f t="array" ref="K262">_xlfn.TEXTJOIN("+",,_xlfn._xlws.SORT(_xlfn.UNIQUE(_xlfn._xlws.FILTER([0]!Category,[0]!OrderID=Table3[[#This Row],[OrderID]]))))</f>
        <v>Beverage+Hot Meal+Snack</v>
      </c>
      <c r="L262" s="39">
        <f>SUMIFS([0]!FoodCost,[0]!OrderID,Table3[[#This Row],[OrderID]])</f>
        <v>134.5</v>
      </c>
      <c r="M262" s="39">
        <f>Table3[[#This Row],[LineAmount]]-Table3[[#This Row],[TotalCost]]</f>
        <v>98.19610000000003</v>
      </c>
      <c r="N262" t="str">
        <f>IF(AND(COUNTIFS([0]!OrderID,Table3[[#This Row],[OrderID]],[0]!Category,"hot meal")&gt;0,COUNTIFS([0]!OrderID,Table3[[#This Row],[OrderID]],[0]!Category,"beverage")&gt;0),"combo","single")</f>
        <v>combo</v>
      </c>
      <c r="O262" t="str">
        <f>IF((Table3[[#This Row],[LineAmount]]/(1-Table3[[#This Row],[DiscountPct]]))*Table3[[#This Row],[DiscountPct]]&gt;40,"High Disc","OK")</f>
        <v>OK</v>
      </c>
    </row>
    <row r="263" spans="1:15" x14ac:dyDescent="0.3">
      <c r="A263" t="s">
        <v>299</v>
      </c>
      <c r="B263" s="7">
        <v>45875.178587962961</v>
      </c>
      <c r="C263" t="s">
        <v>15</v>
      </c>
      <c r="D263" t="s">
        <v>10</v>
      </c>
      <c r="E263" t="s">
        <v>21</v>
      </c>
      <c r="F263" t="s">
        <v>12</v>
      </c>
      <c r="G263">
        <v>0.08</v>
      </c>
      <c r="H263" s="3">
        <f t="shared" si="4"/>
        <v>45875</v>
      </c>
      <c r="I263" t="str">
        <f>IF(COUNTIFS([0]!OrderID,Table3[[#This Row],[OrderID]],[0]!Category,"beverage")&gt;0,"yes","no")</f>
        <v>no</v>
      </c>
      <c r="J263">
        <f>SUMIFS([0]!LineNetAmount,[0]!OrderID,Table3[[#This Row],[OrderID]])</f>
        <v>663.43040000000008</v>
      </c>
      <c r="K263" t="str" cm="1">
        <f t="array" ref="K263">_xlfn.TEXTJOIN("+",,_xlfn._xlws.SORT(_xlfn.UNIQUE(_xlfn._xlws.FILTER([0]!Category,[0]!OrderID=Table3[[#This Row],[OrderID]]))))</f>
        <v>Dessert+Hot Meal</v>
      </c>
      <c r="L263" s="39">
        <f>SUMIFS([0]!FoodCost,[0]!OrderID,Table3[[#This Row],[OrderID]])</f>
        <v>340.89</v>
      </c>
      <c r="M263" s="39">
        <f>Table3[[#This Row],[LineAmount]]-Table3[[#This Row],[TotalCost]]</f>
        <v>322.54040000000009</v>
      </c>
      <c r="N263" t="str">
        <f>IF(AND(COUNTIFS([0]!OrderID,Table3[[#This Row],[OrderID]],[0]!Category,"hot meal")&gt;0,COUNTIFS([0]!OrderID,Table3[[#This Row],[OrderID]],[0]!Category,"beverage")&gt;0),"combo","single")</f>
        <v>single</v>
      </c>
      <c r="O263" t="str">
        <f>IF((Table3[[#This Row],[LineAmount]]/(1-Table3[[#This Row],[DiscountPct]]))*Table3[[#This Row],[DiscountPct]]&gt;40,"High Disc","OK")</f>
        <v>High Disc</v>
      </c>
    </row>
    <row r="264" spans="1:15" x14ac:dyDescent="0.3">
      <c r="A264" t="s">
        <v>300</v>
      </c>
      <c r="B264" s="7">
        <v>45844.357800925929</v>
      </c>
      <c r="C264" t="s">
        <v>27</v>
      </c>
      <c r="D264" t="s">
        <v>28</v>
      </c>
      <c r="E264" t="s">
        <v>11</v>
      </c>
      <c r="F264" t="s">
        <v>12</v>
      </c>
      <c r="G264">
        <v>0.06</v>
      </c>
      <c r="H264" s="3">
        <f t="shared" si="4"/>
        <v>45844</v>
      </c>
      <c r="I264" t="str">
        <f>IF(COUNTIFS([0]!OrderID,Table3[[#This Row],[OrderID]],[0]!Category,"beverage")&gt;0,"yes","no")</f>
        <v>no</v>
      </c>
      <c r="J264">
        <f>SUMIFS([0]!LineNetAmount,[0]!OrderID,Table3[[#This Row],[OrderID]])</f>
        <v>385.40940000000001</v>
      </c>
      <c r="K264" t="str" cm="1">
        <f t="array" ref="K264">_xlfn.TEXTJOIN("+",,_xlfn._xlws.SORT(_xlfn.UNIQUE(_xlfn._xlws.FILTER([0]!Category,[0]!OrderID=Table3[[#This Row],[OrderID]]))))</f>
        <v>Dessert+Hot Meal</v>
      </c>
      <c r="L264" s="39">
        <f>SUMIFS([0]!FoodCost,[0]!OrderID,Table3[[#This Row],[OrderID]])</f>
        <v>197.7</v>
      </c>
      <c r="M264" s="39">
        <f>Table3[[#This Row],[LineAmount]]-Table3[[#This Row],[TotalCost]]</f>
        <v>187.70940000000002</v>
      </c>
      <c r="N264" t="str">
        <f>IF(AND(COUNTIFS([0]!OrderID,Table3[[#This Row],[OrderID]],[0]!Category,"hot meal")&gt;0,COUNTIFS([0]!OrderID,Table3[[#This Row],[OrderID]],[0]!Category,"beverage")&gt;0),"combo","single")</f>
        <v>single</v>
      </c>
      <c r="O264" t="str">
        <f>IF((Table3[[#This Row],[LineAmount]]/(1-Table3[[#This Row],[DiscountPct]]))*Table3[[#This Row],[DiscountPct]]&gt;40,"High Disc","OK")</f>
        <v>OK</v>
      </c>
    </row>
    <row r="265" spans="1:15" x14ac:dyDescent="0.3">
      <c r="A265" t="s">
        <v>301</v>
      </c>
      <c r="B265" s="7">
        <v>45847.170775462961</v>
      </c>
      <c r="C265" t="s">
        <v>15</v>
      </c>
      <c r="D265" t="s">
        <v>16</v>
      </c>
      <c r="E265" t="s">
        <v>11</v>
      </c>
      <c r="F265" t="s">
        <v>12</v>
      </c>
      <c r="G265">
        <v>0.06</v>
      </c>
      <c r="H265" s="3">
        <f t="shared" si="4"/>
        <v>45847</v>
      </c>
      <c r="I265" t="str">
        <f>IF(COUNTIFS([0]!OrderID,Table3[[#This Row],[OrderID]],[0]!Category,"beverage")&gt;0,"yes","no")</f>
        <v>yes</v>
      </c>
      <c r="J265">
        <f>SUMIFS([0]!LineNetAmount,[0]!OrderID,Table3[[#This Row],[OrderID]])</f>
        <v>500.01419999999996</v>
      </c>
      <c r="K265" t="str" cm="1">
        <f t="array" ref="K265">_xlfn.TEXTJOIN("+",,_xlfn._xlws.SORT(_xlfn.UNIQUE(_xlfn._xlws.FILTER([0]!Category,[0]!OrderID=Table3[[#This Row],[OrderID]]))))</f>
        <v>Beverage+Dessert</v>
      </c>
      <c r="L265" s="39">
        <f>SUMIFS([0]!FoodCost,[0]!OrderID,Table3[[#This Row],[OrderID]])</f>
        <v>237.26</v>
      </c>
      <c r="M265" s="39">
        <f>Table3[[#This Row],[LineAmount]]-Table3[[#This Row],[TotalCost]]</f>
        <v>262.75419999999997</v>
      </c>
      <c r="N265" t="str">
        <f>IF(AND(COUNTIFS([0]!OrderID,Table3[[#This Row],[OrderID]],[0]!Category,"hot meal")&gt;0,COUNTIFS([0]!OrderID,Table3[[#This Row],[OrderID]],[0]!Category,"beverage")&gt;0),"combo","single")</f>
        <v>single</v>
      </c>
      <c r="O265" t="str">
        <f>IF((Table3[[#This Row],[LineAmount]]/(1-Table3[[#This Row],[DiscountPct]]))*Table3[[#This Row],[DiscountPct]]&gt;40,"High Disc","OK")</f>
        <v>OK</v>
      </c>
    </row>
    <row r="266" spans="1:15" x14ac:dyDescent="0.3">
      <c r="A266" t="s">
        <v>302</v>
      </c>
      <c r="B266" s="7">
        <v>45886.403067129628</v>
      </c>
      <c r="C266" t="s">
        <v>9</v>
      </c>
      <c r="D266" t="s">
        <v>16</v>
      </c>
      <c r="E266" t="s">
        <v>21</v>
      </c>
      <c r="F266" t="s">
        <v>12</v>
      </c>
      <c r="G266">
        <v>0.11</v>
      </c>
      <c r="H266" s="3">
        <f t="shared" si="4"/>
        <v>45886</v>
      </c>
      <c r="I266" t="str">
        <f>IF(COUNTIFS([0]!OrderID,Table3[[#This Row],[OrderID]],[0]!Category,"beverage")&gt;0,"yes","no")</f>
        <v>yes</v>
      </c>
      <c r="J266">
        <f>SUMIFS([0]!LineNetAmount,[0]!OrderID,Table3[[#This Row],[OrderID]])</f>
        <v>527.84120000000007</v>
      </c>
      <c r="K266" t="str" cm="1">
        <f t="array" ref="K266">_xlfn.TEXTJOIN("+",,_xlfn._xlws.SORT(_xlfn.UNIQUE(_xlfn._xlws.FILTER([0]!Category,[0]!OrderID=Table3[[#This Row],[OrderID]]))))</f>
        <v>Beverage+Hot Meal</v>
      </c>
      <c r="L266" s="39">
        <f>SUMIFS([0]!FoodCost,[0]!OrderID,Table3[[#This Row],[OrderID]])</f>
        <v>268.52</v>
      </c>
      <c r="M266" s="39">
        <f>Table3[[#This Row],[LineAmount]]-Table3[[#This Row],[TotalCost]]</f>
        <v>259.32120000000009</v>
      </c>
      <c r="N266" t="str">
        <f>IF(AND(COUNTIFS([0]!OrderID,Table3[[#This Row],[OrderID]],[0]!Category,"hot meal")&gt;0,COUNTIFS([0]!OrderID,Table3[[#This Row],[OrderID]],[0]!Category,"beverage")&gt;0),"combo","single")</f>
        <v>combo</v>
      </c>
      <c r="O266" t="str">
        <f>IF((Table3[[#This Row],[LineAmount]]/(1-Table3[[#This Row],[DiscountPct]]))*Table3[[#This Row],[DiscountPct]]&gt;40,"High Disc","OK")</f>
        <v>High Disc</v>
      </c>
    </row>
    <row r="267" spans="1:15" x14ac:dyDescent="0.3">
      <c r="A267" t="s">
        <v>303</v>
      </c>
      <c r="B267" s="7">
        <v>45860.179664351846</v>
      </c>
      <c r="C267" t="s">
        <v>9</v>
      </c>
      <c r="D267" t="s">
        <v>28</v>
      </c>
      <c r="E267" t="s">
        <v>21</v>
      </c>
      <c r="F267" t="s">
        <v>12</v>
      </c>
      <c r="G267">
        <v>0.04</v>
      </c>
      <c r="H267" s="3">
        <f t="shared" si="4"/>
        <v>45860</v>
      </c>
      <c r="I267" t="str">
        <f>IF(COUNTIFS([0]!OrderID,Table3[[#This Row],[OrderID]],[0]!Category,"beverage")&gt;0,"yes","no")</f>
        <v>no</v>
      </c>
      <c r="J267">
        <f>SUMIFS([0]!LineNetAmount,[0]!OrderID,Table3[[#This Row],[OrderID]])</f>
        <v>442.76160000000004</v>
      </c>
      <c r="K267" t="str" cm="1">
        <f t="array" ref="K267">_xlfn.TEXTJOIN("+",,_xlfn._xlws.SORT(_xlfn.UNIQUE(_xlfn._xlws.FILTER([0]!Category,[0]!OrderID=Table3[[#This Row],[OrderID]]))))</f>
        <v>Dessert+Hot Meal</v>
      </c>
      <c r="L267" s="39">
        <f>SUMIFS([0]!FoodCost,[0]!OrderID,Table3[[#This Row],[OrderID]])</f>
        <v>194.16</v>
      </c>
      <c r="M267" s="39">
        <f>Table3[[#This Row],[LineAmount]]-Table3[[#This Row],[TotalCost]]</f>
        <v>248.60160000000005</v>
      </c>
      <c r="N267" t="str">
        <f>IF(AND(COUNTIFS([0]!OrderID,Table3[[#This Row],[OrderID]],[0]!Category,"hot meal")&gt;0,COUNTIFS([0]!OrderID,Table3[[#This Row],[OrderID]],[0]!Category,"beverage")&gt;0),"combo","single")</f>
        <v>single</v>
      </c>
      <c r="O267" t="str">
        <f>IF((Table3[[#This Row],[LineAmount]]/(1-Table3[[#This Row],[DiscountPct]]))*Table3[[#This Row],[DiscountPct]]&gt;40,"High Disc","OK")</f>
        <v>OK</v>
      </c>
    </row>
    <row r="268" spans="1:15" x14ac:dyDescent="0.3">
      <c r="A268" t="s">
        <v>304</v>
      </c>
      <c r="B268" s="7">
        <v>45850.016319444447</v>
      </c>
      <c r="C268" t="s">
        <v>15</v>
      </c>
      <c r="D268" t="s">
        <v>10</v>
      </c>
      <c r="E268" t="s">
        <v>11</v>
      </c>
      <c r="F268" t="s">
        <v>12</v>
      </c>
      <c r="G268">
        <v>0.08</v>
      </c>
      <c r="H268" s="3">
        <f t="shared" si="4"/>
        <v>45850</v>
      </c>
      <c r="I268" t="str">
        <f>IF(COUNTIFS([0]!OrderID,Table3[[#This Row],[OrderID]],[0]!Category,"beverage")&gt;0,"yes","no")</f>
        <v>yes</v>
      </c>
      <c r="J268">
        <f>SUMIFS([0]!LineNetAmount,[0]!OrderID,Table3[[#This Row],[OrderID]])</f>
        <v>532.77200000000005</v>
      </c>
      <c r="K268" t="str" cm="1">
        <f t="array" ref="K268">_xlfn.TEXTJOIN("+",,_xlfn._xlws.SORT(_xlfn.UNIQUE(_xlfn._xlws.FILTER([0]!Category,[0]!OrderID=Table3[[#This Row],[OrderID]]))))</f>
        <v>Beverage+Hot Meal</v>
      </c>
      <c r="L268" s="39">
        <f>SUMIFS([0]!FoodCost,[0]!OrderID,Table3[[#This Row],[OrderID]])</f>
        <v>257.97000000000003</v>
      </c>
      <c r="M268" s="39">
        <f>Table3[[#This Row],[LineAmount]]-Table3[[#This Row],[TotalCost]]</f>
        <v>274.80200000000002</v>
      </c>
      <c r="N268" t="str">
        <f>IF(AND(COUNTIFS([0]!OrderID,Table3[[#This Row],[OrderID]],[0]!Category,"hot meal")&gt;0,COUNTIFS([0]!OrderID,Table3[[#This Row],[OrderID]],[0]!Category,"beverage")&gt;0),"combo","single")</f>
        <v>combo</v>
      </c>
      <c r="O268" t="str">
        <f>IF((Table3[[#This Row],[LineAmount]]/(1-Table3[[#This Row],[DiscountPct]]))*Table3[[#This Row],[DiscountPct]]&gt;40,"High Disc","OK")</f>
        <v>High Disc</v>
      </c>
    </row>
    <row r="269" spans="1:15" x14ac:dyDescent="0.3">
      <c r="A269" t="s">
        <v>305</v>
      </c>
      <c r="B269" s="7">
        <v>45890.410219907397</v>
      </c>
      <c r="C269" t="s">
        <v>9</v>
      </c>
      <c r="D269" t="s">
        <v>16</v>
      </c>
      <c r="E269" t="s">
        <v>17</v>
      </c>
      <c r="F269" t="s">
        <v>12</v>
      </c>
      <c r="G269">
        <v>0.05</v>
      </c>
      <c r="H269" s="3">
        <f t="shared" si="4"/>
        <v>45890</v>
      </c>
      <c r="I269" t="str">
        <f>IF(COUNTIFS([0]!OrderID,Table3[[#This Row],[OrderID]],[0]!Category,"beverage")&gt;0,"yes","no")</f>
        <v>no</v>
      </c>
      <c r="J269">
        <f>SUMIFS([0]!LineNetAmount,[0]!OrderID,Table3[[#This Row],[OrderID]])</f>
        <v>942.52350000000001</v>
      </c>
      <c r="K269" t="str" cm="1">
        <f t="array" ref="K269">_xlfn.TEXTJOIN("+",,_xlfn._xlws.SORT(_xlfn.UNIQUE(_xlfn._xlws.FILTER([0]!Category,[0]!OrderID=Table3[[#This Row],[OrderID]]))))</f>
        <v>Dessert+Hot Meal+Snack</v>
      </c>
      <c r="L269" s="39">
        <f>SUMIFS([0]!FoodCost,[0]!OrderID,Table3[[#This Row],[OrderID]])</f>
        <v>473.75</v>
      </c>
      <c r="M269" s="39">
        <f>Table3[[#This Row],[LineAmount]]-Table3[[#This Row],[TotalCost]]</f>
        <v>468.77350000000001</v>
      </c>
      <c r="N269" t="str">
        <f>IF(AND(COUNTIFS([0]!OrderID,Table3[[#This Row],[OrderID]],[0]!Category,"hot meal")&gt;0,COUNTIFS([0]!OrderID,Table3[[#This Row],[OrderID]],[0]!Category,"beverage")&gt;0),"combo","single")</f>
        <v>single</v>
      </c>
      <c r="O269" t="str">
        <f>IF((Table3[[#This Row],[LineAmount]]/(1-Table3[[#This Row],[DiscountPct]]))*Table3[[#This Row],[DiscountPct]]&gt;40,"High Disc","OK")</f>
        <v>High Disc</v>
      </c>
    </row>
    <row r="270" spans="1:15" x14ac:dyDescent="0.3">
      <c r="A270" t="s">
        <v>306</v>
      </c>
      <c r="B270" s="7">
        <v>45877.626261574071</v>
      </c>
      <c r="C270" t="s">
        <v>9</v>
      </c>
      <c r="D270" t="s">
        <v>28</v>
      </c>
      <c r="E270" t="s">
        <v>17</v>
      </c>
      <c r="F270" t="s">
        <v>22</v>
      </c>
      <c r="G270">
        <v>0.05</v>
      </c>
      <c r="H270" s="3">
        <f t="shared" si="4"/>
        <v>45877</v>
      </c>
      <c r="I270" t="str">
        <f>IF(COUNTIFS([0]!OrderID,Table3[[#This Row],[OrderID]],[0]!Category,"beverage")&gt;0,"yes","no")</f>
        <v>yes</v>
      </c>
      <c r="J270">
        <f>SUMIFS([0]!LineNetAmount,[0]!OrderID,Table3[[#This Row],[OrderID]])</f>
        <v>1109.4575</v>
      </c>
      <c r="K270" t="str" cm="1">
        <f t="array" ref="K270">_xlfn.TEXTJOIN("+",,_xlfn._xlws.SORT(_xlfn.UNIQUE(_xlfn._xlws.FILTER([0]!Category,[0]!OrderID=Table3[[#This Row],[OrderID]]))))</f>
        <v>Beverage+Hot Meal+Snack</v>
      </c>
      <c r="L270" s="39">
        <f>SUMIFS([0]!FoodCost,[0]!OrderID,Table3[[#This Row],[OrderID]])</f>
        <v>545.44999999999993</v>
      </c>
      <c r="M270" s="39">
        <f>Table3[[#This Row],[LineAmount]]-Table3[[#This Row],[TotalCost]]</f>
        <v>564.00750000000005</v>
      </c>
      <c r="N270" t="str">
        <f>IF(AND(COUNTIFS([0]!OrderID,Table3[[#This Row],[OrderID]],[0]!Category,"hot meal")&gt;0,COUNTIFS([0]!OrderID,Table3[[#This Row],[OrderID]],[0]!Category,"beverage")&gt;0),"combo","single")</f>
        <v>combo</v>
      </c>
      <c r="O270" t="str">
        <f>IF((Table3[[#This Row],[LineAmount]]/(1-Table3[[#This Row],[DiscountPct]]))*Table3[[#This Row],[DiscountPct]]&gt;40,"High Disc","OK")</f>
        <v>High Disc</v>
      </c>
    </row>
    <row r="271" spans="1:15" x14ac:dyDescent="0.3">
      <c r="A271" t="s">
        <v>307</v>
      </c>
      <c r="B271" s="7">
        <v>45868.514907407407</v>
      </c>
      <c r="C271" t="s">
        <v>27</v>
      </c>
      <c r="D271" t="s">
        <v>28</v>
      </c>
      <c r="E271" t="s">
        <v>21</v>
      </c>
      <c r="F271" t="s">
        <v>22</v>
      </c>
      <c r="G271">
        <v>0.1</v>
      </c>
      <c r="H271" s="3">
        <f t="shared" si="4"/>
        <v>45868</v>
      </c>
      <c r="I271" t="str">
        <f>IF(COUNTIFS([0]!OrderID,Table3[[#This Row],[OrderID]],[0]!Category,"beverage")&gt;0,"yes","no")</f>
        <v>no</v>
      </c>
      <c r="J271">
        <f>SUMIFS([0]!LineNetAmount,[0]!OrderID,Table3[[#This Row],[OrderID]])</f>
        <v>1485.0719999999999</v>
      </c>
      <c r="K271" t="str" cm="1">
        <f t="array" ref="K271">_xlfn.TEXTJOIN("+",,_xlfn._xlws.SORT(_xlfn.UNIQUE(_xlfn._xlws.FILTER([0]!Category,[0]!OrderID=Table3[[#This Row],[OrderID]]))))</f>
        <v>Hot Meal+Snack</v>
      </c>
      <c r="L271" s="39">
        <f>SUMIFS([0]!FoodCost,[0]!OrderID,Table3[[#This Row],[OrderID]])</f>
        <v>771.58</v>
      </c>
      <c r="M271" s="39">
        <f>Table3[[#This Row],[LineAmount]]-Table3[[#This Row],[TotalCost]]</f>
        <v>713.49199999999985</v>
      </c>
      <c r="N271" t="str">
        <f>IF(AND(COUNTIFS([0]!OrderID,Table3[[#This Row],[OrderID]],[0]!Category,"hot meal")&gt;0,COUNTIFS([0]!OrderID,Table3[[#This Row],[OrderID]],[0]!Category,"beverage")&gt;0),"combo","single")</f>
        <v>single</v>
      </c>
      <c r="O271" t="str">
        <f>IF((Table3[[#This Row],[LineAmount]]/(1-Table3[[#This Row],[DiscountPct]]))*Table3[[#This Row],[DiscountPct]]&gt;40,"High Disc","OK")</f>
        <v>High Disc</v>
      </c>
    </row>
    <row r="272" spans="1:15" x14ac:dyDescent="0.3">
      <c r="A272" t="s">
        <v>308</v>
      </c>
      <c r="B272" s="7">
        <v>45871.107511574082</v>
      </c>
      <c r="C272" t="s">
        <v>27</v>
      </c>
      <c r="D272" t="s">
        <v>28</v>
      </c>
      <c r="E272" t="s">
        <v>21</v>
      </c>
      <c r="F272" t="s">
        <v>12</v>
      </c>
      <c r="G272">
        <v>0.09</v>
      </c>
      <c r="H272" s="3">
        <f t="shared" si="4"/>
        <v>45871</v>
      </c>
      <c r="I272" t="str">
        <f>IF(COUNTIFS([0]!OrderID,Table3[[#This Row],[OrderID]],[0]!Category,"beverage")&gt;0,"yes","no")</f>
        <v>yes</v>
      </c>
      <c r="J272">
        <f>SUMIFS([0]!LineNetAmount,[0]!OrderID,Table3[[#This Row],[OrderID]])</f>
        <v>139.18450000000001</v>
      </c>
      <c r="K272" t="str" cm="1">
        <f t="array" ref="K272">_xlfn.TEXTJOIN("+",,_xlfn._xlws.SORT(_xlfn.UNIQUE(_xlfn._xlws.FILTER([0]!Category,[0]!OrderID=Table3[[#This Row],[OrderID]]))))</f>
        <v>Beverage+Dessert</v>
      </c>
      <c r="L272" s="39">
        <f>SUMIFS([0]!FoodCost,[0]!OrderID,Table3[[#This Row],[OrderID]])</f>
        <v>69.56</v>
      </c>
      <c r="M272" s="39">
        <f>Table3[[#This Row],[LineAmount]]-Table3[[#This Row],[TotalCost]]</f>
        <v>69.624500000000012</v>
      </c>
      <c r="N272" t="str">
        <f>IF(AND(COUNTIFS([0]!OrderID,Table3[[#This Row],[OrderID]],[0]!Category,"hot meal")&gt;0,COUNTIFS([0]!OrderID,Table3[[#This Row],[OrderID]],[0]!Category,"beverage")&gt;0),"combo","single")</f>
        <v>single</v>
      </c>
      <c r="O272" t="str">
        <f>IF((Table3[[#This Row],[LineAmount]]/(1-Table3[[#This Row],[DiscountPct]]))*Table3[[#This Row],[DiscountPct]]&gt;40,"High Disc","OK")</f>
        <v>OK</v>
      </c>
    </row>
    <row r="273" spans="1:15" x14ac:dyDescent="0.3">
      <c r="A273" t="s">
        <v>309</v>
      </c>
      <c r="B273" s="7">
        <v>45856.308263888888</v>
      </c>
      <c r="C273" t="s">
        <v>27</v>
      </c>
      <c r="D273" t="s">
        <v>16</v>
      </c>
      <c r="E273" t="s">
        <v>11</v>
      </c>
      <c r="F273" t="s">
        <v>12</v>
      </c>
      <c r="G273">
        <v>0.09</v>
      </c>
      <c r="H273" s="3">
        <f t="shared" si="4"/>
        <v>45856</v>
      </c>
      <c r="I273" t="str">
        <f>IF(COUNTIFS([0]!OrderID,Table3[[#This Row],[OrderID]],[0]!Category,"beverage")&gt;0,"yes","no")</f>
        <v>yes</v>
      </c>
      <c r="J273">
        <f>SUMIFS([0]!LineNetAmount,[0]!OrderID,Table3[[#This Row],[OrderID]])</f>
        <v>228.46460000000002</v>
      </c>
      <c r="K273" t="str" cm="1">
        <f t="array" ref="K273">_xlfn.TEXTJOIN("+",,_xlfn._xlws.SORT(_xlfn.UNIQUE(_xlfn._xlws.FILTER([0]!Category,[0]!OrderID=Table3[[#This Row],[OrderID]]))))</f>
        <v>Beverage+Hot Meal+Snack</v>
      </c>
      <c r="L273" s="39">
        <f>SUMIFS([0]!FoodCost,[0]!OrderID,Table3[[#This Row],[OrderID]])</f>
        <v>128.61000000000001</v>
      </c>
      <c r="M273" s="39">
        <f>Table3[[#This Row],[LineAmount]]-Table3[[#This Row],[TotalCost]]</f>
        <v>99.854600000000005</v>
      </c>
      <c r="N273" t="str">
        <f>IF(AND(COUNTIFS([0]!OrderID,Table3[[#This Row],[OrderID]],[0]!Category,"hot meal")&gt;0,COUNTIFS([0]!OrderID,Table3[[#This Row],[OrderID]],[0]!Category,"beverage")&gt;0),"combo","single")</f>
        <v>combo</v>
      </c>
      <c r="O273" t="str">
        <f>IF((Table3[[#This Row],[LineAmount]]/(1-Table3[[#This Row],[DiscountPct]]))*Table3[[#This Row],[DiscountPct]]&gt;40,"High Disc","OK")</f>
        <v>OK</v>
      </c>
    </row>
    <row r="274" spans="1:15" x14ac:dyDescent="0.3">
      <c r="A274" t="s">
        <v>310</v>
      </c>
      <c r="B274" s="7">
        <v>45887.820648148147</v>
      </c>
      <c r="C274" t="s">
        <v>9</v>
      </c>
      <c r="D274" t="s">
        <v>10</v>
      </c>
      <c r="E274" t="s">
        <v>21</v>
      </c>
      <c r="F274" t="s">
        <v>18</v>
      </c>
      <c r="G274">
        <v>0.11</v>
      </c>
      <c r="H274" s="3">
        <f t="shared" si="4"/>
        <v>45887</v>
      </c>
      <c r="I274" t="str">
        <f>IF(COUNTIFS([0]!OrderID,Table3[[#This Row],[OrderID]],[0]!Category,"beverage")&gt;0,"yes","no")</f>
        <v>no</v>
      </c>
      <c r="J274">
        <f>SUMIFS([0]!LineNetAmount,[0]!OrderID,Table3[[#This Row],[OrderID]])</f>
        <v>311.85599999999999</v>
      </c>
      <c r="K274" t="str" cm="1">
        <f t="array" ref="K274">_xlfn.TEXTJOIN("+",,_xlfn._xlws.SORT(_xlfn.UNIQUE(_xlfn._xlws.FILTER([0]!Category,[0]!OrderID=Table3[[#This Row],[OrderID]]))))</f>
        <v>Dessert</v>
      </c>
      <c r="L274" s="39">
        <f>SUMIFS([0]!FoodCost,[0]!OrderID,Table3[[#This Row],[OrderID]])</f>
        <v>146.91</v>
      </c>
      <c r="M274" s="39">
        <f>Table3[[#This Row],[LineAmount]]-Table3[[#This Row],[TotalCost]]</f>
        <v>164.946</v>
      </c>
      <c r="N274" t="str">
        <f>IF(AND(COUNTIFS([0]!OrderID,Table3[[#This Row],[OrderID]],[0]!Category,"hot meal")&gt;0,COUNTIFS([0]!OrderID,Table3[[#This Row],[OrderID]],[0]!Category,"beverage")&gt;0),"combo","single")</f>
        <v>single</v>
      </c>
      <c r="O274" t="str">
        <f>IF((Table3[[#This Row],[LineAmount]]/(1-Table3[[#This Row],[DiscountPct]]))*Table3[[#This Row],[DiscountPct]]&gt;40,"High Disc","OK")</f>
        <v>OK</v>
      </c>
    </row>
    <row r="275" spans="1:15" x14ac:dyDescent="0.3">
      <c r="A275" t="s">
        <v>311</v>
      </c>
      <c r="B275" s="7">
        <v>45877.801782407398</v>
      </c>
      <c r="C275" t="s">
        <v>9</v>
      </c>
      <c r="D275" t="s">
        <v>28</v>
      </c>
      <c r="E275" t="s">
        <v>21</v>
      </c>
      <c r="F275" t="s">
        <v>18</v>
      </c>
      <c r="G275">
        <v>0.06</v>
      </c>
      <c r="H275" s="3">
        <f t="shared" si="4"/>
        <v>45877</v>
      </c>
      <c r="I275" t="str">
        <f>IF(COUNTIFS([0]!OrderID,Table3[[#This Row],[OrderID]],[0]!Category,"beverage")&gt;0,"yes","no")</f>
        <v>yes</v>
      </c>
      <c r="J275">
        <f>SUMIFS([0]!LineNetAmount,[0]!OrderID,Table3[[#This Row],[OrderID]])</f>
        <v>633.99240000000009</v>
      </c>
      <c r="K275" t="str" cm="1">
        <f t="array" ref="K275">_xlfn.TEXTJOIN("+",,_xlfn._xlws.SORT(_xlfn.UNIQUE(_xlfn._xlws.FILTER([0]!Category,[0]!OrderID=Table3[[#This Row],[OrderID]]))))</f>
        <v>Beverage+Hot Meal+Snack</v>
      </c>
      <c r="L275" s="39">
        <f>SUMIFS([0]!FoodCost,[0]!OrderID,Table3[[#This Row],[OrderID]])</f>
        <v>316.63</v>
      </c>
      <c r="M275" s="39">
        <f>Table3[[#This Row],[LineAmount]]-Table3[[#This Row],[TotalCost]]</f>
        <v>317.36240000000009</v>
      </c>
      <c r="N275" t="str">
        <f>IF(AND(COUNTIFS([0]!OrderID,Table3[[#This Row],[OrderID]],[0]!Category,"hot meal")&gt;0,COUNTIFS([0]!OrderID,Table3[[#This Row],[OrderID]],[0]!Category,"beverage")&gt;0),"combo","single")</f>
        <v>combo</v>
      </c>
      <c r="O275" t="str">
        <f>IF((Table3[[#This Row],[LineAmount]]/(1-Table3[[#This Row],[DiscountPct]]))*Table3[[#This Row],[DiscountPct]]&gt;40,"High Disc","OK")</f>
        <v>High Disc</v>
      </c>
    </row>
    <row r="276" spans="1:15" x14ac:dyDescent="0.3">
      <c r="A276" t="s">
        <v>312</v>
      </c>
      <c r="B276" s="7">
        <v>45883.887708333343</v>
      </c>
      <c r="C276" t="s">
        <v>27</v>
      </c>
      <c r="D276" t="s">
        <v>16</v>
      </c>
      <c r="E276" t="s">
        <v>11</v>
      </c>
      <c r="F276" t="s">
        <v>18</v>
      </c>
      <c r="G276">
        <v>0.09</v>
      </c>
      <c r="H276" s="3">
        <f t="shared" si="4"/>
        <v>45883</v>
      </c>
      <c r="I276" t="str">
        <f>IF(COUNTIFS([0]!OrderID,Table3[[#This Row],[OrderID]],[0]!Category,"beverage")&gt;0,"yes","no")</f>
        <v>yes</v>
      </c>
      <c r="J276">
        <f>SUMIFS([0]!LineNetAmount,[0]!OrderID,Table3[[#This Row],[OrderID]])</f>
        <v>822.01210000000003</v>
      </c>
      <c r="K276" t="str" cm="1">
        <f t="array" ref="K276">_xlfn.TEXTJOIN("+",,_xlfn._xlws.SORT(_xlfn.UNIQUE(_xlfn._xlws.FILTER([0]!Category,[0]!OrderID=Table3[[#This Row],[OrderID]]))))</f>
        <v>Beverage+Dessert+Hot Meal+Snack</v>
      </c>
      <c r="L276" s="39">
        <f>SUMIFS([0]!FoodCost,[0]!OrderID,Table3[[#This Row],[OrderID]])</f>
        <v>391.23999999999995</v>
      </c>
      <c r="M276" s="39">
        <f>Table3[[#This Row],[LineAmount]]-Table3[[#This Row],[TotalCost]]</f>
        <v>430.77210000000008</v>
      </c>
      <c r="N276" t="str">
        <f>IF(AND(COUNTIFS([0]!OrderID,Table3[[#This Row],[OrderID]],[0]!Category,"hot meal")&gt;0,COUNTIFS([0]!OrderID,Table3[[#This Row],[OrderID]],[0]!Category,"beverage")&gt;0),"combo","single")</f>
        <v>combo</v>
      </c>
      <c r="O276" t="str">
        <f>IF((Table3[[#This Row],[LineAmount]]/(1-Table3[[#This Row],[DiscountPct]]))*Table3[[#This Row],[DiscountPct]]&gt;40,"High Disc","OK")</f>
        <v>High Disc</v>
      </c>
    </row>
    <row r="277" spans="1:15" x14ac:dyDescent="0.3">
      <c r="A277" t="s">
        <v>313</v>
      </c>
      <c r="B277" s="7">
        <v>45894.921585648153</v>
      </c>
      <c r="C277" t="s">
        <v>15</v>
      </c>
      <c r="D277" t="s">
        <v>10</v>
      </c>
      <c r="E277" t="s">
        <v>11</v>
      </c>
      <c r="F277" t="s">
        <v>18</v>
      </c>
      <c r="G277">
        <v>0.05</v>
      </c>
      <c r="H277" s="3">
        <f t="shared" si="4"/>
        <v>45894</v>
      </c>
      <c r="I277" t="str">
        <f>IF(COUNTIFS([0]!OrderID,Table3[[#This Row],[OrderID]],[0]!Category,"beverage")&gt;0,"yes","no")</f>
        <v>yes</v>
      </c>
      <c r="J277">
        <f>SUMIFS([0]!LineNetAmount,[0]!OrderID,Table3[[#This Row],[OrderID]])</f>
        <v>407.24599999999992</v>
      </c>
      <c r="K277" t="str" cm="1">
        <f t="array" ref="K277">_xlfn.TEXTJOIN("+",,_xlfn._xlws.SORT(_xlfn.UNIQUE(_xlfn._xlws.FILTER([0]!Category,[0]!OrderID=Table3[[#This Row],[OrderID]]))))</f>
        <v>Beverage+Dessert+Snack</v>
      </c>
      <c r="L277" s="39">
        <f>SUMIFS([0]!FoodCost,[0]!OrderID,Table3[[#This Row],[OrderID]])</f>
        <v>182.45999999999998</v>
      </c>
      <c r="M277" s="39">
        <f>Table3[[#This Row],[LineAmount]]-Table3[[#This Row],[TotalCost]]</f>
        <v>224.78599999999994</v>
      </c>
      <c r="N277" t="str">
        <f>IF(AND(COUNTIFS([0]!OrderID,Table3[[#This Row],[OrderID]],[0]!Category,"hot meal")&gt;0,COUNTIFS([0]!OrderID,Table3[[#This Row],[OrderID]],[0]!Category,"beverage")&gt;0),"combo","single")</f>
        <v>single</v>
      </c>
      <c r="O277" t="str">
        <f>IF((Table3[[#This Row],[LineAmount]]/(1-Table3[[#This Row],[DiscountPct]]))*Table3[[#This Row],[DiscountPct]]&gt;40,"High Disc","OK")</f>
        <v>OK</v>
      </c>
    </row>
    <row r="278" spans="1:15" x14ac:dyDescent="0.3">
      <c r="A278" t="s">
        <v>314</v>
      </c>
      <c r="B278" s="7">
        <v>45867.359131944453</v>
      </c>
      <c r="C278" t="s">
        <v>27</v>
      </c>
      <c r="D278" t="s">
        <v>16</v>
      </c>
      <c r="E278" t="s">
        <v>17</v>
      </c>
      <c r="F278" t="s">
        <v>12</v>
      </c>
      <c r="G278">
        <v>7.0000000000000007E-2</v>
      </c>
      <c r="H278" s="3">
        <f t="shared" si="4"/>
        <v>45867</v>
      </c>
      <c r="I278" t="str">
        <f>IF(COUNTIFS([0]!OrderID,Table3[[#This Row],[OrderID]],[0]!Category,"beverage")&gt;0,"yes","no")</f>
        <v>no</v>
      </c>
      <c r="J278">
        <f>SUMIFS([0]!LineNetAmount,[0]!OrderID,Table3[[#This Row],[OrderID]])</f>
        <v>72.549300000000002</v>
      </c>
      <c r="K278" t="str" cm="1">
        <f t="array" ref="K278">_xlfn.TEXTJOIN("+",,_xlfn._xlws.SORT(_xlfn.UNIQUE(_xlfn._xlws.FILTER([0]!Category,[0]!OrderID=Table3[[#This Row],[OrderID]]))))</f>
        <v>Snack</v>
      </c>
      <c r="L278" s="39">
        <f>SUMIFS([0]!FoodCost,[0]!OrderID,Table3[[#This Row],[OrderID]])</f>
        <v>35.06</v>
      </c>
      <c r="M278" s="39">
        <f>Table3[[#This Row],[LineAmount]]-Table3[[#This Row],[TotalCost]]</f>
        <v>37.4893</v>
      </c>
      <c r="N278" t="str">
        <f>IF(AND(COUNTIFS([0]!OrderID,Table3[[#This Row],[OrderID]],[0]!Category,"hot meal")&gt;0,COUNTIFS([0]!OrderID,Table3[[#This Row],[OrderID]],[0]!Category,"beverage")&gt;0),"combo","single")</f>
        <v>single</v>
      </c>
      <c r="O278" t="str">
        <f>IF((Table3[[#This Row],[LineAmount]]/(1-Table3[[#This Row],[DiscountPct]]))*Table3[[#This Row],[DiscountPct]]&gt;40,"High Disc","OK")</f>
        <v>OK</v>
      </c>
    </row>
    <row r="279" spans="1:15" x14ac:dyDescent="0.3">
      <c r="A279" t="s">
        <v>315</v>
      </c>
      <c r="B279" s="7">
        <v>45855.937222222223</v>
      </c>
      <c r="C279" t="s">
        <v>9</v>
      </c>
      <c r="D279" t="s">
        <v>16</v>
      </c>
      <c r="E279" t="s">
        <v>11</v>
      </c>
      <c r="F279" t="s">
        <v>18</v>
      </c>
      <c r="G279">
        <v>0.05</v>
      </c>
      <c r="H279" s="3">
        <f t="shared" si="4"/>
        <v>45855</v>
      </c>
      <c r="I279" t="str">
        <f>IF(COUNTIFS([0]!OrderID,Table3[[#This Row],[OrderID]],[0]!Category,"beverage")&gt;0,"yes","no")</f>
        <v>yes</v>
      </c>
      <c r="J279">
        <f>SUMIFS([0]!LineNetAmount,[0]!OrderID,Table3[[#This Row],[OrderID]])</f>
        <v>413.03149999999999</v>
      </c>
      <c r="K279" t="str" cm="1">
        <f t="array" ref="K279">_xlfn.TEXTJOIN("+",,_xlfn._xlws.SORT(_xlfn.UNIQUE(_xlfn._xlws.FILTER([0]!Category,[0]!OrderID=Table3[[#This Row],[OrderID]]))))</f>
        <v>Beverage+Dessert+Hot Meal</v>
      </c>
      <c r="L279" s="39">
        <f>SUMIFS([0]!FoodCost,[0]!OrderID,Table3[[#This Row],[OrderID]])</f>
        <v>186.19</v>
      </c>
      <c r="M279" s="39">
        <f>Table3[[#This Row],[LineAmount]]-Table3[[#This Row],[TotalCost]]</f>
        <v>226.8415</v>
      </c>
      <c r="N279" t="str">
        <f>IF(AND(COUNTIFS([0]!OrderID,Table3[[#This Row],[OrderID]],[0]!Category,"hot meal")&gt;0,COUNTIFS([0]!OrderID,Table3[[#This Row],[OrderID]],[0]!Category,"beverage")&gt;0),"combo","single")</f>
        <v>combo</v>
      </c>
      <c r="O279" t="str">
        <f>IF((Table3[[#This Row],[LineAmount]]/(1-Table3[[#This Row],[DiscountPct]]))*Table3[[#This Row],[DiscountPct]]&gt;40,"High Disc","OK")</f>
        <v>OK</v>
      </c>
    </row>
    <row r="280" spans="1:15" x14ac:dyDescent="0.3">
      <c r="A280" t="s">
        <v>316</v>
      </c>
      <c r="B280" s="7">
        <v>45847.806562500002</v>
      </c>
      <c r="C280" t="s">
        <v>15</v>
      </c>
      <c r="D280" t="s">
        <v>28</v>
      </c>
      <c r="E280" t="s">
        <v>17</v>
      </c>
      <c r="F280" t="s">
        <v>18</v>
      </c>
      <c r="G280">
        <v>0.06</v>
      </c>
      <c r="H280" s="3">
        <f t="shared" si="4"/>
        <v>45847</v>
      </c>
      <c r="I280" t="str">
        <f>IF(COUNTIFS([0]!OrderID,Table3[[#This Row],[OrderID]],[0]!Category,"beverage")&gt;0,"yes","no")</f>
        <v>yes</v>
      </c>
      <c r="J280">
        <f>SUMIFS([0]!LineNetAmount,[0]!OrderID,Table3[[#This Row],[OrderID]])</f>
        <v>28.519599999999997</v>
      </c>
      <c r="K280" t="str" cm="1">
        <f t="array" ref="K280">_xlfn.TEXTJOIN("+",,_xlfn._xlws.SORT(_xlfn.UNIQUE(_xlfn._xlws.FILTER([0]!Category,[0]!OrderID=Table3[[#This Row],[OrderID]]))))</f>
        <v>Beverage</v>
      </c>
      <c r="L280" s="39">
        <f>SUMIFS([0]!FoodCost,[0]!OrderID,Table3[[#This Row],[OrderID]])</f>
        <v>14.18</v>
      </c>
      <c r="M280" s="39">
        <f>Table3[[#This Row],[LineAmount]]-Table3[[#This Row],[TotalCost]]</f>
        <v>14.339599999999997</v>
      </c>
      <c r="N280" t="str">
        <f>IF(AND(COUNTIFS([0]!OrderID,Table3[[#This Row],[OrderID]],[0]!Category,"hot meal")&gt;0,COUNTIFS([0]!OrderID,Table3[[#This Row],[OrderID]],[0]!Category,"beverage")&gt;0),"combo","single")</f>
        <v>single</v>
      </c>
      <c r="O280" t="str">
        <f>IF((Table3[[#This Row],[LineAmount]]/(1-Table3[[#This Row],[DiscountPct]]))*Table3[[#This Row],[DiscountPct]]&gt;40,"High Disc","OK")</f>
        <v>OK</v>
      </c>
    </row>
    <row r="281" spans="1:15" x14ac:dyDescent="0.3">
      <c r="A281" t="s">
        <v>317</v>
      </c>
      <c r="B281" s="7">
        <v>45896.423726851863</v>
      </c>
      <c r="C281" t="s">
        <v>15</v>
      </c>
      <c r="D281" t="s">
        <v>10</v>
      </c>
      <c r="E281" t="s">
        <v>17</v>
      </c>
      <c r="F281" t="s">
        <v>12</v>
      </c>
      <c r="G281">
        <v>0.08</v>
      </c>
      <c r="H281" s="3">
        <f t="shared" si="4"/>
        <v>45896</v>
      </c>
      <c r="I281" t="str">
        <f>IF(COUNTIFS([0]!OrderID,Table3[[#This Row],[OrderID]],[0]!Category,"beverage")&gt;0,"yes","no")</f>
        <v>yes</v>
      </c>
      <c r="J281">
        <f>SUMIFS([0]!LineNetAmount,[0]!OrderID,Table3[[#This Row],[OrderID]])</f>
        <v>267.05760000000004</v>
      </c>
      <c r="K281" t="str" cm="1">
        <f t="array" ref="K281">_xlfn.TEXTJOIN("+",,_xlfn._xlws.SORT(_xlfn.UNIQUE(_xlfn._xlws.FILTER([0]!Category,[0]!OrderID=Table3[[#This Row],[OrderID]]))))</f>
        <v>Beverage+Hot Meal</v>
      </c>
      <c r="L281" s="39">
        <f>SUMIFS([0]!FoodCost,[0]!OrderID,Table3[[#This Row],[OrderID]])</f>
        <v>130.5</v>
      </c>
      <c r="M281" s="39">
        <f>Table3[[#This Row],[LineAmount]]-Table3[[#This Row],[TotalCost]]</f>
        <v>136.55760000000004</v>
      </c>
      <c r="N281" t="str">
        <f>IF(AND(COUNTIFS([0]!OrderID,Table3[[#This Row],[OrderID]],[0]!Category,"hot meal")&gt;0,COUNTIFS([0]!OrderID,Table3[[#This Row],[OrderID]],[0]!Category,"beverage")&gt;0),"combo","single")</f>
        <v>combo</v>
      </c>
      <c r="O281" t="str">
        <f>IF((Table3[[#This Row],[LineAmount]]/(1-Table3[[#This Row],[DiscountPct]]))*Table3[[#This Row],[DiscountPct]]&gt;40,"High Disc","OK")</f>
        <v>OK</v>
      </c>
    </row>
    <row r="282" spans="1:15" x14ac:dyDescent="0.3">
      <c r="A282" t="s">
        <v>318</v>
      </c>
      <c r="B282" s="7">
        <v>45869.374664351853</v>
      </c>
      <c r="C282" t="s">
        <v>9</v>
      </c>
      <c r="D282" t="s">
        <v>16</v>
      </c>
      <c r="E282" t="s">
        <v>17</v>
      </c>
      <c r="F282" t="s">
        <v>12</v>
      </c>
      <c r="G282">
        <v>0.03</v>
      </c>
      <c r="H282" s="3">
        <f t="shared" si="4"/>
        <v>45869</v>
      </c>
      <c r="I282" t="str">
        <f>IF(COUNTIFS([0]!OrderID,Table3[[#This Row],[OrderID]],[0]!Category,"beverage")&gt;0,"yes","no")</f>
        <v>yes</v>
      </c>
      <c r="J282">
        <f>SUMIFS([0]!LineNetAmount,[0]!OrderID,Table3[[#This Row],[OrderID]])</f>
        <v>29.4298</v>
      </c>
      <c r="K282" t="str" cm="1">
        <f t="array" ref="K282">_xlfn.TEXTJOIN("+",,_xlfn._xlws.SORT(_xlfn.UNIQUE(_xlfn._xlws.FILTER([0]!Category,[0]!OrderID=Table3[[#This Row],[OrderID]]))))</f>
        <v>Beverage</v>
      </c>
      <c r="L282" s="39">
        <f>SUMIFS([0]!FoodCost,[0]!OrderID,Table3[[#This Row],[OrderID]])</f>
        <v>14.18</v>
      </c>
      <c r="M282" s="39">
        <f>Table3[[#This Row],[LineAmount]]-Table3[[#This Row],[TotalCost]]</f>
        <v>15.2498</v>
      </c>
      <c r="N282" t="str">
        <f>IF(AND(COUNTIFS([0]!OrderID,Table3[[#This Row],[OrderID]],[0]!Category,"hot meal")&gt;0,COUNTIFS([0]!OrderID,Table3[[#This Row],[OrderID]],[0]!Category,"beverage")&gt;0),"combo","single")</f>
        <v>single</v>
      </c>
      <c r="O282" t="str">
        <f>IF((Table3[[#This Row],[LineAmount]]/(1-Table3[[#This Row],[DiscountPct]]))*Table3[[#This Row],[DiscountPct]]&gt;40,"High Disc","OK")</f>
        <v>OK</v>
      </c>
    </row>
    <row r="283" spans="1:15" x14ac:dyDescent="0.3">
      <c r="A283" t="s">
        <v>319</v>
      </c>
      <c r="B283" s="7">
        <v>45855.574062500003</v>
      </c>
      <c r="C283" t="s">
        <v>27</v>
      </c>
      <c r="D283" t="s">
        <v>10</v>
      </c>
      <c r="E283" t="s">
        <v>11</v>
      </c>
      <c r="F283" t="s">
        <v>22</v>
      </c>
      <c r="G283">
        <v>0.14000000000000001</v>
      </c>
      <c r="H283" s="3">
        <f t="shared" si="4"/>
        <v>45855</v>
      </c>
      <c r="I283" t="str">
        <f>IF(COUNTIFS([0]!OrderID,Table3[[#This Row],[OrderID]],[0]!Category,"beverage")&gt;0,"yes","no")</f>
        <v>yes</v>
      </c>
      <c r="J283">
        <f>SUMIFS([0]!LineNetAmount,[0]!OrderID,Table3[[#This Row],[OrderID]])</f>
        <v>276.7996</v>
      </c>
      <c r="K283" t="str" cm="1">
        <f t="array" ref="K283">_xlfn.TEXTJOIN("+",,_xlfn._xlws.SORT(_xlfn.UNIQUE(_xlfn._xlws.FILTER([0]!Category,[0]!OrderID=Table3[[#This Row],[OrderID]]))))</f>
        <v>Beverage+Snack</v>
      </c>
      <c r="L283" s="39">
        <f>SUMIFS([0]!FoodCost,[0]!OrderID,Table3[[#This Row],[OrderID]])</f>
        <v>152.63000000000002</v>
      </c>
      <c r="M283" s="39">
        <f>Table3[[#This Row],[LineAmount]]-Table3[[#This Row],[TotalCost]]</f>
        <v>124.16959999999997</v>
      </c>
      <c r="N283" t="str">
        <f>IF(AND(COUNTIFS([0]!OrderID,Table3[[#This Row],[OrderID]],[0]!Category,"hot meal")&gt;0,COUNTIFS([0]!OrderID,Table3[[#This Row],[OrderID]],[0]!Category,"beverage")&gt;0),"combo","single")</f>
        <v>single</v>
      </c>
      <c r="O283" t="str">
        <f>IF((Table3[[#This Row],[LineAmount]]/(1-Table3[[#This Row],[DiscountPct]]))*Table3[[#This Row],[DiscountPct]]&gt;40,"High Disc","OK")</f>
        <v>High Disc</v>
      </c>
    </row>
    <row r="284" spans="1:15" x14ac:dyDescent="0.3">
      <c r="A284" t="s">
        <v>320</v>
      </c>
      <c r="B284" s="7">
        <v>45890.766608796293</v>
      </c>
      <c r="C284" t="s">
        <v>9</v>
      </c>
      <c r="D284" t="s">
        <v>28</v>
      </c>
      <c r="E284" t="s">
        <v>21</v>
      </c>
      <c r="F284" t="s">
        <v>18</v>
      </c>
      <c r="G284">
        <v>0.02</v>
      </c>
      <c r="H284" s="3">
        <f t="shared" si="4"/>
        <v>45890</v>
      </c>
      <c r="I284" t="str">
        <f>IF(COUNTIFS([0]!OrderID,Table3[[#This Row],[OrderID]],[0]!Category,"beverage")&gt;0,"yes","no")</f>
        <v>yes</v>
      </c>
      <c r="J284">
        <f>SUMIFS([0]!LineNetAmount,[0]!OrderID,Table3[[#This Row],[OrderID]])</f>
        <v>1112.0354</v>
      </c>
      <c r="K284" t="str" cm="1">
        <f t="array" ref="K284">_xlfn.TEXTJOIN("+",,_xlfn._xlws.SORT(_xlfn.UNIQUE(_xlfn._xlws.FILTER([0]!Category,[0]!OrderID=Table3[[#This Row],[OrderID]]))))</f>
        <v>Beverage+Hot Meal+Snack</v>
      </c>
      <c r="L284" s="39">
        <f>SUMIFS([0]!FoodCost,[0]!OrderID,Table3[[#This Row],[OrderID]])</f>
        <v>481.99999999999994</v>
      </c>
      <c r="M284" s="39">
        <f>Table3[[#This Row],[LineAmount]]-Table3[[#This Row],[TotalCost]]</f>
        <v>630.03539999999998</v>
      </c>
      <c r="N284" t="str">
        <f>IF(AND(COUNTIFS([0]!OrderID,Table3[[#This Row],[OrderID]],[0]!Category,"hot meal")&gt;0,COUNTIFS([0]!OrderID,Table3[[#This Row],[OrderID]],[0]!Category,"beverage")&gt;0),"combo","single")</f>
        <v>combo</v>
      </c>
      <c r="O284" t="str">
        <f>IF((Table3[[#This Row],[LineAmount]]/(1-Table3[[#This Row],[DiscountPct]]))*Table3[[#This Row],[DiscountPct]]&gt;40,"High Disc","OK")</f>
        <v>OK</v>
      </c>
    </row>
    <row r="285" spans="1:15" x14ac:dyDescent="0.3">
      <c r="A285" t="s">
        <v>321</v>
      </c>
      <c r="B285" s="7">
        <v>45853.589259259257</v>
      </c>
      <c r="C285" t="s">
        <v>27</v>
      </c>
      <c r="D285" t="s">
        <v>28</v>
      </c>
      <c r="E285" t="s">
        <v>17</v>
      </c>
      <c r="F285" t="s">
        <v>22</v>
      </c>
      <c r="G285">
        <v>0.01</v>
      </c>
      <c r="H285" s="3">
        <f t="shared" si="4"/>
        <v>45853</v>
      </c>
      <c r="I285" t="str">
        <f>IF(COUNTIFS([0]!OrderID,Table3[[#This Row],[OrderID]],[0]!Category,"beverage")&gt;0,"yes","no")</f>
        <v>no</v>
      </c>
      <c r="J285">
        <f>SUMIFS([0]!LineNetAmount,[0]!OrderID,Table3[[#This Row],[OrderID]])</f>
        <v>328.69979999999998</v>
      </c>
      <c r="K285" t="str" cm="1">
        <f t="array" ref="K285">_xlfn.TEXTJOIN("+",,_xlfn._xlws.SORT(_xlfn.UNIQUE(_xlfn._xlws.FILTER([0]!Category,[0]!OrderID=Table3[[#This Row],[OrderID]]))))</f>
        <v>Dessert+Snack</v>
      </c>
      <c r="L285" s="39">
        <f>SUMIFS([0]!FoodCost,[0]!OrderID,Table3[[#This Row],[OrderID]])</f>
        <v>157.66</v>
      </c>
      <c r="M285" s="39">
        <f>Table3[[#This Row],[LineAmount]]-Table3[[#This Row],[TotalCost]]</f>
        <v>171.03979999999999</v>
      </c>
      <c r="N285" t="str">
        <f>IF(AND(COUNTIFS([0]!OrderID,Table3[[#This Row],[OrderID]],[0]!Category,"hot meal")&gt;0,COUNTIFS([0]!OrderID,Table3[[#This Row],[OrderID]],[0]!Category,"beverage")&gt;0),"combo","single")</f>
        <v>single</v>
      </c>
      <c r="O285" t="str">
        <f>IF((Table3[[#This Row],[LineAmount]]/(1-Table3[[#This Row],[DiscountPct]]))*Table3[[#This Row],[DiscountPct]]&gt;40,"High Disc","OK")</f>
        <v>OK</v>
      </c>
    </row>
    <row r="286" spans="1:15" x14ac:dyDescent="0.3">
      <c r="A286" t="s">
        <v>322</v>
      </c>
      <c r="B286" s="7">
        <v>45858.403182870366</v>
      </c>
      <c r="C286" t="s">
        <v>27</v>
      </c>
      <c r="D286" t="s">
        <v>10</v>
      </c>
      <c r="E286" t="s">
        <v>17</v>
      </c>
      <c r="F286" t="s">
        <v>12</v>
      </c>
      <c r="G286">
        <v>0.11</v>
      </c>
      <c r="H286" s="3">
        <f t="shared" si="4"/>
        <v>45858</v>
      </c>
      <c r="I286" t="str">
        <f>IF(COUNTIFS([0]!OrderID,Table3[[#This Row],[OrderID]],[0]!Category,"beverage")&gt;0,"yes","no")</f>
        <v>no</v>
      </c>
      <c r="J286">
        <f>SUMIFS([0]!LineNetAmount,[0]!OrderID,Table3[[#This Row],[OrderID]])</f>
        <v>380.96449999999999</v>
      </c>
      <c r="K286" t="str" cm="1">
        <f t="array" ref="K286">_xlfn.TEXTJOIN("+",,_xlfn._xlws.SORT(_xlfn.UNIQUE(_xlfn._xlws.FILTER([0]!Category,[0]!OrderID=Table3[[#This Row],[OrderID]]))))</f>
        <v>Dessert+Hot Meal+Snack</v>
      </c>
      <c r="L286" s="39">
        <f>SUMIFS([0]!FoodCost,[0]!OrderID,Table3[[#This Row],[OrderID]])</f>
        <v>189.64999999999998</v>
      </c>
      <c r="M286" s="39">
        <f>Table3[[#This Row],[LineAmount]]-Table3[[#This Row],[TotalCost]]</f>
        <v>191.31450000000001</v>
      </c>
      <c r="N286" t="str">
        <f>IF(AND(COUNTIFS([0]!OrderID,Table3[[#This Row],[OrderID]],[0]!Category,"hot meal")&gt;0,COUNTIFS([0]!OrderID,Table3[[#This Row],[OrderID]],[0]!Category,"beverage")&gt;0),"combo","single")</f>
        <v>single</v>
      </c>
      <c r="O286" t="str">
        <f>IF((Table3[[#This Row],[LineAmount]]/(1-Table3[[#This Row],[DiscountPct]]))*Table3[[#This Row],[DiscountPct]]&gt;40,"High Disc","OK")</f>
        <v>High Disc</v>
      </c>
    </row>
    <row r="287" spans="1:15" x14ac:dyDescent="0.3">
      <c r="A287" t="s">
        <v>323</v>
      </c>
      <c r="B287" s="7">
        <v>45856.449178240742</v>
      </c>
      <c r="C287" t="s">
        <v>9</v>
      </c>
      <c r="D287" t="s">
        <v>16</v>
      </c>
      <c r="E287" t="s">
        <v>21</v>
      </c>
      <c r="F287" t="s">
        <v>12</v>
      </c>
      <c r="G287">
        <v>0.09</v>
      </c>
      <c r="H287" s="3">
        <f t="shared" si="4"/>
        <v>45856</v>
      </c>
      <c r="I287" t="str">
        <f>IF(COUNTIFS([0]!OrderID,Table3[[#This Row],[OrderID]],[0]!Category,"beverage")&gt;0,"yes","no")</f>
        <v>no</v>
      </c>
      <c r="J287">
        <f>SUMIFS([0]!LineNetAmount,[0]!OrderID,Table3[[#This Row],[OrderID]])</f>
        <v>294.77629999999999</v>
      </c>
      <c r="K287" t="str" cm="1">
        <f t="array" ref="K287">_xlfn.TEXTJOIN("+",,_xlfn._xlws.SORT(_xlfn.UNIQUE(_xlfn._xlws.FILTER([0]!Category,[0]!OrderID=Table3[[#This Row],[OrderID]]))))</f>
        <v>Dessert+Hot Meal</v>
      </c>
      <c r="L287" s="39">
        <f>SUMIFS([0]!FoodCost,[0]!OrderID,Table3[[#This Row],[OrderID]])</f>
        <v>150.52999999999997</v>
      </c>
      <c r="M287" s="39">
        <f>Table3[[#This Row],[LineAmount]]-Table3[[#This Row],[TotalCost]]</f>
        <v>144.24630000000002</v>
      </c>
      <c r="N287" t="str">
        <f>IF(AND(COUNTIFS([0]!OrderID,Table3[[#This Row],[OrderID]],[0]!Category,"hot meal")&gt;0,COUNTIFS([0]!OrderID,Table3[[#This Row],[OrderID]],[0]!Category,"beverage")&gt;0),"combo","single")</f>
        <v>single</v>
      </c>
      <c r="O287" t="str">
        <f>IF((Table3[[#This Row],[LineAmount]]/(1-Table3[[#This Row],[DiscountPct]]))*Table3[[#This Row],[DiscountPct]]&gt;40,"High Disc","OK")</f>
        <v>OK</v>
      </c>
    </row>
    <row r="288" spans="1:15" x14ac:dyDescent="0.3">
      <c r="A288" t="s">
        <v>324</v>
      </c>
      <c r="B288" s="7">
        <v>45894.056712962964</v>
      </c>
      <c r="C288" t="s">
        <v>9</v>
      </c>
      <c r="D288" t="s">
        <v>10</v>
      </c>
      <c r="E288" t="s">
        <v>11</v>
      </c>
      <c r="F288" t="s">
        <v>12</v>
      </c>
      <c r="G288">
        <v>0.08</v>
      </c>
      <c r="H288" s="3">
        <f t="shared" si="4"/>
        <v>45894</v>
      </c>
      <c r="I288" t="str">
        <f>IF(COUNTIFS([0]!OrderID,Table3[[#This Row],[OrderID]],[0]!Category,"beverage")&gt;0,"yes","no")</f>
        <v>no</v>
      </c>
      <c r="J288">
        <f>SUMIFS([0]!LineNetAmount,[0]!OrderID,Table3[[#This Row],[OrderID]])</f>
        <v>371.04520000000002</v>
      </c>
      <c r="K288" t="str" cm="1">
        <f t="array" ref="K288">_xlfn.TEXTJOIN("+",,_xlfn._xlws.SORT(_xlfn.UNIQUE(_xlfn._xlws.FILTER([0]!Category,[0]!OrderID=Table3[[#This Row],[OrderID]]))))</f>
        <v>Hot Meal</v>
      </c>
      <c r="L288" s="39">
        <f>SUMIFS([0]!FoodCost,[0]!OrderID,Table3[[#This Row],[OrderID]])</f>
        <v>202.16</v>
      </c>
      <c r="M288" s="39">
        <f>Table3[[#This Row],[LineAmount]]-Table3[[#This Row],[TotalCost]]</f>
        <v>168.88520000000003</v>
      </c>
      <c r="N288" t="str">
        <f>IF(AND(COUNTIFS([0]!OrderID,Table3[[#This Row],[OrderID]],[0]!Category,"hot meal")&gt;0,COUNTIFS([0]!OrderID,Table3[[#This Row],[OrderID]],[0]!Category,"beverage")&gt;0),"combo","single")</f>
        <v>single</v>
      </c>
      <c r="O288" t="str">
        <f>IF((Table3[[#This Row],[LineAmount]]/(1-Table3[[#This Row],[DiscountPct]]))*Table3[[#This Row],[DiscountPct]]&gt;40,"High Disc","OK")</f>
        <v>OK</v>
      </c>
    </row>
    <row r="289" spans="1:15" x14ac:dyDescent="0.3">
      <c r="A289" t="s">
        <v>325</v>
      </c>
      <c r="B289" s="7">
        <v>45869.944039351853</v>
      </c>
      <c r="C289" t="s">
        <v>27</v>
      </c>
      <c r="D289" t="s">
        <v>16</v>
      </c>
      <c r="E289" t="s">
        <v>17</v>
      </c>
      <c r="F289" t="s">
        <v>18</v>
      </c>
      <c r="G289">
        <v>0.09</v>
      </c>
      <c r="H289" s="3">
        <f t="shared" si="4"/>
        <v>45869</v>
      </c>
      <c r="I289" t="str">
        <f>IF(COUNTIFS([0]!OrderID,Table3[[#This Row],[OrderID]],[0]!Category,"beverage")&gt;0,"yes","no")</f>
        <v>yes</v>
      </c>
      <c r="J289">
        <f>SUMIFS([0]!LineNetAmount,[0]!OrderID,Table3[[#This Row],[OrderID]])</f>
        <v>291.31830000000002</v>
      </c>
      <c r="K289" t="str" cm="1">
        <f t="array" ref="K289">_xlfn.TEXTJOIN("+",,_xlfn._xlws.SORT(_xlfn.UNIQUE(_xlfn._xlws.FILTER([0]!Category,[0]!OrderID=Table3[[#This Row],[OrderID]]))))</f>
        <v>Beverage+Hot Meal+Snack</v>
      </c>
      <c r="L289" s="39">
        <f>SUMIFS([0]!FoodCost,[0]!OrderID,Table3[[#This Row],[OrderID]])</f>
        <v>144.42999999999998</v>
      </c>
      <c r="M289" s="39">
        <f>Table3[[#This Row],[LineAmount]]-Table3[[#This Row],[TotalCost]]</f>
        <v>146.88830000000004</v>
      </c>
      <c r="N289" t="str">
        <f>IF(AND(COUNTIFS([0]!OrderID,Table3[[#This Row],[OrderID]],[0]!Category,"hot meal")&gt;0,COUNTIFS([0]!OrderID,Table3[[#This Row],[OrderID]],[0]!Category,"beverage")&gt;0),"combo","single")</f>
        <v>combo</v>
      </c>
      <c r="O289" t="str">
        <f>IF((Table3[[#This Row],[LineAmount]]/(1-Table3[[#This Row],[DiscountPct]]))*Table3[[#This Row],[DiscountPct]]&gt;40,"High Disc","OK")</f>
        <v>OK</v>
      </c>
    </row>
    <row r="290" spans="1:15" x14ac:dyDescent="0.3">
      <c r="A290" t="s">
        <v>326</v>
      </c>
      <c r="B290" s="7">
        <v>45882.18414351852</v>
      </c>
      <c r="C290" t="s">
        <v>9</v>
      </c>
      <c r="D290" t="s">
        <v>16</v>
      </c>
      <c r="E290" t="s">
        <v>21</v>
      </c>
      <c r="F290" t="s">
        <v>12</v>
      </c>
      <c r="G290">
        <v>0.06</v>
      </c>
      <c r="H290" s="3">
        <f t="shared" si="4"/>
        <v>45882</v>
      </c>
      <c r="I290" t="str">
        <f>IF(COUNTIFS([0]!OrderID,Table3[[#This Row],[OrderID]],[0]!Category,"beverage")&gt;0,"yes","no")</f>
        <v>yes</v>
      </c>
      <c r="J290">
        <f>SUMIFS([0]!LineNetAmount,[0]!OrderID,Table3[[#This Row],[OrderID]])</f>
        <v>289.78319999999997</v>
      </c>
      <c r="K290" t="str" cm="1">
        <f t="array" ref="K290">_xlfn.TEXTJOIN("+",,_xlfn._xlws.SORT(_xlfn.UNIQUE(_xlfn._xlws.FILTER([0]!Category,[0]!OrderID=Table3[[#This Row],[OrderID]]))))</f>
        <v>Beverage+Dessert+Snack</v>
      </c>
      <c r="L290" s="39">
        <f>SUMIFS([0]!FoodCost,[0]!OrderID,Table3[[#This Row],[OrderID]])</f>
        <v>153.66</v>
      </c>
      <c r="M290" s="39">
        <f>Table3[[#This Row],[LineAmount]]-Table3[[#This Row],[TotalCost]]</f>
        <v>136.12319999999997</v>
      </c>
      <c r="N290" t="str">
        <f>IF(AND(COUNTIFS([0]!OrderID,Table3[[#This Row],[OrderID]],[0]!Category,"hot meal")&gt;0,COUNTIFS([0]!OrderID,Table3[[#This Row],[OrderID]],[0]!Category,"beverage")&gt;0),"combo","single")</f>
        <v>single</v>
      </c>
      <c r="O290" t="str">
        <f>IF((Table3[[#This Row],[LineAmount]]/(1-Table3[[#This Row],[DiscountPct]]))*Table3[[#This Row],[DiscountPct]]&gt;40,"High Disc","OK")</f>
        <v>OK</v>
      </c>
    </row>
    <row r="291" spans="1:15" x14ac:dyDescent="0.3">
      <c r="A291" t="s">
        <v>327</v>
      </c>
      <c r="B291" s="7">
        <v>45873.42019675926</v>
      </c>
      <c r="C291" t="s">
        <v>9</v>
      </c>
      <c r="D291" t="s">
        <v>28</v>
      </c>
      <c r="E291" t="s">
        <v>21</v>
      </c>
      <c r="F291" t="s">
        <v>12</v>
      </c>
      <c r="G291">
        <v>0.02</v>
      </c>
      <c r="H291" s="3">
        <f t="shared" si="4"/>
        <v>45873</v>
      </c>
      <c r="I291" t="str">
        <f>IF(COUNTIFS([0]!OrderID,Table3[[#This Row],[OrderID]],[0]!Category,"beverage")&gt;0,"yes","no")</f>
        <v>yes</v>
      </c>
      <c r="J291">
        <f>SUMIFS([0]!LineNetAmount,[0]!OrderID,Table3[[#This Row],[OrderID]])</f>
        <v>52.028199999999998</v>
      </c>
      <c r="K291" t="str" cm="1">
        <f t="array" ref="K291">_xlfn.TEXTJOIN("+",,_xlfn._xlws.SORT(_xlfn.UNIQUE(_xlfn._xlws.FILTER([0]!Category,[0]!OrderID=Table3[[#This Row],[OrderID]]))))</f>
        <v>Beverage</v>
      </c>
      <c r="L291" s="39">
        <f>SUMIFS([0]!FoodCost,[0]!OrderID,Table3[[#This Row],[OrderID]])</f>
        <v>19.84</v>
      </c>
      <c r="M291" s="39">
        <f>Table3[[#This Row],[LineAmount]]-Table3[[#This Row],[TotalCost]]</f>
        <v>32.188199999999995</v>
      </c>
      <c r="N291" t="str">
        <f>IF(AND(COUNTIFS([0]!OrderID,Table3[[#This Row],[OrderID]],[0]!Category,"hot meal")&gt;0,COUNTIFS([0]!OrderID,Table3[[#This Row],[OrderID]],[0]!Category,"beverage")&gt;0),"combo","single")</f>
        <v>single</v>
      </c>
      <c r="O291" t="str">
        <f>IF((Table3[[#This Row],[LineAmount]]/(1-Table3[[#This Row],[DiscountPct]]))*Table3[[#This Row],[DiscountPct]]&gt;40,"High Disc","OK")</f>
        <v>OK</v>
      </c>
    </row>
    <row r="292" spans="1:15" x14ac:dyDescent="0.3">
      <c r="A292" t="s">
        <v>328</v>
      </c>
      <c r="B292" s="7">
        <v>45883.126481481479</v>
      </c>
      <c r="C292" t="s">
        <v>27</v>
      </c>
      <c r="D292" t="s">
        <v>28</v>
      </c>
      <c r="E292" t="s">
        <v>21</v>
      </c>
      <c r="F292" t="s">
        <v>12</v>
      </c>
      <c r="G292">
        <v>0.06</v>
      </c>
      <c r="H292" s="3">
        <f t="shared" si="4"/>
        <v>45883</v>
      </c>
      <c r="I292" t="str">
        <f>IF(COUNTIFS([0]!OrderID,Table3[[#This Row],[OrderID]],[0]!Category,"beverage")&gt;0,"yes","no")</f>
        <v>no</v>
      </c>
      <c r="J292">
        <f>SUMIFS([0]!LineNetAmount,[0]!OrderID,Table3[[#This Row],[OrderID]])</f>
        <v>482.99080000000004</v>
      </c>
      <c r="K292" t="str" cm="1">
        <f t="array" ref="K292">_xlfn.TEXTJOIN("+",,_xlfn._xlws.SORT(_xlfn.UNIQUE(_xlfn._xlws.FILTER([0]!Category,[0]!OrderID=Table3[[#This Row],[OrderID]]))))</f>
        <v>Hot Meal</v>
      </c>
      <c r="L292" s="39">
        <f>SUMIFS([0]!FoodCost,[0]!OrderID,Table3[[#This Row],[OrderID]])</f>
        <v>242.48</v>
      </c>
      <c r="M292" s="39">
        <f>Table3[[#This Row],[LineAmount]]-Table3[[#This Row],[TotalCost]]</f>
        <v>240.51080000000005</v>
      </c>
      <c r="N292" t="str">
        <f>IF(AND(COUNTIFS([0]!OrderID,Table3[[#This Row],[OrderID]],[0]!Category,"hot meal")&gt;0,COUNTIFS([0]!OrderID,Table3[[#This Row],[OrderID]],[0]!Category,"beverage")&gt;0),"combo","single")</f>
        <v>single</v>
      </c>
      <c r="O292" t="str">
        <f>IF((Table3[[#This Row],[LineAmount]]/(1-Table3[[#This Row],[DiscountPct]]))*Table3[[#This Row],[DiscountPct]]&gt;40,"High Disc","OK")</f>
        <v>OK</v>
      </c>
    </row>
    <row r="293" spans="1:15" x14ac:dyDescent="0.3">
      <c r="A293" t="s">
        <v>329</v>
      </c>
      <c r="B293" s="7">
        <v>45846.699837962973</v>
      </c>
      <c r="C293" t="s">
        <v>9</v>
      </c>
      <c r="D293" t="s">
        <v>28</v>
      </c>
      <c r="E293" t="s">
        <v>11</v>
      </c>
      <c r="F293" t="s">
        <v>18</v>
      </c>
      <c r="G293">
        <v>0.03</v>
      </c>
      <c r="H293" s="3">
        <f t="shared" si="4"/>
        <v>45846</v>
      </c>
      <c r="I293" t="str">
        <f>IF(COUNTIFS([0]!OrderID,Table3[[#This Row],[OrderID]],[0]!Category,"beverage")&gt;0,"yes","no")</f>
        <v>yes</v>
      </c>
      <c r="J293">
        <f>SUMIFS([0]!LineNetAmount,[0]!OrderID,Table3[[#This Row],[OrderID]])</f>
        <v>78.366299999999995</v>
      </c>
      <c r="K293" t="str" cm="1">
        <f t="array" ref="K293">_xlfn.TEXTJOIN("+",,_xlfn._xlws.SORT(_xlfn.UNIQUE(_xlfn._xlws.FILTER([0]!Category,[0]!OrderID=Table3[[#This Row],[OrderID]]))))</f>
        <v>Beverage</v>
      </c>
      <c r="L293" s="39">
        <f>SUMIFS([0]!FoodCost,[0]!OrderID,Table3[[#This Row],[OrderID]])</f>
        <v>36.36</v>
      </c>
      <c r="M293" s="39">
        <f>Table3[[#This Row],[LineAmount]]-Table3[[#This Row],[TotalCost]]</f>
        <v>42.006299999999996</v>
      </c>
      <c r="N293" t="str">
        <f>IF(AND(COUNTIFS([0]!OrderID,Table3[[#This Row],[OrderID]],[0]!Category,"hot meal")&gt;0,COUNTIFS([0]!OrderID,Table3[[#This Row],[OrderID]],[0]!Category,"beverage")&gt;0),"combo","single")</f>
        <v>single</v>
      </c>
      <c r="O293" t="str">
        <f>IF((Table3[[#This Row],[LineAmount]]/(1-Table3[[#This Row],[DiscountPct]]))*Table3[[#This Row],[DiscountPct]]&gt;40,"High Disc","OK")</f>
        <v>OK</v>
      </c>
    </row>
    <row r="294" spans="1:15" x14ac:dyDescent="0.3">
      <c r="A294" t="s">
        <v>330</v>
      </c>
      <c r="B294" s="7">
        <v>45876.57953703704</v>
      </c>
      <c r="C294" t="s">
        <v>15</v>
      </c>
      <c r="D294" t="s">
        <v>10</v>
      </c>
      <c r="E294" t="s">
        <v>11</v>
      </c>
      <c r="F294" t="s">
        <v>22</v>
      </c>
      <c r="G294">
        <v>0.1</v>
      </c>
      <c r="H294" s="3">
        <f t="shared" si="4"/>
        <v>45876</v>
      </c>
      <c r="I294" t="str">
        <f>IF(COUNTIFS([0]!OrderID,Table3[[#This Row],[OrderID]],[0]!Category,"beverage")&gt;0,"yes","no")</f>
        <v>yes</v>
      </c>
      <c r="J294">
        <f>SUMIFS([0]!LineNetAmount,[0]!OrderID,Table3[[#This Row],[OrderID]])</f>
        <v>464.31000000000006</v>
      </c>
      <c r="K294" t="str" cm="1">
        <f t="array" ref="K294">_xlfn.TEXTJOIN("+",,_xlfn._xlws.SORT(_xlfn.UNIQUE(_xlfn._xlws.FILTER([0]!Category,[0]!OrderID=Table3[[#This Row],[OrderID]]))))</f>
        <v>Beverage+Hot Meal</v>
      </c>
      <c r="L294" s="39">
        <f>SUMIFS([0]!FoodCost,[0]!OrderID,Table3[[#This Row],[OrderID]])</f>
        <v>220.8</v>
      </c>
      <c r="M294" s="39">
        <f>Table3[[#This Row],[LineAmount]]-Table3[[#This Row],[TotalCost]]</f>
        <v>243.51000000000005</v>
      </c>
      <c r="N294" t="str">
        <f>IF(AND(COUNTIFS([0]!OrderID,Table3[[#This Row],[OrderID]],[0]!Category,"hot meal")&gt;0,COUNTIFS([0]!OrderID,Table3[[#This Row],[OrderID]],[0]!Category,"beverage")&gt;0),"combo","single")</f>
        <v>combo</v>
      </c>
      <c r="O294" t="str">
        <f>IF((Table3[[#This Row],[LineAmount]]/(1-Table3[[#This Row],[DiscountPct]]))*Table3[[#This Row],[DiscountPct]]&gt;40,"High Disc","OK")</f>
        <v>High Disc</v>
      </c>
    </row>
    <row r="295" spans="1:15" x14ac:dyDescent="0.3">
      <c r="A295" t="s">
        <v>331</v>
      </c>
      <c r="B295" s="7">
        <v>45882.914803240739</v>
      </c>
      <c r="C295" t="s">
        <v>9</v>
      </c>
      <c r="D295" t="s">
        <v>10</v>
      </c>
      <c r="E295" t="s">
        <v>17</v>
      </c>
      <c r="F295" t="s">
        <v>18</v>
      </c>
      <c r="G295">
        <v>0.05</v>
      </c>
      <c r="H295" s="3">
        <f t="shared" si="4"/>
        <v>45882</v>
      </c>
      <c r="I295" t="str">
        <f>IF(COUNTIFS([0]!OrderID,Table3[[#This Row],[OrderID]],[0]!Category,"beverage")&gt;0,"yes","no")</f>
        <v>yes</v>
      </c>
      <c r="J295">
        <f>SUMIFS([0]!LineNetAmount,[0]!OrderID,Table3[[#This Row],[OrderID]])</f>
        <v>54.016999999999996</v>
      </c>
      <c r="K295" t="str" cm="1">
        <f t="array" ref="K295">_xlfn.TEXTJOIN("+",,_xlfn._xlws.SORT(_xlfn.UNIQUE(_xlfn._xlws.FILTER([0]!Category,[0]!OrderID=Table3[[#This Row],[OrderID]]))))</f>
        <v>Beverage</v>
      </c>
      <c r="L295" s="39">
        <f>SUMIFS([0]!FoodCost,[0]!OrderID,Table3[[#This Row],[OrderID]])</f>
        <v>27.78</v>
      </c>
      <c r="M295" s="39">
        <f>Table3[[#This Row],[LineAmount]]-Table3[[#This Row],[TotalCost]]</f>
        <v>26.236999999999995</v>
      </c>
      <c r="N295" t="str">
        <f>IF(AND(COUNTIFS([0]!OrderID,Table3[[#This Row],[OrderID]],[0]!Category,"hot meal")&gt;0,COUNTIFS([0]!OrderID,Table3[[#This Row],[OrderID]],[0]!Category,"beverage")&gt;0),"combo","single")</f>
        <v>single</v>
      </c>
      <c r="O295" t="str">
        <f>IF((Table3[[#This Row],[LineAmount]]/(1-Table3[[#This Row],[DiscountPct]]))*Table3[[#This Row],[DiscountPct]]&gt;40,"High Disc","OK")</f>
        <v>OK</v>
      </c>
    </row>
    <row r="296" spans="1:15" x14ac:dyDescent="0.3">
      <c r="A296" t="s">
        <v>332</v>
      </c>
      <c r="B296" s="7">
        <v>45897.990231481483</v>
      </c>
      <c r="C296" t="s">
        <v>15</v>
      </c>
      <c r="D296" t="s">
        <v>10</v>
      </c>
      <c r="E296" t="s">
        <v>17</v>
      </c>
      <c r="F296" t="s">
        <v>18</v>
      </c>
      <c r="G296">
        <v>0.03</v>
      </c>
      <c r="H296" s="3">
        <f t="shared" si="4"/>
        <v>45897</v>
      </c>
      <c r="I296" t="str">
        <f>IF(COUNTIFS([0]!OrderID,Table3[[#This Row],[OrderID]],[0]!Category,"beverage")&gt;0,"yes","no")</f>
        <v>yes</v>
      </c>
      <c r="J296">
        <f>SUMIFS([0]!LineNetAmount,[0]!OrderID,Table3[[#This Row],[OrderID]])</f>
        <v>76.891899999999993</v>
      </c>
      <c r="K296" t="str" cm="1">
        <f t="array" ref="K296">_xlfn.TEXTJOIN("+",,_xlfn._xlws.SORT(_xlfn.UNIQUE(_xlfn._xlws.FILTER([0]!Category,[0]!OrderID=Table3[[#This Row],[OrderID]]))))</f>
        <v>Beverage+Dessert</v>
      </c>
      <c r="L296" s="39">
        <f>SUMIFS([0]!FoodCost,[0]!OrderID,Table3[[#This Row],[OrderID]])</f>
        <v>38.520000000000003</v>
      </c>
      <c r="M296" s="39">
        <f>Table3[[#This Row],[LineAmount]]-Table3[[#This Row],[TotalCost]]</f>
        <v>38.371899999999989</v>
      </c>
      <c r="N296" t="str">
        <f>IF(AND(COUNTIFS([0]!OrderID,Table3[[#This Row],[OrderID]],[0]!Category,"hot meal")&gt;0,COUNTIFS([0]!OrderID,Table3[[#This Row],[OrderID]],[0]!Category,"beverage")&gt;0),"combo","single")</f>
        <v>single</v>
      </c>
      <c r="O296" t="str">
        <f>IF((Table3[[#This Row],[LineAmount]]/(1-Table3[[#This Row],[DiscountPct]]))*Table3[[#This Row],[DiscountPct]]&gt;40,"High Disc","OK")</f>
        <v>OK</v>
      </c>
    </row>
    <row r="297" spans="1:15" x14ac:dyDescent="0.3">
      <c r="A297" t="s">
        <v>333</v>
      </c>
      <c r="B297" s="7">
        <v>45882.991446759261</v>
      </c>
      <c r="C297" t="s">
        <v>27</v>
      </c>
      <c r="D297" t="s">
        <v>16</v>
      </c>
      <c r="E297" t="s">
        <v>11</v>
      </c>
      <c r="F297" t="s">
        <v>18</v>
      </c>
      <c r="G297">
        <v>0.05</v>
      </c>
      <c r="H297" s="3">
        <f t="shared" si="4"/>
        <v>45882</v>
      </c>
      <c r="I297" t="str">
        <f>IF(COUNTIFS([0]!OrderID,Table3[[#This Row],[OrderID]],[0]!Category,"beverage")&gt;0,"yes","no")</f>
        <v>no</v>
      </c>
      <c r="J297">
        <f>SUMIFS([0]!LineNetAmount,[0]!OrderID,Table3[[#This Row],[OrderID]])</f>
        <v>161.53800000000001</v>
      </c>
      <c r="K297" t="str" cm="1">
        <f t="array" ref="K297">_xlfn.TEXTJOIN("+",,_xlfn._xlws.SORT(_xlfn.UNIQUE(_xlfn._xlws.FILTER([0]!Category,[0]!OrderID=Table3[[#This Row],[OrderID]]))))</f>
        <v>Snack</v>
      </c>
      <c r="L297" s="39">
        <f>SUMIFS([0]!FoodCost,[0]!OrderID,Table3[[#This Row],[OrderID]])</f>
        <v>69.14</v>
      </c>
      <c r="M297" s="39">
        <f>Table3[[#This Row],[LineAmount]]-Table3[[#This Row],[TotalCost]]</f>
        <v>92.39800000000001</v>
      </c>
      <c r="N297" t="str">
        <f>IF(AND(COUNTIFS([0]!OrderID,Table3[[#This Row],[OrderID]],[0]!Category,"hot meal")&gt;0,COUNTIFS([0]!OrderID,Table3[[#This Row],[OrderID]],[0]!Category,"beverage")&gt;0),"combo","single")</f>
        <v>single</v>
      </c>
      <c r="O297" t="str">
        <f>IF((Table3[[#This Row],[LineAmount]]/(1-Table3[[#This Row],[DiscountPct]]))*Table3[[#This Row],[DiscountPct]]&gt;40,"High Disc","OK")</f>
        <v>OK</v>
      </c>
    </row>
    <row r="298" spans="1:15" x14ac:dyDescent="0.3">
      <c r="A298" t="s">
        <v>334</v>
      </c>
      <c r="B298" s="7">
        <v>45888.236840277779</v>
      </c>
      <c r="C298" t="s">
        <v>9</v>
      </c>
      <c r="D298" t="s">
        <v>28</v>
      </c>
      <c r="E298" t="s">
        <v>17</v>
      </c>
      <c r="F298" t="s">
        <v>12</v>
      </c>
      <c r="G298">
        <v>0.08</v>
      </c>
      <c r="H298" s="3">
        <f t="shared" si="4"/>
        <v>45888</v>
      </c>
      <c r="I298" t="str">
        <f>IF(COUNTIFS([0]!OrderID,Table3[[#This Row],[OrderID]],[0]!Category,"beverage")&gt;0,"yes","no")</f>
        <v>no</v>
      </c>
      <c r="J298">
        <f>SUMIFS([0]!LineNetAmount,[0]!OrderID,Table3[[#This Row],[OrderID]])</f>
        <v>194.69040000000001</v>
      </c>
      <c r="K298" t="str" cm="1">
        <f t="array" ref="K298">_xlfn.TEXTJOIN("+",,_xlfn._xlws.SORT(_xlfn.UNIQUE(_xlfn._xlws.FILTER([0]!Category,[0]!OrderID=Table3[[#This Row],[OrderID]]))))</f>
        <v>Snack</v>
      </c>
      <c r="L298" s="39">
        <f>SUMIFS([0]!FoodCost,[0]!OrderID,Table3[[#This Row],[OrderID]])</f>
        <v>107.43</v>
      </c>
      <c r="M298" s="39">
        <f>Table3[[#This Row],[LineAmount]]-Table3[[#This Row],[TotalCost]]</f>
        <v>87.260400000000004</v>
      </c>
      <c r="N298" t="str">
        <f>IF(AND(COUNTIFS([0]!OrderID,Table3[[#This Row],[OrderID]],[0]!Category,"hot meal")&gt;0,COUNTIFS([0]!OrderID,Table3[[#This Row],[OrderID]],[0]!Category,"beverage")&gt;0),"combo","single")</f>
        <v>single</v>
      </c>
      <c r="O298" t="str">
        <f>IF((Table3[[#This Row],[LineAmount]]/(1-Table3[[#This Row],[DiscountPct]]))*Table3[[#This Row],[DiscountPct]]&gt;40,"High Disc","OK")</f>
        <v>OK</v>
      </c>
    </row>
    <row r="299" spans="1:15" x14ac:dyDescent="0.3">
      <c r="A299" t="s">
        <v>335</v>
      </c>
      <c r="B299" s="7">
        <v>45881.752106481479</v>
      </c>
      <c r="C299" t="s">
        <v>15</v>
      </c>
      <c r="D299" t="s">
        <v>10</v>
      </c>
      <c r="E299" t="s">
        <v>11</v>
      </c>
      <c r="F299" t="s">
        <v>18</v>
      </c>
      <c r="G299">
        <v>0.04</v>
      </c>
      <c r="H299" s="3">
        <f t="shared" si="4"/>
        <v>45881</v>
      </c>
      <c r="I299" t="str">
        <f>IF(COUNTIFS([0]!OrderID,Table3[[#This Row],[OrderID]],[0]!Category,"beverage")&gt;0,"yes","no")</f>
        <v>no</v>
      </c>
      <c r="J299">
        <f>SUMIFS([0]!LineNetAmount,[0]!OrderID,Table3[[#This Row],[OrderID]])</f>
        <v>246.6336</v>
      </c>
      <c r="K299" t="str" cm="1">
        <f t="array" ref="K299">_xlfn.TEXTJOIN("+",,_xlfn._xlws.SORT(_xlfn.UNIQUE(_xlfn._xlws.FILTER([0]!Category,[0]!OrderID=Table3[[#This Row],[OrderID]]))))</f>
        <v>Hot Meal</v>
      </c>
      <c r="L299" s="39">
        <f>SUMIFS([0]!FoodCost,[0]!OrderID,Table3[[#This Row],[OrderID]])</f>
        <v>121.24</v>
      </c>
      <c r="M299" s="39">
        <f>Table3[[#This Row],[LineAmount]]-Table3[[#This Row],[TotalCost]]</f>
        <v>125.39360000000001</v>
      </c>
      <c r="N299" t="str">
        <f>IF(AND(COUNTIFS([0]!OrderID,Table3[[#This Row],[OrderID]],[0]!Category,"hot meal")&gt;0,COUNTIFS([0]!OrderID,Table3[[#This Row],[OrderID]],[0]!Category,"beverage")&gt;0),"combo","single")</f>
        <v>single</v>
      </c>
      <c r="O299" t="str">
        <f>IF((Table3[[#This Row],[LineAmount]]/(1-Table3[[#This Row],[DiscountPct]]))*Table3[[#This Row],[DiscountPct]]&gt;40,"High Disc","OK")</f>
        <v>OK</v>
      </c>
    </row>
    <row r="300" spans="1:15" x14ac:dyDescent="0.3">
      <c r="A300" t="s">
        <v>336</v>
      </c>
      <c r="B300" s="7">
        <v>45874.580983796302</v>
      </c>
      <c r="C300" t="s">
        <v>15</v>
      </c>
      <c r="D300" t="s">
        <v>16</v>
      </c>
      <c r="E300" t="s">
        <v>21</v>
      </c>
      <c r="F300" t="s">
        <v>22</v>
      </c>
      <c r="G300">
        <v>0.03</v>
      </c>
      <c r="H300" s="3">
        <f t="shared" si="4"/>
        <v>45874</v>
      </c>
      <c r="I300" t="str">
        <f>IF(COUNTIFS([0]!OrderID,Table3[[#This Row],[OrderID]],[0]!Category,"beverage")&gt;0,"yes","no")</f>
        <v>yes</v>
      </c>
      <c r="J300">
        <f>SUMIFS([0]!LineNetAmount,[0]!OrderID,Table3[[#This Row],[OrderID]])</f>
        <v>453.73690000000005</v>
      </c>
      <c r="K300" t="str" cm="1">
        <f t="array" ref="K300">_xlfn.TEXTJOIN("+",,_xlfn._xlws.SORT(_xlfn.UNIQUE(_xlfn._xlws.FILTER([0]!Category,[0]!OrderID=Table3[[#This Row],[OrderID]]))))</f>
        <v>Beverage+Dessert+Hot Meal+Snack</v>
      </c>
      <c r="L300" s="39">
        <f>SUMIFS([0]!FoodCost,[0]!OrderID,Table3[[#This Row],[OrderID]])</f>
        <v>238.36</v>
      </c>
      <c r="M300" s="39">
        <f>Table3[[#This Row],[LineAmount]]-Table3[[#This Row],[TotalCost]]</f>
        <v>215.37690000000003</v>
      </c>
      <c r="N300" t="str">
        <f>IF(AND(COUNTIFS([0]!OrderID,Table3[[#This Row],[OrderID]],[0]!Category,"hot meal")&gt;0,COUNTIFS([0]!OrderID,Table3[[#This Row],[OrderID]],[0]!Category,"beverage")&gt;0),"combo","single")</f>
        <v>combo</v>
      </c>
      <c r="O300" t="str">
        <f>IF((Table3[[#This Row],[LineAmount]]/(1-Table3[[#This Row],[DiscountPct]]))*Table3[[#This Row],[DiscountPct]]&gt;40,"High Disc","OK")</f>
        <v>OK</v>
      </c>
    </row>
    <row r="301" spans="1:15" x14ac:dyDescent="0.3">
      <c r="A301" t="s">
        <v>337</v>
      </c>
      <c r="B301" s="7">
        <v>45872.102187500001</v>
      </c>
      <c r="C301" t="s">
        <v>9</v>
      </c>
      <c r="D301" t="s">
        <v>10</v>
      </c>
      <c r="E301" t="s">
        <v>17</v>
      </c>
      <c r="F301" t="s">
        <v>12</v>
      </c>
      <c r="G301">
        <v>7.0000000000000007E-2</v>
      </c>
      <c r="H301" s="3">
        <f t="shared" si="4"/>
        <v>45872</v>
      </c>
      <c r="I301" t="str">
        <f>IF(COUNTIFS([0]!OrderID,Table3[[#This Row],[OrderID]],[0]!Category,"beverage")&gt;0,"yes","no")</f>
        <v>no</v>
      </c>
      <c r="J301">
        <f>SUMIFS([0]!LineNetAmount,[0]!OrderID,Table3[[#This Row],[OrderID]])</f>
        <v>376.82670000000002</v>
      </c>
      <c r="K301" t="str" cm="1">
        <f t="array" ref="K301">_xlfn.TEXTJOIN("+",,_xlfn._xlws.SORT(_xlfn.UNIQUE(_xlfn._xlws.FILTER([0]!Category,[0]!OrderID=Table3[[#This Row],[OrderID]]))))</f>
        <v>Dessert+Hot Meal+Snack</v>
      </c>
      <c r="L301" s="39">
        <f>SUMIFS([0]!FoodCost,[0]!OrderID,Table3[[#This Row],[OrderID]])</f>
        <v>185.63</v>
      </c>
      <c r="M301" s="39">
        <f>Table3[[#This Row],[LineAmount]]-Table3[[#This Row],[TotalCost]]</f>
        <v>191.19670000000002</v>
      </c>
      <c r="N301" t="str">
        <f>IF(AND(COUNTIFS([0]!OrderID,Table3[[#This Row],[OrderID]],[0]!Category,"hot meal")&gt;0,COUNTIFS([0]!OrderID,Table3[[#This Row],[OrderID]],[0]!Category,"beverage")&gt;0),"combo","single")</f>
        <v>single</v>
      </c>
      <c r="O301" t="str">
        <f>IF((Table3[[#This Row],[LineAmount]]/(1-Table3[[#This Row],[DiscountPct]]))*Table3[[#This Row],[DiscountPct]]&gt;40,"High Disc","OK")</f>
        <v>OK</v>
      </c>
    </row>
    <row r="302" spans="1:15" x14ac:dyDescent="0.3">
      <c r="A302" t="s">
        <v>338</v>
      </c>
      <c r="B302" s="7">
        <v>45845.649398148147</v>
      </c>
      <c r="C302" t="s">
        <v>15</v>
      </c>
      <c r="D302" t="s">
        <v>28</v>
      </c>
      <c r="E302" t="s">
        <v>11</v>
      </c>
      <c r="F302" t="s">
        <v>22</v>
      </c>
      <c r="G302">
        <v>7.0000000000000007E-2</v>
      </c>
      <c r="H302" s="3">
        <f t="shared" si="4"/>
        <v>45845</v>
      </c>
      <c r="I302" t="str">
        <f>IF(COUNTIFS([0]!OrderID,Table3[[#This Row],[OrderID]],[0]!Category,"beverage")&gt;0,"yes","no")</f>
        <v>no</v>
      </c>
      <c r="J302">
        <f>SUMIFS([0]!LineNetAmount,[0]!OrderID,Table3[[#This Row],[OrderID]])</f>
        <v>349.06619999999998</v>
      </c>
      <c r="K302" t="str" cm="1">
        <f t="array" ref="K302">_xlfn.TEXTJOIN("+",,_xlfn._xlws.SORT(_xlfn.UNIQUE(_xlfn._xlws.FILTER([0]!Category,[0]!OrderID=Table3[[#This Row],[OrderID]]))))</f>
        <v>Dessert+Snack</v>
      </c>
      <c r="L302" s="39">
        <f>SUMIFS([0]!FoodCost,[0]!OrderID,Table3[[#This Row],[OrderID]])</f>
        <v>164.47</v>
      </c>
      <c r="M302" s="39">
        <f>Table3[[#This Row],[LineAmount]]-Table3[[#This Row],[TotalCost]]</f>
        <v>184.59619999999998</v>
      </c>
      <c r="N302" t="str">
        <f>IF(AND(COUNTIFS([0]!OrderID,Table3[[#This Row],[OrderID]],[0]!Category,"hot meal")&gt;0,COUNTIFS([0]!OrderID,Table3[[#This Row],[OrderID]],[0]!Category,"beverage")&gt;0),"combo","single")</f>
        <v>single</v>
      </c>
      <c r="O302" t="str">
        <f>IF((Table3[[#This Row],[LineAmount]]/(1-Table3[[#This Row],[DiscountPct]]))*Table3[[#This Row],[DiscountPct]]&gt;40,"High Disc","OK")</f>
        <v>OK</v>
      </c>
    </row>
    <row r="303" spans="1:15" x14ac:dyDescent="0.3">
      <c r="A303" t="s">
        <v>339</v>
      </c>
      <c r="B303" s="7">
        <v>45866.83792824074</v>
      </c>
      <c r="C303" t="s">
        <v>15</v>
      </c>
      <c r="D303" t="s">
        <v>10</v>
      </c>
      <c r="E303" t="s">
        <v>11</v>
      </c>
      <c r="F303" t="s">
        <v>18</v>
      </c>
      <c r="G303">
        <v>0.04</v>
      </c>
      <c r="H303" s="3">
        <f t="shared" si="4"/>
        <v>45866</v>
      </c>
      <c r="I303" t="str">
        <f>IF(COUNTIFS([0]!OrderID,Table3[[#This Row],[OrderID]],[0]!Category,"beverage")&gt;0,"yes","no")</f>
        <v>yes</v>
      </c>
      <c r="J303">
        <f>SUMIFS([0]!LineNetAmount,[0]!OrderID,Table3[[#This Row],[OrderID]])</f>
        <v>63.935999999999993</v>
      </c>
      <c r="K303" t="str" cm="1">
        <f t="array" ref="K303">_xlfn.TEXTJOIN("+",,_xlfn._xlws.SORT(_xlfn.UNIQUE(_xlfn._xlws.FILTER([0]!Category,[0]!OrderID=Table3[[#This Row],[OrderID]]))))</f>
        <v>Beverage</v>
      </c>
      <c r="L303" s="39">
        <f>SUMIFS([0]!FoodCost,[0]!OrderID,Table3[[#This Row],[OrderID]])</f>
        <v>28.14</v>
      </c>
      <c r="M303" s="39">
        <f>Table3[[#This Row],[LineAmount]]-Table3[[#This Row],[TotalCost]]</f>
        <v>35.795999999999992</v>
      </c>
      <c r="N303" t="str">
        <f>IF(AND(COUNTIFS([0]!OrderID,Table3[[#This Row],[OrderID]],[0]!Category,"hot meal")&gt;0,COUNTIFS([0]!OrderID,Table3[[#This Row],[OrderID]],[0]!Category,"beverage")&gt;0),"combo","single")</f>
        <v>single</v>
      </c>
      <c r="O303" t="str">
        <f>IF((Table3[[#This Row],[LineAmount]]/(1-Table3[[#This Row],[DiscountPct]]))*Table3[[#This Row],[DiscountPct]]&gt;40,"High Disc","OK")</f>
        <v>OK</v>
      </c>
    </row>
    <row r="304" spans="1:15" x14ac:dyDescent="0.3">
      <c r="A304" t="s">
        <v>340</v>
      </c>
      <c r="B304" s="7">
        <v>45871.616238425922</v>
      </c>
      <c r="C304" t="s">
        <v>27</v>
      </c>
      <c r="D304" t="s">
        <v>10</v>
      </c>
      <c r="E304" t="s">
        <v>11</v>
      </c>
      <c r="F304" t="s">
        <v>22</v>
      </c>
      <c r="G304">
        <v>0.04</v>
      </c>
      <c r="H304" s="3">
        <f t="shared" si="4"/>
        <v>45871</v>
      </c>
      <c r="I304" t="str">
        <f>IF(COUNTIFS([0]!OrderID,Table3[[#This Row],[OrderID]],[0]!Category,"beverage")&gt;0,"yes","no")</f>
        <v>no</v>
      </c>
      <c r="J304">
        <f>SUMIFS([0]!LineNetAmount,[0]!OrderID,Table3[[#This Row],[OrderID]])</f>
        <v>149.7792</v>
      </c>
      <c r="K304" t="str" cm="1">
        <f t="array" ref="K304">_xlfn.TEXTJOIN("+",,_xlfn._xlws.SORT(_xlfn.UNIQUE(_xlfn._xlws.FILTER([0]!Category,[0]!OrderID=Table3[[#This Row],[OrderID]]))))</f>
        <v>Snack</v>
      </c>
      <c r="L304" s="39">
        <f>SUMIFS([0]!FoodCost,[0]!OrderID,Table3[[#This Row],[OrderID]])</f>
        <v>70.12</v>
      </c>
      <c r="M304" s="39">
        <f>Table3[[#This Row],[LineAmount]]-Table3[[#This Row],[TotalCost]]</f>
        <v>79.659199999999998</v>
      </c>
      <c r="N304" t="str">
        <f>IF(AND(COUNTIFS([0]!OrderID,Table3[[#This Row],[OrderID]],[0]!Category,"hot meal")&gt;0,COUNTIFS([0]!OrderID,Table3[[#This Row],[OrderID]],[0]!Category,"beverage")&gt;0),"combo","single")</f>
        <v>single</v>
      </c>
      <c r="O304" t="str">
        <f>IF((Table3[[#This Row],[LineAmount]]/(1-Table3[[#This Row],[DiscountPct]]))*Table3[[#This Row],[DiscountPct]]&gt;40,"High Disc","OK")</f>
        <v>OK</v>
      </c>
    </row>
    <row r="305" spans="1:15" x14ac:dyDescent="0.3">
      <c r="A305" t="s">
        <v>341</v>
      </c>
      <c r="B305" s="7">
        <v>45873.214224537027</v>
      </c>
      <c r="C305" t="s">
        <v>15</v>
      </c>
      <c r="D305" t="s">
        <v>10</v>
      </c>
      <c r="E305" t="s">
        <v>11</v>
      </c>
      <c r="F305" t="s">
        <v>12</v>
      </c>
      <c r="G305">
        <v>7.0000000000000007E-2</v>
      </c>
      <c r="H305" s="3">
        <f t="shared" si="4"/>
        <v>45873</v>
      </c>
      <c r="I305" t="str">
        <f>IF(COUNTIFS([0]!OrderID,Table3[[#This Row],[OrderID]],[0]!Category,"beverage")&gt;0,"yes","no")</f>
        <v>yes</v>
      </c>
      <c r="J305">
        <f>SUMIFS([0]!LineNetAmount,[0]!OrderID,Table3[[#This Row],[OrderID]])</f>
        <v>30.671399999999995</v>
      </c>
      <c r="K305" t="str" cm="1">
        <f t="array" ref="K305">_xlfn.TEXTJOIN("+",,_xlfn._xlws.SORT(_xlfn.UNIQUE(_xlfn._xlws.FILTER([0]!Category,[0]!OrderID=Table3[[#This Row],[OrderID]]))))</f>
        <v>Beverage</v>
      </c>
      <c r="L305" s="39">
        <f>SUMIFS([0]!FoodCost,[0]!OrderID,Table3[[#This Row],[OrderID]])</f>
        <v>11.84</v>
      </c>
      <c r="M305" s="39">
        <f>Table3[[#This Row],[LineAmount]]-Table3[[#This Row],[TotalCost]]</f>
        <v>18.831399999999995</v>
      </c>
      <c r="N305" t="str">
        <f>IF(AND(COUNTIFS([0]!OrderID,Table3[[#This Row],[OrderID]],[0]!Category,"hot meal")&gt;0,COUNTIFS([0]!OrderID,Table3[[#This Row],[OrderID]],[0]!Category,"beverage")&gt;0),"combo","single")</f>
        <v>single</v>
      </c>
      <c r="O305" t="str">
        <f>IF((Table3[[#This Row],[LineAmount]]/(1-Table3[[#This Row],[DiscountPct]]))*Table3[[#This Row],[DiscountPct]]&gt;40,"High Disc","OK")</f>
        <v>OK</v>
      </c>
    </row>
    <row r="306" spans="1:15" x14ac:dyDescent="0.3">
      <c r="A306" t="s">
        <v>342</v>
      </c>
      <c r="B306" s="7">
        <v>45851.769953703697</v>
      </c>
      <c r="C306" t="s">
        <v>9</v>
      </c>
      <c r="D306" t="s">
        <v>10</v>
      </c>
      <c r="E306" t="s">
        <v>17</v>
      </c>
      <c r="F306" t="s">
        <v>18</v>
      </c>
      <c r="G306">
        <v>0</v>
      </c>
      <c r="H306" s="3">
        <f t="shared" si="4"/>
        <v>45851</v>
      </c>
      <c r="I306" t="str">
        <f>IF(COUNTIFS([0]!OrderID,Table3[[#This Row],[OrderID]],[0]!Category,"beverage")&gt;0,"yes","no")</f>
        <v>no</v>
      </c>
      <c r="J306">
        <f>SUMIFS([0]!LineNetAmount,[0]!OrderID,Table3[[#This Row],[OrderID]])</f>
        <v>572.08000000000004</v>
      </c>
      <c r="K306" t="str" cm="1">
        <f t="array" ref="K306">_xlfn.TEXTJOIN("+",,_xlfn._xlws.SORT(_xlfn.UNIQUE(_xlfn._xlws.FILTER([0]!Category,[0]!OrderID=Table3[[#This Row],[OrderID]]))))</f>
        <v>Hot Meal+Snack</v>
      </c>
      <c r="L306" s="39">
        <f>SUMIFS([0]!FoodCost,[0]!OrderID,Table3[[#This Row],[OrderID]])</f>
        <v>255.18</v>
      </c>
      <c r="M306" s="39">
        <f>Table3[[#This Row],[LineAmount]]-Table3[[#This Row],[TotalCost]]</f>
        <v>316.90000000000003</v>
      </c>
      <c r="N306" t="str">
        <f>IF(AND(COUNTIFS([0]!OrderID,Table3[[#This Row],[OrderID]],[0]!Category,"hot meal")&gt;0,COUNTIFS([0]!OrderID,Table3[[#This Row],[OrderID]],[0]!Category,"beverage")&gt;0),"combo","single")</f>
        <v>single</v>
      </c>
      <c r="O306" t="str">
        <f>IF((Table3[[#This Row],[LineAmount]]/(1-Table3[[#This Row],[DiscountPct]]))*Table3[[#This Row],[DiscountPct]]&gt;40,"High Disc","OK")</f>
        <v>OK</v>
      </c>
    </row>
    <row r="307" spans="1:15" x14ac:dyDescent="0.3">
      <c r="A307" t="s">
        <v>343</v>
      </c>
      <c r="B307" s="7">
        <v>45893.515949074077</v>
      </c>
      <c r="C307" t="s">
        <v>15</v>
      </c>
      <c r="D307" t="s">
        <v>10</v>
      </c>
      <c r="E307" t="s">
        <v>21</v>
      </c>
      <c r="F307" t="s">
        <v>22</v>
      </c>
      <c r="G307">
        <v>0</v>
      </c>
      <c r="H307" s="3">
        <f t="shared" si="4"/>
        <v>45893</v>
      </c>
      <c r="I307" t="str">
        <f>IF(COUNTIFS([0]!OrderID,Table3[[#This Row],[OrderID]],[0]!Category,"beverage")&gt;0,"yes","no")</f>
        <v>yes</v>
      </c>
      <c r="J307">
        <f>SUMIFS([0]!LineNetAmount,[0]!OrderID,Table3[[#This Row],[OrderID]])</f>
        <v>680.33</v>
      </c>
      <c r="K307" t="str" cm="1">
        <f t="array" ref="K307">_xlfn.TEXTJOIN("+",,_xlfn._xlws.SORT(_xlfn.UNIQUE(_xlfn._xlws.FILTER([0]!Category,[0]!OrderID=Table3[[#This Row],[OrderID]]))))</f>
        <v>Beverage+Hot Meal+Snack</v>
      </c>
      <c r="L307" s="39">
        <f>SUMIFS([0]!FoodCost,[0]!OrderID,Table3[[#This Row],[OrderID]])</f>
        <v>347.44</v>
      </c>
      <c r="M307" s="39">
        <f>Table3[[#This Row],[LineAmount]]-Table3[[#This Row],[TotalCost]]</f>
        <v>332.89000000000004</v>
      </c>
      <c r="N307" t="str">
        <f>IF(AND(COUNTIFS([0]!OrderID,Table3[[#This Row],[OrderID]],[0]!Category,"hot meal")&gt;0,COUNTIFS([0]!OrderID,Table3[[#This Row],[OrderID]],[0]!Category,"beverage")&gt;0),"combo","single")</f>
        <v>combo</v>
      </c>
      <c r="O307" t="str">
        <f>IF((Table3[[#This Row],[LineAmount]]/(1-Table3[[#This Row],[DiscountPct]]))*Table3[[#This Row],[DiscountPct]]&gt;40,"High Disc","OK")</f>
        <v>OK</v>
      </c>
    </row>
    <row r="308" spans="1:15" x14ac:dyDescent="0.3">
      <c r="A308" t="s">
        <v>344</v>
      </c>
      <c r="B308" s="7">
        <v>45890.357719907413</v>
      </c>
      <c r="C308" t="s">
        <v>27</v>
      </c>
      <c r="D308" t="s">
        <v>10</v>
      </c>
      <c r="E308" t="s">
        <v>11</v>
      </c>
      <c r="F308" t="s">
        <v>12</v>
      </c>
      <c r="G308">
        <v>0.03</v>
      </c>
      <c r="H308" s="3">
        <f t="shared" si="4"/>
        <v>45890</v>
      </c>
      <c r="I308" t="str">
        <f>IF(COUNTIFS([0]!OrderID,Table3[[#This Row],[OrderID]],[0]!Category,"beverage")&gt;0,"yes","no")</f>
        <v>yes</v>
      </c>
      <c r="J308">
        <f>SUMIFS([0]!LineNetAmount,[0]!OrderID,Table3[[#This Row],[OrderID]])</f>
        <v>414.88839999999999</v>
      </c>
      <c r="K308" t="str" cm="1">
        <f t="array" ref="K308">_xlfn.TEXTJOIN("+",,_xlfn._xlws.SORT(_xlfn.UNIQUE(_xlfn._xlws.FILTER([0]!Category,[0]!OrderID=Table3[[#This Row],[OrderID]]))))</f>
        <v>Beverage+Dessert+Hot Meal</v>
      </c>
      <c r="L308" s="39">
        <f>SUMIFS([0]!FoodCost,[0]!OrderID,Table3[[#This Row],[OrderID]])</f>
        <v>197.43</v>
      </c>
      <c r="M308" s="39">
        <f>Table3[[#This Row],[LineAmount]]-Table3[[#This Row],[TotalCost]]</f>
        <v>217.45839999999998</v>
      </c>
      <c r="N308" t="str">
        <f>IF(AND(COUNTIFS([0]!OrderID,Table3[[#This Row],[OrderID]],[0]!Category,"hot meal")&gt;0,COUNTIFS([0]!OrderID,Table3[[#This Row],[OrderID]],[0]!Category,"beverage")&gt;0),"combo","single")</f>
        <v>combo</v>
      </c>
      <c r="O308" t="str">
        <f>IF((Table3[[#This Row],[LineAmount]]/(1-Table3[[#This Row],[DiscountPct]]))*Table3[[#This Row],[DiscountPct]]&gt;40,"High Disc","OK")</f>
        <v>OK</v>
      </c>
    </row>
    <row r="309" spans="1:15" x14ac:dyDescent="0.3">
      <c r="A309" t="s">
        <v>345</v>
      </c>
      <c r="B309" s="7">
        <v>45888.619328703702</v>
      </c>
      <c r="C309" t="s">
        <v>15</v>
      </c>
      <c r="D309" t="s">
        <v>28</v>
      </c>
      <c r="E309" t="s">
        <v>21</v>
      </c>
      <c r="F309" t="s">
        <v>22</v>
      </c>
      <c r="G309">
        <v>0.05</v>
      </c>
      <c r="H309" s="3">
        <f t="shared" si="4"/>
        <v>45888</v>
      </c>
      <c r="I309" t="str">
        <f>IF(COUNTIFS([0]!OrderID,Table3[[#This Row],[OrderID]],[0]!Category,"beverage")&gt;0,"yes","no")</f>
        <v>no</v>
      </c>
      <c r="J309">
        <f>SUMIFS([0]!LineNetAmount,[0]!OrderID,Table3[[#This Row],[OrderID]])</f>
        <v>977.06549999999993</v>
      </c>
      <c r="K309" t="str" cm="1">
        <f t="array" ref="K309">_xlfn.TEXTJOIN("+",,_xlfn._xlws.SORT(_xlfn.UNIQUE(_xlfn._xlws.FILTER([0]!Category,[0]!OrderID=Table3[[#This Row],[OrderID]]))))</f>
        <v>Dessert+Hot Meal</v>
      </c>
      <c r="L309" s="39">
        <f>SUMIFS([0]!FoodCost,[0]!OrderID,Table3[[#This Row],[OrderID]])</f>
        <v>460.21999999999997</v>
      </c>
      <c r="M309" s="39">
        <f>Table3[[#This Row],[LineAmount]]-Table3[[#This Row],[TotalCost]]</f>
        <v>516.8454999999999</v>
      </c>
      <c r="N309" t="str">
        <f>IF(AND(COUNTIFS([0]!OrderID,Table3[[#This Row],[OrderID]],[0]!Category,"hot meal")&gt;0,COUNTIFS([0]!OrderID,Table3[[#This Row],[OrderID]],[0]!Category,"beverage")&gt;0),"combo","single")</f>
        <v>single</v>
      </c>
      <c r="O309" t="str">
        <f>IF((Table3[[#This Row],[LineAmount]]/(1-Table3[[#This Row],[DiscountPct]]))*Table3[[#This Row],[DiscountPct]]&gt;40,"High Disc","OK")</f>
        <v>High Disc</v>
      </c>
    </row>
    <row r="310" spans="1:15" x14ac:dyDescent="0.3">
      <c r="A310" t="s">
        <v>346</v>
      </c>
      <c r="B310" s="7">
        <v>45856.751782407409</v>
      </c>
      <c r="C310" t="s">
        <v>27</v>
      </c>
      <c r="D310" t="s">
        <v>16</v>
      </c>
      <c r="E310" t="s">
        <v>21</v>
      </c>
      <c r="F310" t="s">
        <v>18</v>
      </c>
      <c r="G310">
        <v>7.0000000000000007E-2</v>
      </c>
      <c r="H310" s="3">
        <f t="shared" si="4"/>
        <v>45856</v>
      </c>
      <c r="I310" t="str">
        <f>IF(COUNTIFS([0]!OrderID,Table3[[#This Row],[OrderID]],[0]!Category,"beverage")&gt;0,"yes","no")</f>
        <v>yes</v>
      </c>
      <c r="J310">
        <f>SUMIFS([0]!LineNetAmount,[0]!OrderID,Table3[[#This Row],[OrderID]])</f>
        <v>101.46299999999999</v>
      </c>
      <c r="K310" t="str" cm="1">
        <f t="array" ref="K310">_xlfn.TEXTJOIN("+",,_xlfn._xlws.SORT(_xlfn.UNIQUE(_xlfn._xlws.FILTER([0]!Category,[0]!OrderID=Table3[[#This Row],[OrderID]]))))</f>
        <v>Beverage+Snack</v>
      </c>
      <c r="L310" s="39">
        <f>SUMIFS([0]!FoodCost,[0]!OrderID,Table3[[#This Row],[OrderID]])</f>
        <v>50.94</v>
      </c>
      <c r="M310" s="39">
        <f>Table3[[#This Row],[LineAmount]]-Table3[[#This Row],[TotalCost]]</f>
        <v>50.522999999999996</v>
      </c>
      <c r="N310" t="str">
        <f>IF(AND(COUNTIFS([0]!OrderID,Table3[[#This Row],[OrderID]],[0]!Category,"hot meal")&gt;0,COUNTIFS([0]!OrderID,Table3[[#This Row],[OrderID]],[0]!Category,"beverage")&gt;0),"combo","single")</f>
        <v>single</v>
      </c>
      <c r="O310" t="str">
        <f>IF((Table3[[#This Row],[LineAmount]]/(1-Table3[[#This Row],[DiscountPct]]))*Table3[[#This Row],[DiscountPct]]&gt;40,"High Disc","OK")</f>
        <v>OK</v>
      </c>
    </row>
    <row r="311" spans="1:15" x14ac:dyDescent="0.3">
      <c r="A311" t="s">
        <v>347</v>
      </c>
      <c r="B311" s="7">
        <v>45861.245138888888</v>
      </c>
      <c r="C311" t="s">
        <v>27</v>
      </c>
      <c r="D311" t="s">
        <v>28</v>
      </c>
      <c r="E311" t="s">
        <v>17</v>
      </c>
      <c r="F311" t="s">
        <v>12</v>
      </c>
      <c r="G311">
        <v>0.12</v>
      </c>
      <c r="H311" s="3">
        <f t="shared" si="4"/>
        <v>45861</v>
      </c>
      <c r="I311" t="str">
        <f>IF(COUNTIFS([0]!OrderID,Table3[[#This Row],[OrderID]],[0]!Category,"beverage")&gt;0,"yes","no")</f>
        <v>yes</v>
      </c>
      <c r="J311">
        <f>SUMIFS([0]!LineNetAmount,[0]!OrderID,Table3[[#This Row],[OrderID]])</f>
        <v>162.30719999999999</v>
      </c>
      <c r="K311" t="str" cm="1">
        <f t="array" ref="K311">_xlfn.TEXTJOIN("+",,_xlfn._xlws.SORT(_xlfn.UNIQUE(_xlfn._xlws.FILTER([0]!Category,[0]!OrderID=Table3[[#This Row],[OrderID]]))))</f>
        <v>Beverage+Dessert+Snack</v>
      </c>
      <c r="L311" s="39">
        <f>SUMIFS([0]!FoodCost,[0]!OrderID,Table3[[#This Row],[OrderID]])</f>
        <v>88.89</v>
      </c>
      <c r="M311" s="39">
        <f>Table3[[#This Row],[LineAmount]]-Table3[[#This Row],[TotalCost]]</f>
        <v>73.417199999999994</v>
      </c>
      <c r="N311" t="str">
        <f>IF(AND(COUNTIFS([0]!OrderID,Table3[[#This Row],[OrderID]],[0]!Category,"hot meal")&gt;0,COUNTIFS([0]!OrderID,Table3[[#This Row],[OrderID]],[0]!Category,"beverage")&gt;0),"combo","single")</f>
        <v>single</v>
      </c>
      <c r="O311" t="str">
        <f>IF((Table3[[#This Row],[LineAmount]]/(1-Table3[[#This Row],[DiscountPct]]))*Table3[[#This Row],[DiscountPct]]&gt;40,"High Disc","OK")</f>
        <v>OK</v>
      </c>
    </row>
    <row r="312" spans="1:15" x14ac:dyDescent="0.3">
      <c r="A312" t="s">
        <v>348</v>
      </c>
      <c r="B312" s="7">
        <v>45849.069791666669</v>
      </c>
      <c r="C312" t="s">
        <v>9</v>
      </c>
      <c r="D312" t="s">
        <v>10</v>
      </c>
      <c r="E312" t="s">
        <v>11</v>
      </c>
      <c r="F312" t="s">
        <v>12</v>
      </c>
      <c r="G312">
        <v>0.09</v>
      </c>
      <c r="H312" s="3">
        <f t="shared" si="4"/>
        <v>45849</v>
      </c>
      <c r="I312" t="str">
        <f>IF(COUNTIFS([0]!OrderID,Table3[[#This Row],[OrderID]],[0]!Category,"beverage")&gt;0,"yes","no")</f>
        <v>no</v>
      </c>
      <c r="J312">
        <f>SUMIFS([0]!LineNetAmount,[0]!OrderID,Table3[[#This Row],[OrderID]])</f>
        <v>314.87819999999999</v>
      </c>
      <c r="K312" t="str" cm="1">
        <f t="array" ref="K312">_xlfn.TEXTJOIN("+",,_xlfn._xlws.SORT(_xlfn.UNIQUE(_xlfn._xlws.FILTER([0]!Category,[0]!OrderID=Table3[[#This Row],[OrderID]]))))</f>
        <v>Dessert+Snack</v>
      </c>
      <c r="L312" s="39">
        <f>SUMIFS([0]!FoodCost,[0]!OrderID,Table3[[#This Row],[OrderID]])</f>
        <v>164.53</v>
      </c>
      <c r="M312" s="39">
        <f>Table3[[#This Row],[LineAmount]]-Table3[[#This Row],[TotalCost]]</f>
        <v>150.34819999999999</v>
      </c>
      <c r="N312" t="str">
        <f>IF(AND(COUNTIFS([0]!OrderID,Table3[[#This Row],[OrderID]],[0]!Category,"hot meal")&gt;0,COUNTIFS([0]!OrderID,Table3[[#This Row],[OrderID]],[0]!Category,"beverage")&gt;0),"combo","single")</f>
        <v>single</v>
      </c>
      <c r="O312" t="str">
        <f>IF((Table3[[#This Row],[LineAmount]]/(1-Table3[[#This Row],[DiscountPct]]))*Table3[[#This Row],[DiscountPct]]&gt;40,"High Disc","OK")</f>
        <v>OK</v>
      </c>
    </row>
    <row r="313" spans="1:15" x14ac:dyDescent="0.3">
      <c r="A313" t="s">
        <v>349</v>
      </c>
      <c r="B313" s="7">
        <v>45842.914907407408</v>
      </c>
      <c r="C313" t="s">
        <v>9</v>
      </c>
      <c r="D313" t="s">
        <v>16</v>
      </c>
      <c r="E313" t="s">
        <v>11</v>
      </c>
      <c r="F313" t="s">
        <v>18</v>
      </c>
      <c r="G313">
        <v>0.05</v>
      </c>
      <c r="H313" s="3">
        <f t="shared" si="4"/>
        <v>45842</v>
      </c>
      <c r="I313" t="str">
        <f>IF(COUNTIFS([0]!OrderID,Table3[[#This Row],[OrderID]],[0]!Category,"beverage")&gt;0,"yes","no")</f>
        <v>no</v>
      </c>
      <c r="J313">
        <f>SUMIFS([0]!LineNetAmount,[0]!OrderID,Table3[[#This Row],[OrderID]])</f>
        <v>260.96500000000003</v>
      </c>
      <c r="K313" t="str" cm="1">
        <f t="array" ref="K313">_xlfn.TEXTJOIN("+",,_xlfn._xlws.SORT(_xlfn.UNIQUE(_xlfn._xlws.FILTER([0]!Category,[0]!OrderID=Table3[[#This Row],[OrderID]]))))</f>
        <v>Dessert+Snack</v>
      </c>
      <c r="L313" s="39">
        <f>SUMIFS([0]!FoodCost,[0]!OrderID,Table3[[#This Row],[OrderID]])</f>
        <v>138.99</v>
      </c>
      <c r="M313" s="39">
        <f>Table3[[#This Row],[LineAmount]]-Table3[[#This Row],[TotalCost]]</f>
        <v>121.97500000000002</v>
      </c>
      <c r="N313" t="str">
        <f>IF(AND(COUNTIFS([0]!OrderID,Table3[[#This Row],[OrderID]],[0]!Category,"hot meal")&gt;0,COUNTIFS([0]!OrderID,Table3[[#This Row],[OrderID]],[0]!Category,"beverage")&gt;0),"combo","single")</f>
        <v>single</v>
      </c>
      <c r="O313" t="str">
        <f>IF((Table3[[#This Row],[LineAmount]]/(1-Table3[[#This Row],[DiscountPct]]))*Table3[[#This Row],[DiscountPct]]&gt;40,"High Disc","OK")</f>
        <v>OK</v>
      </c>
    </row>
    <row r="314" spans="1:15" x14ac:dyDescent="0.3">
      <c r="A314" t="s">
        <v>350</v>
      </c>
      <c r="B314" s="7">
        <v>45897.236875000002</v>
      </c>
      <c r="C314" t="s">
        <v>15</v>
      </c>
      <c r="D314" t="s">
        <v>28</v>
      </c>
      <c r="E314" t="s">
        <v>17</v>
      </c>
      <c r="F314" t="s">
        <v>12</v>
      </c>
      <c r="G314">
        <v>0.06</v>
      </c>
      <c r="H314" s="3">
        <f t="shared" si="4"/>
        <v>45897</v>
      </c>
      <c r="I314" t="str">
        <f>IF(COUNTIFS([0]!OrderID,Table3[[#This Row],[OrderID]],[0]!Category,"beverage")&gt;0,"yes","no")</f>
        <v>no</v>
      </c>
      <c r="J314">
        <f>SUMIFS([0]!LineNetAmount,[0]!OrderID,Table3[[#This Row],[OrderID]])</f>
        <v>50.948</v>
      </c>
      <c r="K314" t="str" cm="1">
        <f t="array" ref="K314">_xlfn.TEXTJOIN("+",,_xlfn._xlws.SORT(_xlfn.UNIQUE(_xlfn._xlws.FILTER([0]!Category,[0]!OrderID=Table3[[#This Row],[OrderID]]))))</f>
        <v>Dessert</v>
      </c>
      <c r="L314" s="39">
        <f>SUMIFS([0]!FoodCost,[0]!OrderID,Table3[[#This Row],[OrderID]])</f>
        <v>21.95</v>
      </c>
      <c r="M314" s="39">
        <f>Table3[[#This Row],[LineAmount]]-Table3[[#This Row],[TotalCost]]</f>
        <v>28.998000000000001</v>
      </c>
      <c r="N314" t="str">
        <f>IF(AND(COUNTIFS([0]!OrderID,Table3[[#This Row],[OrderID]],[0]!Category,"hot meal")&gt;0,COUNTIFS([0]!OrderID,Table3[[#This Row],[OrderID]],[0]!Category,"beverage")&gt;0),"combo","single")</f>
        <v>single</v>
      </c>
      <c r="O314" t="str">
        <f>IF((Table3[[#This Row],[LineAmount]]/(1-Table3[[#This Row],[DiscountPct]]))*Table3[[#This Row],[DiscountPct]]&gt;40,"High Disc","OK")</f>
        <v>OK</v>
      </c>
    </row>
    <row r="315" spans="1:15" x14ac:dyDescent="0.3">
      <c r="A315" t="s">
        <v>351</v>
      </c>
      <c r="B315" s="7">
        <v>45855.322256944448</v>
      </c>
      <c r="C315" t="s">
        <v>9</v>
      </c>
      <c r="D315" t="s">
        <v>16</v>
      </c>
      <c r="E315" t="s">
        <v>17</v>
      </c>
      <c r="F315" t="s">
        <v>12</v>
      </c>
      <c r="G315">
        <v>0.02</v>
      </c>
      <c r="H315" s="3">
        <f t="shared" si="4"/>
        <v>45855</v>
      </c>
      <c r="I315" t="str">
        <f>IF(COUNTIFS([0]!OrderID,Table3[[#This Row],[OrderID]],[0]!Category,"beverage")&gt;0,"yes","no")</f>
        <v>yes</v>
      </c>
      <c r="J315">
        <f>SUMIFS([0]!LineNetAmount,[0]!OrderID,Table3[[#This Row],[OrderID]])</f>
        <v>32.320399999999999</v>
      </c>
      <c r="K315" t="str" cm="1">
        <f t="array" ref="K315">_xlfn.TEXTJOIN("+",,_xlfn._xlws.SORT(_xlfn.UNIQUE(_xlfn._xlws.FILTER([0]!Category,[0]!OrderID=Table3[[#This Row],[OrderID]]))))</f>
        <v>Beverage</v>
      </c>
      <c r="L315" s="39">
        <f>SUMIFS([0]!FoodCost,[0]!OrderID,Table3[[#This Row],[OrderID]])</f>
        <v>11.84</v>
      </c>
      <c r="M315" s="39">
        <f>Table3[[#This Row],[LineAmount]]-Table3[[#This Row],[TotalCost]]</f>
        <v>20.480399999999999</v>
      </c>
      <c r="N315" t="str">
        <f>IF(AND(COUNTIFS([0]!OrderID,Table3[[#This Row],[OrderID]],[0]!Category,"hot meal")&gt;0,COUNTIFS([0]!OrderID,Table3[[#This Row],[OrderID]],[0]!Category,"beverage")&gt;0),"combo","single")</f>
        <v>single</v>
      </c>
      <c r="O315" t="str">
        <f>IF((Table3[[#This Row],[LineAmount]]/(1-Table3[[#This Row],[DiscountPct]]))*Table3[[#This Row],[DiscountPct]]&gt;40,"High Disc","OK")</f>
        <v>OK</v>
      </c>
    </row>
    <row r="316" spans="1:15" x14ac:dyDescent="0.3">
      <c r="A316" t="s">
        <v>352</v>
      </c>
      <c r="B316" s="7">
        <v>45874.619953703703</v>
      </c>
      <c r="C316" t="s">
        <v>9</v>
      </c>
      <c r="D316" t="s">
        <v>10</v>
      </c>
      <c r="E316" t="s">
        <v>17</v>
      </c>
      <c r="F316" t="s">
        <v>22</v>
      </c>
      <c r="G316">
        <v>0.06</v>
      </c>
      <c r="H316" s="3">
        <f t="shared" si="4"/>
        <v>45874</v>
      </c>
      <c r="I316" t="str">
        <f>IF(COUNTIFS([0]!OrderID,Table3[[#This Row],[OrderID]],[0]!Category,"beverage")&gt;0,"yes","no")</f>
        <v>no</v>
      </c>
      <c r="J316">
        <f>SUMIFS([0]!LineNetAmount,[0]!OrderID,Table3[[#This Row],[OrderID]])</f>
        <v>325.66299999999995</v>
      </c>
      <c r="K316" t="str" cm="1">
        <f t="array" ref="K316">_xlfn.TEXTJOIN("+",,_xlfn._xlws.SORT(_xlfn.UNIQUE(_xlfn._xlws.FILTER([0]!Category,[0]!OrderID=Table3[[#This Row],[OrderID]]))))</f>
        <v>Dessert</v>
      </c>
      <c r="L316" s="39">
        <f>SUMIFS([0]!FoodCost,[0]!OrderID,Table3[[#This Row],[OrderID]])</f>
        <v>163.66</v>
      </c>
      <c r="M316" s="39">
        <f>Table3[[#This Row],[LineAmount]]-Table3[[#This Row],[TotalCost]]</f>
        <v>162.00299999999996</v>
      </c>
      <c r="N316" t="str">
        <f>IF(AND(COUNTIFS([0]!OrderID,Table3[[#This Row],[OrderID]],[0]!Category,"hot meal")&gt;0,COUNTIFS([0]!OrderID,Table3[[#This Row],[OrderID]],[0]!Category,"beverage")&gt;0),"combo","single")</f>
        <v>single</v>
      </c>
      <c r="O316" t="str">
        <f>IF((Table3[[#This Row],[LineAmount]]/(1-Table3[[#This Row],[DiscountPct]]))*Table3[[#This Row],[DiscountPct]]&gt;40,"High Disc","OK")</f>
        <v>OK</v>
      </c>
    </row>
    <row r="317" spans="1:15" x14ac:dyDescent="0.3">
      <c r="A317" t="s">
        <v>353</v>
      </c>
      <c r="B317" s="7">
        <v>45898.53292824074</v>
      </c>
      <c r="C317" t="s">
        <v>15</v>
      </c>
      <c r="D317" t="s">
        <v>10</v>
      </c>
      <c r="E317" t="s">
        <v>21</v>
      </c>
      <c r="F317" t="s">
        <v>22</v>
      </c>
      <c r="G317">
        <v>0.05</v>
      </c>
      <c r="H317" s="3">
        <f t="shared" si="4"/>
        <v>45898</v>
      </c>
      <c r="I317" t="str">
        <f>IF(COUNTIFS([0]!OrderID,Table3[[#This Row],[OrderID]],[0]!Category,"beverage")&gt;0,"yes","no")</f>
        <v>yes</v>
      </c>
      <c r="J317">
        <f>SUMIFS([0]!LineNetAmount,[0]!OrderID,Table3[[#This Row],[OrderID]])</f>
        <v>63.269999999999989</v>
      </c>
      <c r="K317" t="str" cm="1">
        <f t="array" ref="K317">_xlfn.TEXTJOIN("+",,_xlfn._xlws.SORT(_xlfn.UNIQUE(_xlfn._xlws.FILTER([0]!Category,[0]!OrderID=Table3[[#This Row],[OrderID]]))))</f>
        <v>Beverage</v>
      </c>
      <c r="L317" s="39">
        <f>SUMIFS([0]!FoodCost,[0]!OrderID,Table3[[#This Row],[OrderID]])</f>
        <v>28.14</v>
      </c>
      <c r="M317" s="39">
        <f>Table3[[#This Row],[LineAmount]]-Table3[[#This Row],[TotalCost]]</f>
        <v>35.129999999999988</v>
      </c>
      <c r="N317" t="str">
        <f>IF(AND(COUNTIFS([0]!OrderID,Table3[[#This Row],[OrderID]],[0]!Category,"hot meal")&gt;0,COUNTIFS([0]!OrderID,Table3[[#This Row],[OrderID]],[0]!Category,"beverage")&gt;0),"combo","single")</f>
        <v>single</v>
      </c>
      <c r="O317" t="str">
        <f>IF((Table3[[#This Row],[LineAmount]]/(1-Table3[[#This Row],[DiscountPct]]))*Table3[[#This Row],[DiscountPct]]&gt;40,"High Disc","OK")</f>
        <v>OK</v>
      </c>
    </row>
    <row r="318" spans="1:15" x14ac:dyDescent="0.3">
      <c r="A318" t="s">
        <v>354</v>
      </c>
      <c r="B318" s="7">
        <v>45891.097337962958</v>
      </c>
      <c r="C318" t="s">
        <v>27</v>
      </c>
      <c r="D318" t="s">
        <v>16</v>
      </c>
      <c r="E318" t="s">
        <v>21</v>
      </c>
      <c r="F318" t="s">
        <v>12</v>
      </c>
      <c r="G318">
        <v>7.0000000000000007E-2</v>
      </c>
      <c r="H318" s="3">
        <f t="shared" si="4"/>
        <v>45891</v>
      </c>
      <c r="I318" t="str">
        <f>IF(COUNTIFS([0]!OrderID,Table3[[#This Row],[OrderID]],[0]!Category,"beverage")&gt;0,"yes","no")</f>
        <v>no</v>
      </c>
      <c r="J318">
        <f>SUMIFS([0]!LineNetAmount,[0]!OrderID,Table3[[#This Row],[OrderID]])</f>
        <v>233.709</v>
      </c>
      <c r="K318" t="str" cm="1">
        <f t="array" ref="K318">_xlfn.TEXTJOIN("+",,_xlfn._xlws.SORT(_xlfn.UNIQUE(_xlfn._xlws.FILTER([0]!Category,[0]!OrderID=Table3[[#This Row],[OrderID]]))))</f>
        <v>Hot Meal+Snack</v>
      </c>
      <c r="L318" s="39">
        <f>SUMIFS([0]!FoodCost,[0]!OrderID,Table3[[#This Row],[OrderID]])</f>
        <v>132.52000000000001</v>
      </c>
      <c r="M318" s="39">
        <f>Table3[[#This Row],[LineAmount]]-Table3[[#This Row],[TotalCost]]</f>
        <v>101.18899999999999</v>
      </c>
      <c r="N318" t="str">
        <f>IF(AND(COUNTIFS([0]!OrderID,Table3[[#This Row],[OrderID]],[0]!Category,"hot meal")&gt;0,COUNTIFS([0]!OrderID,Table3[[#This Row],[OrderID]],[0]!Category,"beverage")&gt;0),"combo","single")</f>
        <v>single</v>
      </c>
      <c r="O318" t="str">
        <f>IF((Table3[[#This Row],[LineAmount]]/(1-Table3[[#This Row],[DiscountPct]]))*Table3[[#This Row],[DiscountPct]]&gt;40,"High Disc","OK")</f>
        <v>OK</v>
      </c>
    </row>
    <row r="319" spans="1:15" x14ac:dyDescent="0.3">
      <c r="A319" t="s">
        <v>355</v>
      </c>
      <c r="B319" s="7">
        <v>45874.963807870372</v>
      </c>
      <c r="C319" t="s">
        <v>9</v>
      </c>
      <c r="D319" t="s">
        <v>10</v>
      </c>
      <c r="E319" t="s">
        <v>21</v>
      </c>
      <c r="F319" t="s">
        <v>18</v>
      </c>
      <c r="G319">
        <v>0.03</v>
      </c>
      <c r="H319" s="3">
        <f t="shared" si="4"/>
        <v>45874</v>
      </c>
      <c r="I319" t="str">
        <f>IF(COUNTIFS([0]!OrderID,Table3[[#This Row],[OrderID]],[0]!Category,"beverage")&gt;0,"yes","no")</f>
        <v>yes</v>
      </c>
      <c r="J319">
        <f>SUMIFS([0]!LineNetAmount,[0]!OrderID,Table3[[#This Row],[OrderID]])</f>
        <v>386.19579999999996</v>
      </c>
      <c r="K319" t="str" cm="1">
        <f t="array" ref="K319">_xlfn.TEXTJOIN("+",,_xlfn._xlws.SORT(_xlfn.UNIQUE(_xlfn._xlws.FILTER([0]!Category,[0]!OrderID=Table3[[#This Row],[OrderID]]))))</f>
        <v>Beverage+Dessert+Hot Meal</v>
      </c>
      <c r="L319" s="39">
        <f>SUMIFS([0]!FoodCost,[0]!OrderID,Table3[[#This Row],[OrderID]])</f>
        <v>179.1</v>
      </c>
      <c r="M319" s="39">
        <f>Table3[[#This Row],[LineAmount]]-Table3[[#This Row],[TotalCost]]</f>
        <v>207.09579999999997</v>
      </c>
      <c r="N319" t="str">
        <f>IF(AND(COUNTIFS([0]!OrderID,Table3[[#This Row],[OrderID]],[0]!Category,"hot meal")&gt;0,COUNTIFS([0]!OrderID,Table3[[#This Row],[OrderID]],[0]!Category,"beverage")&gt;0),"combo","single")</f>
        <v>combo</v>
      </c>
      <c r="O319" t="str">
        <f>IF((Table3[[#This Row],[LineAmount]]/(1-Table3[[#This Row],[DiscountPct]]))*Table3[[#This Row],[DiscountPct]]&gt;40,"High Disc","OK")</f>
        <v>OK</v>
      </c>
    </row>
    <row r="320" spans="1:15" x14ac:dyDescent="0.3">
      <c r="A320" t="s">
        <v>356</v>
      </c>
      <c r="B320" s="7">
        <v>45866.607314814813</v>
      </c>
      <c r="C320" t="s">
        <v>15</v>
      </c>
      <c r="D320" t="s">
        <v>10</v>
      </c>
      <c r="E320" t="s">
        <v>11</v>
      </c>
      <c r="F320" t="s">
        <v>22</v>
      </c>
      <c r="G320">
        <v>0.08</v>
      </c>
      <c r="H320" s="3">
        <f t="shared" si="4"/>
        <v>45866</v>
      </c>
      <c r="I320" t="str">
        <f>IF(COUNTIFS([0]!OrderID,Table3[[#This Row],[OrderID]],[0]!Category,"beverage")&gt;0,"yes","no")</f>
        <v>yes</v>
      </c>
      <c r="J320">
        <f>SUMIFS([0]!LineNetAmount,[0]!OrderID,Table3[[#This Row],[OrderID]])</f>
        <v>89.506799999999998</v>
      </c>
      <c r="K320" t="str" cm="1">
        <f t="array" ref="K320">_xlfn.TEXTJOIN("+",,_xlfn._xlws.SORT(_xlfn.UNIQUE(_xlfn._xlws.FILTER([0]!Category,[0]!OrderID=Table3[[#This Row],[OrderID]]))))</f>
        <v>Beverage+Dessert</v>
      </c>
      <c r="L320" s="39">
        <f>SUMIFS([0]!FoodCost,[0]!OrderID,Table3[[#This Row],[OrderID]])</f>
        <v>45.14</v>
      </c>
      <c r="M320" s="39">
        <f>Table3[[#This Row],[LineAmount]]-Table3[[#This Row],[TotalCost]]</f>
        <v>44.366799999999998</v>
      </c>
      <c r="N320" t="str">
        <f>IF(AND(COUNTIFS([0]!OrderID,Table3[[#This Row],[OrderID]],[0]!Category,"hot meal")&gt;0,COUNTIFS([0]!OrderID,Table3[[#This Row],[OrderID]],[0]!Category,"beverage")&gt;0),"combo","single")</f>
        <v>single</v>
      </c>
      <c r="O320" t="str">
        <f>IF((Table3[[#This Row],[LineAmount]]/(1-Table3[[#This Row],[DiscountPct]]))*Table3[[#This Row],[DiscountPct]]&gt;40,"High Disc","OK")</f>
        <v>OK</v>
      </c>
    </row>
    <row r="321" spans="1:15" x14ac:dyDescent="0.3">
      <c r="A321" t="s">
        <v>357</v>
      </c>
      <c r="B321" s="7">
        <v>45854.984282407408</v>
      </c>
      <c r="C321" t="s">
        <v>27</v>
      </c>
      <c r="D321" t="s">
        <v>10</v>
      </c>
      <c r="E321" t="s">
        <v>17</v>
      </c>
      <c r="F321" t="s">
        <v>18</v>
      </c>
      <c r="G321">
        <v>0.12</v>
      </c>
      <c r="H321" s="3">
        <f t="shared" si="4"/>
        <v>45854</v>
      </c>
      <c r="I321" t="str">
        <f>IF(COUNTIFS([0]!OrderID,Table3[[#This Row],[OrderID]],[0]!Category,"beverage")&gt;0,"yes","no")</f>
        <v>no</v>
      </c>
      <c r="J321">
        <f>SUMIFS([0]!LineNetAmount,[0]!OrderID,Table3[[#This Row],[OrderID]])</f>
        <v>300.66080000000005</v>
      </c>
      <c r="K321" t="str" cm="1">
        <f t="array" ref="K321">_xlfn.TEXTJOIN("+",,_xlfn._xlws.SORT(_xlfn.UNIQUE(_xlfn._xlws.FILTER([0]!Category,[0]!OrderID=Table3[[#This Row],[OrderID]]))))</f>
        <v>Hot Meal</v>
      </c>
      <c r="L321" s="39">
        <f>SUMIFS([0]!FoodCost,[0]!OrderID,Table3[[#This Row],[OrderID]])</f>
        <v>148.13999999999999</v>
      </c>
      <c r="M321" s="39">
        <f>Table3[[#This Row],[LineAmount]]-Table3[[#This Row],[TotalCost]]</f>
        <v>152.52080000000007</v>
      </c>
      <c r="N321" t="str">
        <f>IF(AND(COUNTIFS([0]!OrderID,Table3[[#This Row],[OrderID]],[0]!Category,"hot meal")&gt;0,COUNTIFS([0]!OrderID,Table3[[#This Row],[OrderID]],[0]!Category,"beverage")&gt;0),"combo","single")</f>
        <v>single</v>
      </c>
      <c r="O321" t="str">
        <f>IF((Table3[[#This Row],[LineAmount]]/(1-Table3[[#This Row],[DiscountPct]]))*Table3[[#This Row],[DiscountPct]]&gt;40,"High Disc","OK")</f>
        <v>High Disc</v>
      </c>
    </row>
    <row r="322" spans="1:15" x14ac:dyDescent="0.3">
      <c r="A322" t="s">
        <v>358</v>
      </c>
      <c r="B322" s="7">
        <v>45844.316145833327</v>
      </c>
      <c r="C322" t="s">
        <v>9</v>
      </c>
      <c r="D322" t="s">
        <v>16</v>
      </c>
      <c r="E322" t="s">
        <v>21</v>
      </c>
      <c r="F322" t="s">
        <v>12</v>
      </c>
      <c r="G322">
        <v>0.06</v>
      </c>
      <c r="H322" s="3">
        <f t="shared" si="4"/>
        <v>45844</v>
      </c>
      <c r="I322" t="str">
        <f>IF(COUNTIFS([0]!OrderID,Table3[[#This Row],[OrderID]],[0]!Category,"beverage")&gt;0,"yes","no")</f>
        <v>yes</v>
      </c>
      <c r="J322">
        <f>SUMIFS([0]!LineNetAmount,[0]!OrderID,Table3[[#This Row],[OrderID]])</f>
        <v>592.32219999999995</v>
      </c>
      <c r="K322" t="str" cm="1">
        <f t="array" ref="K322">_xlfn.TEXTJOIN("+",,_xlfn._xlws.SORT(_xlfn.UNIQUE(_xlfn._xlws.FILTER([0]!Category,[0]!OrderID=Table3[[#This Row],[OrderID]]))))</f>
        <v>Beverage+Dessert+Hot Meal+Snack</v>
      </c>
      <c r="L322" s="39">
        <f>SUMIFS([0]!FoodCost,[0]!OrderID,Table3[[#This Row],[OrderID]])</f>
        <v>293.32</v>
      </c>
      <c r="M322" s="39">
        <f>Table3[[#This Row],[LineAmount]]-Table3[[#This Row],[TotalCost]]</f>
        <v>299.00219999999996</v>
      </c>
      <c r="N322" t="str">
        <f>IF(AND(COUNTIFS([0]!OrderID,Table3[[#This Row],[OrderID]],[0]!Category,"hot meal")&gt;0,COUNTIFS([0]!OrderID,Table3[[#This Row],[OrderID]],[0]!Category,"beverage")&gt;0),"combo","single")</f>
        <v>combo</v>
      </c>
      <c r="O322" t="str">
        <f>IF((Table3[[#This Row],[LineAmount]]/(1-Table3[[#This Row],[DiscountPct]]))*Table3[[#This Row],[DiscountPct]]&gt;40,"High Disc","OK")</f>
        <v>OK</v>
      </c>
    </row>
    <row r="323" spans="1:15" x14ac:dyDescent="0.3">
      <c r="A323" t="s">
        <v>359</v>
      </c>
      <c r="B323" s="7">
        <v>45849.210474537038</v>
      </c>
      <c r="C323" t="s">
        <v>9</v>
      </c>
      <c r="D323" t="s">
        <v>10</v>
      </c>
      <c r="E323" t="s">
        <v>17</v>
      </c>
      <c r="F323" t="s">
        <v>12</v>
      </c>
      <c r="G323">
        <v>0.08</v>
      </c>
      <c r="H323" s="3">
        <f t="shared" ref="H323:H361" si="5">INT($B323)</f>
        <v>45849</v>
      </c>
      <c r="I323" t="str">
        <f>IF(COUNTIFS([0]!OrderID,Table3[[#This Row],[OrderID]],[0]!Category,"beverage")&gt;0,"yes","no")</f>
        <v>yes</v>
      </c>
      <c r="J323">
        <f>SUMIFS([0]!LineNetAmount,[0]!OrderID,Table3[[#This Row],[OrderID]])</f>
        <v>668.0856</v>
      </c>
      <c r="K323" t="str" cm="1">
        <f t="array" ref="K323">_xlfn.TEXTJOIN("+",,_xlfn._xlws.SORT(_xlfn.UNIQUE(_xlfn._xlws.FILTER([0]!Category,[0]!OrderID=Table3[[#This Row],[OrderID]]))))</f>
        <v>Beverage+Dessert+Hot Meal</v>
      </c>
      <c r="L323" s="39">
        <f>SUMIFS([0]!FoodCost,[0]!OrderID,Table3[[#This Row],[OrderID]])</f>
        <v>319.41999999999996</v>
      </c>
      <c r="M323" s="39">
        <f>Table3[[#This Row],[LineAmount]]-Table3[[#This Row],[TotalCost]]</f>
        <v>348.66560000000004</v>
      </c>
      <c r="N323" t="str">
        <f>IF(AND(COUNTIFS([0]!OrderID,Table3[[#This Row],[OrderID]],[0]!Category,"hot meal")&gt;0,COUNTIFS([0]!OrderID,Table3[[#This Row],[OrderID]],[0]!Category,"beverage")&gt;0),"combo","single")</f>
        <v>combo</v>
      </c>
      <c r="O323" t="str">
        <f>IF((Table3[[#This Row],[LineAmount]]/(1-Table3[[#This Row],[DiscountPct]]))*Table3[[#This Row],[DiscountPct]]&gt;40,"High Disc","OK")</f>
        <v>High Disc</v>
      </c>
    </row>
    <row r="324" spans="1:15" x14ac:dyDescent="0.3">
      <c r="A324" t="s">
        <v>360</v>
      </c>
      <c r="B324" s="7">
        <v>45847.393460648149</v>
      </c>
      <c r="C324" t="s">
        <v>27</v>
      </c>
      <c r="D324" t="s">
        <v>16</v>
      </c>
      <c r="E324" t="s">
        <v>21</v>
      </c>
      <c r="F324" t="s">
        <v>12</v>
      </c>
      <c r="G324">
        <v>0.09</v>
      </c>
      <c r="H324" s="3">
        <f t="shared" si="5"/>
        <v>45847</v>
      </c>
      <c r="I324" t="str">
        <f>IF(COUNTIFS([0]!OrderID,Table3[[#This Row],[OrderID]],[0]!Category,"beverage")&gt;0,"yes","no")</f>
        <v>yes</v>
      </c>
      <c r="J324">
        <f>SUMIFS([0]!LineNetAmount,[0]!OrderID,Table3[[#This Row],[OrderID]])</f>
        <v>158.03059999999999</v>
      </c>
      <c r="K324" t="str" cm="1">
        <f t="array" ref="K324">_xlfn.TEXTJOIN("+",,_xlfn._xlws.SORT(_xlfn.UNIQUE(_xlfn._xlws.FILTER([0]!Category,[0]!OrderID=Table3[[#This Row],[OrderID]]))))</f>
        <v>Beverage+Dessert</v>
      </c>
      <c r="L324" s="39">
        <f>SUMIFS([0]!FoodCost,[0]!OrderID,Table3[[#This Row],[OrderID]])</f>
        <v>76.75</v>
      </c>
      <c r="M324" s="39">
        <f>Table3[[#This Row],[LineAmount]]-Table3[[#This Row],[TotalCost]]</f>
        <v>81.280599999999993</v>
      </c>
      <c r="N324" t="str">
        <f>IF(AND(COUNTIFS([0]!OrderID,Table3[[#This Row],[OrderID]],[0]!Category,"hot meal")&gt;0,COUNTIFS([0]!OrderID,Table3[[#This Row],[OrderID]],[0]!Category,"beverage")&gt;0),"combo","single")</f>
        <v>single</v>
      </c>
      <c r="O324" t="str">
        <f>IF((Table3[[#This Row],[LineAmount]]/(1-Table3[[#This Row],[DiscountPct]]))*Table3[[#This Row],[DiscountPct]]&gt;40,"High Disc","OK")</f>
        <v>OK</v>
      </c>
    </row>
    <row r="325" spans="1:15" x14ac:dyDescent="0.3">
      <c r="A325" t="s">
        <v>361</v>
      </c>
      <c r="B325" s="7">
        <v>45853.556134259263</v>
      </c>
      <c r="C325" t="s">
        <v>15</v>
      </c>
      <c r="D325" t="s">
        <v>28</v>
      </c>
      <c r="E325" t="s">
        <v>17</v>
      </c>
      <c r="F325" t="s">
        <v>22</v>
      </c>
      <c r="G325">
        <v>0.04</v>
      </c>
      <c r="H325" s="3">
        <f t="shared" si="5"/>
        <v>45853</v>
      </c>
      <c r="I325" t="str">
        <f>IF(COUNTIFS([0]!OrderID,Table3[[#This Row],[OrderID]],[0]!Category,"beverage")&gt;0,"yes","no")</f>
        <v>no</v>
      </c>
      <c r="J325">
        <f>SUMIFS([0]!LineNetAmount,[0]!OrderID,Table3[[#This Row],[OrderID]])</f>
        <v>498.4896</v>
      </c>
      <c r="K325" t="str" cm="1">
        <f t="array" ref="K325">_xlfn.TEXTJOIN("+",,_xlfn._xlws.SORT(_xlfn.UNIQUE(_xlfn._xlws.FILTER([0]!Category,[0]!OrderID=Table3[[#This Row],[OrderID]]))))</f>
        <v>Hot Meal+Snack</v>
      </c>
      <c r="L325" s="39">
        <f>SUMIFS([0]!FoodCost,[0]!OrderID,Table3[[#This Row],[OrderID]])</f>
        <v>235.67000000000002</v>
      </c>
      <c r="M325" s="39">
        <f>Table3[[#This Row],[LineAmount]]-Table3[[#This Row],[TotalCost]]</f>
        <v>262.81959999999998</v>
      </c>
      <c r="N325" t="str">
        <f>IF(AND(COUNTIFS([0]!OrderID,Table3[[#This Row],[OrderID]],[0]!Category,"hot meal")&gt;0,COUNTIFS([0]!OrderID,Table3[[#This Row],[OrderID]],[0]!Category,"beverage")&gt;0),"combo","single")</f>
        <v>single</v>
      </c>
      <c r="O325" t="str">
        <f>IF((Table3[[#This Row],[LineAmount]]/(1-Table3[[#This Row],[DiscountPct]]))*Table3[[#This Row],[DiscountPct]]&gt;40,"High Disc","OK")</f>
        <v>OK</v>
      </c>
    </row>
    <row r="326" spans="1:15" x14ac:dyDescent="0.3">
      <c r="A326" t="s">
        <v>362</v>
      </c>
      <c r="B326" s="7">
        <v>45873.191342592603</v>
      </c>
      <c r="C326" t="s">
        <v>27</v>
      </c>
      <c r="D326" t="s">
        <v>16</v>
      </c>
      <c r="E326" t="s">
        <v>17</v>
      </c>
      <c r="F326" t="s">
        <v>12</v>
      </c>
      <c r="G326">
        <v>7.0000000000000007E-2</v>
      </c>
      <c r="H326" s="3">
        <f t="shared" si="5"/>
        <v>45873</v>
      </c>
      <c r="I326" t="str">
        <f>IF(COUNTIFS([0]!OrderID,Table3[[#This Row],[OrderID]],[0]!Category,"beverage")&gt;0,"yes","no")</f>
        <v>no</v>
      </c>
      <c r="J326">
        <f>SUMIFS([0]!LineNetAmount,[0]!OrderID,Table3[[#This Row],[OrderID]])</f>
        <v>46.676699999999997</v>
      </c>
      <c r="K326" t="str" cm="1">
        <f t="array" ref="K326">_xlfn.TEXTJOIN("+",,_xlfn._xlws.SORT(_xlfn.UNIQUE(_xlfn._xlws.FILTER([0]!Category,[0]!OrderID=Table3[[#This Row],[OrderID]]))))</f>
        <v>Snack</v>
      </c>
      <c r="L326" s="39">
        <f>SUMIFS([0]!FoodCost,[0]!OrderID,Table3[[#This Row],[OrderID]])</f>
        <v>22.61</v>
      </c>
      <c r="M326" s="39">
        <f>Table3[[#This Row],[LineAmount]]-Table3[[#This Row],[TotalCost]]</f>
        <v>24.066699999999997</v>
      </c>
      <c r="N326" t="str">
        <f>IF(AND(COUNTIFS([0]!OrderID,Table3[[#This Row],[OrderID]],[0]!Category,"hot meal")&gt;0,COUNTIFS([0]!OrderID,Table3[[#This Row],[OrderID]],[0]!Category,"beverage")&gt;0),"combo","single")</f>
        <v>single</v>
      </c>
      <c r="O326" t="str">
        <f>IF((Table3[[#This Row],[LineAmount]]/(1-Table3[[#This Row],[DiscountPct]]))*Table3[[#This Row],[DiscountPct]]&gt;40,"High Disc","OK")</f>
        <v>OK</v>
      </c>
    </row>
    <row r="327" spans="1:15" x14ac:dyDescent="0.3">
      <c r="A327" t="s">
        <v>363</v>
      </c>
      <c r="B327" s="7">
        <v>45887.990046296298</v>
      </c>
      <c r="C327" t="s">
        <v>15</v>
      </c>
      <c r="D327" t="s">
        <v>28</v>
      </c>
      <c r="E327" t="s">
        <v>21</v>
      </c>
      <c r="F327" t="s">
        <v>18</v>
      </c>
      <c r="G327">
        <v>0.06</v>
      </c>
      <c r="H327" s="3">
        <f t="shared" si="5"/>
        <v>45887</v>
      </c>
      <c r="I327" t="str">
        <f>IF(COUNTIFS([0]!OrderID,Table3[[#This Row],[OrderID]],[0]!Category,"beverage")&gt;0,"yes","no")</f>
        <v>yes</v>
      </c>
      <c r="J327">
        <f>SUMIFS([0]!LineNetAmount,[0]!OrderID,Table3[[#This Row],[OrderID]])</f>
        <v>18.903399999999998</v>
      </c>
      <c r="K327" t="str" cm="1">
        <f t="array" ref="K327">_xlfn.TEXTJOIN("+",,_xlfn._xlws.SORT(_xlfn.UNIQUE(_xlfn._xlws.FILTER([0]!Category,[0]!OrderID=Table3[[#This Row],[OrderID]]))))</f>
        <v>Beverage</v>
      </c>
      <c r="L327" s="39">
        <f>SUMIFS([0]!FoodCost,[0]!OrderID,Table3[[#This Row],[OrderID]])</f>
        <v>8</v>
      </c>
      <c r="M327" s="39">
        <f>Table3[[#This Row],[LineAmount]]-Table3[[#This Row],[TotalCost]]</f>
        <v>10.903399999999998</v>
      </c>
      <c r="N327" t="str">
        <f>IF(AND(COUNTIFS([0]!OrderID,Table3[[#This Row],[OrderID]],[0]!Category,"hot meal")&gt;0,COUNTIFS([0]!OrderID,Table3[[#This Row],[OrderID]],[0]!Category,"beverage")&gt;0),"combo","single")</f>
        <v>single</v>
      </c>
      <c r="O327" t="str">
        <f>IF((Table3[[#This Row],[LineAmount]]/(1-Table3[[#This Row],[DiscountPct]]))*Table3[[#This Row],[DiscountPct]]&gt;40,"High Disc","OK")</f>
        <v>OK</v>
      </c>
    </row>
    <row r="328" spans="1:15" x14ac:dyDescent="0.3">
      <c r="A328" t="s">
        <v>364</v>
      </c>
      <c r="B328" s="7">
        <v>45875.650405092587</v>
      </c>
      <c r="C328" t="s">
        <v>27</v>
      </c>
      <c r="D328" t="s">
        <v>28</v>
      </c>
      <c r="E328" t="s">
        <v>21</v>
      </c>
      <c r="F328" t="s">
        <v>22</v>
      </c>
      <c r="G328">
        <v>0.06</v>
      </c>
      <c r="H328" s="3">
        <f t="shared" si="5"/>
        <v>45875</v>
      </c>
      <c r="I328" t="str">
        <f>IF(COUNTIFS([0]!OrderID,Table3[[#This Row],[OrderID]],[0]!Category,"beverage")&gt;0,"yes","no")</f>
        <v>yes</v>
      </c>
      <c r="J328">
        <f>SUMIFS([0]!LineNetAmount,[0]!OrderID,Table3[[#This Row],[OrderID]])</f>
        <v>109.67920000000001</v>
      </c>
      <c r="K328" t="str" cm="1">
        <f t="array" ref="K328">_xlfn.TEXTJOIN("+",,_xlfn._xlws.SORT(_xlfn.UNIQUE(_xlfn._xlws.FILTER([0]!Category,[0]!OrderID=Table3[[#This Row],[OrderID]]))))</f>
        <v>Beverage+Snack</v>
      </c>
      <c r="L328" s="39">
        <f>SUMIFS([0]!FoodCost,[0]!OrderID,Table3[[#This Row],[OrderID]])</f>
        <v>56.05</v>
      </c>
      <c r="M328" s="39">
        <f>Table3[[#This Row],[LineAmount]]-Table3[[#This Row],[TotalCost]]</f>
        <v>53.629200000000012</v>
      </c>
      <c r="N328" t="str">
        <f>IF(AND(COUNTIFS([0]!OrderID,Table3[[#This Row],[OrderID]],[0]!Category,"hot meal")&gt;0,COUNTIFS([0]!OrderID,Table3[[#This Row],[OrderID]],[0]!Category,"beverage")&gt;0),"combo","single")</f>
        <v>single</v>
      </c>
      <c r="O328" t="str">
        <f>IF((Table3[[#This Row],[LineAmount]]/(1-Table3[[#This Row],[DiscountPct]]))*Table3[[#This Row],[DiscountPct]]&gt;40,"High Disc","OK")</f>
        <v>OK</v>
      </c>
    </row>
    <row r="329" spans="1:15" x14ac:dyDescent="0.3">
      <c r="A329" t="s">
        <v>365</v>
      </c>
      <c r="B329" s="7">
        <v>45871.803460648152</v>
      </c>
      <c r="C329" t="s">
        <v>27</v>
      </c>
      <c r="D329" t="s">
        <v>28</v>
      </c>
      <c r="E329" t="s">
        <v>17</v>
      </c>
      <c r="F329" t="s">
        <v>18</v>
      </c>
      <c r="G329">
        <v>0.03</v>
      </c>
      <c r="H329" s="3">
        <f t="shared" si="5"/>
        <v>45871</v>
      </c>
      <c r="I329" t="str">
        <f>IF(COUNTIFS([0]!OrderID,Table3[[#This Row],[OrderID]],[0]!Category,"beverage")&gt;0,"yes","no")</f>
        <v>no</v>
      </c>
      <c r="J329">
        <f>SUMIFS([0]!LineNetAmount,[0]!OrderID,Table3[[#This Row],[OrderID]])</f>
        <v>284.01600000000002</v>
      </c>
      <c r="K329" t="str" cm="1">
        <f t="array" ref="K329">_xlfn.TEXTJOIN("+",,_xlfn._xlws.SORT(_xlfn.UNIQUE(_xlfn._xlws.FILTER([0]!Category,[0]!OrderID=Table3[[#This Row],[OrderID]]))))</f>
        <v>Hot Meal</v>
      </c>
      <c r="L329" s="39">
        <f>SUMIFS([0]!FoodCost,[0]!OrderID,Table3[[#This Row],[OrderID]])</f>
        <v>161.84</v>
      </c>
      <c r="M329" s="39">
        <f>Table3[[#This Row],[LineAmount]]-Table3[[#This Row],[TotalCost]]</f>
        <v>122.17600000000002</v>
      </c>
      <c r="N329" t="str">
        <f>IF(AND(COUNTIFS([0]!OrderID,Table3[[#This Row],[OrderID]],[0]!Category,"hot meal")&gt;0,COUNTIFS([0]!OrderID,Table3[[#This Row],[OrderID]],[0]!Category,"beverage")&gt;0),"combo","single")</f>
        <v>single</v>
      </c>
      <c r="O329" t="str">
        <f>IF((Table3[[#This Row],[LineAmount]]/(1-Table3[[#This Row],[DiscountPct]]))*Table3[[#This Row],[DiscountPct]]&gt;40,"High Disc","OK")</f>
        <v>OK</v>
      </c>
    </row>
    <row r="330" spans="1:15" x14ac:dyDescent="0.3">
      <c r="A330" t="s">
        <v>366</v>
      </c>
      <c r="B330" s="7">
        <v>45885.120821759258</v>
      </c>
      <c r="C330" t="s">
        <v>9</v>
      </c>
      <c r="D330" t="s">
        <v>28</v>
      </c>
      <c r="E330" t="s">
        <v>11</v>
      </c>
      <c r="F330" t="s">
        <v>12</v>
      </c>
      <c r="G330">
        <v>0.06</v>
      </c>
      <c r="H330" s="3">
        <f t="shared" si="5"/>
        <v>45885</v>
      </c>
      <c r="I330" t="str">
        <f>IF(COUNTIFS([0]!OrderID,Table3[[#This Row],[OrderID]],[0]!Category,"beverage")&gt;0,"yes","no")</f>
        <v>no</v>
      </c>
      <c r="J330">
        <f>SUMIFS([0]!LineNetAmount,[0]!OrderID,Table3[[#This Row],[OrderID]])</f>
        <v>513.09899999999993</v>
      </c>
      <c r="K330" t="str" cm="1">
        <f t="array" ref="K330">_xlfn.TEXTJOIN("+",,_xlfn._xlws.SORT(_xlfn.UNIQUE(_xlfn._xlws.FILTER([0]!Category,[0]!OrderID=Table3[[#This Row],[OrderID]]))))</f>
        <v>Dessert+Hot Meal+Snack</v>
      </c>
      <c r="L330" s="39">
        <f>SUMIFS([0]!FoodCost,[0]!OrderID,Table3[[#This Row],[OrderID]])</f>
        <v>290.51</v>
      </c>
      <c r="M330" s="39">
        <f>Table3[[#This Row],[LineAmount]]-Table3[[#This Row],[TotalCost]]</f>
        <v>222.58899999999994</v>
      </c>
      <c r="N330" t="str">
        <f>IF(AND(COUNTIFS([0]!OrderID,Table3[[#This Row],[OrderID]],[0]!Category,"hot meal")&gt;0,COUNTIFS([0]!OrderID,Table3[[#This Row],[OrderID]],[0]!Category,"beverage")&gt;0),"combo","single")</f>
        <v>single</v>
      </c>
      <c r="O330" t="str">
        <f>IF((Table3[[#This Row],[LineAmount]]/(1-Table3[[#This Row],[DiscountPct]]))*Table3[[#This Row],[DiscountPct]]&gt;40,"High Disc","OK")</f>
        <v>OK</v>
      </c>
    </row>
    <row r="331" spans="1:15" x14ac:dyDescent="0.3">
      <c r="A331" t="s">
        <v>367</v>
      </c>
      <c r="B331" s="7">
        <v>45882.804872685178</v>
      </c>
      <c r="C331" t="s">
        <v>9</v>
      </c>
      <c r="D331" t="s">
        <v>28</v>
      </c>
      <c r="E331" t="s">
        <v>17</v>
      </c>
      <c r="F331" t="s">
        <v>18</v>
      </c>
      <c r="G331">
        <v>0.08</v>
      </c>
      <c r="H331" s="3">
        <f t="shared" si="5"/>
        <v>45882</v>
      </c>
      <c r="I331" t="str">
        <f>IF(COUNTIFS([0]!OrderID,Table3[[#This Row],[OrderID]],[0]!Category,"beverage")&gt;0,"yes","no")</f>
        <v>yes</v>
      </c>
      <c r="J331">
        <f>SUMIFS([0]!LineNetAmount,[0]!OrderID,Table3[[#This Row],[OrderID]])</f>
        <v>666.88040000000012</v>
      </c>
      <c r="K331" t="str" cm="1">
        <f t="array" ref="K331">_xlfn.TEXTJOIN("+",,_xlfn._xlws.SORT(_xlfn.UNIQUE(_xlfn._xlws.FILTER([0]!Category,[0]!OrderID=Table3[[#This Row],[OrderID]]))))</f>
        <v>Beverage+Hot Meal</v>
      </c>
      <c r="L331" s="39">
        <f>SUMIFS([0]!FoodCost,[0]!OrderID,Table3[[#This Row],[OrderID]])</f>
        <v>332.54999999999995</v>
      </c>
      <c r="M331" s="39">
        <f>Table3[[#This Row],[LineAmount]]-Table3[[#This Row],[TotalCost]]</f>
        <v>334.33040000000017</v>
      </c>
      <c r="N331" t="str">
        <f>IF(AND(COUNTIFS([0]!OrderID,Table3[[#This Row],[OrderID]],[0]!Category,"hot meal")&gt;0,COUNTIFS([0]!OrderID,Table3[[#This Row],[OrderID]],[0]!Category,"beverage")&gt;0),"combo","single")</f>
        <v>combo</v>
      </c>
      <c r="O331" t="str">
        <f>IF((Table3[[#This Row],[LineAmount]]/(1-Table3[[#This Row],[DiscountPct]]))*Table3[[#This Row],[DiscountPct]]&gt;40,"High Disc","OK")</f>
        <v>High Disc</v>
      </c>
    </row>
    <row r="332" spans="1:15" x14ac:dyDescent="0.3">
      <c r="A332" t="s">
        <v>368</v>
      </c>
      <c r="B332" s="7">
        <v>45864.097743055558</v>
      </c>
      <c r="C332" t="s">
        <v>27</v>
      </c>
      <c r="D332" t="s">
        <v>28</v>
      </c>
      <c r="E332" t="s">
        <v>11</v>
      </c>
      <c r="F332" t="s">
        <v>12</v>
      </c>
      <c r="G332">
        <v>0.12</v>
      </c>
      <c r="H332" s="3">
        <f t="shared" si="5"/>
        <v>45864</v>
      </c>
      <c r="I332" t="str">
        <f>IF(COUNTIFS([0]!OrderID,Table3[[#This Row],[OrderID]],[0]!Category,"beverage")&gt;0,"yes","no")</f>
        <v>no</v>
      </c>
      <c r="J332">
        <f>SUMIFS([0]!LineNetAmount,[0]!OrderID,Table3[[#This Row],[OrderID]])</f>
        <v>404.07840000000004</v>
      </c>
      <c r="K332" t="str" cm="1">
        <f t="array" ref="K332">_xlfn.TEXTJOIN("+",,_xlfn._xlws.SORT(_xlfn.UNIQUE(_xlfn._xlws.FILTER([0]!Category,[0]!OrderID=Table3[[#This Row],[OrderID]]))))</f>
        <v>Dessert+Hot Meal+Snack</v>
      </c>
      <c r="L332" s="39">
        <f>SUMIFS([0]!FoodCost,[0]!OrderID,Table3[[#This Row],[OrderID]])</f>
        <v>211.34000000000003</v>
      </c>
      <c r="M332" s="39">
        <f>Table3[[#This Row],[LineAmount]]-Table3[[#This Row],[TotalCost]]</f>
        <v>192.73840000000001</v>
      </c>
      <c r="N332" t="str">
        <f>IF(AND(COUNTIFS([0]!OrderID,Table3[[#This Row],[OrderID]],[0]!Category,"hot meal")&gt;0,COUNTIFS([0]!OrderID,Table3[[#This Row],[OrderID]],[0]!Category,"beverage")&gt;0),"combo","single")</f>
        <v>single</v>
      </c>
      <c r="O332" t="str">
        <f>IF((Table3[[#This Row],[LineAmount]]/(1-Table3[[#This Row],[DiscountPct]]))*Table3[[#This Row],[DiscountPct]]&gt;40,"High Disc","OK")</f>
        <v>High Disc</v>
      </c>
    </row>
    <row r="333" spans="1:15" x14ac:dyDescent="0.3">
      <c r="A333" t="s">
        <v>369</v>
      </c>
      <c r="B333" s="7">
        <v>45880.343958333331</v>
      </c>
      <c r="C333" t="s">
        <v>27</v>
      </c>
      <c r="D333" t="s">
        <v>16</v>
      </c>
      <c r="E333" t="s">
        <v>17</v>
      </c>
      <c r="F333" t="s">
        <v>12</v>
      </c>
      <c r="G333">
        <v>0.1</v>
      </c>
      <c r="H333" s="3">
        <f t="shared" si="5"/>
        <v>45880</v>
      </c>
      <c r="I333" t="str">
        <f>IF(COUNTIFS([0]!OrderID,Table3[[#This Row],[OrderID]],[0]!Category,"beverage")&gt;0,"yes","no")</f>
        <v>yes</v>
      </c>
      <c r="J333">
        <f>SUMIFS([0]!LineNetAmount,[0]!OrderID,Table3[[#This Row],[OrderID]])</f>
        <v>197.39699999999999</v>
      </c>
      <c r="K333" t="str" cm="1">
        <f t="array" ref="K333">_xlfn.TEXTJOIN("+",,_xlfn._xlws.SORT(_xlfn.UNIQUE(_xlfn._xlws.FILTER([0]!Category,[0]!OrderID=Table3[[#This Row],[OrderID]]))))</f>
        <v>Beverage+Dessert+Snack</v>
      </c>
      <c r="L333" s="39">
        <f>SUMIFS([0]!FoodCost,[0]!OrderID,Table3[[#This Row],[OrderID]])</f>
        <v>99.13000000000001</v>
      </c>
      <c r="M333" s="39">
        <f>Table3[[#This Row],[LineAmount]]-Table3[[#This Row],[TotalCost]]</f>
        <v>98.266999999999982</v>
      </c>
      <c r="N333" t="str">
        <f>IF(AND(COUNTIFS([0]!OrderID,Table3[[#This Row],[OrderID]],[0]!Category,"hot meal")&gt;0,COUNTIFS([0]!OrderID,Table3[[#This Row],[OrderID]],[0]!Category,"beverage")&gt;0),"combo","single")</f>
        <v>single</v>
      </c>
      <c r="O333" t="str">
        <f>IF((Table3[[#This Row],[LineAmount]]/(1-Table3[[#This Row],[DiscountPct]]))*Table3[[#This Row],[DiscountPct]]&gt;40,"High Disc","OK")</f>
        <v>OK</v>
      </c>
    </row>
    <row r="334" spans="1:15" x14ac:dyDescent="0.3">
      <c r="A334" t="s">
        <v>370</v>
      </c>
      <c r="B334" s="7">
        <v>45851.080300925933</v>
      </c>
      <c r="C334" t="s">
        <v>27</v>
      </c>
      <c r="D334" t="s">
        <v>28</v>
      </c>
      <c r="E334" t="s">
        <v>21</v>
      </c>
      <c r="F334" t="s">
        <v>12</v>
      </c>
      <c r="G334">
        <v>0.15</v>
      </c>
      <c r="H334" s="3">
        <f t="shared" si="5"/>
        <v>45851</v>
      </c>
      <c r="I334" t="str">
        <f>IF(COUNTIFS([0]!OrderID,Table3[[#This Row],[OrderID]],[0]!Category,"beverage")&gt;0,"yes","no")</f>
        <v>yes</v>
      </c>
      <c r="J334">
        <f>SUMIFS([0]!LineNetAmount,[0]!OrderID,Table3[[#This Row],[OrderID]])</f>
        <v>147.2285</v>
      </c>
      <c r="K334" t="str" cm="1">
        <f t="array" ref="K334">_xlfn.TEXTJOIN("+",,_xlfn._xlws.SORT(_xlfn.UNIQUE(_xlfn._xlws.FILTER([0]!Category,[0]!OrderID=Table3[[#This Row],[OrderID]]))))</f>
        <v>Beverage+Dessert</v>
      </c>
      <c r="L334" s="39">
        <f>SUMIFS([0]!FoodCost,[0]!OrderID,Table3[[#This Row],[OrderID]])</f>
        <v>84.46</v>
      </c>
      <c r="M334" s="39">
        <f>Table3[[#This Row],[LineAmount]]-Table3[[#This Row],[TotalCost]]</f>
        <v>62.768500000000003</v>
      </c>
      <c r="N334" t="str">
        <f>IF(AND(COUNTIFS([0]!OrderID,Table3[[#This Row],[OrderID]],[0]!Category,"hot meal")&gt;0,COUNTIFS([0]!OrderID,Table3[[#This Row],[OrderID]],[0]!Category,"beverage")&gt;0),"combo","single")</f>
        <v>single</v>
      </c>
      <c r="O334" t="str">
        <f>IF((Table3[[#This Row],[LineAmount]]/(1-Table3[[#This Row],[DiscountPct]]))*Table3[[#This Row],[DiscountPct]]&gt;40,"High Disc","OK")</f>
        <v>OK</v>
      </c>
    </row>
    <row r="335" spans="1:15" x14ac:dyDescent="0.3">
      <c r="A335" t="s">
        <v>371</v>
      </c>
      <c r="B335" s="7">
        <v>45845.347962962973</v>
      </c>
      <c r="C335" t="s">
        <v>27</v>
      </c>
      <c r="D335" t="s">
        <v>16</v>
      </c>
      <c r="E335" t="s">
        <v>11</v>
      </c>
      <c r="F335" t="s">
        <v>12</v>
      </c>
      <c r="G335">
        <v>0.03</v>
      </c>
      <c r="H335" s="3">
        <f t="shared" si="5"/>
        <v>45845</v>
      </c>
      <c r="I335" t="str">
        <f>IF(COUNTIFS([0]!OrderID,Table3[[#This Row],[OrderID]],[0]!Category,"beverage")&gt;0,"yes","no")</f>
        <v>yes</v>
      </c>
      <c r="J335">
        <f>SUMIFS([0]!LineNetAmount,[0]!OrderID,Table3[[#This Row],[OrderID]])</f>
        <v>655.48719999999992</v>
      </c>
      <c r="K335" t="str" cm="1">
        <f t="array" ref="K335">_xlfn.TEXTJOIN("+",,_xlfn._xlws.SORT(_xlfn.UNIQUE(_xlfn._xlws.FILTER([0]!Category,[0]!OrderID=Table3[[#This Row],[OrderID]]))))</f>
        <v>Beverage+Dessert+Hot Meal+Snack</v>
      </c>
      <c r="L335" s="39">
        <f>SUMIFS([0]!FoodCost,[0]!OrderID,Table3[[#This Row],[OrderID]])</f>
        <v>283.29000000000002</v>
      </c>
      <c r="M335" s="39">
        <f>Table3[[#This Row],[LineAmount]]-Table3[[#This Row],[TotalCost]]</f>
        <v>372.1971999999999</v>
      </c>
      <c r="N335" t="str">
        <f>IF(AND(COUNTIFS([0]!OrderID,Table3[[#This Row],[OrderID]],[0]!Category,"hot meal")&gt;0,COUNTIFS([0]!OrderID,Table3[[#This Row],[OrderID]],[0]!Category,"beverage")&gt;0),"combo","single")</f>
        <v>combo</v>
      </c>
      <c r="O335" t="str">
        <f>IF((Table3[[#This Row],[LineAmount]]/(1-Table3[[#This Row],[DiscountPct]]))*Table3[[#This Row],[DiscountPct]]&gt;40,"High Disc","OK")</f>
        <v>OK</v>
      </c>
    </row>
    <row r="336" spans="1:15" x14ac:dyDescent="0.3">
      <c r="A336" t="s">
        <v>372</v>
      </c>
      <c r="B336" s="7">
        <v>45840.845706018517</v>
      </c>
      <c r="C336" t="s">
        <v>9</v>
      </c>
      <c r="D336" t="s">
        <v>10</v>
      </c>
      <c r="E336" t="s">
        <v>11</v>
      </c>
      <c r="F336" t="s">
        <v>18</v>
      </c>
      <c r="G336">
        <v>0.09</v>
      </c>
      <c r="H336" s="3">
        <f t="shared" si="5"/>
        <v>45840</v>
      </c>
      <c r="I336" t="str">
        <f>IF(COUNTIFS([0]!OrderID,Table3[[#This Row],[OrderID]],[0]!Category,"beverage")&gt;0,"yes","no")</f>
        <v>no</v>
      </c>
      <c r="J336">
        <f>SUMIFS([0]!LineNetAmount,[0]!OrderID,Table3[[#This Row],[OrderID]])</f>
        <v>656.71060000000011</v>
      </c>
      <c r="K336" t="str" cm="1">
        <f t="array" ref="K336">_xlfn.TEXTJOIN("+",,_xlfn._xlws.SORT(_xlfn.UNIQUE(_xlfn._xlws.FILTER([0]!Category,[0]!OrderID=Table3[[#This Row],[OrderID]]))))</f>
        <v>Dessert+Hot Meal</v>
      </c>
      <c r="L336" s="39">
        <f>SUMIFS([0]!FoodCost,[0]!OrderID,Table3[[#This Row],[OrderID]])</f>
        <v>327</v>
      </c>
      <c r="M336" s="39">
        <f>Table3[[#This Row],[LineAmount]]-Table3[[#This Row],[TotalCost]]</f>
        <v>329.71060000000011</v>
      </c>
      <c r="N336" t="str">
        <f>IF(AND(COUNTIFS([0]!OrderID,Table3[[#This Row],[OrderID]],[0]!Category,"hot meal")&gt;0,COUNTIFS([0]!OrderID,Table3[[#This Row],[OrderID]],[0]!Category,"beverage")&gt;0),"combo","single")</f>
        <v>single</v>
      </c>
      <c r="O336" t="str">
        <f>IF((Table3[[#This Row],[LineAmount]]/(1-Table3[[#This Row],[DiscountPct]]))*Table3[[#This Row],[DiscountPct]]&gt;40,"High Disc","OK")</f>
        <v>High Disc</v>
      </c>
    </row>
    <row r="337" spans="1:15" x14ac:dyDescent="0.3">
      <c r="A337" t="s">
        <v>373</v>
      </c>
      <c r="B337" s="7">
        <v>45853.189918981479</v>
      </c>
      <c r="C337" t="s">
        <v>15</v>
      </c>
      <c r="D337" t="s">
        <v>16</v>
      </c>
      <c r="E337" t="s">
        <v>17</v>
      </c>
      <c r="F337" t="s">
        <v>12</v>
      </c>
      <c r="G337">
        <v>7.0000000000000007E-2</v>
      </c>
      <c r="H337" s="3">
        <f t="shared" si="5"/>
        <v>45853</v>
      </c>
      <c r="I337" t="str">
        <f>IF(COUNTIFS([0]!OrderID,Table3[[#This Row],[OrderID]],[0]!Category,"beverage")&gt;0,"yes","no")</f>
        <v>no</v>
      </c>
      <c r="J337">
        <f>SUMIFS([0]!LineNetAmount,[0]!OrderID,Table3[[#This Row],[OrderID]])</f>
        <v>199.50360000000001</v>
      </c>
      <c r="K337" t="str" cm="1">
        <f t="array" ref="K337">_xlfn.TEXTJOIN("+",,_xlfn._xlws.SORT(_xlfn.UNIQUE(_xlfn._xlws.FILTER([0]!Category,[0]!OrderID=Table3[[#This Row],[OrderID]]))))</f>
        <v>Dessert+Snack</v>
      </c>
      <c r="L337" s="39">
        <f>SUMIFS([0]!FoodCost,[0]!OrderID,Table3[[#This Row],[OrderID]])</f>
        <v>103.5</v>
      </c>
      <c r="M337" s="39">
        <f>Table3[[#This Row],[LineAmount]]-Table3[[#This Row],[TotalCost]]</f>
        <v>96.003600000000006</v>
      </c>
      <c r="N337" t="str">
        <f>IF(AND(COUNTIFS([0]!OrderID,Table3[[#This Row],[OrderID]],[0]!Category,"hot meal")&gt;0,COUNTIFS([0]!OrderID,Table3[[#This Row],[OrderID]],[0]!Category,"beverage")&gt;0),"combo","single")</f>
        <v>single</v>
      </c>
      <c r="O337" t="str">
        <f>IF((Table3[[#This Row],[LineAmount]]/(1-Table3[[#This Row],[DiscountPct]]))*Table3[[#This Row],[DiscountPct]]&gt;40,"High Disc","OK")</f>
        <v>OK</v>
      </c>
    </row>
    <row r="338" spans="1:15" x14ac:dyDescent="0.3">
      <c r="A338" t="s">
        <v>374</v>
      </c>
      <c r="B338" s="7">
        <v>45862.606469907398</v>
      </c>
      <c r="C338" t="s">
        <v>9</v>
      </c>
      <c r="D338" t="s">
        <v>16</v>
      </c>
      <c r="E338" t="s">
        <v>17</v>
      </c>
      <c r="F338" t="s">
        <v>22</v>
      </c>
      <c r="G338">
        <v>0.15</v>
      </c>
      <c r="H338" s="3">
        <f t="shared" si="5"/>
        <v>45862</v>
      </c>
      <c r="I338" t="str">
        <f>IF(COUNTIFS([0]!OrderID,Table3[[#This Row],[OrderID]],[0]!Category,"beverage")&gt;0,"yes","no")</f>
        <v>no</v>
      </c>
      <c r="J338">
        <f>SUMIFS([0]!LineNetAmount,[0]!OrderID,Table3[[#This Row],[OrderID]])</f>
        <v>124.44</v>
      </c>
      <c r="K338" t="str" cm="1">
        <f t="array" ref="K338">_xlfn.TEXTJOIN("+",,_xlfn._xlws.SORT(_xlfn.UNIQUE(_xlfn._xlws.FILTER([0]!Category,[0]!OrderID=Table3[[#This Row],[OrderID]]))))</f>
        <v>Hot Meal</v>
      </c>
      <c r="L338" s="39">
        <f>SUMIFS([0]!FoodCost,[0]!OrderID,Table3[[#This Row],[OrderID]])</f>
        <v>80.92</v>
      </c>
      <c r="M338" s="39">
        <f>Table3[[#This Row],[LineAmount]]-Table3[[#This Row],[TotalCost]]</f>
        <v>43.519999999999996</v>
      </c>
      <c r="N338" t="str">
        <f>IF(AND(COUNTIFS([0]!OrderID,Table3[[#This Row],[OrderID]],[0]!Category,"hot meal")&gt;0,COUNTIFS([0]!OrderID,Table3[[#This Row],[OrderID]],[0]!Category,"beverage")&gt;0),"combo","single")</f>
        <v>single</v>
      </c>
      <c r="O338" t="str">
        <f>IF((Table3[[#This Row],[LineAmount]]/(1-Table3[[#This Row],[DiscountPct]]))*Table3[[#This Row],[DiscountPct]]&gt;40,"High Disc","OK")</f>
        <v>OK</v>
      </c>
    </row>
    <row r="339" spans="1:15" x14ac:dyDescent="0.3">
      <c r="A339" t="s">
        <v>375</v>
      </c>
      <c r="B339" s="7">
        <v>45890.075300925928</v>
      </c>
      <c r="C339" t="s">
        <v>15</v>
      </c>
      <c r="D339" t="s">
        <v>28</v>
      </c>
      <c r="E339" t="s">
        <v>11</v>
      </c>
      <c r="F339" t="s">
        <v>12</v>
      </c>
      <c r="G339">
        <v>0.03</v>
      </c>
      <c r="H339" s="3">
        <f t="shared" si="5"/>
        <v>45890</v>
      </c>
      <c r="I339" t="str">
        <f>IF(COUNTIFS([0]!OrderID,Table3[[#This Row],[OrderID]],[0]!Category,"beverage")&gt;0,"yes","no")</f>
        <v>yes</v>
      </c>
      <c r="J339">
        <f>SUMIFS([0]!LineNetAmount,[0]!OrderID,Table3[[#This Row],[OrderID]])</f>
        <v>152.9787</v>
      </c>
      <c r="K339" t="str" cm="1">
        <f t="array" ref="K339">_xlfn.TEXTJOIN("+",,_xlfn._xlws.SORT(_xlfn.UNIQUE(_xlfn._xlws.FILTER([0]!Category,[0]!OrderID=Table3[[#This Row],[OrderID]]))))</f>
        <v>Beverage</v>
      </c>
      <c r="L339" s="39">
        <f>SUMIFS([0]!FoodCost,[0]!OrderID,Table3[[#This Row],[OrderID]])</f>
        <v>63.589999999999996</v>
      </c>
      <c r="M339" s="39">
        <f>Table3[[#This Row],[LineAmount]]-Table3[[#This Row],[TotalCost]]</f>
        <v>89.3887</v>
      </c>
      <c r="N339" t="str">
        <f>IF(AND(COUNTIFS([0]!OrderID,Table3[[#This Row],[OrderID]],[0]!Category,"hot meal")&gt;0,COUNTIFS([0]!OrderID,Table3[[#This Row],[OrderID]],[0]!Category,"beverage")&gt;0),"combo","single")</f>
        <v>single</v>
      </c>
      <c r="O339" t="str">
        <f>IF((Table3[[#This Row],[LineAmount]]/(1-Table3[[#This Row],[DiscountPct]]))*Table3[[#This Row],[DiscountPct]]&gt;40,"High Disc","OK")</f>
        <v>OK</v>
      </c>
    </row>
    <row r="340" spans="1:15" x14ac:dyDescent="0.3">
      <c r="A340" t="s">
        <v>376</v>
      </c>
      <c r="B340" s="7">
        <v>45888.506631944438</v>
      </c>
      <c r="C340" t="s">
        <v>9</v>
      </c>
      <c r="D340" t="s">
        <v>10</v>
      </c>
      <c r="E340" t="s">
        <v>17</v>
      </c>
      <c r="F340" t="s">
        <v>22</v>
      </c>
      <c r="G340">
        <v>0.03</v>
      </c>
      <c r="H340" s="3">
        <f t="shared" si="5"/>
        <v>45888</v>
      </c>
      <c r="I340" t="str">
        <f>IF(COUNTIFS([0]!OrderID,Table3[[#This Row],[OrderID]],[0]!Category,"beverage")&gt;0,"yes","no")</f>
        <v>no</v>
      </c>
      <c r="J340">
        <f>SUMIFS([0]!LineNetAmount,[0]!OrderID,Table3[[#This Row],[OrderID]])</f>
        <v>392.66570000000002</v>
      </c>
      <c r="K340" t="str" cm="1">
        <f t="array" ref="K340">_xlfn.TEXTJOIN("+",,_xlfn._xlws.SORT(_xlfn.UNIQUE(_xlfn._xlws.FILTER([0]!Category,[0]!OrderID=Table3[[#This Row],[OrderID]]))))</f>
        <v>Dessert</v>
      </c>
      <c r="L340" s="39">
        <f>SUMIFS([0]!FoodCost,[0]!OrderID,Table3[[#This Row],[OrderID]])</f>
        <v>185.36</v>
      </c>
      <c r="M340" s="39">
        <f>Table3[[#This Row],[LineAmount]]-Table3[[#This Row],[TotalCost]]</f>
        <v>207.3057</v>
      </c>
      <c r="N340" t="str">
        <f>IF(AND(COUNTIFS([0]!OrderID,Table3[[#This Row],[OrderID]],[0]!Category,"hot meal")&gt;0,COUNTIFS([0]!OrderID,Table3[[#This Row],[OrderID]],[0]!Category,"beverage")&gt;0),"combo","single")</f>
        <v>single</v>
      </c>
      <c r="O340" t="str">
        <f>IF((Table3[[#This Row],[LineAmount]]/(1-Table3[[#This Row],[DiscountPct]]))*Table3[[#This Row],[DiscountPct]]&gt;40,"High Disc","OK")</f>
        <v>OK</v>
      </c>
    </row>
    <row r="341" spans="1:15" x14ac:dyDescent="0.3">
      <c r="A341" t="s">
        <v>377</v>
      </c>
      <c r="B341" s="7">
        <v>45884.895578703698</v>
      </c>
      <c r="C341" t="s">
        <v>27</v>
      </c>
      <c r="D341" t="s">
        <v>10</v>
      </c>
      <c r="E341" t="s">
        <v>21</v>
      </c>
      <c r="F341" t="s">
        <v>18</v>
      </c>
      <c r="G341">
        <v>0.04</v>
      </c>
      <c r="H341" s="3">
        <f t="shared" si="5"/>
        <v>45884</v>
      </c>
      <c r="I341" t="str">
        <f>IF(COUNTIFS([0]!OrderID,Table3[[#This Row],[OrderID]],[0]!Category,"beverage")&gt;0,"yes","no")</f>
        <v>yes</v>
      </c>
      <c r="J341">
        <f>SUMIFS([0]!LineNetAmount,[0]!OrderID,Table3[[#This Row],[OrderID]])</f>
        <v>263.87520000000001</v>
      </c>
      <c r="K341" t="str" cm="1">
        <f t="array" ref="K341">_xlfn.TEXTJOIN("+",,_xlfn._xlws.SORT(_xlfn.UNIQUE(_xlfn._xlws.FILTER([0]!Category,[0]!OrderID=Table3[[#This Row],[OrderID]]))))</f>
        <v>Beverage+Dessert+Snack</v>
      </c>
      <c r="L341" s="39">
        <f>SUMIFS([0]!FoodCost,[0]!OrderID,Table3[[#This Row],[OrderID]])</f>
        <v>125.37</v>
      </c>
      <c r="M341" s="39">
        <f>Table3[[#This Row],[LineAmount]]-Table3[[#This Row],[TotalCost]]</f>
        <v>138.5052</v>
      </c>
      <c r="N341" t="str">
        <f>IF(AND(COUNTIFS([0]!OrderID,Table3[[#This Row],[OrderID]],[0]!Category,"hot meal")&gt;0,COUNTIFS([0]!OrderID,Table3[[#This Row],[OrderID]],[0]!Category,"beverage")&gt;0),"combo","single")</f>
        <v>single</v>
      </c>
      <c r="O341" t="str">
        <f>IF((Table3[[#This Row],[LineAmount]]/(1-Table3[[#This Row],[DiscountPct]]))*Table3[[#This Row],[DiscountPct]]&gt;40,"High Disc","OK")</f>
        <v>OK</v>
      </c>
    </row>
    <row r="342" spans="1:15" x14ac:dyDescent="0.3">
      <c r="A342" t="s">
        <v>378</v>
      </c>
      <c r="B342" s="7">
        <v>45863.87699074074</v>
      </c>
      <c r="C342" t="s">
        <v>9</v>
      </c>
      <c r="D342" t="s">
        <v>28</v>
      </c>
      <c r="E342" t="s">
        <v>21</v>
      </c>
      <c r="F342" t="s">
        <v>18</v>
      </c>
      <c r="G342">
        <v>0</v>
      </c>
      <c r="H342" s="3">
        <f t="shared" si="5"/>
        <v>45863</v>
      </c>
      <c r="I342" t="str">
        <f>IF(COUNTIFS([0]!OrderID,Table3[[#This Row],[OrderID]],[0]!Category,"beverage")&gt;0,"yes","no")</f>
        <v>no</v>
      </c>
      <c r="J342">
        <f>SUMIFS([0]!LineNetAmount,[0]!OrderID,Table3[[#This Row],[OrderID]])</f>
        <v>416</v>
      </c>
      <c r="K342" t="str" cm="1">
        <f t="array" ref="K342">_xlfn.TEXTJOIN("+",,_xlfn._xlws.SORT(_xlfn.UNIQUE(_xlfn._xlws.FILTER([0]!Category,[0]!OrderID=Table3[[#This Row],[OrderID]]))))</f>
        <v>Dessert+Hot Meal+Snack</v>
      </c>
      <c r="L342" s="39">
        <f>SUMIFS([0]!FoodCost,[0]!OrderID,Table3[[#This Row],[OrderID]])</f>
        <v>211.12</v>
      </c>
      <c r="M342" s="39">
        <f>Table3[[#This Row],[LineAmount]]-Table3[[#This Row],[TotalCost]]</f>
        <v>204.88</v>
      </c>
      <c r="N342" t="str">
        <f>IF(AND(COUNTIFS([0]!OrderID,Table3[[#This Row],[OrderID]],[0]!Category,"hot meal")&gt;0,COUNTIFS([0]!OrderID,Table3[[#This Row],[OrderID]],[0]!Category,"beverage")&gt;0),"combo","single")</f>
        <v>single</v>
      </c>
      <c r="O342" t="str">
        <f>IF((Table3[[#This Row],[LineAmount]]/(1-Table3[[#This Row],[DiscountPct]]))*Table3[[#This Row],[DiscountPct]]&gt;40,"High Disc","OK")</f>
        <v>OK</v>
      </c>
    </row>
    <row r="343" spans="1:15" x14ac:dyDescent="0.3">
      <c r="A343" t="s">
        <v>379</v>
      </c>
      <c r="B343" s="7">
        <v>45872.726990740739</v>
      </c>
      <c r="C343" t="s">
        <v>27</v>
      </c>
      <c r="D343" t="s">
        <v>10</v>
      </c>
      <c r="E343" t="s">
        <v>11</v>
      </c>
      <c r="F343" t="s">
        <v>18</v>
      </c>
      <c r="G343">
        <v>0.04</v>
      </c>
      <c r="H343" s="3">
        <f t="shared" si="5"/>
        <v>45872</v>
      </c>
      <c r="I343" t="str">
        <f>IF(COUNTIFS([0]!OrderID,Table3[[#This Row],[OrderID]],[0]!Category,"beverage")&gt;0,"yes","no")</f>
        <v>yes</v>
      </c>
      <c r="J343">
        <f>SUMIFS([0]!LineNetAmount,[0]!OrderID,Table3[[#This Row],[OrderID]])</f>
        <v>104.9376</v>
      </c>
      <c r="K343" t="str" cm="1">
        <f t="array" ref="K343">_xlfn.TEXTJOIN("+",,_xlfn._xlws.SORT(_xlfn.UNIQUE(_xlfn._xlws.FILTER([0]!Category,[0]!OrderID=Table3[[#This Row],[OrderID]]))))</f>
        <v>Beverage+Snack</v>
      </c>
      <c r="L343" s="39">
        <f>SUMIFS([0]!FoodCost,[0]!OrderID,Table3[[#This Row],[OrderID]])</f>
        <v>53.58</v>
      </c>
      <c r="M343" s="39">
        <f>Table3[[#This Row],[LineAmount]]-Table3[[#This Row],[TotalCost]]</f>
        <v>51.357600000000005</v>
      </c>
      <c r="N343" t="str">
        <f>IF(AND(COUNTIFS([0]!OrderID,Table3[[#This Row],[OrderID]],[0]!Category,"hot meal")&gt;0,COUNTIFS([0]!OrderID,Table3[[#This Row],[OrderID]],[0]!Category,"beverage")&gt;0),"combo","single")</f>
        <v>single</v>
      </c>
      <c r="O343" t="str">
        <f>IF((Table3[[#This Row],[LineAmount]]/(1-Table3[[#This Row],[DiscountPct]]))*Table3[[#This Row],[DiscountPct]]&gt;40,"High Disc","OK")</f>
        <v>OK</v>
      </c>
    </row>
    <row r="344" spans="1:15" x14ac:dyDescent="0.3">
      <c r="A344" t="s">
        <v>380</v>
      </c>
      <c r="B344" s="7">
        <v>45895.747199074067</v>
      </c>
      <c r="C344" t="s">
        <v>9</v>
      </c>
      <c r="D344" t="s">
        <v>16</v>
      </c>
      <c r="E344" t="s">
        <v>17</v>
      </c>
      <c r="F344" t="s">
        <v>18</v>
      </c>
      <c r="G344">
        <v>0.03</v>
      </c>
      <c r="H344" s="3">
        <f t="shared" si="5"/>
        <v>45895</v>
      </c>
      <c r="I344" t="str">
        <f>IF(COUNTIFS([0]!OrderID,Table3[[#This Row],[OrderID]],[0]!Category,"beverage")&gt;0,"yes","no")</f>
        <v>no</v>
      </c>
      <c r="J344">
        <f>SUMIFS([0]!LineNetAmount,[0]!OrderID,Table3[[#This Row],[OrderID]])</f>
        <v>105.148</v>
      </c>
      <c r="K344" t="str" cm="1">
        <f t="array" ref="K344">_xlfn.TEXTJOIN("+",,_xlfn._xlws.SORT(_xlfn.UNIQUE(_xlfn._xlws.FILTER([0]!Category,[0]!OrderID=Table3[[#This Row],[OrderID]]))))</f>
        <v>Dessert</v>
      </c>
      <c r="L344" s="39">
        <f>SUMIFS([0]!FoodCost,[0]!OrderID,Table3[[#This Row],[OrderID]])</f>
        <v>43.9</v>
      </c>
      <c r="M344" s="39">
        <f>Table3[[#This Row],[LineAmount]]-Table3[[#This Row],[TotalCost]]</f>
        <v>61.247999999999998</v>
      </c>
      <c r="N344" t="str">
        <f>IF(AND(COUNTIFS([0]!OrderID,Table3[[#This Row],[OrderID]],[0]!Category,"hot meal")&gt;0,COUNTIFS([0]!OrderID,Table3[[#This Row],[OrderID]],[0]!Category,"beverage")&gt;0),"combo","single")</f>
        <v>single</v>
      </c>
      <c r="O344" t="str">
        <f>IF((Table3[[#This Row],[LineAmount]]/(1-Table3[[#This Row],[DiscountPct]]))*Table3[[#This Row],[DiscountPct]]&gt;40,"High Disc","OK")</f>
        <v>OK</v>
      </c>
    </row>
    <row r="345" spans="1:15" x14ac:dyDescent="0.3">
      <c r="A345" t="s">
        <v>381</v>
      </c>
      <c r="B345" s="7">
        <v>45873.454837962963</v>
      </c>
      <c r="C345" t="s">
        <v>9</v>
      </c>
      <c r="D345" t="s">
        <v>16</v>
      </c>
      <c r="E345" t="s">
        <v>11</v>
      </c>
      <c r="F345" t="s">
        <v>12</v>
      </c>
      <c r="G345">
        <v>7.0000000000000007E-2</v>
      </c>
      <c r="H345" s="3">
        <f t="shared" si="5"/>
        <v>45873</v>
      </c>
      <c r="I345" t="str">
        <f>IF(COUNTIFS([0]!OrderID,Table3[[#This Row],[OrderID]],[0]!Category,"beverage")&gt;0,"yes","no")</f>
        <v>no</v>
      </c>
      <c r="J345">
        <f>SUMIFS([0]!LineNetAmount,[0]!OrderID,Table3[[#This Row],[OrderID]])</f>
        <v>214.55099999999999</v>
      </c>
      <c r="K345" t="str" cm="1">
        <f t="array" ref="K345">_xlfn.TEXTJOIN("+",,_xlfn._xlws.SORT(_xlfn.UNIQUE(_xlfn._xlws.FILTER([0]!Category,[0]!OrderID=Table3[[#This Row],[OrderID]]))))</f>
        <v>Dessert+Snack</v>
      </c>
      <c r="L345" s="39">
        <f>SUMIFS([0]!FoodCost,[0]!OrderID,Table3[[#This Row],[OrderID]])</f>
        <v>106.27</v>
      </c>
      <c r="M345" s="39">
        <f>Table3[[#This Row],[LineAmount]]-Table3[[#This Row],[TotalCost]]</f>
        <v>108.28099999999999</v>
      </c>
      <c r="N345" t="str">
        <f>IF(AND(COUNTIFS([0]!OrderID,Table3[[#This Row],[OrderID]],[0]!Category,"hot meal")&gt;0,COUNTIFS([0]!OrderID,Table3[[#This Row],[OrderID]],[0]!Category,"beverage")&gt;0),"combo","single")</f>
        <v>single</v>
      </c>
      <c r="O345" t="str">
        <f>IF((Table3[[#This Row],[LineAmount]]/(1-Table3[[#This Row],[DiscountPct]]))*Table3[[#This Row],[DiscountPct]]&gt;40,"High Disc","OK")</f>
        <v>OK</v>
      </c>
    </row>
    <row r="346" spans="1:15" x14ac:dyDescent="0.3">
      <c r="A346" t="s">
        <v>382</v>
      </c>
      <c r="B346" s="7">
        <v>45884.360405092593</v>
      </c>
      <c r="C346" t="s">
        <v>9</v>
      </c>
      <c r="D346" t="s">
        <v>16</v>
      </c>
      <c r="E346" t="s">
        <v>11</v>
      </c>
      <c r="F346" t="s">
        <v>12</v>
      </c>
      <c r="G346">
        <v>7.0000000000000007E-2</v>
      </c>
      <c r="H346" s="3">
        <f t="shared" si="5"/>
        <v>45884</v>
      </c>
      <c r="I346" t="str">
        <f>IF(COUNTIFS([0]!OrderID,Table3[[#This Row],[OrderID]],[0]!Category,"beverage")&gt;0,"yes","no")</f>
        <v>yes</v>
      </c>
      <c r="J346">
        <f>SUMIFS([0]!LineNetAmount,[0]!OrderID,Table3[[#This Row],[OrderID]])</f>
        <v>595.21860000000004</v>
      </c>
      <c r="K346" t="str" cm="1">
        <f t="array" ref="K346">_xlfn.TEXTJOIN("+",,_xlfn._xlws.SORT(_xlfn.UNIQUE(_xlfn._xlws.FILTER([0]!Category,[0]!OrderID=Table3[[#This Row],[OrderID]]))))</f>
        <v>Beverage+Dessert+Hot Meal</v>
      </c>
      <c r="L346" s="39">
        <f>SUMIFS([0]!FoodCost,[0]!OrderID,Table3[[#This Row],[OrderID]])</f>
        <v>267.66999999999996</v>
      </c>
      <c r="M346" s="39">
        <f>Table3[[#This Row],[LineAmount]]-Table3[[#This Row],[TotalCost]]</f>
        <v>327.54860000000008</v>
      </c>
      <c r="N346" t="str">
        <f>IF(AND(COUNTIFS([0]!OrderID,Table3[[#This Row],[OrderID]],[0]!Category,"hot meal")&gt;0,COUNTIFS([0]!OrderID,Table3[[#This Row],[OrderID]],[0]!Category,"beverage")&gt;0),"combo","single")</f>
        <v>combo</v>
      </c>
      <c r="O346" t="str">
        <f>IF((Table3[[#This Row],[LineAmount]]/(1-Table3[[#This Row],[DiscountPct]]))*Table3[[#This Row],[DiscountPct]]&gt;40,"High Disc","OK")</f>
        <v>High Disc</v>
      </c>
    </row>
    <row r="347" spans="1:15" x14ac:dyDescent="0.3">
      <c r="A347" t="s">
        <v>383</v>
      </c>
      <c r="B347" s="7">
        <v>45852.342881944453</v>
      </c>
      <c r="C347" t="s">
        <v>27</v>
      </c>
      <c r="D347" t="s">
        <v>10</v>
      </c>
      <c r="E347" t="s">
        <v>21</v>
      </c>
      <c r="F347" t="s">
        <v>12</v>
      </c>
      <c r="G347">
        <v>0.14000000000000001</v>
      </c>
      <c r="H347" s="3">
        <f t="shared" si="5"/>
        <v>45852</v>
      </c>
      <c r="I347" t="str">
        <f>IF(COUNTIFS([0]!OrderID,Table3[[#This Row],[OrderID]],[0]!Category,"beverage")&gt;0,"yes","no")</f>
        <v>yes</v>
      </c>
      <c r="J347">
        <f>SUMIFS([0]!LineNetAmount,[0]!OrderID,Table3[[#This Row],[OrderID]])</f>
        <v>66.194199999999995</v>
      </c>
      <c r="K347" t="str" cm="1">
        <f t="array" ref="K347">_xlfn.TEXTJOIN("+",,_xlfn._xlws.SORT(_xlfn.UNIQUE(_xlfn._xlws.FILTER([0]!Category,[0]!OrderID=Table3[[#This Row],[OrderID]]))))</f>
        <v>Beverage</v>
      </c>
      <c r="L347" s="39">
        <f>SUMIFS([0]!FoodCost,[0]!OrderID,Table3[[#This Row],[OrderID]])</f>
        <v>35.78</v>
      </c>
      <c r="M347" s="39">
        <f>Table3[[#This Row],[LineAmount]]-Table3[[#This Row],[TotalCost]]</f>
        <v>30.414199999999994</v>
      </c>
      <c r="N347" t="str">
        <f>IF(AND(COUNTIFS([0]!OrderID,Table3[[#This Row],[OrderID]],[0]!Category,"hot meal")&gt;0,COUNTIFS([0]!OrderID,Table3[[#This Row],[OrderID]],[0]!Category,"beverage")&gt;0),"combo","single")</f>
        <v>single</v>
      </c>
      <c r="O347" t="str">
        <f>IF((Table3[[#This Row],[LineAmount]]/(1-Table3[[#This Row],[DiscountPct]]))*Table3[[#This Row],[DiscountPct]]&gt;40,"High Disc","OK")</f>
        <v>OK</v>
      </c>
    </row>
    <row r="348" spans="1:15" x14ac:dyDescent="0.3">
      <c r="A348" t="s">
        <v>384</v>
      </c>
      <c r="B348" s="7">
        <v>45867.740439814806</v>
      </c>
      <c r="C348" t="s">
        <v>27</v>
      </c>
      <c r="D348" t="s">
        <v>28</v>
      </c>
      <c r="E348" t="s">
        <v>17</v>
      </c>
      <c r="F348" t="s">
        <v>18</v>
      </c>
      <c r="G348">
        <v>0.1</v>
      </c>
      <c r="H348" s="3">
        <f t="shared" si="5"/>
        <v>45867</v>
      </c>
      <c r="I348" t="str">
        <f>IF(COUNTIFS([0]!OrderID,Table3[[#This Row],[OrderID]],[0]!Category,"beverage")&gt;0,"yes","no")</f>
        <v>no</v>
      </c>
      <c r="J348">
        <f>SUMIFS([0]!LineNetAmount,[0]!OrderID,Table3[[#This Row],[OrderID]])</f>
        <v>494.73900000000003</v>
      </c>
      <c r="K348" t="str" cm="1">
        <f t="array" ref="K348">_xlfn.TEXTJOIN("+",,_xlfn._xlws.SORT(_xlfn.UNIQUE(_xlfn._xlws.FILTER([0]!Category,[0]!OrderID=Table3[[#This Row],[OrderID]]))))</f>
        <v>Hot Meal</v>
      </c>
      <c r="L348" s="39">
        <f>SUMIFS([0]!FoodCost,[0]!OrderID,Table3[[#This Row],[OrderID]])</f>
        <v>283.08</v>
      </c>
      <c r="M348" s="39">
        <f>Table3[[#This Row],[LineAmount]]-Table3[[#This Row],[TotalCost]]</f>
        <v>211.65900000000005</v>
      </c>
      <c r="N348" t="str">
        <f>IF(AND(COUNTIFS([0]!OrderID,Table3[[#This Row],[OrderID]],[0]!Category,"hot meal")&gt;0,COUNTIFS([0]!OrderID,Table3[[#This Row],[OrderID]],[0]!Category,"beverage")&gt;0),"combo","single")</f>
        <v>single</v>
      </c>
      <c r="O348" t="str">
        <f>IF((Table3[[#This Row],[LineAmount]]/(1-Table3[[#This Row],[DiscountPct]]))*Table3[[#This Row],[DiscountPct]]&gt;40,"High Disc","OK")</f>
        <v>High Disc</v>
      </c>
    </row>
    <row r="349" spans="1:15" x14ac:dyDescent="0.3">
      <c r="A349" t="s">
        <v>385</v>
      </c>
      <c r="B349" s="7">
        <v>45869.89130787037</v>
      </c>
      <c r="C349" t="s">
        <v>15</v>
      </c>
      <c r="D349" t="s">
        <v>10</v>
      </c>
      <c r="E349" t="s">
        <v>21</v>
      </c>
      <c r="F349" t="s">
        <v>18</v>
      </c>
      <c r="G349">
        <v>0.04</v>
      </c>
      <c r="H349" s="3">
        <f t="shared" si="5"/>
        <v>45869</v>
      </c>
      <c r="I349" t="str">
        <f>IF(COUNTIFS([0]!OrderID,Table3[[#This Row],[OrderID]],[0]!Category,"beverage")&gt;0,"yes","no")</f>
        <v>no</v>
      </c>
      <c r="J349">
        <f>SUMIFS([0]!LineNetAmount,[0]!OrderID,Table3[[#This Row],[OrderID]])</f>
        <v>1245.1872000000001</v>
      </c>
      <c r="K349" t="str" cm="1">
        <f t="array" ref="K349">_xlfn.TEXTJOIN("+",,_xlfn._xlws.SORT(_xlfn.UNIQUE(_xlfn._xlws.FILTER([0]!Category,[0]!OrderID=Table3[[#This Row],[OrderID]]))))</f>
        <v>Dessert+Hot Meal+Snack</v>
      </c>
      <c r="L349" s="39">
        <f>SUMIFS([0]!FoodCost,[0]!OrderID,Table3[[#This Row],[OrderID]])</f>
        <v>605.94999999999993</v>
      </c>
      <c r="M349" s="39">
        <f>Table3[[#This Row],[LineAmount]]-Table3[[#This Row],[TotalCost]]</f>
        <v>639.23720000000014</v>
      </c>
      <c r="N349" t="str">
        <f>IF(AND(COUNTIFS([0]!OrderID,Table3[[#This Row],[OrderID]],[0]!Category,"hot meal")&gt;0,COUNTIFS([0]!OrderID,Table3[[#This Row],[OrderID]],[0]!Category,"beverage")&gt;0),"combo","single")</f>
        <v>single</v>
      </c>
      <c r="O349" t="str">
        <f>IF((Table3[[#This Row],[LineAmount]]/(1-Table3[[#This Row],[DiscountPct]]))*Table3[[#This Row],[DiscountPct]]&gt;40,"High Disc","OK")</f>
        <v>High Disc</v>
      </c>
    </row>
    <row r="350" spans="1:15" x14ac:dyDescent="0.3">
      <c r="A350" t="s">
        <v>386</v>
      </c>
      <c r="B350" s="7">
        <v>45885.212557870371</v>
      </c>
      <c r="C350" t="s">
        <v>15</v>
      </c>
      <c r="D350" t="s">
        <v>28</v>
      </c>
      <c r="E350" t="s">
        <v>11</v>
      </c>
      <c r="F350" t="s">
        <v>12</v>
      </c>
      <c r="G350">
        <v>0.02</v>
      </c>
      <c r="H350" s="3">
        <f t="shared" si="5"/>
        <v>45885</v>
      </c>
      <c r="I350" t="str">
        <f>IF(COUNTIFS([0]!OrderID,Table3[[#This Row],[OrderID]],[0]!Category,"beverage")&gt;0,"yes","no")</f>
        <v>no</v>
      </c>
      <c r="J350">
        <f>SUMIFS([0]!LineNetAmount,[0]!OrderID,Table3[[#This Row],[OrderID]])</f>
        <v>915.51600000000008</v>
      </c>
      <c r="K350" t="str" cm="1">
        <f t="array" ref="K350">_xlfn.TEXTJOIN("+",,_xlfn._xlws.SORT(_xlfn.UNIQUE(_xlfn._xlws.FILTER([0]!Category,[0]!OrderID=Table3[[#This Row],[OrderID]]))))</f>
        <v>Dessert+Hot Meal</v>
      </c>
      <c r="L350" s="39">
        <f>SUMIFS([0]!FoodCost,[0]!OrderID,Table3[[#This Row],[OrderID]])</f>
        <v>423.88</v>
      </c>
      <c r="M350" s="39">
        <f>Table3[[#This Row],[LineAmount]]-Table3[[#This Row],[TotalCost]]</f>
        <v>491.63600000000008</v>
      </c>
      <c r="N350" t="str">
        <f>IF(AND(COUNTIFS([0]!OrderID,Table3[[#This Row],[OrderID]],[0]!Category,"hot meal")&gt;0,COUNTIFS([0]!OrderID,Table3[[#This Row],[OrderID]],[0]!Category,"beverage")&gt;0),"combo","single")</f>
        <v>single</v>
      </c>
      <c r="O350" t="str">
        <f>IF((Table3[[#This Row],[LineAmount]]/(1-Table3[[#This Row],[DiscountPct]]))*Table3[[#This Row],[DiscountPct]]&gt;40,"High Disc","OK")</f>
        <v>OK</v>
      </c>
    </row>
    <row r="351" spans="1:15" x14ac:dyDescent="0.3">
      <c r="A351" t="s">
        <v>387</v>
      </c>
      <c r="B351" s="7">
        <v>45867.028611111113</v>
      </c>
      <c r="C351" t="s">
        <v>15</v>
      </c>
      <c r="D351" t="s">
        <v>28</v>
      </c>
      <c r="E351" t="s">
        <v>11</v>
      </c>
      <c r="F351" t="s">
        <v>12</v>
      </c>
      <c r="G351">
        <v>0.08</v>
      </c>
      <c r="H351" s="3">
        <f t="shared" si="5"/>
        <v>45867</v>
      </c>
      <c r="I351" t="str">
        <f>IF(COUNTIFS([0]!OrderID,Table3[[#This Row],[OrderID]],[0]!Category,"beverage")&gt;0,"yes","no")</f>
        <v>yes</v>
      </c>
      <c r="J351">
        <f>SUMIFS([0]!LineNetAmount,[0]!OrderID,Table3[[#This Row],[OrderID]])</f>
        <v>356.21480000000003</v>
      </c>
      <c r="K351" t="str" cm="1">
        <f t="array" ref="K351">_xlfn.TEXTJOIN("+",,_xlfn._xlws.SORT(_xlfn.UNIQUE(_xlfn._xlws.FILTER([0]!Category,[0]!OrderID=Table3[[#This Row],[OrderID]]))))</f>
        <v>Beverage+Hot Meal</v>
      </c>
      <c r="L351" s="39">
        <f>SUMIFS([0]!FoodCost,[0]!OrderID,Table3[[#This Row],[OrderID]])</f>
        <v>199.41000000000003</v>
      </c>
      <c r="M351" s="39">
        <f>Table3[[#This Row],[LineAmount]]-Table3[[#This Row],[TotalCost]]</f>
        <v>156.8048</v>
      </c>
      <c r="N351" t="str">
        <f>IF(AND(COUNTIFS([0]!OrderID,Table3[[#This Row],[OrderID]],[0]!Category,"hot meal")&gt;0,COUNTIFS([0]!OrderID,Table3[[#This Row],[OrderID]],[0]!Category,"beverage")&gt;0),"combo","single")</f>
        <v>combo</v>
      </c>
      <c r="O351" t="str">
        <f>IF((Table3[[#This Row],[LineAmount]]/(1-Table3[[#This Row],[DiscountPct]]))*Table3[[#This Row],[DiscountPct]]&gt;40,"High Disc","OK")</f>
        <v>OK</v>
      </c>
    </row>
    <row r="352" spans="1:15" x14ac:dyDescent="0.3">
      <c r="A352" t="s">
        <v>388</v>
      </c>
      <c r="B352" s="7">
        <v>45865.776701388888</v>
      </c>
      <c r="C352" t="s">
        <v>27</v>
      </c>
      <c r="D352" t="s">
        <v>16</v>
      </c>
      <c r="E352" t="s">
        <v>21</v>
      </c>
      <c r="F352" t="s">
        <v>18</v>
      </c>
      <c r="G352">
        <v>0.01</v>
      </c>
      <c r="H352" s="3">
        <f t="shared" si="5"/>
        <v>45865</v>
      </c>
      <c r="I352" t="str">
        <f>IF(COUNTIFS([0]!OrderID,Table3[[#This Row],[OrderID]],[0]!Category,"beverage")&gt;0,"yes","no")</f>
        <v>yes</v>
      </c>
      <c r="J352">
        <f>SUMIFS([0]!LineNetAmount,[0]!OrderID,Table3[[#This Row],[OrderID]])</f>
        <v>60.0732</v>
      </c>
      <c r="K352" t="str" cm="1">
        <f t="array" ref="K352">_xlfn.TEXTJOIN("+",,_xlfn._xlws.SORT(_xlfn.UNIQUE(_xlfn._xlws.FILTER([0]!Category,[0]!OrderID=Table3[[#This Row],[OrderID]]))))</f>
        <v>Beverage</v>
      </c>
      <c r="L352" s="39">
        <f>SUMIFS([0]!FoodCost,[0]!OrderID,Table3[[#This Row],[OrderID]])</f>
        <v>28.36</v>
      </c>
      <c r="M352" s="39">
        <f>Table3[[#This Row],[LineAmount]]-Table3[[#This Row],[TotalCost]]</f>
        <v>31.713200000000001</v>
      </c>
      <c r="N352" t="str">
        <f>IF(AND(COUNTIFS([0]!OrderID,Table3[[#This Row],[OrderID]],[0]!Category,"hot meal")&gt;0,COUNTIFS([0]!OrderID,Table3[[#This Row],[OrderID]],[0]!Category,"beverage")&gt;0),"combo","single")</f>
        <v>single</v>
      </c>
      <c r="O352" t="str">
        <f>IF((Table3[[#This Row],[LineAmount]]/(1-Table3[[#This Row],[DiscountPct]]))*Table3[[#This Row],[DiscountPct]]&gt;40,"High Disc","OK")</f>
        <v>OK</v>
      </c>
    </row>
    <row r="353" spans="1:15" x14ac:dyDescent="0.3">
      <c r="A353" t="s">
        <v>389</v>
      </c>
      <c r="B353" s="7">
        <v>45881.944189814807</v>
      </c>
      <c r="C353" t="s">
        <v>15</v>
      </c>
      <c r="D353" t="s">
        <v>16</v>
      </c>
      <c r="E353" t="s">
        <v>17</v>
      </c>
      <c r="F353" t="s">
        <v>18</v>
      </c>
      <c r="G353">
        <v>0.13</v>
      </c>
      <c r="H353" s="3">
        <f t="shared" si="5"/>
        <v>45881</v>
      </c>
      <c r="I353" t="str">
        <f>IF(COUNTIFS([0]!OrderID,Table3[[#This Row],[OrderID]],[0]!Category,"beverage")&gt;0,"yes","no")</f>
        <v>yes</v>
      </c>
      <c r="J353">
        <f>SUMIFS([0]!LineNetAmount,[0]!OrderID,Table3[[#This Row],[OrderID]])</f>
        <v>204.4239</v>
      </c>
      <c r="K353" t="str" cm="1">
        <f t="array" ref="K353">_xlfn.TEXTJOIN("+",,_xlfn._xlws.SORT(_xlfn.UNIQUE(_xlfn._xlws.FILTER([0]!Category,[0]!OrderID=Table3[[#This Row],[OrderID]]))))</f>
        <v>Beverage+Dessert+Snack</v>
      </c>
      <c r="L353" s="39">
        <f>SUMIFS([0]!FoodCost,[0]!OrderID,Table3[[#This Row],[OrderID]])</f>
        <v>105.18</v>
      </c>
      <c r="M353" s="39">
        <f>Table3[[#This Row],[LineAmount]]-Table3[[#This Row],[TotalCost]]</f>
        <v>99.243899999999996</v>
      </c>
      <c r="N353" t="str">
        <f>IF(AND(COUNTIFS([0]!OrderID,Table3[[#This Row],[OrderID]],[0]!Category,"hot meal")&gt;0,COUNTIFS([0]!OrderID,Table3[[#This Row],[OrderID]],[0]!Category,"beverage")&gt;0),"combo","single")</f>
        <v>single</v>
      </c>
      <c r="O353" t="str">
        <f>IF((Table3[[#This Row],[LineAmount]]/(1-Table3[[#This Row],[DiscountPct]]))*Table3[[#This Row],[DiscountPct]]&gt;40,"High Disc","OK")</f>
        <v>OK</v>
      </c>
    </row>
    <row r="354" spans="1:15" x14ac:dyDescent="0.3">
      <c r="A354" t="s">
        <v>390</v>
      </c>
      <c r="B354" s="7">
        <v>45887.554722222223</v>
      </c>
      <c r="C354" t="s">
        <v>15</v>
      </c>
      <c r="D354" t="s">
        <v>10</v>
      </c>
      <c r="E354" t="s">
        <v>21</v>
      </c>
      <c r="F354" t="s">
        <v>22</v>
      </c>
      <c r="G354">
        <v>0.11</v>
      </c>
      <c r="H354" s="3">
        <f t="shared" si="5"/>
        <v>45887</v>
      </c>
      <c r="I354" t="str">
        <f>IF(COUNTIFS([0]!OrderID,Table3[[#This Row],[OrderID]],[0]!Category,"beverage")&gt;0,"yes","no")</f>
        <v>no</v>
      </c>
      <c r="J354">
        <f>SUMIFS([0]!LineNetAmount,[0]!OrderID,Table3[[#This Row],[OrderID]])</f>
        <v>204.38849999999999</v>
      </c>
      <c r="K354" t="str" cm="1">
        <f t="array" ref="K354">_xlfn.TEXTJOIN("+",,_xlfn._xlws.SORT(_xlfn.UNIQUE(_xlfn._xlws.FILTER([0]!Category,[0]!OrderID=Table3[[#This Row],[OrderID]]))))</f>
        <v>Dessert</v>
      </c>
      <c r="L354" s="39">
        <f>SUMIFS([0]!FoodCost,[0]!OrderID,Table3[[#This Row],[OrderID]])</f>
        <v>114.69</v>
      </c>
      <c r="M354" s="39">
        <f>Table3[[#This Row],[LineAmount]]-Table3[[#This Row],[TotalCost]]</f>
        <v>89.698499999999996</v>
      </c>
      <c r="N354" t="str">
        <f>IF(AND(COUNTIFS([0]!OrderID,Table3[[#This Row],[OrderID]],[0]!Category,"hot meal")&gt;0,COUNTIFS([0]!OrderID,Table3[[#This Row],[OrderID]],[0]!Category,"beverage")&gt;0),"combo","single")</f>
        <v>single</v>
      </c>
      <c r="O354" t="str">
        <f>IF((Table3[[#This Row],[LineAmount]]/(1-Table3[[#This Row],[DiscountPct]]))*Table3[[#This Row],[DiscountPct]]&gt;40,"High Disc","OK")</f>
        <v>OK</v>
      </c>
    </row>
    <row r="355" spans="1:15" x14ac:dyDescent="0.3">
      <c r="A355" t="s">
        <v>391</v>
      </c>
      <c r="B355" s="7">
        <v>45880.464826388888</v>
      </c>
      <c r="C355" t="s">
        <v>27</v>
      </c>
      <c r="D355" t="s">
        <v>16</v>
      </c>
      <c r="E355" t="s">
        <v>11</v>
      </c>
      <c r="F355" t="s">
        <v>22</v>
      </c>
      <c r="G355">
        <v>0.04</v>
      </c>
      <c r="H355" s="3">
        <f t="shared" si="5"/>
        <v>45880</v>
      </c>
      <c r="I355" t="str">
        <f>IF(COUNTIFS([0]!OrderID,Table3[[#This Row],[OrderID]],[0]!Category,"beverage")&gt;0,"yes","no")</f>
        <v>no</v>
      </c>
      <c r="J355">
        <f>SUMIFS([0]!LineNetAmount,[0]!OrderID,Table3[[#This Row],[OrderID]])</f>
        <v>183.5136</v>
      </c>
      <c r="K355" t="str" cm="1">
        <f t="array" ref="K355">_xlfn.TEXTJOIN("+",,_xlfn._xlws.SORT(_xlfn.UNIQUE(_xlfn._xlws.FILTER([0]!Category,[0]!OrderID=Table3[[#This Row],[OrderID]]))))</f>
        <v>Dessert+Snack</v>
      </c>
      <c r="L355" s="39">
        <f>SUMIFS([0]!FoodCost,[0]!OrderID,Table3[[#This Row],[OrderID]])</f>
        <v>96.009999999999991</v>
      </c>
      <c r="M355" s="39">
        <f>Table3[[#This Row],[LineAmount]]-Table3[[#This Row],[TotalCost]]</f>
        <v>87.503600000000006</v>
      </c>
      <c r="N355" t="str">
        <f>IF(AND(COUNTIFS([0]!OrderID,Table3[[#This Row],[OrderID]],[0]!Category,"hot meal")&gt;0,COUNTIFS([0]!OrderID,Table3[[#This Row],[OrderID]],[0]!Category,"beverage")&gt;0),"combo","single")</f>
        <v>single</v>
      </c>
      <c r="O355" t="str">
        <f>IF((Table3[[#This Row],[LineAmount]]/(1-Table3[[#This Row],[DiscountPct]]))*Table3[[#This Row],[DiscountPct]]&gt;40,"High Disc","OK")</f>
        <v>OK</v>
      </c>
    </row>
    <row r="356" spans="1:15" x14ac:dyDescent="0.3">
      <c r="A356" t="s">
        <v>392</v>
      </c>
      <c r="B356" s="7">
        <v>45892.210300925923</v>
      </c>
      <c r="C356" t="s">
        <v>15</v>
      </c>
      <c r="D356" t="s">
        <v>16</v>
      </c>
      <c r="E356" t="s">
        <v>17</v>
      </c>
      <c r="F356" t="s">
        <v>12</v>
      </c>
      <c r="G356">
        <v>0</v>
      </c>
      <c r="H356" s="3">
        <f t="shared" si="5"/>
        <v>45892</v>
      </c>
      <c r="I356" t="str">
        <f>IF(COUNTIFS([0]!OrderID,Table3[[#This Row],[OrderID]],[0]!Category,"beverage")&gt;0,"yes","no")</f>
        <v>yes</v>
      </c>
      <c r="J356">
        <f>SUMIFS([0]!LineNetAmount,[0]!OrderID,Table3[[#This Row],[OrderID]])</f>
        <v>87.41</v>
      </c>
      <c r="K356" t="str" cm="1">
        <f t="array" ref="K356">_xlfn.TEXTJOIN("+",,_xlfn._xlws.SORT(_xlfn.UNIQUE(_xlfn._xlws.FILTER([0]!Category,[0]!OrderID=Table3[[#This Row],[OrderID]]))))</f>
        <v>Beverage+Dessert</v>
      </c>
      <c r="L356" s="39">
        <f>SUMIFS([0]!FoodCost,[0]!OrderID,Table3[[#This Row],[OrderID]])</f>
        <v>43.32</v>
      </c>
      <c r="M356" s="39">
        <f>Table3[[#This Row],[LineAmount]]-Table3[[#This Row],[TotalCost]]</f>
        <v>44.089999999999996</v>
      </c>
      <c r="N356" t="str">
        <f>IF(AND(COUNTIFS([0]!OrderID,Table3[[#This Row],[OrderID]],[0]!Category,"hot meal")&gt;0,COUNTIFS([0]!OrderID,Table3[[#This Row],[OrderID]],[0]!Category,"beverage")&gt;0),"combo","single")</f>
        <v>single</v>
      </c>
      <c r="O356" t="str">
        <f>IF((Table3[[#This Row],[LineAmount]]/(1-Table3[[#This Row],[DiscountPct]]))*Table3[[#This Row],[DiscountPct]]&gt;40,"High Disc","OK")</f>
        <v>OK</v>
      </c>
    </row>
    <row r="357" spans="1:15" x14ac:dyDescent="0.3">
      <c r="A357" t="s">
        <v>393</v>
      </c>
      <c r="B357" s="7">
        <v>45871.087858796287</v>
      </c>
      <c r="C357" t="s">
        <v>9</v>
      </c>
      <c r="D357" t="s">
        <v>16</v>
      </c>
      <c r="E357" t="s">
        <v>21</v>
      </c>
      <c r="F357" t="s">
        <v>12</v>
      </c>
      <c r="G357">
        <v>0.11</v>
      </c>
      <c r="H357" s="3">
        <f t="shared" si="5"/>
        <v>45871</v>
      </c>
      <c r="I357" t="str">
        <f>IF(COUNTIFS([0]!OrderID,Table3[[#This Row],[OrderID]],[0]!Category,"beverage")&gt;0,"yes","no")</f>
        <v>yes</v>
      </c>
      <c r="J357">
        <f>SUMIFS([0]!LineNetAmount,[0]!OrderID,Table3[[#This Row],[OrderID]])</f>
        <v>700.52790000000005</v>
      </c>
      <c r="K357" t="str" cm="1">
        <f t="array" ref="K357">_xlfn.TEXTJOIN("+",,_xlfn._xlws.SORT(_xlfn.UNIQUE(_xlfn._xlws.FILTER([0]!Category,[0]!OrderID=Table3[[#This Row],[OrderID]]))))</f>
        <v>Beverage+Hot Meal+Snack</v>
      </c>
      <c r="L357" s="39">
        <f>SUMIFS([0]!FoodCost,[0]!OrderID,Table3[[#This Row],[OrderID]])</f>
        <v>340.09000000000003</v>
      </c>
      <c r="M357" s="39">
        <f>Table3[[#This Row],[LineAmount]]-Table3[[#This Row],[TotalCost]]</f>
        <v>360.43790000000001</v>
      </c>
      <c r="N357" t="str">
        <f>IF(AND(COUNTIFS([0]!OrderID,Table3[[#This Row],[OrderID]],[0]!Category,"hot meal")&gt;0,COUNTIFS([0]!OrderID,Table3[[#This Row],[OrderID]],[0]!Category,"beverage")&gt;0),"combo","single")</f>
        <v>combo</v>
      </c>
      <c r="O357" t="str">
        <f>IF((Table3[[#This Row],[LineAmount]]/(1-Table3[[#This Row],[DiscountPct]]))*Table3[[#This Row],[DiscountPct]]&gt;40,"High Disc","OK")</f>
        <v>High Disc</v>
      </c>
    </row>
    <row r="358" spans="1:15" x14ac:dyDescent="0.3">
      <c r="A358" t="s">
        <v>394</v>
      </c>
      <c r="B358" s="7">
        <v>45897.758750000001</v>
      </c>
      <c r="C358" t="s">
        <v>9</v>
      </c>
      <c r="D358" t="s">
        <v>16</v>
      </c>
      <c r="E358" t="s">
        <v>17</v>
      </c>
      <c r="F358" t="s">
        <v>18</v>
      </c>
      <c r="G358">
        <v>0.06</v>
      </c>
      <c r="H358" s="3">
        <f t="shared" si="5"/>
        <v>45897</v>
      </c>
      <c r="I358" t="str">
        <f>IF(COUNTIFS([0]!OrderID,Table3[[#This Row],[OrderID]],[0]!Category,"beverage")&gt;0,"yes","no")</f>
        <v>yes</v>
      </c>
      <c r="J358">
        <f>SUMIFS([0]!LineNetAmount,[0]!OrderID,Table3[[#This Row],[OrderID]])</f>
        <v>93.417199999999994</v>
      </c>
      <c r="K358" t="str" cm="1">
        <f t="array" ref="K358">_xlfn.TEXTJOIN("+",,_xlfn._xlws.SORT(_xlfn.UNIQUE(_xlfn._xlws.FILTER([0]!Category,[0]!OrderID=Table3[[#This Row],[OrderID]]))))</f>
        <v>Beverage+Dessert</v>
      </c>
      <c r="L358" s="39">
        <f>SUMIFS([0]!FoodCost,[0]!OrderID,Table3[[#This Row],[OrderID]])</f>
        <v>46.52</v>
      </c>
      <c r="M358" s="39">
        <f>Table3[[#This Row],[LineAmount]]-Table3[[#This Row],[TotalCost]]</f>
        <v>46.897199999999991</v>
      </c>
      <c r="N358" t="str">
        <f>IF(AND(COUNTIFS([0]!OrderID,Table3[[#This Row],[OrderID]],[0]!Category,"hot meal")&gt;0,COUNTIFS([0]!OrderID,Table3[[#This Row],[OrderID]],[0]!Category,"beverage")&gt;0),"combo","single")</f>
        <v>single</v>
      </c>
      <c r="O358" t="str">
        <f>IF((Table3[[#This Row],[LineAmount]]/(1-Table3[[#This Row],[DiscountPct]]))*Table3[[#This Row],[DiscountPct]]&gt;40,"High Disc","OK")</f>
        <v>OK</v>
      </c>
    </row>
    <row r="359" spans="1:15" x14ac:dyDescent="0.3">
      <c r="A359" t="s">
        <v>395</v>
      </c>
      <c r="B359" s="7">
        <v>45873.38181712963</v>
      </c>
      <c r="C359" t="s">
        <v>15</v>
      </c>
      <c r="D359" t="s">
        <v>28</v>
      </c>
      <c r="E359" t="s">
        <v>11</v>
      </c>
      <c r="F359" t="s">
        <v>12</v>
      </c>
      <c r="G359">
        <v>0.11</v>
      </c>
      <c r="H359" s="3">
        <f t="shared" si="5"/>
        <v>45873</v>
      </c>
      <c r="I359" t="str">
        <f>IF(COUNTIFS([0]!OrderID,Table3[[#This Row],[OrderID]],[0]!Category,"beverage")&gt;0,"yes","no")</f>
        <v>yes</v>
      </c>
      <c r="J359">
        <f>SUMIFS([0]!LineNetAmount,[0]!OrderID,Table3[[#This Row],[OrderID]])</f>
        <v>89.783200000000008</v>
      </c>
      <c r="K359" t="str" cm="1">
        <f t="array" ref="K359">_xlfn.TEXTJOIN("+",,_xlfn._xlws.SORT(_xlfn.UNIQUE(_xlfn._xlws.FILTER([0]!Category,[0]!OrderID=Table3[[#This Row],[OrderID]]))))</f>
        <v>Beverage+Snack</v>
      </c>
      <c r="L359" s="39">
        <f>SUMIFS([0]!FoodCost,[0]!OrderID,Table3[[#This Row],[OrderID]])</f>
        <v>49.99</v>
      </c>
      <c r="M359" s="39">
        <f>Table3[[#This Row],[LineAmount]]-Table3[[#This Row],[TotalCost]]</f>
        <v>39.793200000000006</v>
      </c>
      <c r="N359" t="str">
        <f>IF(AND(COUNTIFS([0]!OrderID,Table3[[#This Row],[OrderID]],[0]!Category,"hot meal")&gt;0,COUNTIFS([0]!OrderID,Table3[[#This Row],[OrderID]],[0]!Category,"beverage")&gt;0),"combo","single")</f>
        <v>single</v>
      </c>
      <c r="O359" t="str">
        <f>IF((Table3[[#This Row],[LineAmount]]/(1-Table3[[#This Row],[DiscountPct]]))*Table3[[#This Row],[DiscountPct]]&gt;40,"High Disc","OK")</f>
        <v>OK</v>
      </c>
    </row>
    <row r="360" spans="1:15" x14ac:dyDescent="0.3">
      <c r="A360" t="s">
        <v>396</v>
      </c>
      <c r="B360" s="7">
        <v>45881.478530092587</v>
      </c>
      <c r="C360" t="s">
        <v>15</v>
      </c>
      <c r="D360" t="s">
        <v>10</v>
      </c>
      <c r="E360" t="s">
        <v>17</v>
      </c>
      <c r="F360" t="s">
        <v>22</v>
      </c>
      <c r="G360">
        <v>0</v>
      </c>
      <c r="H360" s="3">
        <f t="shared" si="5"/>
        <v>45881</v>
      </c>
      <c r="I360" t="str">
        <f>IF(COUNTIFS([0]!OrderID,Table3[[#This Row],[OrderID]],[0]!Category,"beverage")&gt;0,"yes","no")</f>
        <v>no</v>
      </c>
      <c r="J360">
        <f>SUMIFS([0]!LineNetAmount,[0]!OrderID,Table3[[#This Row],[OrderID]])</f>
        <v>455.22</v>
      </c>
      <c r="K360" t="str" cm="1">
        <f t="array" ref="K360">_xlfn.TEXTJOIN("+",,_xlfn._xlws.SORT(_xlfn.UNIQUE(_xlfn._xlws.FILTER([0]!Category,[0]!OrderID=Table3[[#This Row],[OrderID]]))))</f>
        <v>Hot Meal</v>
      </c>
      <c r="L360" s="39">
        <f>SUMIFS([0]!FoodCost,[0]!OrderID,Table3[[#This Row],[OrderID]])</f>
        <v>192.44</v>
      </c>
      <c r="M360" s="39">
        <f>Table3[[#This Row],[LineAmount]]-Table3[[#This Row],[TotalCost]]</f>
        <v>262.78000000000003</v>
      </c>
      <c r="N360" t="str">
        <f>IF(AND(COUNTIFS([0]!OrderID,Table3[[#This Row],[OrderID]],[0]!Category,"hot meal")&gt;0,COUNTIFS([0]!OrderID,Table3[[#This Row],[OrderID]],[0]!Category,"beverage")&gt;0),"combo","single")</f>
        <v>single</v>
      </c>
      <c r="O360" t="str">
        <f>IF((Table3[[#This Row],[LineAmount]]/(1-Table3[[#This Row],[DiscountPct]]))*Table3[[#This Row],[DiscountPct]]&gt;40,"High Disc","OK")</f>
        <v>OK</v>
      </c>
    </row>
    <row r="361" spans="1:15" x14ac:dyDescent="0.3">
      <c r="A361" t="s">
        <v>397</v>
      </c>
      <c r="B361" s="7">
        <v>45878.689097222217</v>
      </c>
      <c r="C361" t="s">
        <v>15</v>
      </c>
      <c r="D361" t="s">
        <v>10</v>
      </c>
      <c r="E361" t="s">
        <v>11</v>
      </c>
      <c r="F361" t="s">
        <v>18</v>
      </c>
      <c r="G361">
        <v>0.04</v>
      </c>
      <c r="H361" s="3">
        <f t="shared" si="5"/>
        <v>45878</v>
      </c>
      <c r="I361" t="str">
        <f>IF(COUNTIFS([0]!OrderID,Table3[[#This Row],[OrderID]],[0]!Category,"beverage")&gt;0,"yes","no")</f>
        <v>yes</v>
      </c>
      <c r="J361">
        <f>SUMIFS([0]!LineNetAmount,[0]!OrderID,Table3[[#This Row],[OrderID]])</f>
        <v>962.15039999999999</v>
      </c>
      <c r="K361" t="str" cm="1">
        <f t="array" ref="K361">_xlfn.TEXTJOIN("+",,_xlfn._xlws.SORT(_xlfn.UNIQUE(_xlfn._xlws.FILTER([0]!Category,[0]!OrderID=Table3[[#This Row],[OrderID]]))))</f>
        <v>Beverage+Hot Meal</v>
      </c>
      <c r="L361" s="39">
        <f>SUMIFS([0]!FoodCost,[0]!OrderID,Table3[[#This Row],[OrderID]])</f>
        <v>466.15</v>
      </c>
      <c r="M361" s="39">
        <f>Table3[[#This Row],[LineAmount]]-Table3[[#This Row],[TotalCost]]</f>
        <v>496.00040000000001</v>
      </c>
      <c r="N361" t="str">
        <f>IF(AND(COUNTIFS([0]!OrderID,Table3[[#This Row],[OrderID]],[0]!Category,"hot meal")&gt;0,COUNTIFS([0]!OrderID,Table3[[#This Row],[OrderID]],[0]!Category,"beverage")&gt;0),"combo","single")</f>
        <v>combo</v>
      </c>
      <c r="O361" t="str">
        <f>IF((Table3[[#This Row],[LineAmount]]/(1-Table3[[#This Row],[DiscountPct]]))*Table3[[#This Row],[DiscountPct]]&gt;40,"High Disc","OK")</f>
        <v>High Disc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C0E3-9275-4707-85F3-4E5C4688E2CE}">
  <sheetPr filterMode="1">
    <tabColor theme="5" tint="-0.249977111117893"/>
  </sheetPr>
  <dimension ref="A1:Q925"/>
  <sheetViews>
    <sheetView workbookViewId="0">
      <selection activeCell="F2" sqref="F2"/>
    </sheetView>
  </sheetViews>
  <sheetFormatPr defaultRowHeight="14.4" x14ac:dyDescent="0.3"/>
  <cols>
    <col min="1" max="1" width="19" bestFit="1" customWidth="1"/>
    <col min="2" max="2" width="13.109375" bestFit="1" customWidth="1"/>
    <col min="3" max="3" width="13.44140625" bestFit="1" customWidth="1"/>
    <col min="4" max="4" width="7.88671875" customWidth="1"/>
    <col min="5" max="5" width="6" customWidth="1"/>
    <col min="6" max="6" width="8.88671875" customWidth="1"/>
    <col min="7" max="7" width="12.5546875" bestFit="1" customWidth="1"/>
    <col min="8" max="8" width="10.44140625" bestFit="1" customWidth="1"/>
    <col min="9" max="9" width="4.6640625" customWidth="1"/>
    <col min="10" max="10" width="4.44140625" customWidth="1"/>
    <col min="11" max="11" width="4.77734375" customWidth="1"/>
    <col min="12" max="12" width="3.33203125" customWidth="1"/>
    <col min="13" max="13" width="4.88671875" customWidth="1"/>
    <col min="14" max="14" width="17.44140625" customWidth="1"/>
    <col min="15" max="15" width="12.5546875" customWidth="1"/>
    <col min="17" max="17" width="10.109375" customWidth="1"/>
  </cols>
  <sheetData>
    <row r="1" spans="3:17" x14ac:dyDescent="0.3">
      <c r="C1" s="45"/>
      <c r="D1" s="80" t="s">
        <v>561</v>
      </c>
      <c r="E1" s="82"/>
      <c r="F1" s="16" t="s">
        <v>398</v>
      </c>
      <c r="G1" s="9" t="s">
        <v>559</v>
      </c>
      <c r="H1" s="9" t="s">
        <v>560</v>
      </c>
      <c r="I1" s="9"/>
      <c r="J1" s="9"/>
      <c r="K1" s="9"/>
      <c r="L1" s="80" t="s">
        <v>554</v>
      </c>
      <c r="M1" s="80"/>
      <c r="N1" s="19" t="s">
        <v>2</v>
      </c>
      <c r="O1" s="9" t="s">
        <v>557</v>
      </c>
      <c r="P1" s="9" t="s">
        <v>556</v>
      </c>
      <c r="Q1" s="44" t="s">
        <v>558</v>
      </c>
    </row>
    <row r="2" spans="3:17" x14ac:dyDescent="0.3">
      <c r="F2" s="43" t="s">
        <v>416</v>
      </c>
      <c r="G2">
        <f t="shared" ref="G2:G20" si="0">SUMIFS(LineNetAmount,SKU,$F2,MonthName,"august")</f>
        <v>10470.060000000001</v>
      </c>
      <c r="H2">
        <f t="shared" ref="H2:H11" si="1">SUMIFS(Qty,SKU,$F2,MonthName,"august")</f>
        <v>49</v>
      </c>
      <c r="N2" s="48" t="s">
        <v>9</v>
      </c>
      <c r="O2">
        <f>SUMIFS([0]!LineNetAmount,Branch,'DAY 4 solution'!$N2)</f>
        <v>48982.146600000022</v>
      </c>
      <c r="P2" cm="1">
        <f t="array" ref="P2">SUMPRODUCT(([0]!Branch='DAY 4 solution'!$N2)*[0]!Qty*UnitCost)</f>
        <v>24001.279999999962</v>
      </c>
      <c r="Q2" s="43">
        <f>(($O2-$P2)/$O2)*100</f>
        <v>50.999942497416086</v>
      </c>
    </row>
    <row r="3" spans="3:17" x14ac:dyDescent="0.3">
      <c r="F3" s="15" t="s">
        <v>415</v>
      </c>
      <c r="G3">
        <f t="shared" si="0"/>
        <v>9230.7762999999995</v>
      </c>
      <c r="H3">
        <f t="shared" si="1"/>
        <v>38</v>
      </c>
      <c r="N3" s="46" t="s">
        <v>15</v>
      </c>
      <c r="O3">
        <f>SUMIFS([0]!LineNetAmount,Branch,'DAY 4 solution'!$N3)</f>
        <v>50416.192700000007</v>
      </c>
      <c r="P3" cm="1">
        <f t="array" ref="P3">SUMPRODUCT(([0]!Branch='DAY 4 solution'!$N3)*[0]!Qty*UnitCost)</f>
        <v>24427.499999999982</v>
      </c>
      <c r="Q3" s="43">
        <f t="shared" ref="Q3:Q4" si="2">(($O3-$P3)/$O3)*100</f>
        <v>51.548304836592749</v>
      </c>
    </row>
    <row r="4" spans="3:17" x14ac:dyDescent="0.3">
      <c r="F4" s="15" t="s">
        <v>407</v>
      </c>
      <c r="G4">
        <f t="shared" si="0"/>
        <v>8283.3893999999982</v>
      </c>
      <c r="H4">
        <f t="shared" si="1"/>
        <v>36</v>
      </c>
      <c r="N4" s="47" t="s">
        <v>27</v>
      </c>
      <c r="O4">
        <f>SUMIFS([0]!LineNetAmount,Branch,'DAY 4 solution'!$N4)</f>
        <v>33249.291299999997</v>
      </c>
      <c r="P4" cm="1">
        <f t="array" ref="P4">SUMPRODUCT(([0]!Branch='DAY 4 solution'!$N4)*[0]!Qty*UnitCost)</f>
        <v>16720.52</v>
      </c>
      <c r="Q4" s="43">
        <f t="shared" si="2"/>
        <v>49.711649944250084</v>
      </c>
    </row>
    <row r="5" spans="3:17" x14ac:dyDescent="0.3">
      <c r="F5" s="15" t="s">
        <v>417</v>
      </c>
      <c r="G5">
        <f t="shared" si="0"/>
        <v>6563.1120000000001</v>
      </c>
      <c r="H5">
        <f t="shared" si="1"/>
        <v>48</v>
      </c>
      <c r="Q5" s="15"/>
    </row>
    <row r="6" spans="3:17" x14ac:dyDescent="0.3">
      <c r="F6" s="15" t="s">
        <v>405</v>
      </c>
      <c r="G6">
        <f t="shared" si="0"/>
        <v>5927.8010000000004</v>
      </c>
      <c r="H6">
        <f t="shared" si="1"/>
        <v>37</v>
      </c>
      <c r="Q6" s="15"/>
    </row>
    <row r="7" spans="3:17" x14ac:dyDescent="0.3">
      <c r="F7" s="15" t="s">
        <v>414</v>
      </c>
      <c r="G7">
        <f t="shared" si="0"/>
        <v>4925.4560000000001</v>
      </c>
      <c r="H7">
        <f t="shared" si="1"/>
        <v>45</v>
      </c>
      <c r="Q7" s="15"/>
    </row>
    <row r="8" spans="3:17" x14ac:dyDescent="0.3">
      <c r="F8" s="15" t="s">
        <v>403</v>
      </c>
      <c r="G8">
        <f t="shared" si="0"/>
        <v>3714.9714999999992</v>
      </c>
      <c r="H8">
        <f t="shared" si="1"/>
        <v>52</v>
      </c>
      <c r="Q8" s="15"/>
    </row>
    <row r="9" spans="3:17" x14ac:dyDescent="0.3">
      <c r="F9" s="15" t="s">
        <v>408</v>
      </c>
      <c r="G9">
        <f t="shared" si="0"/>
        <v>2910.4803999999995</v>
      </c>
      <c r="H9">
        <f t="shared" si="1"/>
        <v>44</v>
      </c>
      <c r="Q9" s="15"/>
    </row>
    <row r="10" spans="3:17" x14ac:dyDescent="0.3">
      <c r="F10" s="15" t="s">
        <v>413</v>
      </c>
      <c r="G10">
        <f t="shared" si="0"/>
        <v>2362.578</v>
      </c>
      <c r="H10">
        <f t="shared" si="1"/>
        <v>46</v>
      </c>
      <c r="Q10" s="15"/>
    </row>
    <row r="11" spans="3:17" ht="12.6" customHeight="1" x14ac:dyDescent="0.3">
      <c r="F11" s="15" t="s">
        <v>419</v>
      </c>
      <c r="G11">
        <f t="shared" si="0"/>
        <v>2318.7779999999998</v>
      </c>
      <c r="H11">
        <f t="shared" si="1"/>
        <v>49</v>
      </c>
      <c r="Q11" s="15"/>
    </row>
    <row r="12" spans="3:17" hidden="1" x14ac:dyDescent="0.3">
      <c r="F12" s="14" t="s">
        <v>412</v>
      </c>
      <c r="G12">
        <f t="shared" si="0"/>
        <v>2202.3312999999998</v>
      </c>
      <c r="H12">
        <f>SUMIFS([0]!Qty,SKU,'DAY 4 solution'!$F13,MonthName,"august")</f>
        <v>32</v>
      </c>
      <c r="Q12" s="15"/>
    </row>
    <row r="13" spans="3:17" hidden="1" x14ac:dyDescent="0.3">
      <c r="F13" s="14" t="s">
        <v>401</v>
      </c>
      <c r="G13">
        <f t="shared" si="0"/>
        <v>1563.5345000000004</v>
      </c>
      <c r="H13">
        <f>SUMIFS([0]!Qty,SKU,'DAY 4 solution'!$F2,MonthName,"august")</f>
        <v>49</v>
      </c>
      <c r="Q13" s="15"/>
    </row>
    <row r="14" spans="3:17" hidden="1" x14ac:dyDescent="0.3">
      <c r="F14" s="15" t="s">
        <v>402</v>
      </c>
      <c r="G14">
        <f t="shared" si="0"/>
        <v>1508.5048000000002</v>
      </c>
      <c r="H14">
        <f>SUMIFS([0]!Qty,SKU,'DAY 4 solution'!$F3,MonthName,"august")</f>
        <v>38</v>
      </c>
      <c r="Q14" s="15"/>
    </row>
    <row r="15" spans="3:17" hidden="1" x14ac:dyDescent="0.3">
      <c r="F15" s="15" t="s">
        <v>418</v>
      </c>
      <c r="G15">
        <f t="shared" si="0"/>
        <v>1484.1425000000002</v>
      </c>
      <c r="H15">
        <f>SUMIFS([0]!Qty,SKU,'DAY 4 solution'!$F19,MonthName,"august")</f>
        <v>45</v>
      </c>
      <c r="Q15" s="15"/>
    </row>
    <row r="16" spans="3:17" hidden="1" x14ac:dyDescent="0.3">
      <c r="F16" s="15" t="s">
        <v>404</v>
      </c>
      <c r="G16">
        <f t="shared" si="0"/>
        <v>1432.6511999999998</v>
      </c>
      <c r="H16">
        <f>SUMIFS([0]!Qty,SKU,'DAY 4 solution'!$F5,MonthName,"august")</f>
        <v>48</v>
      </c>
      <c r="Q16" s="15"/>
    </row>
    <row r="17" spans="1:17" hidden="1" x14ac:dyDescent="0.3">
      <c r="F17" s="14" t="s">
        <v>406</v>
      </c>
      <c r="G17">
        <f t="shared" si="0"/>
        <v>1155.5016000000001</v>
      </c>
      <c r="H17">
        <f>SUMIFS([0]!Qty,SKU,'DAY 4 solution'!$F7,MonthName,"august")</f>
        <v>45</v>
      </c>
      <c r="Q17" s="15"/>
    </row>
    <row r="18" spans="1:17" hidden="1" x14ac:dyDescent="0.3">
      <c r="F18" s="15" t="s">
        <v>409</v>
      </c>
      <c r="G18">
        <f t="shared" si="0"/>
        <v>1151.6993000000002</v>
      </c>
      <c r="H18">
        <f>SUMIFS([0]!Qty,SKU,'DAY 4 solution'!$F10,MonthName,"august")</f>
        <v>46</v>
      </c>
      <c r="Q18" s="15"/>
    </row>
    <row r="19" spans="1:17" ht="17.399999999999999" hidden="1" customHeight="1" x14ac:dyDescent="0.3">
      <c r="F19" s="14" t="s">
        <v>410</v>
      </c>
      <c r="G19">
        <f t="shared" si="0"/>
        <v>854.87610000000006</v>
      </c>
      <c r="H19">
        <f>SUMIFS([0]!Qty,SKU,'DAY 4 solution'!$F11,MonthName,"august")</f>
        <v>49</v>
      </c>
      <c r="Q19" s="15"/>
    </row>
    <row r="20" spans="1:17" ht="13.8" hidden="1" customHeight="1" x14ac:dyDescent="0.3">
      <c r="F20" s="15" t="s">
        <v>411</v>
      </c>
      <c r="G20">
        <f t="shared" si="0"/>
        <v>647.79600000000005</v>
      </c>
      <c r="H20">
        <f>SUMIFS([0]!Qty,SKU,'DAY 4 solution'!$F12,MonthName,"august")</f>
        <v>41</v>
      </c>
      <c r="Q20" s="15"/>
    </row>
    <row r="21" spans="1:17" x14ac:dyDescent="0.3">
      <c r="Q21" s="15"/>
    </row>
    <row r="22" spans="1:17" x14ac:dyDescent="0.3">
      <c r="C22" s="40"/>
      <c r="Q22" s="15"/>
    </row>
    <row r="23" spans="1:17" x14ac:dyDescent="0.3">
      <c r="A23" s="50" t="s">
        <v>553</v>
      </c>
      <c r="G23" s="81"/>
      <c r="H23" s="81"/>
      <c r="I23" s="81"/>
      <c r="J23" s="81"/>
      <c r="K23" s="81"/>
      <c r="Q23" s="15"/>
    </row>
    <row r="24" spans="1:17" x14ac:dyDescent="0.3">
      <c r="A24" s="11" t="s">
        <v>525</v>
      </c>
      <c r="B24" t="s">
        <v>562</v>
      </c>
      <c r="G24" s="81"/>
      <c r="H24" s="81"/>
      <c r="I24" s="81"/>
      <c r="J24" s="81"/>
      <c r="K24" s="81"/>
      <c r="Q24" s="15"/>
    </row>
    <row r="25" spans="1:17" x14ac:dyDescent="0.3">
      <c r="Q25" s="15"/>
    </row>
    <row r="26" spans="1:17" x14ac:dyDescent="0.3">
      <c r="A26" s="11" t="s">
        <v>526</v>
      </c>
      <c r="B26" t="s">
        <v>557</v>
      </c>
      <c r="C26" t="s">
        <v>563</v>
      </c>
      <c r="Q26" s="15"/>
    </row>
    <row r="27" spans="1:17" x14ac:dyDescent="0.3">
      <c r="A27" s="12" t="s">
        <v>444</v>
      </c>
      <c r="B27">
        <v>10321.758300000001</v>
      </c>
      <c r="C27" s="40">
        <v>7.7813363520418594E-2</v>
      </c>
      <c r="Q27" s="15"/>
    </row>
    <row r="28" spans="1:17" x14ac:dyDescent="0.3">
      <c r="A28" s="49" t="s">
        <v>9</v>
      </c>
      <c r="B28">
        <v>3489.8726999999994</v>
      </c>
      <c r="C28" s="40">
        <v>0.33810835310879145</v>
      </c>
      <c r="Q28" s="15"/>
    </row>
    <row r="29" spans="1:17" x14ac:dyDescent="0.3">
      <c r="A29" s="49" t="s">
        <v>27</v>
      </c>
      <c r="B29">
        <v>2895.3357000000015</v>
      </c>
      <c r="C29" s="40">
        <v>0.28050799251906539</v>
      </c>
      <c r="Q29" s="15"/>
    </row>
    <row r="30" spans="1:17" x14ac:dyDescent="0.3">
      <c r="A30" s="49" t="s">
        <v>15</v>
      </c>
      <c r="B30">
        <v>3936.5499000000009</v>
      </c>
      <c r="C30" s="40">
        <v>0.38138365437214322</v>
      </c>
      <c r="Q30" s="15"/>
    </row>
    <row r="31" spans="1:17" x14ac:dyDescent="0.3">
      <c r="A31" s="12" t="s">
        <v>450</v>
      </c>
      <c r="B31">
        <v>24556.192599999998</v>
      </c>
      <c r="C31" s="40">
        <v>0.18512349213420476</v>
      </c>
      <c r="Q31" s="15"/>
    </row>
    <row r="32" spans="1:17" x14ac:dyDescent="0.3">
      <c r="A32" s="49" t="s">
        <v>9</v>
      </c>
      <c r="B32">
        <v>9544.017200000002</v>
      </c>
      <c r="C32" s="40">
        <v>0.3886603007015022</v>
      </c>
      <c r="Q32" s="15"/>
    </row>
    <row r="33" spans="1:17" x14ac:dyDescent="0.3">
      <c r="A33" s="49" t="s">
        <v>27</v>
      </c>
      <c r="B33">
        <v>6497.6641999999974</v>
      </c>
      <c r="C33" s="40">
        <v>0.26460389466077072</v>
      </c>
      <c r="Q33" s="15"/>
    </row>
    <row r="34" spans="1:17" x14ac:dyDescent="0.3">
      <c r="A34" s="49" t="s">
        <v>15</v>
      </c>
      <c r="B34">
        <v>8514.511199999999</v>
      </c>
      <c r="C34" s="40">
        <v>0.34673580463772707</v>
      </c>
      <c r="Q34" s="15"/>
    </row>
    <row r="35" spans="1:17" x14ac:dyDescent="0.3">
      <c r="A35" s="12" t="s">
        <v>425</v>
      </c>
      <c r="B35">
        <v>79136.670900000012</v>
      </c>
      <c r="C35" s="40">
        <v>0.5965931735232971</v>
      </c>
      <c r="Q35" s="15"/>
    </row>
    <row r="36" spans="1:17" x14ac:dyDescent="0.3">
      <c r="A36" s="49" t="s">
        <v>9</v>
      </c>
      <c r="B36">
        <v>30604.807700000001</v>
      </c>
      <c r="C36" s="40">
        <v>0.38673357562227195</v>
      </c>
      <c r="Q36" s="15"/>
    </row>
    <row r="37" spans="1:17" x14ac:dyDescent="0.3">
      <c r="A37" s="49" t="s">
        <v>27</v>
      </c>
      <c r="B37">
        <v>17407.725699999995</v>
      </c>
      <c r="C37" s="40">
        <v>0.21997040691788808</v>
      </c>
      <c r="Q37" s="15"/>
    </row>
    <row r="38" spans="1:17" x14ac:dyDescent="0.3">
      <c r="A38" s="49" t="s">
        <v>15</v>
      </c>
      <c r="B38">
        <v>31124.137500000012</v>
      </c>
      <c r="C38" s="40">
        <v>0.39329601745983994</v>
      </c>
      <c r="Q38" s="15"/>
    </row>
    <row r="39" spans="1:17" x14ac:dyDescent="0.3">
      <c r="A39" s="12" t="s">
        <v>436</v>
      </c>
      <c r="B39">
        <v>18633.0088</v>
      </c>
      <c r="C39" s="40">
        <v>0.14046997082207965</v>
      </c>
      <c r="Q39" s="15"/>
    </row>
    <row r="40" spans="1:17" x14ac:dyDescent="0.3">
      <c r="A40" s="49" t="s">
        <v>9</v>
      </c>
      <c r="B40">
        <v>5343.4489999999978</v>
      </c>
      <c r="C40" s="40">
        <v>0.28677327732491587</v>
      </c>
      <c r="Q40" s="15"/>
    </row>
    <row r="41" spans="1:17" x14ac:dyDescent="0.3">
      <c r="A41" s="49" t="s">
        <v>27</v>
      </c>
      <c r="B41">
        <v>6448.5656999999983</v>
      </c>
      <c r="C41" s="40">
        <v>0.34608289886064986</v>
      </c>
      <c r="Q41" s="15"/>
    </row>
    <row r="42" spans="1:17" x14ac:dyDescent="0.3">
      <c r="A42" s="49" t="s">
        <v>15</v>
      </c>
      <c r="B42">
        <v>6840.9941000000035</v>
      </c>
      <c r="C42" s="40">
        <v>0.36714382381443428</v>
      </c>
      <c r="Q42" s="15"/>
    </row>
    <row r="43" spans="1:17" x14ac:dyDescent="0.3">
      <c r="A43" s="12" t="s">
        <v>527</v>
      </c>
      <c r="B43">
        <v>132647.6306</v>
      </c>
      <c r="C43" s="40">
        <v>1</v>
      </c>
      <c r="Q43" s="15"/>
    </row>
    <row r="44" spans="1:17" x14ac:dyDescent="0.3">
      <c r="Q44" s="15"/>
    </row>
    <row r="45" spans="1:17" x14ac:dyDescent="0.3">
      <c r="Q45" s="15"/>
    </row>
    <row r="46" spans="1:17" x14ac:dyDescent="0.3">
      <c r="Q46" s="15"/>
    </row>
    <row r="47" spans="1:17" x14ac:dyDescent="0.3">
      <c r="Q47" s="15"/>
    </row>
    <row r="48" spans="1:17" x14ac:dyDescent="0.3">
      <c r="Q48" s="15"/>
    </row>
    <row r="49" spans="17:17" x14ac:dyDescent="0.3">
      <c r="Q49" s="15"/>
    </row>
    <row r="50" spans="17:17" x14ac:dyDescent="0.3">
      <c r="Q50" s="15"/>
    </row>
    <row r="51" spans="17:17" x14ac:dyDescent="0.3">
      <c r="Q51" s="15"/>
    </row>
    <row r="52" spans="17:17" x14ac:dyDescent="0.3">
      <c r="Q52" s="15"/>
    </row>
    <row r="53" spans="17:17" x14ac:dyDescent="0.3">
      <c r="Q53" s="15"/>
    </row>
    <row r="54" spans="17:17" x14ac:dyDescent="0.3">
      <c r="Q54" s="15"/>
    </row>
    <row r="55" spans="17:17" x14ac:dyDescent="0.3">
      <c r="Q55" s="15"/>
    </row>
    <row r="56" spans="17:17" x14ac:dyDescent="0.3">
      <c r="Q56" s="15"/>
    </row>
    <row r="57" spans="17:17" x14ac:dyDescent="0.3">
      <c r="Q57" s="15"/>
    </row>
    <row r="58" spans="17:17" x14ac:dyDescent="0.3">
      <c r="Q58" s="15"/>
    </row>
    <row r="59" spans="17:17" x14ac:dyDescent="0.3">
      <c r="Q59" s="15"/>
    </row>
    <row r="60" spans="17:17" x14ac:dyDescent="0.3">
      <c r="Q60" s="15"/>
    </row>
    <row r="61" spans="17:17" x14ac:dyDescent="0.3">
      <c r="Q61" s="15"/>
    </row>
    <row r="62" spans="17:17" x14ac:dyDescent="0.3">
      <c r="Q62" s="15"/>
    </row>
    <row r="63" spans="17:17" x14ac:dyDescent="0.3">
      <c r="Q63" s="15"/>
    </row>
    <row r="64" spans="17:17" x14ac:dyDescent="0.3">
      <c r="Q64" s="15"/>
    </row>
    <row r="65" spans="17:17" x14ac:dyDescent="0.3">
      <c r="Q65" s="15"/>
    </row>
    <row r="66" spans="17:17" x14ac:dyDescent="0.3">
      <c r="Q66" s="15"/>
    </row>
    <row r="67" spans="17:17" x14ac:dyDescent="0.3">
      <c r="Q67" s="15"/>
    </row>
    <row r="68" spans="17:17" x14ac:dyDescent="0.3">
      <c r="Q68" s="15"/>
    </row>
    <row r="69" spans="17:17" x14ac:dyDescent="0.3">
      <c r="Q69" s="15"/>
    </row>
    <row r="70" spans="17:17" x14ac:dyDescent="0.3">
      <c r="Q70" s="15"/>
    </row>
    <row r="71" spans="17:17" x14ac:dyDescent="0.3">
      <c r="Q71" s="15"/>
    </row>
    <row r="72" spans="17:17" x14ac:dyDescent="0.3">
      <c r="Q72" s="15"/>
    </row>
    <row r="73" spans="17:17" x14ac:dyDescent="0.3">
      <c r="Q73" s="15"/>
    </row>
    <row r="74" spans="17:17" x14ac:dyDescent="0.3">
      <c r="Q74" s="15"/>
    </row>
    <row r="75" spans="17:17" x14ac:dyDescent="0.3">
      <c r="Q75" s="15"/>
    </row>
    <row r="76" spans="17:17" x14ac:dyDescent="0.3">
      <c r="Q76" s="15"/>
    </row>
    <row r="77" spans="17:17" x14ac:dyDescent="0.3">
      <c r="Q77" s="15"/>
    </row>
    <row r="78" spans="17:17" x14ac:dyDescent="0.3">
      <c r="Q78" s="15"/>
    </row>
    <row r="79" spans="17:17" x14ac:dyDescent="0.3">
      <c r="Q79" s="15"/>
    </row>
    <row r="80" spans="17:17" x14ac:dyDescent="0.3">
      <c r="Q80" s="15"/>
    </row>
    <row r="81" spans="17:17" x14ac:dyDescent="0.3">
      <c r="Q81" s="15"/>
    </row>
    <row r="82" spans="17:17" x14ac:dyDescent="0.3">
      <c r="Q82" s="15"/>
    </row>
    <row r="83" spans="17:17" x14ac:dyDescent="0.3">
      <c r="Q83" s="15"/>
    </row>
    <row r="84" spans="17:17" x14ac:dyDescent="0.3">
      <c r="Q84" s="15"/>
    </row>
    <row r="85" spans="17:17" x14ac:dyDescent="0.3">
      <c r="Q85" s="15"/>
    </row>
    <row r="86" spans="17:17" x14ac:dyDescent="0.3">
      <c r="Q86" s="15"/>
    </row>
    <row r="87" spans="17:17" x14ac:dyDescent="0.3">
      <c r="Q87" s="15"/>
    </row>
    <row r="88" spans="17:17" x14ac:dyDescent="0.3">
      <c r="Q88" s="15"/>
    </row>
    <row r="89" spans="17:17" x14ac:dyDescent="0.3">
      <c r="Q89" s="15"/>
    </row>
    <row r="90" spans="17:17" x14ac:dyDescent="0.3">
      <c r="Q90" s="15"/>
    </row>
    <row r="91" spans="17:17" x14ac:dyDescent="0.3">
      <c r="Q91" s="15"/>
    </row>
    <row r="92" spans="17:17" x14ac:dyDescent="0.3">
      <c r="Q92" s="15"/>
    </row>
    <row r="93" spans="17:17" x14ac:dyDescent="0.3">
      <c r="Q93" s="15"/>
    </row>
    <row r="94" spans="17:17" x14ac:dyDescent="0.3">
      <c r="Q94" s="15"/>
    </row>
    <row r="95" spans="17:17" x14ac:dyDescent="0.3">
      <c r="Q95" s="15"/>
    </row>
    <row r="96" spans="17:17" x14ac:dyDescent="0.3">
      <c r="Q96" s="15"/>
    </row>
    <row r="97" spans="17:17" x14ac:dyDescent="0.3">
      <c r="Q97" s="15"/>
    </row>
    <row r="98" spans="17:17" x14ac:dyDescent="0.3">
      <c r="Q98" s="15"/>
    </row>
    <row r="99" spans="17:17" x14ac:dyDescent="0.3">
      <c r="Q99" s="15"/>
    </row>
    <row r="100" spans="17:17" x14ac:dyDescent="0.3">
      <c r="Q100" s="15"/>
    </row>
    <row r="101" spans="17:17" x14ac:dyDescent="0.3">
      <c r="Q101" s="15"/>
    </row>
    <row r="102" spans="17:17" x14ac:dyDescent="0.3">
      <c r="Q102" s="15"/>
    </row>
    <row r="103" spans="17:17" x14ac:dyDescent="0.3">
      <c r="Q103" s="15"/>
    </row>
    <row r="104" spans="17:17" x14ac:dyDescent="0.3">
      <c r="Q104" s="15"/>
    </row>
    <row r="105" spans="17:17" x14ac:dyDescent="0.3">
      <c r="Q105" s="15"/>
    </row>
    <row r="106" spans="17:17" x14ac:dyDescent="0.3">
      <c r="Q106" s="15"/>
    </row>
    <row r="107" spans="17:17" x14ac:dyDescent="0.3">
      <c r="Q107" s="15"/>
    </row>
    <row r="108" spans="17:17" x14ac:dyDescent="0.3">
      <c r="Q108" s="15"/>
    </row>
    <row r="109" spans="17:17" x14ac:dyDescent="0.3">
      <c r="Q109" s="15"/>
    </row>
    <row r="110" spans="17:17" x14ac:dyDescent="0.3">
      <c r="Q110" s="15"/>
    </row>
    <row r="111" spans="17:17" x14ac:dyDescent="0.3">
      <c r="Q111" s="15"/>
    </row>
    <row r="112" spans="17:17" x14ac:dyDescent="0.3">
      <c r="Q112" s="15"/>
    </row>
    <row r="113" spans="17:17" x14ac:dyDescent="0.3">
      <c r="Q113" s="15"/>
    </row>
    <row r="114" spans="17:17" x14ac:dyDescent="0.3">
      <c r="Q114" s="15"/>
    </row>
    <row r="115" spans="17:17" x14ac:dyDescent="0.3">
      <c r="Q115" s="15"/>
    </row>
    <row r="116" spans="17:17" x14ac:dyDescent="0.3">
      <c r="Q116" s="15"/>
    </row>
    <row r="117" spans="17:17" x14ac:dyDescent="0.3">
      <c r="Q117" s="15"/>
    </row>
    <row r="118" spans="17:17" x14ac:dyDescent="0.3">
      <c r="Q118" s="15"/>
    </row>
    <row r="119" spans="17:17" x14ac:dyDescent="0.3">
      <c r="Q119" s="15"/>
    </row>
    <row r="120" spans="17:17" x14ac:dyDescent="0.3">
      <c r="Q120" s="15"/>
    </row>
    <row r="121" spans="17:17" x14ac:dyDescent="0.3">
      <c r="Q121" s="15"/>
    </row>
    <row r="122" spans="17:17" x14ac:dyDescent="0.3">
      <c r="Q122" s="15"/>
    </row>
    <row r="123" spans="17:17" x14ac:dyDescent="0.3">
      <c r="Q123" s="15"/>
    </row>
    <row r="124" spans="17:17" x14ac:dyDescent="0.3">
      <c r="Q124" s="15"/>
    </row>
    <row r="125" spans="17:17" x14ac:dyDescent="0.3">
      <c r="Q125" s="15"/>
    </row>
    <row r="126" spans="17:17" x14ac:dyDescent="0.3">
      <c r="Q126" s="15"/>
    </row>
    <row r="127" spans="17:17" x14ac:dyDescent="0.3">
      <c r="Q127" s="15"/>
    </row>
    <row r="128" spans="17:17" x14ac:dyDescent="0.3">
      <c r="Q128" s="15"/>
    </row>
    <row r="129" spans="17:17" x14ac:dyDescent="0.3">
      <c r="Q129" s="15"/>
    </row>
    <row r="130" spans="17:17" x14ac:dyDescent="0.3">
      <c r="Q130" s="15"/>
    </row>
    <row r="131" spans="17:17" x14ac:dyDescent="0.3">
      <c r="Q131" s="15"/>
    </row>
    <row r="132" spans="17:17" x14ac:dyDescent="0.3">
      <c r="Q132" s="15"/>
    </row>
    <row r="133" spans="17:17" x14ac:dyDescent="0.3">
      <c r="Q133" s="15"/>
    </row>
    <row r="134" spans="17:17" x14ac:dyDescent="0.3">
      <c r="Q134" s="15"/>
    </row>
    <row r="135" spans="17:17" x14ac:dyDescent="0.3">
      <c r="Q135" s="15"/>
    </row>
    <row r="136" spans="17:17" x14ac:dyDescent="0.3">
      <c r="Q136" s="15"/>
    </row>
    <row r="137" spans="17:17" x14ac:dyDescent="0.3">
      <c r="Q137" s="15"/>
    </row>
    <row r="138" spans="17:17" x14ac:dyDescent="0.3">
      <c r="Q138" s="15"/>
    </row>
    <row r="139" spans="17:17" x14ac:dyDescent="0.3">
      <c r="Q139" s="15"/>
    </row>
    <row r="140" spans="17:17" x14ac:dyDescent="0.3">
      <c r="Q140" s="15"/>
    </row>
    <row r="141" spans="17:17" x14ac:dyDescent="0.3">
      <c r="Q141" s="15"/>
    </row>
    <row r="142" spans="17:17" x14ac:dyDescent="0.3">
      <c r="Q142" s="15"/>
    </row>
    <row r="143" spans="17:17" x14ac:dyDescent="0.3">
      <c r="Q143" s="15"/>
    </row>
    <row r="144" spans="17:17" x14ac:dyDescent="0.3">
      <c r="Q144" s="15"/>
    </row>
    <row r="145" spans="17:17" x14ac:dyDescent="0.3">
      <c r="Q145" s="15"/>
    </row>
    <row r="146" spans="17:17" x14ac:dyDescent="0.3">
      <c r="Q146" s="15"/>
    </row>
    <row r="147" spans="17:17" x14ac:dyDescent="0.3">
      <c r="Q147" s="15"/>
    </row>
    <row r="148" spans="17:17" x14ac:dyDescent="0.3">
      <c r="Q148" s="15"/>
    </row>
    <row r="149" spans="17:17" x14ac:dyDescent="0.3">
      <c r="Q149" s="15"/>
    </row>
    <row r="150" spans="17:17" x14ac:dyDescent="0.3">
      <c r="Q150" s="15"/>
    </row>
    <row r="151" spans="17:17" x14ac:dyDescent="0.3">
      <c r="Q151" s="15"/>
    </row>
    <row r="152" spans="17:17" x14ac:dyDescent="0.3">
      <c r="Q152" s="15"/>
    </row>
    <row r="153" spans="17:17" x14ac:dyDescent="0.3">
      <c r="Q153" s="15"/>
    </row>
    <row r="154" spans="17:17" x14ac:dyDescent="0.3">
      <c r="Q154" s="15"/>
    </row>
    <row r="155" spans="17:17" x14ac:dyDescent="0.3">
      <c r="Q155" s="15"/>
    </row>
    <row r="156" spans="17:17" x14ac:dyDescent="0.3">
      <c r="Q156" s="15"/>
    </row>
    <row r="157" spans="17:17" x14ac:dyDescent="0.3">
      <c r="Q157" s="15"/>
    </row>
    <row r="158" spans="17:17" x14ac:dyDescent="0.3">
      <c r="Q158" s="15"/>
    </row>
    <row r="159" spans="17:17" x14ac:dyDescent="0.3">
      <c r="Q159" s="15"/>
    </row>
    <row r="160" spans="17:17" x14ac:dyDescent="0.3">
      <c r="Q160" s="15"/>
    </row>
    <row r="161" spans="17:17" x14ac:dyDescent="0.3">
      <c r="Q161" s="15"/>
    </row>
    <row r="162" spans="17:17" x14ac:dyDescent="0.3">
      <c r="Q162" s="15"/>
    </row>
    <row r="163" spans="17:17" x14ac:dyDescent="0.3">
      <c r="Q163" s="15"/>
    </row>
    <row r="164" spans="17:17" x14ac:dyDescent="0.3">
      <c r="Q164" s="15"/>
    </row>
    <row r="165" spans="17:17" x14ac:dyDescent="0.3">
      <c r="Q165" s="15"/>
    </row>
    <row r="166" spans="17:17" x14ac:dyDescent="0.3">
      <c r="Q166" s="15"/>
    </row>
    <row r="167" spans="17:17" x14ac:dyDescent="0.3">
      <c r="Q167" s="15"/>
    </row>
    <row r="168" spans="17:17" x14ac:dyDescent="0.3">
      <c r="Q168" s="15"/>
    </row>
    <row r="169" spans="17:17" x14ac:dyDescent="0.3">
      <c r="Q169" s="15"/>
    </row>
    <row r="170" spans="17:17" x14ac:dyDescent="0.3">
      <c r="Q170" s="15"/>
    </row>
    <row r="171" spans="17:17" x14ac:dyDescent="0.3">
      <c r="Q171" s="15"/>
    </row>
    <row r="172" spans="17:17" x14ac:dyDescent="0.3">
      <c r="Q172" s="15"/>
    </row>
    <row r="173" spans="17:17" x14ac:dyDescent="0.3">
      <c r="Q173" s="15"/>
    </row>
    <row r="174" spans="17:17" x14ac:dyDescent="0.3">
      <c r="Q174" s="15"/>
    </row>
    <row r="175" spans="17:17" x14ac:dyDescent="0.3">
      <c r="Q175" s="15"/>
    </row>
    <row r="176" spans="17:17" x14ac:dyDescent="0.3">
      <c r="Q176" s="15"/>
    </row>
    <row r="177" spans="17:17" x14ac:dyDescent="0.3">
      <c r="Q177" s="15"/>
    </row>
    <row r="178" spans="17:17" x14ac:dyDescent="0.3">
      <c r="Q178" s="15"/>
    </row>
    <row r="179" spans="17:17" x14ac:dyDescent="0.3">
      <c r="Q179" s="15"/>
    </row>
    <row r="180" spans="17:17" x14ac:dyDescent="0.3">
      <c r="Q180" s="15"/>
    </row>
    <row r="181" spans="17:17" x14ac:dyDescent="0.3">
      <c r="Q181" s="15"/>
    </row>
    <row r="182" spans="17:17" x14ac:dyDescent="0.3">
      <c r="Q182" s="15"/>
    </row>
    <row r="183" spans="17:17" x14ac:dyDescent="0.3">
      <c r="Q183" s="15"/>
    </row>
    <row r="184" spans="17:17" x14ac:dyDescent="0.3">
      <c r="Q184" s="15"/>
    </row>
    <row r="185" spans="17:17" x14ac:dyDescent="0.3">
      <c r="Q185" s="15"/>
    </row>
    <row r="186" spans="17:17" x14ac:dyDescent="0.3">
      <c r="Q186" s="15"/>
    </row>
    <row r="187" spans="17:17" x14ac:dyDescent="0.3">
      <c r="Q187" s="15"/>
    </row>
    <row r="188" spans="17:17" x14ac:dyDescent="0.3">
      <c r="Q188" s="15"/>
    </row>
    <row r="189" spans="17:17" x14ac:dyDescent="0.3">
      <c r="Q189" s="15"/>
    </row>
    <row r="190" spans="17:17" x14ac:dyDescent="0.3">
      <c r="Q190" s="15"/>
    </row>
    <row r="191" spans="17:17" x14ac:dyDescent="0.3">
      <c r="Q191" s="15"/>
    </row>
    <row r="192" spans="17:17" x14ac:dyDescent="0.3">
      <c r="Q192" s="15"/>
    </row>
    <row r="193" spans="17:17" x14ac:dyDescent="0.3">
      <c r="Q193" s="15"/>
    </row>
    <row r="194" spans="17:17" x14ac:dyDescent="0.3">
      <c r="Q194" s="15"/>
    </row>
    <row r="195" spans="17:17" x14ac:dyDescent="0.3">
      <c r="Q195" s="15"/>
    </row>
    <row r="196" spans="17:17" x14ac:dyDescent="0.3">
      <c r="Q196" s="15"/>
    </row>
    <row r="197" spans="17:17" x14ac:dyDescent="0.3">
      <c r="Q197" s="15"/>
    </row>
    <row r="198" spans="17:17" x14ac:dyDescent="0.3">
      <c r="Q198" s="15"/>
    </row>
    <row r="199" spans="17:17" x14ac:dyDescent="0.3">
      <c r="Q199" s="15"/>
    </row>
    <row r="200" spans="17:17" x14ac:dyDescent="0.3">
      <c r="Q200" s="15"/>
    </row>
    <row r="201" spans="17:17" x14ac:dyDescent="0.3">
      <c r="Q201" s="15"/>
    </row>
    <row r="202" spans="17:17" x14ac:dyDescent="0.3">
      <c r="Q202" s="15"/>
    </row>
    <row r="203" spans="17:17" x14ac:dyDescent="0.3">
      <c r="Q203" s="15"/>
    </row>
    <row r="204" spans="17:17" x14ac:dyDescent="0.3">
      <c r="Q204" s="15"/>
    </row>
    <row r="205" spans="17:17" x14ac:dyDescent="0.3">
      <c r="Q205" s="15"/>
    </row>
    <row r="206" spans="17:17" x14ac:dyDescent="0.3">
      <c r="Q206" s="15"/>
    </row>
    <row r="207" spans="17:17" x14ac:dyDescent="0.3">
      <c r="Q207" s="15"/>
    </row>
    <row r="208" spans="17:17" x14ac:dyDescent="0.3">
      <c r="Q208" s="15"/>
    </row>
    <row r="209" spans="17:17" x14ac:dyDescent="0.3">
      <c r="Q209" s="15"/>
    </row>
    <row r="210" spans="17:17" x14ac:dyDescent="0.3">
      <c r="Q210" s="15"/>
    </row>
    <row r="211" spans="17:17" x14ac:dyDescent="0.3">
      <c r="Q211" s="15"/>
    </row>
    <row r="212" spans="17:17" x14ac:dyDescent="0.3">
      <c r="Q212" s="15"/>
    </row>
    <row r="213" spans="17:17" x14ac:dyDescent="0.3">
      <c r="Q213" s="15"/>
    </row>
    <row r="214" spans="17:17" x14ac:dyDescent="0.3">
      <c r="Q214" s="15"/>
    </row>
    <row r="215" spans="17:17" x14ac:dyDescent="0.3">
      <c r="Q215" s="15"/>
    </row>
    <row r="216" spans="17:17" x14ac:dyDescent="0.3">
      <c r="Q216" s="15"/>
    </row>
    <row r="217" spans="17:17" x14ac:dyDescent="0.3">
      <c r="Q217" s="15"/>
    </row>
    <row r="218" spans="17:17" x14ac:dyDescent="0.3">
      <c r="Q218" s="15"/>
    </row>
    <row r="219" spans="17:17" x14ac:dyDescent="0.3">
      <c r="Q219" s="15"/>
    </row>
    <row r="220" spans="17:17" x14ac:dyDescent="0.3">
      <c r="Q220" s="15"/>
    </row>
    <row r="221" spans="17:17" x14ac:dyDescent="0.3">
      <c r="Q221" s="15"/>
    </row>
    <row r="222" spans="17:17" x14ac:dyDescent="0.3">
      <c r="Q222" s="15"/>
    </row>
    <row r="223" spans="17:17" x14ac:dyDescent="0.3">
      <c r="Q223" s="15"/>
    </row>
    <row r="224" spans="17:17" x14ac:dyDescent="0.3">
      <c r="Q224" s="15"/>
    </row>
    <row r="225" spans="17:17" x14ac:dyDescent="0.3">
      <c r="Q225" s="15"/>
    </row>
    <row r="226" spans="17:17" x14ac:dyDescent="0.3">
      <c r="Q226" s="15"/>
    </row>
    <row r="227" spans="17:17" x14ac:dyDescent="0.3">
      <c r="Q227" s="15"/>
    </row>
    <row r="228" spans="17:17" x14ac:dyDescent="0.3">
      <c r="Q228" s="15"/>
    </row>
    <row r="229" spans="17:17" x14ac:dyDescent="0.3">
      <c r="Q229" s="15"/>
    </row>
    <row r="230" spans="17:17" x14ac:dyDescent="0.3">
      <c r="Q230" s="15"/>
    </row>
    <row r="231" spans="17:17" x14ac:dyDescent="0.3">
      <c r="Q231" s="15"/>
    </row>
    <row r="232" spans="17:17" x14ac:dyDescent="0.3">
      <c r="Q232" s="15"/>
    </row>
    <row r="233" spans="17:17" x14ac:dyDescent="0.3">
      <c r="Q233" s="15"/>
    </row>
    <row r="234" spans="17:17" x14ac:dyDescent="0.3">
      <c r="Q234" s="15"/>
    </row>
    <row r="235" spans="17:17" x14ac:dyDescent="0.3">
      <c r="Q235" s="15"/>
    </row>
    <row r="236" spans="17:17" x14ac:dyDescent="0.3">
      <c r="Q236" s="15"/>
    </row>
    <row r="237" spans="17:17" x14ac:dyDescent="0.3">
      <c r="Q237" s="15"/>
    </row>
    <row r="238" spans="17:17" x14ac:dyDescent="0.3">
      <c r="Q238" s="15"/>
    </row>
    <row r="239" spans="17:17" x14ac:dyDescent="0.3">
      <c r="Q239" s="15"/>
    </row>
    <row r="240" spans="17:17" x14ac:dyDescent="0.3">
      <c r="Q240" s="15"/>
    </row>
    <row r="241" spans="17:17" x14ac:dyDescent="0.3">
      <c r="Q241" s="15"/>
    </row>
    <row r="242" spans="17:17" x14ac:dyDescent="0.3">
      <c r="Q242" s="15"/>
    </row>
    <row r="243" spans="17:17" x14ac:dyDescent="0.3">
      <c r="Q243" s="15"/>
    </row>
    <row r="244" spans="17:17" x14ac:dyDescent="0.3">
      <c r="Q244" s="15"/>
    </row>
    <row r="245" spans="17:17" x14ac:dyDescent="0.3">
      <c r="Q245" s="15"/>
    </row>
    <row r="246" spans="17:17" x14ac:dyDescent="0.3">
      <c r="Q246" s="15"/>
    </row>
    <row r="247" spans="17:17" x14ac:dyDescent="0.3">
      <c r="Q247" s="15"/>
    </row>
    <row r="248" spans="17:17" x14ac:dyDescent="0.3">
      <c r="Q248" s="15"/>
    </row>
    <row r="249" spans="17:17" x14ac:dyDescent="0.3">
      <c r="Q249" s="15"/>
    </row>
    <row r="250" spans="17:17" x14ac:dyDescent="0.3">
      <c r="Q250" s="15"/>
    </row>
    <row r="251" spans="17:17" x14ac:dyDescent="0.3">
      <c r="Q251" s="15"/>
    </row>
    <row r="252" spans="17:17" x14ac:dyDescent="0.3">
      <c r="Q252" s="15"/>
    </row>
    <row r="253" spans="17:17" x14ac:dyDescent="0.3">
      <c r="Q253" s="15"/>
    </row>
    <row r="254" spans="17:17" x14ac:dyDescent="0.3">
      <c r="Q254" s="15"/>
    </row>
    <row r="255" spans="17:17" x14ac:dyDescent="0.3">
      <c r="Q255" s="15"/>
    </row>
    <row r="256" spans="17:17" x14ac:dyDescent="0.3">
      <c r="Q256" s="15"/>
    </row>
    <row r="257" spans="17:17" x14ac:dyDescent="0.3">
      <c r="Q257" s="15"/>
    </row>
    <row r="258" spans="17:17" x14ac:dyDescent="0.3">
      <c r="Q258" s="15"/>
    </row>
    <row r="259" spans="17:17" x14ac:dyDescent="0.3">
      <c r="Q259" s="15"/>
    </row>
    <row r="260" spans="17:17" x14ac:dyDescent="0.3">
      <c r="Q260" s="15"/>
    </row>
    <row r="261" spans="17:17" x14ac:dyDescent="0.3">
      <c r="Q261" s="15"/>
    </row>
    <row r="262" spans="17:17" x14ac:dyDescent="0.3">
      <c r="Q262" s="15"/>
    </row>
    <row r="263" spans="17:17" x14ac:dyDescent="0.3">
      <c r="Q263" s="15"/>
    </row>
    <row r="264" spans="17:17" x14ac:dyDescent="0.3">
      <c r="Q264" s="15"/>
    </row>
    <row r="265" spans="17:17" x14ac:dyDescent="0.3">
      <c r="Q265" s="15"/>
    </row>
    <row r="266" spans="17:17" x14ac:dyDescent="0.3">
      <c r="Q266" s="15"/>
    </row>
    <row r="267" spans="17:17" x14ac:dyDescent="0.3">
      <c r="Q267" s="15"/>
    </row>
    <row r="268" spans="17:17" x14ac:dyDescent="0.3">
      <c r="Q268" s="15"/>
    </row>
    <row r="269" spans="17:17" x14ac:dyDescent="0.3">
      <c r="Q269" s="15"/>
    </row>
    <row r="270" spans="17:17" x14ac:dyDescent="0.3">
      <c r="Q270" s="15"/>
    </row>
    <row r="271" spans="17:17" x14ac:dyDescent="0.3">
      <c r="Q271" s="15"/>
    </row>
    <row r="272" spans="17:17" x14ac:dyDescent="0.3">
      <c r="Q272" s="15"/>
    </row>
    <row r="273" spans="17:17" x14ac:dyDescent="0.3">
      <c r="Q273" s="15"/>
    </row>
    <row r="274" spans="17:17" x14ac:dyDescent="0.3">
      <c r="Q274" s="15"/>
    </row>
    <row r="275" spans="17:17" x14ac:dyDescent="0.3">
      <c r="Q275" s="15"/>
    </row>
    <row r="276" spans="17:17" x14ac:dyDescent="0.3">
      <c r="Q276" s="15"/>
    </row>
    <row r="277" spans="17:17" x14ac:dyDescent="0.3">
      <c r="Q277" s="15"/>
    </row>
    <row r="278" spans="17:17" x14ac:dyDescent="0.3">
      <c r="Q278" s="15"/>
    </row>
    <row r="279" spans="17:17" x14ac:dyDescent="0.3">
      <c r="Q279" s="15"/>
    </row>
    <row r="280" spans="17:17" x14ac:dyDescent="0.3">
      <c r="Q280" s="15"/>
    </row>
    <row r="281" spans="17:17" x14ac:dyDescent="0.3">
      <c r="Q281" s="15"/>
    </row>
    <row r="282" spans="17:17" x14ac:dyDescent="0.3">
      <c r="Q282" s="15"/>
    </row>
    <row r="283" spans="17:17" x14ac:dyDescent="0.3">
      <c r="Q283" s="15"/>
    </row>
    <row r="284" spans="17:17" x14ac:dyDescent="0.3">
      <c r="Q284" s="15"/>
    </row>
    <row r="285" spans="17:17" x14ac:dyDescent="0.3">
      <c r="Q285" s="15"/>
    </row>
    <row r="286" spans="17:17" x14ac:dyDescent="0.3">
      <c r="Q286" s="15"/>
    </row>
    <row r="287" spans="17:17" x14ac:dyDescent="0.3">
      <c r="Q287" s="15"/>
    </row>
    <row r="288" spans="17:17" x14ac:dyDescent="0.3">
      <c r="Q288" s="15"/>
    </row>
    <row r="289" spans="17:17" x14ac:dyDescent="0.3">
      <c r="Q289" s="15"/>
    </row>
    <row r="290" spans="17:17" x14ac:dyDescent="0.3">
      <c r="Q290" s="15"/>
    </row>
    <row r="291" spans="17:17" x14ac:dyDescent="0.3">
      <c r="Q291" s="15"/>
    </row>
    <row r="292" spans="17:17" x14ac:dyDescent="0.3">
      <c r="Q292" s="15"/>
    </row>
    <row r="293" spans="17:17" x14ac:dyDescent="0.3">
      <c r="Q293" s="15"/>
    </row>
    <row r="294" spans="17:17" x14ac:dyDescent="0.3">
      <c r="Q294" s="15"/>
    </row>
    <row r="295" spans="17:17" x14ac:dyDescent="0.3">
      <c r="Q295" s="15"/>
    </row>
    <row r="296" spans="17:17" x14ac:dyDescent="0.3">
      <c r="Q296" s="15"/>
    </row>
    <row r="297" spans="17:17" x14ac:dyDescent="0.3">
      <c r="Q297" s="15"/>
    </row>
    <row r="298" spans="17:17" x14ac:dyDescent="0.3">
      <c r="Q298" s="15"/>
    </row>
    <row r="299" spans="17:17" x14ac:dyDescent="0.3">
      <c r="Q299" s="15"/>
    </row>
    <row r="300" spans="17:17" x14ac:dyDescent="0.3">
      <c r="Q300" s="15"/>
    </row>
    <row r="301" spans="17:17" x14ac:dyDescent="0.3">
      <c r="Q301" s="15"/>
    </row>
    <row r="302" spans="17:17" x14ac:dyDescent="0.3">
      <c r="Q302" s="15"/>
    </row>
    <row r="303" spans="17:17" x14ac:dyDescent="0.3">
      <c r="Q303" s="15"/>
    </row>
    <row r="304" spans="17:17" x14ac:dyDescent="0.3">
      <c r="Q304" s="15"/>
    </row>
    <row r="305" spans="17:17" x14ac:dyDescent="0.3">
      <c r="Q305" s="15"/>
    </row>
    <row r="306" spans="17:17" x14ac:dyDescent="0.3">
      <c r="Q306" s="15"/>
    </row>
    <row r="307" spans="17:17" x14ac:dyDescent="0.3">
      <c r="Q307" s="15"/>
    </row>
    <row r="308" spans="17:17" x14ac:dyDescent="0.3">
      <c r="Q308" s="15"/>
    </row>
    <row r="309" spans="17:17" x14ac:dyDescent="0.3">
      <c r="Q309" s="15"/>
    </row>
    <row r="310" spans="17:17" x14ac:dyDescent="0.3">
      <c r="Q310" s="15"/>
    </row>
    <row r="311" spans="17:17" x14ac:dyDescent="0.3">
      <c r="Q311" s="15"/>
    </row>
    <row r="312" spans="17:17" x14ac:dyDescent="0.3">
      <c r="Q312" s="15"/>
    </row>
    <row r="313" spans="17:17" x14ac:dyDescent="0.3">
      <c r="Q313" s="15"/>
    </row>
    <row r="314" spans="17:17" x14ac:dyDescent="0.3">
      <c r="Q314" s="15"/>
    </row>
    <row r="315" spans="17:17" x14ac:dyDescent="0.3">
      <c r="Q315" s="15"/>
    </row>
    <row r="316" spans="17:17" x14ac:dyDescent="0.3">
      <c r="Q316" s="15"/>
    </row>
    <row r="317" spans="17:17" x14ac:dyDescent="0.3">
      <c r="Q317" s="15"/>
    </row>
    <row r="318" spans="17:17" x14ac:dyDescent="0.3">
      <c r="Q318" s="15"/>
    </row>
    <row r="319" spans="17:17" x14ac:dyDescent="0.3">
      <c r="Q319" s="15"/>
    </row>
    <row r="320" spans="17:17" x14ac:dyDescent="0.3">
      <c r="Q320" s="15"/>
    </row>
    <row r="321" spans="17:17" x14ac:dyDescent="0.3">
      <c r="Q321" s="15"/>
    </row>
    <row r="322" spans="17:17" x14ac:dyDescent="0.3">
      <c r="Q322" s="15"/>
    </row>
    <row r="323" spans="17:17" x14ac:dyDescent="0.3">
      <c r="Q323" s="15"/>
    </row>
    <row r="324" spans="17:17" x14ac:dyDescent="0.3">
      <c r="Q324" s="15"/>
    </row>
    <row r="325" spans="17:17" x14ac:dyDescent="0.3">
      <c r="Q325" s="15"/>
    </row>
    <row r="326" spans="17:17" x14ac:dyDescent="0.3">
      <c r="Q326" s="15"/>
    </row>
    <row r="327" spans="17:17" x14ac:dyDescent="0.3">
      <c r="Q327" s="15"/>
    </row>
    <row r="328" spans="17:17" x14ac:dyDescent="0.3">
      <c r="Q328" s="15"/>
    </row>
    <row r="329" spans="17:17" x14ac:dyDescent="0.3">
      <c r="Q329" s="15"/>
    </row>
    <row r="330" spans="17:17" x14ac:dyDescent="0.3">
      <c r="Q330" s="15"/>
    </row>
    <row r="331" spans="17:17" x14ac:dyDescent="0.3">
      <c r="Q331" s="15"/>
    </row>
    <row r="332" spans="17:17" x14ac:dyDescent="0.3">
      <c r="Q332" s="15"/>
    </row>
    <row r="333" spans="17:17" x14ac:dyDescent="0.3">
      <c r="Q333" s="15"/>
    </row>
    <row r="334" spans="17:17" x14ac:dyDescent="0.3">
      <c r="Q334" s="15"/>
    </row>
    <row r="335" spans="17:17" x14ac:dyDescent="0.3">
      <c r="Q335" s="15"/>
    </row>
    <row r="336" spans="17:17" x14ac:dyDescent="0.3">
      <c r="Q336" s="15"/>
    </row>
    <row r="337" spans="17:17" x14ac:dyDescent="0.3">
      <c r="Q337" s="15"/>
    </row>
    <row r="338" spans="17:17" x14ac:dyDescent="0.3">
      <c r="Q338" s="15"/>
    </row>
    <row r="339" spans="17:17" x14ac:dyDescent="0.3">
      <c r="Q339" s="15"/>
    </row>
    <row r="340" spans="17:17" x14ac:dyDescent="0.3">
      <c r="Q340" s="15"/>
    </row>
    <row r="341" spans="17:17" x14ac:dyDescent="0.3">
      <c r="Q341" s="15"/>
    </row>
    <row r="342" spans="17:17" x14ac:dyDescent="0.3">
      <c r="Q342" s="15"/>
    </row>
    <row r="343" spans="17:17" x14ac:dyDescent="0.3">
      <c r="Q343" s="15"/>
    </row>
    <row r="344" spans="17:17" x14ac:dyDescent="0.3">
      <c r="Q344" s="15"/>
    </row>
    <row r="345" spans="17:17" x14ac:dyDescent="0.3">
      <c r="Q345" s="15"/>
    </row>
    <row r="346" spans="17:17" x14ac:dyDescent="0.3">
      <c r="Q346" s="15"/>
    </row>
    <row r="347" spans="17:17" x14ac:dyDescent="0.3">
      <c r="Q347" s="15"/>
    </row>
    <row r="348" spans="17:17" x14ac:dyDescent="0.3">
      <c r="Q348" s="15"/>
    </row>
    <row r="349" spans="17:17" x14ac:dyDescent="0.3">
      <c r="Q349" s="15"/>
    </row>
    <row r="350" spans="17:17" x14ac:dyDescent="0.3">
      <c r="Q350" s="15"/>
    </row>
    <row r="351" spans="17:17" x14ac:dyDescent="0.3">
      <c r="Q351" s="15"/>
    </row>
    <row r="352" spans="17:17" x14ac:dyDescent="0.3">
      <c r="Q352" s="15"/>
    </row>
    <row r="353" spans="17:17" x14ac:dyDescent="0.3">
      <c r="Q353" s="15"/>
    </row>
    <row r="354" spans="17:17" x14ac:dyDescent="0.3">
      <c r="Q354" s="15"/>
    </row>
    <row r="355" spans="17:17" x14ac:dyDescent="0.3">
      <c r="Q355" s="15"/>
    </row>
    <row r="356" spans="17:17" x14ac:dyDescent="0.3">
      <c r="Q356" s="15"/>
    </row>
    <row r="357" spans="17:17" x14ac:dyDescent="0.3">
      <c r="Q357" s="15"/>
    </row>
    <row r="358" spans="17:17" x14ac:dyDescent="0.3">
      <c r="Q358" s="15"/>
    </row>
    <row r="359" spans="17:17" x14ac:dyDescent="0.3">
      <c r="Q359" s="15"/>
    </row>
    <row r="360" spans="17:17" x14ac:dyDescent="0.3">
      <c r="Q360" s="15"/>
    </row>
    <row r="361" spans="17:17" x14ac:dyDescent="0.3">
      <c r="Q361" s="15"/>
    </row>
    <row r="362" spans="17:17" x14ac:dyDescent="0.3">
      <c r="Q362" s="15"/>
    </row>
    <row r="363" spans="17:17" x14ac:dyDescent="0.3">
      <c r="Q363" s="15"/>
    </row>
    <row r="364" spans="17:17" x14ac:dyDescent="0.3">
      <c r="Q364" s="15"/>
    </row>
    <row r="365" spans="17:17" x14ac:dyDescent="0.3">
      <c r="Q365" s="15"/>
    </row>
    <row r="366" spans="17:17" x14ac:dyDescent="0.3">
      <c r="Q366" s="15"/>
    </row>
    <row r="367" spans="17:17" x14ac:dyDescent="0.3">
      <c r="Q367" s="15"/>
    </row>
    <row r="368" spans="17:17" x14ac:dyDescent="0.3">
      <c r="Q368" s="15"/>
    </row>
    <row r="369" spans="17:17" x14ac:dyDescent="0.3">
      <c r="Q369" s="15"/>
    </row>
    <row r="370" spans="17:17" x14ac:dyDescent="0.3">
      <c r="Q370" s="15"/>
    </row>
    <row r="371" spans="17:17" x14ac:dyDescent="0.3">
      <c r="Q371" s="15"/>
    </row>
    <row r="372" spans="17:17" x14ac:dyDescent="0.3">
      <c r="Q372" s="15"/>
    </row>
    <row r="373" spans="17:17" x14ac:dyDescent="0.3">
      <c r="Q373" s="15"/>
    </row>
    <row r="374" spans="17:17" x14ac:dyDescent="0.3">
      <c r="Q374" s="15"/>
    </row>
    <row r="375" spans="17:17" x14ac:dyDescent="0.3">
      <c r="Q375" s="15"/>
    </row>
    <row r="376" spans="17:17" x14ac:dyDescent="0.3">
      <c r="Q376" s="15"/>
    </row>
    <row r="377" spans="17:17" x14ac:dyDescent="0.3">
      <c r="Q377" s="15"/>
    </row>
    <row r="378" spans="17:17" x14ac:dyDescent="0.3">
      <c r="Q378" s="15"/>
    </row>
    <row r="379" spans="17:17" x14ac:dyDescent="0.3">
      <c r="Q379" s="15"/>
    </row>
    <row r="380" spans="17:17" x14ac:dyDescent="0.3">
      <c r="Q380" s="15"/>
    </row>
    <row r="381" spans="17:17" x14ac:dyDescent="0.3">
      <c r="Q381" s="15"/>
    </row>
    <row r="382" spans="17:17" x14ac:dyDescent="0.3">
      <c r="Q382" s="15"/>
    </row>
    <row r="383" spans="17:17" x14ac:dyDescent="0.3">
      <c r="Q383" s="15"/>
    </row>
    <row r="384" spans="17:17" x14ac:dyDescent="0.3">
      <c r="Q384" s="15"/>
    </row>
    <row r="385" spans="17:17" x14ac:dyDescent="0.3">
      <c r="Q385" s="15"/>
    </row>
    <row r="386" spans="17:17" x14ac:dyDescent="0.3">
      <c r="Q386" s="15"/>
    </row>
    <row r="387" spans="17:17" x14ac:dyDescent="0.3">
      <c r="Q387" s="15"/>
    </row>
    <row r="388" spans="17:17" x14ac:dyDescent="0.3">
      <c r="Q388" s="15"/>
    </row>
    <row r="389" spans="17:17" x14ac:dyDescent="0.3">
      <c r="Q389" s="15"/>
    </row>
    <row r="390" spans="17:17" x14ac:dyDescent="0.3">
      <c r="Q390" s="15"/>
    </row>
    <row r="391" spans="17:17" x14ac:dyDescent="0.3">
      <c r="Q391" s="15"/>
    </row>
    <row r="392" spans="17:17" x14ac:dyDescent="0.3">
      <c r="Q392" s="15"/>
    </row>
    <row r="393" spans="17:17" x14ac:dyDescent="0.3">
      <c r="Q393" s="15"/>
    </row>
    <row r="394" spans="17:17" x14ac:dyDescent="0.3">
      <c r="Q394" s="15"/>
    </row>
    <row r="395" spans="17:17" x14ac:dyDescent="0.3">
      <c r="Q395" s="15"/>
    </row>
    <row r="396" spans="17:17" x14ac:dyDescent="0.3">
      <c r="Q396" s="15"/>
    </row>
    <row r="397" spans="17:17" x14ac:dyDescent="0.3">
      <c r="Q397" s="15"/>
    </row>
    <row r="398" spans="17:17" x14ac:dyDescent="0.3">
      <c r="Q398" s="15"/>
    </row>
    <row r="399" spans="17:17" x14ac:dyDescent="0.3">
      <c r="Q399" s="15"/>
    </row>
    <row r="400" spans="17:17" x14ac:dyDescent="0.3">
      <c r="Q400" s="15"/>
    </row>
    <row r="401" spans="17:17" x14ac:dyDescent="0.3">
      <c r="Q401" s="15"/>
    </row>
    <row r="402" spans="17:17" x14ac:dyDescent="0.3">
      <c r="Q402" s="15"/>
    </row>
    <row r="403" spans="17:17" x14ac:dyDescent="0.3">
      <c r="Q403" s="15"/>
    </row>
    <row r="404" spans="17:17" x14ac:dyDescent="0.3">
      <c r="Q404" s="15"/>
    </row>
    <row r="405" spans="17:17" x14ac:dyDescent="0.3">
      <c r="Q405" s="15"/>
    </row>
    <row r="406" spans="17:17" x14ac:dyDescent="0.3">
      <c r="Q406" s="15"/>
    </row>
    <row r="407" spans="17:17" x14ac:dyDescent="0.3">
      <c r="Q407" s="15"/>
    </row>
    <row r="408" spans="17:17" x14ac:dyDescent="0.3">
      <c r="Q408" s="15"/>
    </row>
    <row r="409" spans="17:17" x14ac:dyDescent="0.3">
      <c r="Q409" s="15"/>
    </row>
    <row r="410" spans="17:17" x14ac:dyDescent="0.3">
      <c r="Q410" s="15"/>
    </row>
    <row r="411" spans="17:17" x14ac:dyDescent="0.3">
      <c r="Q411" s="15"/>
    </row>
    <row r="412" spans="17:17" x14ac:dyDescent="0.3">
      <c r="Q412" s="15"/>
    </row>
    <row r="413" spans="17:17" x14ac:dyDescent="0.3">
      <c r="Q413" s="15"/>
    </row>
    <row r="414" spans="17:17" x14ac:dyDescent="0.3">
      <c r="Q414" s="15"/>
    </row>
    <row r="415" spans="17:17" x14ac:dyDescent="0.3">
      <c r="Q415" s="15"/>
    </row>
    <row r="416" spans="17:17" x14ac:dyDescent="0.3">
      <c r="Q416" s="15"/>
    </row>
    <row r="417" spans="17:17" x14ac:dyDescent="0.3">
      <c r="Q417" s="15"/>
    </row>
    <row r="418" spans="17:17" x14ac:dyDescent="0.3">
      <c r="Q418" s="15"/>
    </row>
    <row r="419" spans="17:17" x14ac:dyDescent="0.3">
      <c r="Q419" s="15"/>
    </row>
    <row r="420" spans="17:17" x14ac:dyDescent="0.3">
      <c r="Q420" s="15"/>
    </row>
    <row r="421" spans="17:17" x14ac:dyDescent="0.3">
      <c r="Q421" s="15"/>
    </row>
    <row r="422" spans="17:17" x14ac:dyDescent="0.3">
      <c r="Q422" s="15"/>
    </row>
    <row r="423" spans="17:17" x14ac:dyDescent="0.3">
      <c r="Q423" s="15"/>
    </row>
    <row r="424" spans="17:17" x14ac:dyDescent="0.3">
      <c r="Q424" s="15"/>
    </row>
    <row r="425" spans="17:17" x14ac:dyDescent="0.3">
      <c r="Q425" s="15"/>
    </row>
    <row r="426" spans="17:17" x14ac:dyDescent="0.3">
      <c r="Q426" s="15"/>
    </row>
    <row r="427" spans="17:17" x14ac:dyDescent="0.3">
      <c r="Q427" s="15"/>
    </row>
    <row r="428" spans="17:17" x14ac:dyDescent="0.3">
      <c r="Q428" s="15"/>
    </row>
    <row r="429" spans="17:17" x14ac:dyDescent="0.3">
      <c r="Q429" s="15"/>
    </row>
    <row r="430" spans="17:17" x14ac:dyDescent="0.3">
      <c r="Q430" s="15"/>
    </row>
    <row r="431" spans="17:17" x14ac:dyDescent="0.3">
      <c r="Q431" s="15"/>
    </row>
    <row r="432" spans="17:17" x14ac:dyDescent="0.3">
      <c r="Q432" s="15"/>
    </row>
    <row r="433" spans="17:17" x14ac:dyDescent="0.3">
      <c r="Q433" s="15"/>
    </row>
    <row r="434" spans="17:17" x14ac:dyDescent="0.3">
      <c r="Q434" s="15"/>
    </row>
    <row r="435" spans="17:17" x14ac:dyDescent="0.3">
      <c r="Q435" s="15"/>
    </row>
    <row r="436" spans="17:17" x14ac:dyDescent="0.3">
      <c r="Q436" s="15"/>
    </row>
    <row r="437" spans="17:17" x14ac:dyDescent="0.3">
      <c r="Q437" s="15"/>
    </row>
    <row r="438" spans="17:17" x14ac:dyDescent="0.3">
      <c r="Q438" s="15"/>
    </row>
    <row r="439" spans="17:17" x14ac:dyDescent="0.3">
      <c r="Q439" s="15"/>
    </row>
    <row r="440" spans="17:17" x14ac:dyDescent="0.3">
      <c r="Q440" s="15"/>
    </row>
    <row r="441" spans="17:17" x14ac:dyDescent="0.3">
      <c r="Q441" s="15"/>
    </row>
    <row r="442" spans="17:17" x14ac:dyDescent="0.3">
      <c r="Q442" s="15"/>
    </row>
    <row r="443" spans="17:17" x14ac:dyDescent="0.3">
      <c r="Q443" s="15"/>
    </row>
    <row r="444" spans="17:17" x14ac:dyDescent="0.3">
      <c r="Q444" s="15"/>
    </row>
    <row r="445" spans="17:17" x14ac:dyDescent="0.3">
      <c r="Q445" s="15"/>
    </row>
    <row r="446" spans="17:17" x14ac:dyDescent="0.3">
      <c r="Q446" s="15"/>
    </row>
    <row r="447" spans="17:17" x14ac:dyDescent="0.3">
      <c r="Q447" s="15"/>
    </row>
    <row r="448" spans="17:17" x14ac:dyDescent="0.3">
      <c r="Q448" s="15"/>
    </row>
    <row r="449" spans="17:17" x14ac:dyDescent="0.3">
      <c r="Q449" s="15"/>
    </row>
    <row r="450" spans="17:17" x14ac:dyDescent="0.3">
      <c r="Q450" s="15"/>
    </row>
    <row r="451" spans="17:17" x14ac:dyDescent="0.3">
      <c r="Q451" s="15"/>
    </row>
    <row r="452" spans="17:17" x14ac:dyDescent="0.3">
      <c r="Q452" s="15"/>
    </row>
    <row r="453" spans="17:17" x14ac:dyDescent="0.3">
      <c r="Q453" s="15"/>
    </row>
    <row r="454" spans="17:17" x14ac:dyDescent="0.3">
      <c r="Q454" s="15"/>
    </row>
    <row r="455" spans="17:17" x14ac:dyDescent="0.3">
      <c r="Q455" s="15"/>
    </row>
    <row r="456" spans="17:17" x14ac:dyDescent="0.3">
      <c r="Q456" s="15"/>
    </row>
    <row r="457" spans="17:17" x14ac:dyDescent="0.3">
      <c r="Q457" s="15"/>
    </row>
    <row r="458" spans="17:17" x14ac:dyDescent="0.3">
      <c r="Q458" s="15"/>
    </row>
    <row r="459" spans="17:17" x14ac:dyDescent="0.3">
      <c r="Q459" s="15"/>
    </row>
    <row r="460" spans="17:17" x14ac:dyDescent="0.3">
      <c r="Q460" s="15"/>
    </row>
    <row r="461" spans="17:17" x14ac:dyDescent="0.3">
      <c r="Q461" s="15"/>
    </row>
    <row r="462" spans="17:17" x14ac:dyDescent="0.3">
      <c r="Q462" s="15"/>
    </row>
    <row r="463" spans="17:17" x14ac:dyDescent="0.3">
      <c r="Q463" s="15"/>
    </row>
    <row r="464" spans="17:17" x14ac:dyDescent="0.3">
      <c r="Q464" s="15"/>
    </row>
    <row r="465" spans="17:17" x14ac:dyDescent="0.3">
      <c r="Q465" s="15"/>
    </row>
    <row r="466" spans="17:17" x14ac:dyDescent="0.3">
      <c r="Q466" s="15"/>
    </row>
    <row r="467" spans="17:17" x14ac:dyDescent="0.3">
      <c r="Q467" s="15"/>
    </row>
    <row r="468" spans="17:17" x14ac:dyDescent="0.3">
      <c r="Q468" s="15"/>
    </row>
    <row r="469" spans="17:17" x14ac:dyDescent="0.3">
      <c r="Q469" s="15"/>
    </row>
    <row r="470" spans="17:17" x14ac:dyDescent="0.3">
      <c r="Q470" s="15"/>
    </row>
    <row r="471" spans="17:17" x14ac:dyDescent="0.3">
      <c r="Q471" s="15"/>
    </row>
    <row r="472" spans="17:17" x14ac:dyDescent="0.3">
      <c r="Q472" s="15"/>
    </row>
    <row r="473" spans="17:17" x14ac:dyDescent="0.3">
      <c r="Q473" s="15"/>
    </row>
    <row r="474" spans="17:17" x14ac:dyDescent="0.3">
      <c r="Q474" s="15"/>
    </row>
    <row r="475" spans="17:17" x14ac:dyDescent="0.3">
      <c r="Q475" s="15"/>
    </row>
    <row r="476" spans="17:17" x14ac:dyDescent="0.3">
      <c r="Q476" s="15"/>
    </row>
    <row r="477" spans="17:17" x14ac:dyDescent="0.3">
      <c r="Q477" s="15"/>
    </row>
    <row r="478" spans="17:17" x14ac:dyDescent="0.3">
      <c r="Q478" s="15"/>
    </row>
    <row r="479" spans="17:17" x14ac:dyDescent="0.3">
      <c r="Q479" s="15"/>
    </row>
    <row r="480" spans="17:17" x14ac:dyDescent="0.3">
      <c r="Q480" s="15"/>
    </row>
    <row r="481" spans="17:17" x14ac:dyDescent="0.3">
      <c r="Q481" s="15"/>
    </row>
    <row r="482" spans="17:17" x14ac:dyDescent="0.3">
      <c r="Q482" s="15"/>
    </row>
    <row r="483" spans="17:17" x14ac:dyDescent="0.3">
      <c r="Q483" s="15"/>
    </row>
    <row r="484" spans="17:17" x14ac:dyDescent="0.3">
      <c r="Q484" s="15"/>
    </row>
    <row r="485" spans="17:17" x14ac:dyDescent="0.3">
      <c r="Q485" s="15"/>
    </row>
    <row r="486" spans="17:17" x14ac:dyDescent="0.3">
      <c r="Q486" s="15"/>
    </row>
    <row r="487" spans="17:17" x14ac:dyDescent="0.3">
      <c r="Q487" s="15"/>
    </row>
    <row r="488" spans="17:17" x14ac:dyDescent="0.3">
      <c r="Q488" s="15"/>
    </row>
    <row r="489" spans="17:17" x14ac:dyDescent="0.3">
      <c r="Q489" s="15"/>
    </row>
    <row r="490" spans="17:17" x14ac:dyDescent="0.3">
      <c r="Q490" s="15"/>
    </row>
    <row r="491" spans="17:17" x14ac:dyDescent="0.3">
      <c r="Q491" s="15"/>
    </row>
    <row r="492" spans="17:17" x14ac:dyDescent="0.3">
      <c r="Q492" s="15"/>
    </row>
    <row r="493" spans="17:17" x14ac:dyDescent="0.3">
      <c r="Q493" s="15"/>
    </row>
    <row r="494" spans="17:17" x14ac:dyDescent="0.3">
      <c r="Q494" s="15"/>
    </row>
    <row r="495" spans="17:17" x14ac:dyDescent="0.3">
      <c r="Q495" s="15"/>
    </row>
    <row r="496" spans="17:17" x14ac:dyDescent="0.3">
      <c r="Q496" s="15"/>
    </row>
    <row r="497" spans="17:17" x14ac:dyDescent="0.3">
      <c r="Q497" s="15"/>
    </row>
    <row r="498" spans="17:17" x14ac:dyDescent="0.3">
      <c r="Q498" s="15"/>
    </row>
    <row r="499" spans="17:17" x14ac:dyDescent="0.3">
      <c r="Q499" s="15"/>
    </row>
    <row r="500" spans="17:17" x14ac:dyDescent="0.3">
      <c r="Q500" s="15"/>
    </row>
    <row r="501" spans="17:17" x14ac:dyDescent="0.3">
      <c r="Q501" s="15"/>
    </row>
    <row r="502" spans="17:17" x14ac:dyDescent="0.3">
      <c r="Q502" s="15"/>
    </row>
    <row r="503" spans="17:17" x14ac:dyDescent="0.3">
      <c r="Q503" s="15"/>
    </row>
    <row r="504" spans="17:17" x14ac:dyDescent="0.3">
      <c r="Q504" s="15"/>
    </row>
    <row r="505" spans="17:17" x14ac:dyDescent="0.3">
      <c r="Q505" s="15"/>
    </row>
    <row r="506" spans="17:17" x14ac:dyDescent="0.3">
      <c r="Q506" s="15"/>
    </row>
    <row r="507" spans="17:17" x14ac:dyDescent="0.3">
      <c r="Q507" s="15"/>
    </row>
    <row r="508" spans="17:17" x14ac:dyDescent="0.3">
      <c r="Q508" s="15"/>
    </row>
    <row r="509" spans="17:17" x14ac:dyDescent="0.3">
      <c r="Q509" s="15"/>
    </row>
    <row r="510" spans="17:17" x14ac:dyDescent="0.3">
      <c r="Q510" s="15"/>
    </row>
    <row r="511" spans="17:17" x14ac:dyDescent="0.3">
      <c r="Q511" s="15"/>
    </row>
    <row r="512" spans="17:17" x14ac:dyDescent="0.3">
      <c r="Q512" s="15"/>
    </row>
    <row r="513" spans="17:17" x14ac:dyDescent="0.3">
      <c r="Q513" s="15"/>
    </row>
    <row r="514" spans="17:17" x14ac:dyDescent="0.3">
      <c r="Q514" s="15"/>
    </row>
    <row r="515" spans="17:17" x14ac:dyDescent="0.3">
      <c r="Q515" s="15"/>
    </row>
    <row r="516" spans="17:17" x14ac:dyDescent="0.3">
      <c r="Q516" s="15"/>
    </row>
    <row r="517" spans="17:17" x14ac:dyDescent="0.3">
      <c r="Q517" s="15"/>
    </row>
    <row r="518" spans="17:17" x14ac:dyDescent="0.3">
      <c r="Q518" s="15"/>
    </row>
    <row r="519" spans="17:17" x14ac:dyDescent="0.3">
      <c r="Q519" s="15"/>
    </row>
    <row r="520" spans="17:17" x14ac:dyDescent="0.3">
      <c r="Q520" s="15"/>
    </row>
    <row r="521" spans="17:17" x14ac:dyDescent="0.3">
      <c r="Q521" s="15"/>
    </row>
    <row r="522" spans="17:17" x14ac:dyDescent="0.3">
      <c r="Q522" s="15"/>
    </row>
    <row r="523" spans="17:17" x14ac:dyDescent="0.3">
      <c r="Q523" s="15"/>
    </row>
    <row r="524" spans="17:17" x14ac:dyDescent="0.3">
      <c r="Q524" s="15"/>
    </row>
    <row r="525" spans="17:17" x14ac:dyDescent="0.3">
      <c r="Q525" s="15"/>
    </row>
    <row r="526" spans="17:17" x14ac:dyDescent="0.3">
      <c r="Q526" s="15"/>
    </row>
    <row r="527" spans="17:17" x14ac:dyDescent="0.3">
      <c r="Q527" s="15"/>
    </row>
    <row r="528" spans="17:17" x14ac:dyDescent="0.3">
      <c r="Q528" s="15"/>
    </row>
    <row r="529" spans="17:17" x14ac:dyDescent="0.3">
      <c r="Q529" s="15"/>
    </row>
    <row r="530" spans="17:17" x14ac:dyDescent="0.3">
      <c r="Q530" s="15"/>
    </row>
    <row r="531" spans="17:17" x14ac:dyDescent="0.3">
      <c r="Q531" s="15"/>
    </row>
    <row r="532" spans="17:17" x14ac:dyDescent="0.3">
      <c r="Q532" s="15"/>
    </row>
    <row r="533" spans="17:17" x14ac:dyDescent="0.3">
      <c r="Q533" s="15"/>
    </row>
    <row r="534" spans="17:17" x14ac:dyDescent="0.3">
      <c r="Q534" s="15"/>
    </row>
    <row r="535" spans="17:17" x14ac:dyDescent="0.3">
      <c r="Q535" s="15"/>
    </row>
    <row r="536" spans="17:17" x14ac:dyDescent="0.3">
      <c r="Q536" s="15"/>
    </row>
    <row r="537" spans="17:17" x14ac:dyDescent="0.3">
      <c r="Q537" s="15"/>
    </row>
    <row r="538" spans="17:17" x14ac:dyDescent="0.3">
      <c r="Q538" s="15"/>
    </row>
    <row r="539" spans="17:17" x14ac:dyDescent="0.3">
      <c r="Q539" s="15"/>
    </row>
    <row r="540" spans="17:17" x14ac:dyDescent="0.3">
      <c r="Q540" s="15"/>
    </row>
    <row r="541" spans="17:17" x14ac:dyDescent="0.3">
      <c r="Q541" s="15"/>
    </row>
    <row r="542" spans="17:17" x14ac:dyDescent="0.3">
      <c r="Q542" s="15"/>
    </row>
    <row r="543" spans="17:17" x14ac:dyDescent="0.3">
      <c r="Q543" s="15"/>
    </row>
    <row r="544" spans="17:17" x14ac:dyDescent="0.3">
      <c r="Q544" s="15"/>
    </row>
    <row r="545" spans="17:17" x14ac:dyDescent="0.3">
      <c r="Q545" s="15"/>
    </row>
    <row r="546" spans="17:17" x14ac:dyDescent="0.3">
      <c r="Q546" s="15"/>
    </row>
    <row r="547" spans="17:17" x14ac:dyDescent="0.3">
      <c r="Q547" s="15"/>
    </row>
    <row r="548" spans="17:17" x14ac:dyDescent="0.3">
      <c r="Q548" s="15"/>
    </row>
    <row r="549" spans="17:17" x14ac:dyDescent="0.3">
      <c r="Q549" s="15"/>
    </row>
    <row r="550" spans="17:17" x14ac:dyDescent="0.3">
      <c r="Q550" s="15"/>
    </row>
    <row r="551" spans="17:17" x14ac:dyDescent="0.3">
      <c r="Q551" s="15"/>
    </row>
    <row r="552" spans="17:17" x14ac:dyDescent="0.3">
      <c r="Q552" s="15"/>
    </row>
    <row r="553" spans="17:17" x14ac:dyDescent="0.3">
      <c r="Q553" s="15"/>
    </row>
    <row r="554" spans="17:17" x14ac:dyDescent="0.3">
      <c r="Q554" s="15"/>
    </row>
    <row r="555" spans="17:17" x14ac:dyDescent="0.3">
      <c r="Q555" s="15"/>
    </row>
    <row r="556" spans="17:17" x14ac:dyDescent="0.3">
      <c r="Q556" s="15"/>
    </row>
    <row r="557" spans="17:17" x14ac:dyDescent="0.3">
      <c r="Q557" s="15"/>
    </row>
    <row r="558" spans="17:17" x14ac:dyDescent="0.3">
      <c r="Q558" s="15"/>
    </row>
    <row r="559" spans="17:17" x14ac:dyDescent="0.3">
      <c r="Q559" s="15"/>
    </row>
    <row r="560" spans="17:17" x14ac:dyDescent="0.3">
      <c r="Q560" s="15"/>
    </row>
    <row r="561" spans="17:17" x14ac:dyDescent="0.3">
      <c r="Q561" s="15"/>
    </row>
    <row r="562" spans="17:17" x14ac:dyDescent="0.3">
      <c r="Q562" s="15"/>
    </row>
    <row r="563" spans="17:17" x14ac:dyDescent="0.3">
      <c r="Q563" s="15"/>
    </row>
    <row r="564" spans="17:17" x14ac:dyDescent="0.3">
      <c r="Q564" s="15"/>
    </row>
    <row r="565" spans="17:17" x14ac:dyDescent="0.3">
      <c r="Q565" s="15"/>
    </row>
    <row r="566" spans="17:17" x14ac:dyDescent="0.3">
      <c r="Q566" s="15"/>
    </row>
    <row r="567" spans="17:17" x14ac:dyDescent="0.3">
      <c r="Q567" s="15"/>
    </row>
    <row r="568" spans="17:17" x14ac:dyDescent="0.3">
      <c r="Q568" s="15"/>
    </row>
    <row r="569" spans="17:17" x14ac:dyDescent="0.3">
      <c r="Q569" s="15"/>
    </row>
    <row r="570" spans="17:17" x14ac:dyDescent="0.3">
      <c r="Q570" s="15"/>
    </row>
    <row r="571" spans="17:17" x14ac:dyDescent="0.3">
      <c r="Q571" s="15"/>
    </row>
    <row r="572" spans="17:17" x14ac:dyDescent="0.3">
      <c r="Q572" s="15"/>
    </row>
    <row r="573" spans="17:17" x14ac:dyDescent="0.3">
      <c r="Q573" s="15"/>
    </row>
    <row r="574" spans="17:17" x14ac:dyDescent="0.3">
      <c r="Q574" s="15"/>
    </row>
    <row r="575" spans="17:17" x14ac:dyDescent="0.3">
      <c r="Q575" s="15"/>
    </row>
    <row r="576" spans="17:17" x14ac:dyDescent="0.3">
      <c r="Q576" s="15"/>
    </row>
    <row r="577" spans="17:17" x14ac:dyDescent="0.3">
      <c r="Q577" s="15"/>
    </row>
    <row r="578" spans="17:17" x14ac:dyDescent="0.3">
      <c r="Q578" s="15"/>
    </row>
    <row r="579" spans="17:17" x14ac:dyDescent="0.3">
      <c r="Q579" s="15"/>
    </row>
    <row r="580" spans="17:17" x14ac:dyDescent="0.3">
      <c r="Q580" s="15"/>
    </row>
    <row r="581" spans="17:17" x14ac:dyDescent="0.3">
      <c r="Q581" s="15"/>
    </row>
    <row r="582" spans="17:17" x14ac:dyDescent="0.3">
      <c r="Q582" s="15"/>
    </row>
    <row r="583" spans="17:17" x14ac:dyDescent="0.3">
      <c r="Q583" s="15"/>
    </row>
    <row r="584" spans="17:17" x14ac:dyDescent="0.3">
      <c r="Q584" s="15"/>
    </row>
    <row r="585" spans="17:17" x14ac:dyDescent="0.3">
      <c r="Q585" s="15"/>
    </row>
    <row r="586" spans="17:17" x14ac:dyDescent="0.3">
      <c r="Q586" s="15"/>
    </row>
    <row r="587" spans="17:17" x14ac:dyDescent="0.3">
      <c r="Q587" s="15"/>
    </row>
    <row r="588" spans="17:17" x14ac:dyDescent="0.3">
      <c r="Q588" s="15"/>
    </row>
    <row r="589" spans="17:17" x14ac:dyDescent="0.3">
      <c r="Q589" s="15"/>
    </row>
    <row r="590" spans="17:17" x14ac:dyDescent="0.3">
      <c r="Q590" s="15"/>
    </row>
    <row r="591" spans="17:17" x14ac:dyDescent="0.3">
      <c r="Q591" s="15"/>
    </row>
    <row r="592" spans="17:17" x14ac:dyDescent="0.3">
      <c r="Q592" s="15"/>
    </row>
    <row r="593" spans="17:17" x14ac:dyDescent="0.3">
      <c r="Q593" s="15"/>
    </row>
    <row r="594" spans="17:17" x14ac:dyDescent="0.3">
      <c r="Q594" s="15"/>
    </row>
    <row r="595" spans="17:17" x14ac:dyDescent="0.3">
      <c r="Q595" s="15"/>
    </row>
    <row r="596" spans="17:17" x14ac:dyDescent="0.3">
      <c r="Q596" s="15"/>
    </row>
    <row r="597" spans="17:17" x14ac:dyDescent="0.3">
      <c r="Q597" s="15"/>
    </row>
    <row r="598" spans="17:17" x14ac:dyDescent="0.3">
      <c r="Q598" s="15"/>
    </row>
    <row r="599" spans="17:17" x14ac:dyDescent="0.3">
      <c r="Q599" s="15"/>
    </row>
    <row r="600" spans="17:17" x14ac:dyDescent="0.3">
      <c r="Q600" s="15"/>
    </row>
    <row r="601" spans="17:17" x14ac:dyDescent="0.3">
      <c r="Q601" s="15"/>
    </row>
    <row r="602" spans="17:17" x14ac:dyDescent="0.3">
      <c r="Q602" s="15"/>
    </row>
    <row r="603" spans="17:17" x14ac:dyDescent="0.3">
      <c r="Q603" s="15"/>
    </row>
    <row r="604" spans="17:17" x14ac:dyDescent="0.3">
      <c r="Q604" s="15"/>
    </row>
    <row r="605" spans="17:17" x14ac:dyDescent="0.3">
      <c r="Q605" s="15"/>
    </row>
    <row r="606" spans="17:17" x14ac:dyDescent="0.3">
      <c r="Q606" s="15"/>
    </row>
    <row r="607" spans="17:17" x14ac:dyDescent="0.3">
      <c r="Q607" s="15"/>
    </row>
    <row r="608" spans="17:17" x14ac:dyDescent="0.3">
      <c r="Q608" s="15"/>
    </row>
    <row r="609" spans="17:17" x14ac:dyDescent="0.3">
      <c r="Q609" s="15"/>
    </row>
    <row r="610" spans="17:17" x14ac:dyDescent="0.3">
      <c r="Q610" s="15"/>
    </row>
    <row r="611" spans="17:17" x14ac:dyDescent="0.3">
      <c r="Q611" s="15"/>
    </row>
    <row r="612" spans="17:17" x14ac:dyDescent="0.3">
      <c r="Q612" s="15"/>
    </row>
    <row r="613" spans="17:17" x14ac:dyDescent="0.3">
      <c r="Q613" s="15"/>
    </row>
    <row r="614" spans="17:17" x14ac:dyDescent="0.3">
      <c r="Q614" s="15"/>
    </row>
    <row r="615" spans="17:17" x14ac:dyDescent="0.3">
      <c r="Q615" s="15"/>
    </row>
    <row r="616" spans="17:17" x14ac:dyDescent="0.3">
      <c r="Q616" s="15"/>
    </row>
    <row r="617" spans="17:17" x14ac:dyDescent="0.3">
      <c r="Q617" s="15"/>
    </row>
    <row r="618" spans="17:17" x14ac:dyDescent="0.3">
      <c r="Q618" s="15"/>
    </row>
    <row r="619" spans="17:17" x14ac:dyDescent="0.3">
      <c r="Q619" s="15"/>
    </row>
    <row r="620" spans="17:17" x14ac:dyDescent="0.3">
      <c r="Q620" s="15"/>
    </row>
    <row r="621" spans="17:17" x14ac:dyDescent="0.3">
      <c r="Q621" s="15"/>
    </row>
    <row r="622" spans="17:17" x14ac:dyDescent="0.3">
      <c r="Q622" s="15"/>
    </row>
    <row r="623" spans="17:17" x14ac:dyDescent="0.3">
      <c r="Q623" s="15"/>
    </row>
    <row r="624" spans="17:17" x14ac:dyDescent="0.3">
      <c r="Q624" s="15"/>
    </row>
    <row r="625" spans="17:17" x14ac:dyDescent="0.3">
      <c r="Q625" s="15"/>
    </row>
    <row r="626" spans="17:17" x14ac:dyDescent="0.3">
      <c r="Q626" s="15"/>
    </row>
    <row r="627" spans="17:17" x14ac:dyDescent="0.3">
      <c r="Q627" s="15"/>
    </row>
    <row r="628" spans="17:17" x14ac:dyDescent="0.3">
      <c r="Q628" s="15"/>
    </row>
    <row r="629" spans="17:17" x14ac:dyDescent="0.3">
      <c r="Q629" s="15"/>
    </row>
    <row r="630" spans="17:17" x14ac:dyDescent="0.3">
      <c r="Q630" s="15"/>
    </row>
    <row r="631" spans="17:17" x14ac:dyDescent="0.3">
      <c r="Q631" s="15"/>
    </row>
    <row r="632" spans="17:17" x14ac:dyDescent="0.3">
      <c r="Q632" s="15"/>
    </row>
    <row r="633" spans="17:17" x14ac:dyDescent="0.3">
      <c r="Q633" s="15"/>
    </row>
    <row r="634" spans="17:17" x14ac:dyDescent="0.3">
      <c r="Q634" s="15"/>
    </row>
    <row r="635" spans="17:17" x14ac:dyDescent="0.3">
      <c r="Q635" s="15"/>
    </row>
    <row r="636" spans="17:17" x14ac:dyDescent="0.3">
      <c r="Q636" s="15"/>
    </row>
    <row r="637" spans="17:17" x14ac:dyDescent="0.3">
      <c r="Q637" s="15"/>
    </row>
    <row r="638" spans="17:17" x14ac:dyDescent="0.3">
      <c r="Q638" s="15"/>
    </row>
    <row r="639" spans="17:17" x14ac:dyDescent="0.3">
      <c r="Q639" s="15"/>
    </row>
    <row r="640" spans="17:17" x14ac:dyDescent="0.3">
      <c r="Q640" s="15"/>
    </row>
    <row r="641" spans="17:17" x14ac:dyDescent="0.3">
      <c r="Q641" s="15"/>
    </row>
    <row r="642" spans="17:17" x14ac:dyDescent="0.3">
      <c r="Q642" s="15"/>
    </row>
    <row r="643" spans="17:17" x14ac:dyDescent="0.3">
      <c r="Q643" s="15"/>
    </row>
    <row r="644" spans="17:17" x14ac:dyDescent="0.3">
      <c r="Q644" s="15"/>
    </row>
    <row r="645" spans="17:17" x14ac:dyDescent="0.3">
      <c r="Q645" s="15"/>
    </row>
    <row r="646" spans="17:17" x14ac:dyDescent="0.3">
      <c r="Q646" s="15"/>
    </row>
    <row r="647" spans="17:17" x14ac:dyDescent="0.3">
      <c r="Q647" s="15"/>
    </row>
    <row r="648" spans="17:17" x14ac:dyDescent="0.3">
      <c r="Q648" s="15"/>
    </row>
    <row r="649" spans="17:17" x14ac:dyDescent="0.3">
      <c r="Q649" s="15"/>
    </row>
    <row r="650" spans="17:17" x14ac:dyDescent="0.3">
      <c r="Q650" s="15"/>
    </row>
    <row r="651" spans="17:17" x14ac:dyDescent="0.3">
      <c r="Q651" s="15"/>
    </row>
    <row r="652" spans="17:17" x14ac:dyDescent="0.3">
      <c r="Q652" s="15"/>
    </row>
    <row r="653" spans="17:17" x14ac:dyDescent="0.3">
      <c r="Q653" s="15"/>
    </row>
    <row r="654" spans="17:17" x14ac:dyDescent="0.3">
      <c r="Q654" s="15"/>
    </row>
    <row r="655" spans="17:17" x14ac:dyDescent="0.3">
      <c r="Q655" s="15"/>
    </row>
    <row r="656" spans="17:17" x14ac:dyDescent="0.3">
      <c r="Q656" s="15"/>
    </row>
    <row r="657" spans="17:17" x14ac:dyDescent="0.3">
      <c r="Q657" s="15"/>
    </row>
    <row r="658" spans="17:17" x14ac:dyDescent="0.3">
      <c r="Q658" s="15"/>
    </row>
    <row r="659" spans="17:17" x14ac:dyDescent="0.3">
      <c r="Q659" s="15"/>
    </row>
    <row r="660" spans="17:17" x14ac:dyDescent="0.3">
      <c r="Q660" s="15"/>
    </row>
    <row r="661" spans="17:17" x14ac:dyDescent="0.3">
      <c r="Q661" s="15"/>
    </row>
    <row r="662" spans="17:17" x14ac:dyDescent="0.3">
      <c r="Q662" s="15"/>
    </row>
    <row r="663" spans="17:17" x14ac:dyDescent="0.3">
      <c r="Q663" s="15"/>
    </row>
    <row r="664" spans="17:17" x14ac:dyDescent="0.3">
      <c r="Q664" s="15"/>
    </row>
    <row r="665" spans="17:17" x14ac:dyDescent="0.3">
      <c r="Q665" s="15"/>
    </row>
    <row r="666" spans="17:17" x14ac:dyDescent="0.3">
      <c r="Q666" s="15"/>
    </row>
    <row r="667" spans="17:17" x14ac:dyDescent="0.3">
      <c r="Q667" s="15"/>
    </row>
    <row r="668" spans="17:17" x14ac:dyDescent="0.3">
      <c r="Q668" s="15"/>
    </row>
    <row r="669" spans="17:17" x14ac:dyDescent="0.3">
      <c r="Q669" s="15"/>
    </row>
    <row r="670" spans="17:17" x14ac:dyDescent="0.3">
      <c r="Q670" s="15"/>
    </row>
    <row r="671" spans="17:17" x14ac:dyDescent="0.3">
      <c r="Q671" s="15"/>
    </row>
    <row r="672" spans="17:17" x14ac:dyDescent="0.3">
      <c r="Q672" s="15"/>
    </row>
    <row r="673" spans="17:17" x14ac:dyDescent="0.3">
      <c r="Q673" s="15"/>
    </row>
    <row r="674" spans="17:17" x14ac:dyDescent="0.3">
      <c r="Q674" s="15"/>
    </row>
    <row r="675" spans="17:17" x14ac:dyDescent="0.3">
      <c r="Q675" s="15"/>
    </row>
    <row r="676" spans="17:17" x14ac:dyDescent="0.3">
      <c r="Q676" s="15"/>
    </row>
    <row r="677" spans="17:17" x14ac:dyDescent="0.3">
      <c r="Q677" s="15"/>
    </row>
    <row r="678" spans="17:17" x14ac:dyDescent="0.3">
      <c r="Q678" s="15"/>
    </row>
    <row r="679" spans="17:17" x14ac:dyDescent="0.3">
      <c r="Q679" s="15"/>
    </row>
    <row r="680" spans="17:17" x14ac:dyDescent="0.3">
      <c r="Q680" s="15"/>
    </row>
    <row r="681" spans="17:17" x14ac:dyDescent="0.3">
      <c r="Q681" s="15"/>
    </row>
    <row r="682" spans="17:17" x14ac:dyDescent="0.3">
      <c r="Q682" s="15"/>
    </row>
    <row r="683" spans="17:17" x14ac:dyDescent="0.3">
      <c r="Q683" s="15"/>
    </row>
    <row r="684" spans="17:17" x14ac:dyDescent="0.3">
      <c r="Q684" s="15"/>
    </row>
    <row r="685" spans="17:17" x14ac:dyDescent="0.3">
      <c r="Q685" s="15"/>
    </row>
    <row r="686" spans="17:17" x14ac:dyDescent="0.3">
      <c r="Q686" s="15"/>
    </row>
    <row r="687" spans="17:17" x14ac:dyDescent="0.3">
      <c r="Q687" s="15"/>
    </row>
    <row r="688" spans="17:17" x14ac:dyDescent="0.3">
      <c r="Q688" s="15"/>
    </row>
    <row r="689" spans="17:17" x14ac:dyDescent="0.3">
      <c r="Q689" s="15"/>
    </row>
    <row r="690" spans="17:17" x14ac:dyDescent="0.3">
      <c r="Q690" s="15"/>
    </row>
    <row r="691" spans="17:17" x14ac:dyDescent="0.3">
      <c r="Q691" s="15"/>
    </row>
    <row r="692" spans="17:17" x14ac:dyDescent="0.3">
      <c r="Q692" s="15"/>
    </row>
    <row r="693" spans="17:17" x14ac:dyDescent="0.3">
      <c r="Q693" s="15"/>
    </row>
    <row r="694" spans="17:17" x14ac:dyDescent="0.3">
      <c r="Q694" s="15"/>
    </row>
    <row r="695" spans="17:17" x14ac:dyDescent="0.3">
      <c r="Q695" s="15"/>
    </row>
    <row r="696" spans="17:17" x14ac:dyDescent="0.3">
      <c r="Q696" s="15"/>
    </row>
    <row r="697" spans="17:17" x14ac:dyDescent="0.3">
      <c r="Q697" s="15"/>
    </row>
    <row r="698" spans="17:17" x14ac:dyDescent="0.3">
      <c r="Q698" s="15"/>
    </row>
    <row r="699" spans="17:17" x14ac:dyDescent="0.3">
      <c r="Q699" s="15"/>
    </row>
    <row r="700" spans="17:17" x14ac:dyDescent="0.3">
      <c r="Q700" s="15"/>
    </row>
    <row r="701" spans="17:17" x14ac:dyDescent="0.3">
      <c r="Q701" s="15"/>
    </row>
    <row r="702" spans="17:17" x14ac:dyDescent="0.3">
      <c r="Q702" s="15"/>
    </row>
    <row r="703" spans="17:17" x14ac:dyDescent="0.3">
      <c r="Q703" s="15"/>
    </row>
    <row r="704" spans="17:17" x14ac:dyDescent="0.3">
      <c r="Q704" s="15"/>
    </row>
    <row r="705" spans="17:17" x14ac:dyDescent="0.3">
      <c r="Q705" s="15"/>
    </row>
    <row r="706" spans="17:17" x14ac:dyDescent="0.3">
      <c r="Q706" s="15"/>
    </row>
    <row r="707" spans="17:17" x14ac:dyDescent="0.3">
      <c r="Q707" s="15"/>
    </row>
    <row r="708" spans="17:17" x14ac:dyDescent="0.3">
      <c r="Q708" s="15"/>
    </row>
    <row r="709" spans="17:17" x14ac:dyDescent="0.3">
      <c r="Q709" s="15"/>
    </row>
    <row r="710" spans="17:17" x14ac:dyDescent="0.3">
      <c r="Q710" s="15"/>
    </row>
    <row r="711" spans="17:17" x14ac:dyDescent="0.3">
      <c r="Q711" s="15"/>
    </row>
    <row r="712" spans="17:17" x14ac:dyDescent="0.3">
      <c r="Q712" s="15"/>
    </row>
    <row r="713" spans="17:17" x14ac:dyDescent="0.3">
      <c r="Q713" s="15"/>
    </row>
    <row r="714" spans="17:17" x14ac:dyDescent="0.3">
      <c r="Q714" s="15"/>
    </row>
    <row r="715" spans="17:17" x14ac:dyDescent="0.3">
      <c r="Q715" s="15"/>
    </row>
    <row r="716" spans="17:17" x14ac:dyDescent="0.3">
      <c r="Q716" s="15"/>
    </row>
    <row r="717" spans="17:17" x14ac:dyDescent="0.3">
      <c r="Q717" s="15"/>
    </row>
    <row r="718" spans="17:17" x14ac:dyDescent="0.3">
      <c r="Q718" s="15"/>
    </row>
    <row r="719" spans="17:17" x14ac:dyDescent="0.3">
      <c r="Q719" s="15"/>
    </row>
    <row r="720" spans="17:17" x14ac:dyDescent="0.3">
      <c r="Q720" s="15"/>
    </row>
    <row r="721" spans="17:17" x14ac:dyDescent="0.3">
      <c r="Q721" s="15"/>
    </row>
    <row r="722" spans="17:17" x14ac:dyDescent="0.3">
      <c r="Q722" s="15"/>
    </row>
    <row r="723" spans="17:17" x14ac:dyDescent="0.3">
      <c r="Q723" s="15"/>
    </row>
    <row r="724" spans="17:17" x14ac:dyDescent="0.3">
      <c r="Q724" s="15"/>
    </row>
    <row r="725" spans="17:17" x14ac:dyDescent="0.3">
      <c r="Q725" s="15"/>
    </row>
    <row r="726" spans="17:17" x14ac:dyDescent="0.3">
      <c r="Q726" s="15"/>
    </row>
    <row r="727" spans="17:17" x14ac:dyDescent="0.3">
      <c r="Q727" s="15"/>
    </row>
    <row r="728" spans="17:17" x14ac:dyDescent="0.3">
      <c r="Q728" s="15"/>
    </row>
    <row r="729" spans="17:17" x14ac:dyDescent="0.3">
      <c r="Q729" s="15"/>
    </row>
    <row r="730" spans="17:17" x14ac:dyDescent="0.3">
      <c r="Q730" s="15"/>
    </row>
    <row r="731" spans="17:17" x14ac:dyDescent="0.3">
      <c r="Q731" s="15"/>
    </row>
    <row r="732" spans="17:17" x14ac:dyDescent="0.3">
      <c r="Q732" s="15"/>
    </row>
    <row r="733" spans="17:17" x14ac:dyDescent="0.3">
      <c r="Q733" s="15"/>
    </row>
    <row r="734" spans="17:17" x14ac:dyDescent="0.3">
      <c r="Q734" s="15"/>
    </row>
    <row r="735" spans="17:17" x14ac:dyDescent="0.3">
      <c r="Q735" s="15"/>
    </row>
    <row r="736" spans="17:17" x14ac:dyDescent="0.3">
      <c r="Q736" s="15"/>
    </row>
    <row r="737" spans="17:17" x14ac:dyDescent="0.3">
      <c r="Q737" s="15"/>
    </row>
    <row r="738" spans="17:17" x14ac:dyDescent="0.3">
      <c r="Q738" s="15"/>
    </row>
    <row r="739" spans="17:17" x14ac:dyDescent="0.3">
      <c r="Q739" s="15"/>
    </row>
    <row r="740" spans="17:17" x14ac:dyDescent="0.3">
      <c r="Q740" s="15"/>
    </row>
    <row r="741" spans="17:17" x14ac:dyDescent="0.3">
      <c r="Q741" s="15"/>
    </row>
    <row r="742" spans="17:17" x14ac:dyDescent="0.3">
      <c r="Q742" s="15"/>
    </row>
    <row r="743" spans="17:17" x14ac:dyDescent="0.3">
      <c r="Q743" s="15"/>
    </row>
    <row r="744" spans="17:17" x14ac:dyDescent="0.3">
      <c r="Q744" s="15"/>
    </row>
    <row r="745" spans="17:17" x14ac:dyDescent="0.3">
      <c r="Q745" s="15"/>
    </row>
    <row r="746" spans="17:17" x14ac:dyDescent="0.3">
      <c r="Q746" s="15"/>
    </row>
    <row r="747" spans="17:17" x14ac:dyDescent="0.3">
      <c r="Q747" s="15"/>
    </row>
    <row r="748" spans="17:17" x14ac:dyDescent="0.3">
      <c r="Q748" s="15"/>
    </row>
    <row r="749" spans="17:17" x14ac:dyDescent="0.3">
      <c r="Q749" s="15"/>
    </row>
    <row r="750" spans="17:17" x14ac:dyDescent="0.3">
      <c r="Q750" s="15"/>
    </row>
    <row r="751" spans="17:17" x14ac:dyDescent="0.3">
      <c r="Q751" s="15"/>
    </row>
    <row r="752" spans="17:17" x14ac:dyDescent="0.3">
      <c r="Q752" s="15"/>
    </row>
    <row r="753" spans="17:17" x14ac:dyDescent="0.3">
      <c r="Q753" s="15"/>
    </row>
    <row r="754" spans="17:17" x14ac:dyDescent="0.3">
      <c r="Q754" s="15"/>
    </row>
    <row r="755" spans="17:17" x14ac:dyDescent="0.3">
      <c r="Q755" s="15"/>
    </row>
    <row r="756" spans="17:17" x14ac:dyDescent="0.3">
      <c r="Q756" s="15"/>
    </row>
    <row r="757" spans="17:17" x14ac:dyDescent="0.3">
      <c r="Q757" s="15"/>
    </row>
    <row r="758" spans="17:17" x14ac:dyDescent="0.3">
      <c r="Q758" s="15"/>
    </row>
    <row r="759" spans="17:17" x14ac:dyDescent="0.3">
      <c r="Q759" s="15"/>
    </row>
    <row r="760" spans="17:17" x14ac:dyDescent="0.3">
      <c r="Q760" s="15"/>
    </row>
    <row r="761" spans="17:17" x14ac:dyDescent="0.3">
      <c r="Q761" s="15"/>
    </row>
    <row r="762" spans="17:17" x14ac:dyDescent="0.3">
      <c r="Q762" s="15"/>
    </row>
    <row r="763" spans="17:17" x14ac:dyDescent="0.3">
      <c r="Q763" s="15"/>
    </row>
    <row r="764" spans="17:17" x14ac:dyDescent="0.3">
      <c r="Q764" s="15"/>
    </row>
    <row r="765" spans="17:17" x14ac:dyDescent="0.3">
      <c r="Q765" s="15"/>
    </row>
    <row r="766" spans="17:17" x14ac:dyDescent="0.3">
      <c r="Q766" s="15"/>
    </row>
    <row r="767" spans="17:17" x14ac:dyDescent="0.3">
      <c r="Q767" s="15"/>
    </row>
    <row r="768" spans="17:17" x14ac:dyDescent="0.3">
      <c r="Q768" s="15"/>
    </row>
    <row r="769" spans="17:17" x14ac:dyDescent="0.3">
      <c r="Q769" s="15"/>
    </row>
    <row r="770" spans="17:17" x14ac:dyDescent="0.3">
      <c r="Q770" s="15"/>
    </row>
    <row r="771" spans="17:17" x14ac:dyDescent="0.3">
      <c r="Q771" s="15"/>
    </row>
    <row r="772" spans="17:17" x14ac:dyDescent="0.3">
      <c r="Q772" s="15"/>
    </row>
    <row r="773" spans="17:17" x14ac:dyDescent="0.3">
      <c r="Q773" s="15"/>
    </row>
    <row r="774" spans="17:17" x14ac:dyDescent="0.3">
      <c r="Q774" s="15"/>
    </row>
    <row r="775" spans="17:17" x14ac:dyDescent="0.3">
      <c r="Q775" s="15"/>
    </row>
    <row r="776" spans="17:17" x14ac:dyDescent="0.3">
      <c r="Q776" s="15"/>
    </row>
    <row r="777" spans="17:17" x14ac:dyDescent="0.3">
      <c r="Q777" s="15"/>
    </row>
    <row r="778" spans="17:17" x14ac:dyDescent="0.3">
      <c r="Q778" s="15"/>
    </row>
    <row r="779" spans="17:17" x14ac:dyDescent="0.3">
      <c r="Q779" s="15"/>
    </row>
    <row r="780" spans="17:17" x14ac:dyDescent="0.3">
      <c r="Q780" s="15"/>
    </row>
    <row r="781" spans="17:17" x14ac:dyDescent="0.3">
      <c r="Q781" s="15"/>
    </row>
    <row r="782" spans="17:17" x14ac:dyDescent="0.3">
      <c r="Q782" s="15"/>
    </row>
    <row r="783" spans="17:17" x14ac:dyDescent="0.3">
      <c r="Q783" s="15"/>
    </row>
    <row r="784" spans="17:17" x14ac:dyDescent="0.3">
      <c r="Q784" s="15"/>
    </row>
    <row r="785" spans="17:17" x14ac:dyDescent="0.3">
      <c r="Q785" s="15"/>
    </row>
    <row r="786" spans="17:17" x14ac:dyDescent="0.3">
      <c r="Q786" s="15"/>
    </row>
    <row r="787" spans="17:17" x14ac:dyDescent="0.3">
      <c r="Q787" s="15"/>
    </row>
    <row r="788" spans="17:17" x14ac:dyDescent="0.3">
      <c r="Q788" s="15"/>
    </row>
    <row r="789" spans="17:17" x14ac:dyDescent="0.3">
      <c r="Q789" s="15"/>
    </row>
    <row r="790" spans="17:17" x14ac:dyDescent="0.3">
      <c r="Q790" s="15"/>
    </row>
    <row r="791" spans="17:17" x14ac:dyDescent="0.3">
      <c r="Q791" s="15"/>
    </row>
    <row r="792" spans="17:17" x14ac:dyDescent="0.3">
      <c r="Q792" s="15"/>
    </row>
    <row r="793" spans="17:17" x14ac:dyDescent="0.3">
      <c r="Q793" s="15"/>
    </row>
    <row r="794" spans="17:17" x14ac:dyDescent="0.3">
      <c r="Q794" s="15"/>
    </row>
    <row r="795" spans="17:17" x14ac:dyDescent="0.3">
      <c r="Q795" s="15"/>
    </row>
    <row r="796" spans="17:17" x14ac:dyDescent="0.3">
      <c r="Q796" s="15"/>
    </row>
    <row r="797" spans="17:17" x14ac:dyDescent="0.3">
      <c r="Q797" s="15"/>
    </row>
    <row r="798" spans="17:17" x14ac:dyDescent="0.3">
      <c r="Q798" s="15"/>
    </row>
    <row r="799" spans="17:17" x14ac:dyDescent="0.3">
      <c r="Q799" s="15"/>
    </row>
    <row r="800" spans="17:17" x14ac:dyDescent="0.3">
      <c r="Q800" s="15"/>
    </row>
    <row r="801" spans="17:17" x14ac:dyDescent="0.3">
      <c r="Q801" s="15"/>
    </row>
    <row r="802" spans="17:17" x14ac:dyDescent="0.3">
      <c r="Q802" s="15"/>
    </row>
    <row r="803" spans="17:17" x14ac:dyDescent="0.3">
      <c r="Q803" s="15"/>
    </row>
    <row r="804" spans="17:17" x14ac:dyDescent="0.3">
      <c r="Q804" s="15"/>
    </row>
    <row r="805" spans="17:17" x14ac:dyDescent="0.3">
      <c r="Q805" s="15"/>
    </row>
    <row r="806" spans="17:17" x14ac:dyDescent="0.3">
      <c r="Q806" s="15"/>
    </row>
    <row r="807" spans="17:17" x14ac:dyDescent="0.3">
      <c r="Q807" s="15"/>
    </row>
    <row r="808" spans="17:17" x14ac:dyDescent="0.3">
      <c r="Q808" s="15"/>
    </row>
    <row r="809" spans="17:17" x14ac:dyDescent="0.3">
      <c r="Q809" s="15"/>
    </row>
    <row r="810" spans="17:17" x14ac:dyDescent="0.3">
      <c r="Q810" s="15"/>
    </row>
    <row r="811" spans="17:17" x14ac:dyDescent="0.3">
      <c r="Q811" s="15"/>
    </row>
    <row r="812" spans="17:17" x14ac:dyDescent="0.3">
      <c r="Q812" s="15"/>
    </row>
    <row r="813" spans="17:17" x14ac:dyDescent="0.3">
      <c r="Q813" s="15"/>
    </row>
    <row r="814" spans="17:17" x14ac:dyDescent="0.3">
      <c r="Q814" s="15"/>
    </row>
    <row r="815" spans="17:17" x14ac:dyDescent="0.3">
      <c r="Q815" s="15"/>
    </row>
    <row r="816" spans="17:17" x14ac:dyDescent="0.3">
      <c r="Q816" s="15"/>
    </row>
    <row r="817" spans="17:17" x14ac:dyDescent="0.3">
      <c r="Q817" s="15"/>
    </row>
    <row r="818" spans="17:17" x14ac:dyDescent="0.3">
      <c r="Q818" s="15"/>
    </row>
    <row r="819" spans="17:17" x14ac:dyDescent="0.3">
      <c r="Q819" s="15"/>
    </row>
    <row r="820" spans="17:17" x14ac:dyDescent="0.3">
      <c r="Q820" s="15"/>
    </row>
    <row r="821" spans="17:17" x14ac:dyDescent="0.3">
      <c r="Q821" s="15"/>
    </row>
    <row r="822" spans="17:17" x14ac:dyDescent="0.3">
      <c r="Q822" s="15"/>
    </row>
    <row r="823" spans="17:17" x14ac:dyDescent="0.3">
      <c r="Q823" s="15"/>
    </row>
    <row r="824" spans="17:17" x14ac:dyDescent="0.3">
      <c r="Q824" s="15"/>
    </row>
    <row r="825" spans="17:17" x14ac:dyDescent="0.3">
      <c r="Q825" s="15"/>
    </row>
    <row r="826" spans="17:17" x14ac:dyDescent="0.3">
      <c r="Q826" s="15"/>
    </row>
    <row r="827" spans="17:17" x14ac:dyDescent="0.3">
      <c r="Q827" s="15"/>
    </row>
    <row r="828" spans="17:17" x14ac:dyDescent="0.3">
      <c r="Q828" s="15"/>
    </row>
    <row r="829" spans="17:17" x14ac:dyDescent="0.3">
      <c r="Q829" s="15"/>
    </row>
    <row r="830" spans="17:17" x14ac:dyDescent="0.3">
      <c r="Q830" s="15"/>
    </row>
    <row r="831" spans="17:17" x14ac:dyDescent="0.3">
      <c r="Q831" s="15"/>
    </row>
    <row r="832" spans="17:17" x14ac:dyDescent="0.3">
      <c r="Q832" s="15"/>
    </row>
    <row r="833" spans="17:17" x14ac:dyDescent="0.3">
      <c r="Q833" s="15"/>
    </row>
    <row r="834" spans="17:17" x14ac:dyDescent="0.3">
      <c r="Q834" s="15"/>
    </row>
    <row r="835" spans="17:17" x14ac:dyDescent="0.3">
      <c r="Q835" s="15"/>
    </row>
    <row r="836" spans="17:17" x14ac:dyDescent="0.3">
      <c r="Q836" s="15"/>
    </row>
    <row r="837" spans="17:17" x14ac:dyDescent="0.3">
      <c r="Q837" s="15"/>
    </row>
    <row r="838" spans="17:17" x14ac:dyDescent="0.3">
      <c r="Q838" s="15"/>
    </row>
    <row r="839" spans="17:17" x14ac:dyDescent="0.3">
      <c r="Q839" s="15"/>
    </row>
    <row r="840" spans="17:17" x14ac:dyDescent="0.3">
      <c r="Q840" s="15"/>
    </row>
    <row r="841" spans="17:17" x14ac:dyDescent="0.3">
      <c r="Q841" s="15"/>
    </row>
    <row r="842" spans="17:17" x14ac:dyDescent="0.3">
      <c r="Q842" s="15"/>
    </row>
    <row r="843" spans="17:17" x14ac:dyDescent="0.3">
      <c r="Q843" s="15"/>
    </row>
    <row r="844" spans="17:17" x14ac:dyDescent="0.3">
      <c r="Q844" s="15"/>
    </row>
    <row r="845" spans="17:17" x14ac:dyDescent="0.3">
      <c r="Q845" s="15"/>
    </row>
    <row r="846" spans="17:17" x14ac:dyDescent="0.3">
      <c r="Q846" s="15"/>
    </row>
    <row r="847" spans="17:17" x14ac:dyDescent="0.3">
      <c r="Q847" s="15"/>
    </row>
    <row r="848" spans="17:17" x14ac:dyDescent="0.3">
      <c r="Q848" s="15"/>
    </row>
    <row r="849" spans="17:17" x14ac:dyDescent="0.3">
      <c r="Q849" s="15"/>
    </row>
    <row r="850" spans="17:17" x14ac:dyDescent="0.3">
      <c r="Q850" s="15"/>
    </row>
    <row r="851" spans="17:17" x14ac:dyDescent="0.3">
      <c r="Q851" s="15"/>
    </row>
    <row r="852" spans="17:17" x14ac:dyDescent="0.3">
      <c r="Q852" s="15"/>
    </row>
    <row r="853" spans="17:17" x14ac:dyDescent="0.3">
      <c r="Q853" s="15"/>
    </row>
    <row r="854" spans="17:17" x14ac:dyDescent="0.3">
      <c r="Q854" s="15"/>
    </row>
    <row r="855" spans="17:17" x14ac:dyDescent="0.3">
      <c r="Q855" s="15"/>
    </row>
    <row r="856" spans="17:17" x14ac:dyDescent="0.3">
      <c r="Q856" s="15"/>
    </row>
    <row r="857" spans="17:17" x14ac:dyDescent="0.3">
      <c r="Q857" s="15"/>
    </row>
    <row r="858" spans="17:17" x14ac:dyDescent="0.3">
      <c r="Q858" s="15"/>
    </row>
    <row r="859" spans="17:17" x14ac:dyDescent="0.3">
      <c r="Q859" s="15"/>
    </row>
    <row r="860" spans="17:17" x14ac:dyDescent="0.3">
      <c r="Q860" s="15"/>
    </row>
    <row r="861" spans="17:17" x14ac:dyDescent="0.3">
      <c r="Q861" s="15"/>
    </row>
    <row r="862" spans="17:17" x14ac:dyDescent="0.3">
      <c r="Q862" s="15"/>
    </row>
    <row r="863" spans="17:17" x14ac:dyDescent="0.3">
      <c r="Q863" s="15"/>
    </row>
    <row r="864" spans="17:17" x14ac:dyDescent="0.3">
      <c r="Q864" s="15"/>
    </row>
    <row r="865" spans="17:17" x14ac:dyDescent="0.3">
      <c r="Q865" s="15"/>
    </row>
    <row r="866" spans="17:17" x14ac:dyDescent="0.3">
      <c r="Q866" s="15"/>
    </row>
    <row r="867" spans="17:17" x14ac:dyDescent="0.3">
      <c r="Q867" s="15"/>
    </row>
    <row r="868" spans="17:17" x14ac:dyDescent="0.3">
      <c r="Q868" s="15"/>
    </row>
    <row r="869" spans="17:17" x14ac:dyDescent="0.3">
      <c r="Q869" s="15"/>
    </row>
    <row r="870" spans="17:17" x14ac:dyDescent="0.3">
      <c r="Q870" s="15"/>
    </row>
    <row r="871" spans="17:17" x14ac:dyDescent="0.3">
      <c r="Q871" s="15"/>
    </row>
    <row r="872" spans="17:17" x14ac:dyDescent="0.3">
      <c r="Q872" s="15"/>
    </row>
    <row r="873" spans="17:17" x14ac:dyDescent="0.3">
      <c r="Q873" s="15"/>
    </row>
    <row r="874" spans="17:17" x14ac:dyDescent="0.3">
      <c r="Q874" s="15"/>
    </row>
    <row r="875" spans="17:17" x14ac:dyDescent="0.3">
      <c r="Q875" s="15"/>
    </row>
    <row r="876" spans="17:17" x14ac:dyDescent="0.3">
      <c r="Q876" s="15"/>
    </row>
    <row r="877" spans="17:17" x14ac:dyDescent="0.3">
      <c r="Q877" s="15"/>
    </row>
    <row r="878" spans="17:17" x14ac:dyDescent="0.3">
      <c r="Q878" s="15"/>
    </row>
    <row r="879" spans="17:17" x14ac:dyDescent="0.3">
      <c r="Q879" s="15"/>
    </row>
    <row r="880" spans="17:17" x14ac:dyDescent="0.3">
      <c r="Q880" s="15"/>
    </row>
    <row r="881" spans="17:17" x14ac:dyDescent="0.3">
      <c r="Q881" s="15"/>
    </row>
    <row r="882" spans="17:17" x14ac:dyDescent="0.3">
      <c r="Q882" s="15"/>
    </row>
    <row r="883" spans="17:17" x14ac:dyDescent="0.3">
      <c r="Q883" s="15"/>
    </row>
    <row r="884" spans="17:17" x14ac:dyDescent="0.3">
      <c r="Q884" s="15"/>
    </row>
    <row r="885" spans="17:17" x14ac:dyDescent="0.3">
      <c r="Q885" s="15"/>
    </row>
    <row r="886" spans="17:17" x14ac:dyDescent="0.3">
      <c r="Q886" s="15"/>
    </row>
    <row r="887" spans="17:17" x14ac:dyDescent="0.3">
      <c r="Q887" s="15"/>
    </row>
    <row r="888" spans="17:17" x14ac:dyDescent="0.3">
      <c r="Q888" s="15"/>
    </row>
    <row r="889" spans="17:17" x14ac:dyDescent="0.3">
      <c r="Q889" s="15"/>
    </row>
    <row r="890" spans="17:17" x14ac:dyDescent="0.3">
      <c r="Q890" s="15"/>
    </row>
    <row r="891" spans="17:17" x14ac:dyDescent="0.3">
      <c r="Q891" s="15"/>
    </row>
    <row r="892" spans="17:17" x14ac:dyDescent="0.3">
      <c r="Q892" s="15"/>
    </row>
    <row r="893" spans="17:17" x14ac:dyDescent="0.3">
      <c r="Q893" s="15"/>
    </row>
    <row r="894" spans="17:17" x14ac:dyDescent="0.3">
      <c r="Q894" s="15"/>
    </row>
    <row r="895" spans="17:17" x14ac:dyDescent="0.3">
      <c r="Q895" s="15"/>
    </row>
    <row r="896" spans="17:17" x14ac:dyDescent="0.3">
      <c r="Q896" s="15"/>
    </row>
    <row r="897" spans="17:17" x14ac:dyDescent="0.3">
      <c r="Q897" s="15"/>
    </row>
    <row r="898" spans="17:17" x14ac:dyDescent="0.3">
      <c r="Q898" s="15"/>
    </row>
    <row r="899" spans="17:17" x14ac:dyDescent="0.3">
      <c r="Q899" s="15"/>
    </row>
    <row r="900" spans="17:17" x14ac:dyDescent="0.3">
      <c r="Q900" s="15"/>
    </row>
    <row r="901" spans="17:17" x14ac:dyDescent="0.3">
      <c r="Q901" s="15"/>
    </row>
    <row r="902" spans="17:17" x14ac:dyDescent="0.3">
      <c r="Q902" s="15"/>
    </row>
    <row r="903" spans="17:17" x14ac:dyDescent="0.3">
      <c r="Q903" s="15"/>
    </row>
    <row r="904" spans="17:17" x14ac:dyDescent="0.3">
      <c r="Q904" s="15"/>
    </row>
    <row r="905" spans="17:17" x14ac:dyDescent="0.3">
      <c r="Q905" s="15"/>
    </row>
    <row r="906" spans="17:17" x14ac:dyDescent="0.3">
      <c r="Q906" s="15"/>
    </row>
    <row r="907" spans="17:17" x14ac:dyDescent="0.3">
      <c r="Q907" s="15"/>
    </row>
    <row r="908" spans="17:17" x14ac:dyDescent="0.3">
      <c r="Q908" s="15"/>
    </row>
    <row r="909" spans="17:17" x14ac:dyDescent="0.3">
      <c r="Q909" s="15"/>
    </row>
    <row r="910" spans="17:17" x14ac:dyDescent="0.3">
      <c r="Q910" s="15"/>
    </row>
    <row r="911" spans="17:17" x14ac:dyDescent="0.3">
      <c r="Q911" s="15"/>
    </row>
    <row r="912" spans="17:17" x14ac:dyDescent="0.3">
      <c r="Q912" s="15"/>
    </row>
    <row r="913" spans="17:17" x14ac:dyDescent="0.3">
      <c r="Q913" s="15"/>
    </row>
    <row r="914" spans="17:17" x14ac:dyDescent="0.3">
      <c r="Q914" s="15"/>
    </row>
    <row r="915" spans="17:17" x14ac:dyDescent="0.3">
      <c r="Q915" s="15"/>
    </row>
    <row r="916" spans="17:17" x14ac:dyDescent="0.3">
      <c r="Q916" s="15"/>
    </row>
    <row r="917" spans="17:17" x14ac:dyDescent="0.3">
      <c r="Q917" s="15"/>
    </row>
    <row r="918" spans="17:17" x14ac:dyDescent="0.3">
      <c r="Q918" s="15"/>
    </row>
    <row r="919" spans="17:17" x14ac:dyDescent="0.3">
      <c r="Q919" s="15"/>
    </row>
    <row r="920" spans="17:17" x14ac:dyDescent="0.3">
      <c r="Q920" s="15"/>
    </row>
    <row r="921" spans="17:17" x14ac:dyDescent="0.3">
      <c r="Q921" s="15"/>
    </row>
    <row r="922" spans="17:17" x14ac:dyDescent="0.3">
      <c r="Q922" s="15"/>
    </row>
    <row r="923" spans="17:17" x14ac:dyDescent="0.3">
      <c r="Q923" s="15"/>
    </row>
    <row r="924" spans="17:17" x14ac:dyDescent="0.3">
      <c r="Q924" s="15"/>
    </row>
    <row r="925" spans="17:17" x14ac:dyDescent="0.3">
      <c r="Q925" s="29"/>
    </row>
  </sheetData>
  <autoFilter ref="D1:H20" xr:uid="{6B15C0E3-9275-4707-85F3-4E5C4688E2CE}">
    <filterColumn colId="0" showButton="0"/>
    <filterColumn colId="3">
      <top10 val="10" filterVal="2318.7779999999998"/>
    </filterColumn>
  </autoFilter>
  <sortState xmlns:xlrd2="http://schemas.microsoft.com/office/spreadsheetml/2017/richdata2" ref="F2:H20">
    <sortCondition descending="1" ref="G2:G20"/>
  </sortState>
  <mergeCells count="4">
    <mergeCell ref="L1:M1"/>
    <mergeCell ref="G23:K23"/>
    <mergeCell ref="G24:K24"/>
    <mergeCell ref="D1:E1"/>
  </mergeCells>
  <conditionalFormatting sqref="N2:N4">
    <cfRule type="expression" dxfId="21" priority="1">
      <formula>$Q2&lt;55</formula>
    </cfRule>
  </conditionalFormatting>
  <conditionalFormatting sqref="O1:Q1 P2:Q4">
    <cfRule type="expression" dxfId="20" priority="9">
      <formula>"$q4&lt;55"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B8BC8-4D18-41A1-8E40-56E74F1BEFD3}">
  <sheetPr>
    <tabColor theme="4" tint="-0.249977111117893"/>
  </sheetPr>
  <dimension ref="A1:E61"/>
  <sheetViews>
    <sheetView workbookViewId="0">
      <selection activeCell="I19" sqref="I19"/>
    </sheetView>
  </sheetViews>
  <sheetFormatPr defaultRowHeight="14.4" x14ac:dyDescent="0.3"/>
  <cols>
    <col min="1" max="1" width="10.33203125" style="3" bestFit="1" customWidth="1"/>
    <col min="2" max="2" width="12.109375" customWidth="1"/>
    <col min="3" max="3" width="20.88671875" customWidth="1"/>
    <col min="4" max="4" width="19.109375" customWidth="1"/>
    <col min="5" max="5" width="12.109375" customWidth="1"/>
  </cols>
  <sheetData>
    <row r="1" spans="1:5" x14ac:dyDescent="0.3">
      <c r="A1" s="53" t="s">
        <v>507</v>
      </c>
      <c r="B1" s="9" t="s">
        <v>559</v>
      </c>
      <c r="C1" s="9" t="s">
        <v>565</v>
      </c>
      <c r="D1" s="9" t="s">
        <v>566</v>
      </c>
      <c r="E1" s="9" t="s">
        <v>567</v>
      </c>
    </row>
    <row r="2" spans="1:5" x14ac:dyDescent="0.3">
      <c r="A2" s="3" cm="1">
        <f t="array" ref="A2:A61">_xlfn._xlws.SORT(_xlfn.UNIQUE([0]!OrderDate))</f>
        <v>45839</v>
      </c>
      <c r="B2">
        <f>SUMIFS([0]!LineNetAmount,OrderDate,'DAY 5 solution'!$A2)</f>
        <v>198.822</v>
      </c>
      <c r="C2">
        <f>IFERROR(AVERAGEIFS([0]!Rating,Feedback!Date,'DAY 5 solution'!$A2),0)</f>
        <v>3.8571428571428572</v>
      </c>
      <c r="E2" cm="1">
        <f t="array" ref="E2">SUMPRODUCT(([0]!Date='DAY 5 solution'!$A2)*WasteLog!Qty*WasteLog!$E$2:$E$121)</f>
        <v>0</v>
      </c>
    </row>
    <row r="3" spans="1:5" x14ac:dyDescent="0.3">
      <c r="A3" s="3">
        <v>45840</v>
      </c>
      <c r="B3">
        <f>SUMIFS([0]!LineNetAmount,OrderDate,'DAY 5 solution'!$A3)</f>
        <v>3202.8500000000008</v>
      </c>
      <c r="C3">
        <f>IFERROR(AVERAGEIFS([0]!Rating,Feedback!Date,'DAY 5 solution'!$A3),0)</f>
        <v>3.6</v>
      </c>
      <c r="E3" cm="1">
        <f t="array" ref="E3">SUMPRODUCT(([0]!Date='DAY 5 solution'!$A3)*WasteLog!Qty*WasteLog!$E$2:$E$121)</f>
        <v>369.92</v>
      </c>
    </row>
    <row r="4" spans="1:5" x14ac:dyDescent="0.3">
      <c r="A4" s="3">
        <v>45841</v>
      </c>
      <c r="B4">
        <f>SUMIFS([0]!LineNetAmount,OrderDate,'DAY 5 solution'!$A4)</f>
        <v>1027.7541000000001</v>
      </c>
      <c r="C4">
        <f>IFERROR(AVERAGEIFS([0]!Rating,Feedback!Date,'DAY 5 solution'!$A4),0)</f>
        <v>4</v>
      </c>
      <c r="E4" cm="1">
        <f t="array" ref="E4">SUMPRODUCT(([0]!Date='DAY 5 solution'!$A4)*WasteLog!Qty*WasteLog!$E$2:$E$121)</f>
        <v>0</v>
      </c>
    </row>
    <row r="5" spans="1:5" x14ac:dyDescent="0.3">
      <c r="A5" s="3">
        <v>45842</v>
      </c>
      <c r="B5">
        <f>SUMIFS([0]!LineNetAmount,OrderDate,'DAY 5 solution'!$A5)</f>
        <v>1622.0684000000001</v>
      </c>
      <c r="C5">
        <f>IFERROR(AVERAGEIFS([0]!Rating,Feedback!Date,'DAY 5 solution'!$A5),0)</f>
        <v>4.5</v>
      </c>
      <c r="E5" cm="1">
        <f t="array" ref="E5">SUMPRODUCT(([0]!Date='DAY 5 solution'!$A5)*WasteLog!Qty*WasteLog!$E$2:$E$121)</f>
        <v>80.92</v>
      </c>
    </row>
    <row r="6" spans="1:5" x14ac:dyDescent="0.3">
      <c r="A6" s="3">
        <v>45843</v>
      </c>
      <c r="B6">
        <f>SUMIFS([0]!LineNetAmount,OrderDate,'DAY 5 solution'!$A6)</f>
        <v>626.24789999999996</v>
      </c>
      <c r="C6">
        <f>IFERROR(AVERAGEIFS([0]!Rating,Feedback!Date,'DAY 5 solution'!$A6),0)</f>
        <v>4</v>
      </c>
      <c r="E6" cm="1">
        <f t="array" ref="E6">SUMPRODUCT(([0]!Date='DAY 5 solution'!$A6)*WasteLog!Qty*WasteLog!$E$2:$E$121)</f>
        <v>253.64</v>
      </c>
    </row>
    <row r="7" spans="1:5" x14ac:dyDescent="0.3">
      <c r="A7" s="3">
        <v>45844</v>
      </c>
      <c r="B7">
        <f>SUMIFS([0]!LineNetAmount,OrderDate,'DAY 5 solution'!$A7)</f>
        <v>2758.1275999999998</v>
      </c>
      <c r="C7">
        <f>IFERROR(AVERAGEIFS([0]!Rating,Feedback!Date,'DAY 5 solution'!$A7),0)</f>
        <v>3.5</v>
      </c>
      <c r="E7" cm="1">
        <f t="array" ref="E7">SUMPRODUCT(([0]!Date='DAY 5 solution'!$A7)*WasteLog!Qty*WasteLog!$E$2:$E$121)</f>
        <v>543.5</v>
      </c>
    </row>
    <row r="8" spans="1:5" x14ac:dyDescent="0.3">
      <c r="A8" s="3">
        <v>45845</v>
      </c>
      <c r="B8">
        <f>SUMIFS([0]!LineNetAmount,OrderDate,'DAY 5 solution'!$A8)</f>
        <v>1619.6286</v>
      </c>
      <c r="C8">
        <f>IFERROR(AVERAGEIFS([0]!Rating,Feedback!Date,'DAY 5 solution'!$A8),0)</f>
        <v>4.75</v>
      </c>
      <c r="E8" cm="1">
        <f t="array" ref="E8">SUMPRODUCT(([0]!Date='DAY 5 solution'!$A8)*WasteLog!Qty*WasteLog!$E$2:$E$121)</f>
        <v>74.069999999999993</v>
      </c>
    </row>
    <row r="9" spans="1:5" x14ac:dyDescent="0.3">
      <c r="A9" s="3">
        <v>45846</v>
      </c>
      <c r="B9">
        <f>SUMIFS([0]!LineNetAmount,OrderDate,'DAY 5 solution'!$A9)</f>
        <v>425.19910000000004</v>
      </c>
      <c r="C9">
        <f>IFERROR(AVERAGEIFS([0]!Rating,Feedback!Date,'DAY 5 solution'!$A9),0)</f>
        <v>4</v>
      </c>
      <c r="E9" cm="1">
        <f t="array" ref="E9">SUMPRODUCT(([0]!Date='DAY 5 solution'!$A9)*WasteLog!Qty*WasteLog!$E$2:$E$121)</f>
        <v>141.28</v>
      </c>
    </row>
    <row r="10" spans="1:5" x14ac:dyDescent="0.3">
      <c r="A10" s="3">
        <v>45847</v>
      </c>
      <c r="B10">
        <f>SUMIFS([0]!LineNetAmount,OrderDate,'DAY 5 solution'!$A10)</f>
        <v>2706.5737000000004</v>
      </c>
      <c r="C10">
        <f>IFERROR(AVERAGEIFS([0]!Rating,Feedback!Date,'DAY 5 solution'!$A10),0)</f>
        <v>3.1666666666666665</v>
      </c>
      <c r="E10" cm="1">
        <f t="array" ref="E10">SUMPRODUCT(([0]!Date='DAY 5 solution'!$A10)*WasteLog!Qty*WasteLog!$E$2:$E$121)</f>
        <v>111.78</v>
      </c>
    </row>
    <row r="11" spans="1:5" x14ac:dyDescent="0.3">
      <c r="A11" s="3">
        <v>45848</v>
      </c>
      <c r="B11">
        <f>SUMIFS([0]!LineNetAmount,OrderDate,'DAY 5 solution'!$A11)</f>
        <v>3654.4445999999998</v>
      </c>
      <c r="C11">
        <f>IFERROR(AVERAGEIFS([0]!Rating,Feedback!Date,'DAY 5 solution'!$A11),0)</f>
        <v>4</v>
      </c>
      <c r="E11" cm="1">
        <f t="array" ref="E11">SUMPRODUCT(([0]!Date='DAY 5 solution'!$A11)*WasteLog!Qty*WasteLog!$E$2:$E$121)</f>
        <v>8</v>
      </c>
    </row>
    <row r="12" spans="1:5" x14ac:dyDescent="0.3">
      <c r="A12" s="3">
        <v>45849</v>
      </c>
      <c r="B12">
        <f>SUMIFS([0]!LineNetAmount,OrderDate,'DAY 5 solution'!$A12)</f>
        <v>3744.4974999999999</v>
      </c>
      <c r="C12">
        <f>IFERROR(AVERAGEIFS([0]!Rating,Feedback!Date,'DAY 5 solution'!$A12),0)</f>
        <v>3.5</v>
      </c>
      <c r="E12" cm="1">
        <f t="array" ref="E12">SUMPRODUCT(([0]!Date='DAY 5 solution'!$A12)*WasteLog!Qty*WasteLog!$E$2:$E$121)</f>
        <v>390.62</v>
      </c>
    </row>
    <row r="13" spans="1:5" x14ac:dyDescent="0.3">
      <c r="A13" s="3">
        <v>45850</v>
      </c>
      <c r="B13">
        <f>SUMIFS([0]!LineNetAmount,OrderDate,'DAY 5 solution'!$A13)</f>
        <v>3559.4395</v>
      </c>
      <c r="C13">
        <f>IFERROR(AVERAGEIFS([0]!Rating,Feedback!Date,'DAY 5 solution'!$A13),0)</f>
        <v>4</v>
      </c>
      <c r="E13" cm="1">
        <f t="array" ref="E13">SUMPRODUCT(([0]!Date='DAY 5 solution'!$A13)*WasteLog!Qty*WasteLog!$E$2:$E$121)</f>
        <v>143.24</v>
      </c>
    </row>
    <row r="14" spans="1:5" x14ac:dyDescent="0.3">
      <c r="A14" s="3">
        <v>45851</v>
      </c>
      <c r="B14">
        <f>SUMIFS([0]!LineNetAmount,OrderDate,'DAY 5 solution'!$A14)</f>
        <v>2567.5367999999999</v>
      </c>
      <c r="C14">
        <f>IFERROR(AVERAGEIFS([0]!Rating,Feedback!Date,'DAY 5 solution'!$A14),0)</f>
        <v>3.8</v>
      </c>
      <c r="E14" cm="1">
        <f t="array" ref="E14">SUMPRODUCT(([0]!Date='DAY 5 solution'!$A14)*WasteLog!Qty*WasteLog!$E$2:$E$121)</f>
        <v>0</v>
      </c>
    </row>
    <row r="15" spans="1:5" x14ac:dyDescent="0.3">
      <c r="A15" s="3">
        <v>45852</v>
      </c>
      <c r="B15">
        <f>SUMIFS([0]!LineNetAmount,OrderDate,'DAY 5 solution'!$A15)</f>
        <v>1450.0475999999999</v>
      </c>
      <c r="C15">
        <f>IFERROR(AVERAGEIFS([0]!Rating,Feedback!Date,'DAY 5 solution'!$A15),0)</f>
        <v>2.6666666666666665</v>
      </c>
      <c r="E15" cm="1">
        <f t="array" ref="E15">SUMPRODUCT(([0]!Date='DAY 5 solution'!$A15)*WasteLog!Qty*WasteLog!$E$2:$E$121)</f>
        <v>107.62</v>
      </c>
    </row>
    <row r="16" spans="1:5" x14ac:dyDescent="0.3">
      <c r="A16" s="3">
        <v>45853</v>
      </c>
      <c r="B16">
        <f>SUMIFS([0]!LineNetAmount,OrderDate,'DAY 5 solution'!$A16)</f>
        <v>1530.5968</v>
      </c>
      <c r="C16">
        <f>IFERROR(AVERAGEIFS([0]!Rating,Feedback!Date,'DAY 5 solution'!$A16),0)</f>
        <v>4</v>
      </c>
      <c r="E16" cm="1">
        <f t="array" ref="E16">SUMPRODUCT(([0]!Date='DAY 5 solution'!$A16)*WasteLog!Qty*WasteLog!$E$2:$E$121)</f>
        <v>234.11</v>
      </c>
    </row>
    <row r="17" spans="1:5" x14ac:dyDescent="0.3">
      <c r="A17" s="3">
        <v>45854</v>
      </c>
      <c r="B17">
        <f>SUMIFS([0]!LineNetAmount,OrderDate,'DAY 5 solution'!$A17)</f>
        <v>1691.1957999999997</v>
      </c>
      <c r="C17">
        <f>IFERROR(AVERAGEIFS([0]!Rating,Feedback!Date,'DAY 5 solution'!$A17),0)</f>
        <v>3</v>
      </c>
      <c r="E17" cm="1">
        <f t="array" ref="E17">SUMPRODUCT(([0]!Date='DAY 5 solution'!$A17)*WasteLog!Qty*WasteLog!$E$2:$E$121)</f>
        <v>162.9</v>
      </c>
    </row>
    <row r="18" spans="1:5" x14ac:dyDescent="0.3">
      <c r="A18" s="3">
        <v>45855</v>
      </c>
      <c r="B18">
        <f>SUMIFS([0]!LineNetAmount,OrderDate,'DAY 5 solution'!$A18)</f>
        <v>1489.3910000000001</v>
      </c>
      <c r="C18">
        <f>IFERROR(AVERAGEIFS([0]!Rating,Feedback!Date,'DAY 5 solution'!$A18),0)</f>
        <v>3.5</v>
      </c>
      <c r="E18" cm="1">
        <f t="array" ref="E18">SUMPRODUCT(([0]!Date='DAY 5 solution'!$A18)*WasteLog!Qty*WasteLog!$E$2:$E$121)</f>
        <v>18.760000000000002</v>
      </c>
    </row>
    <row r="19" spans="1:5" x14ac:dyDescent="0.3">
      <c r="A19" s="3">
        <v>45856</v>
      </c>
      <c r="B19">
        <f>SUMIFS([0]!LineNetAmount,OrderDate,'DAY 5 solution'!$A19)</f>
        <v>2741.2235000000005</v>
      </c>
      <c r="C19">
        <f>IFERROR(AVERAGEIFS([0]!Rating,Feedback!Date,'DAY 5 solution'!$A19),0)</f>
        <v>2.6666666666666665</v>
      </c>
      <c r="E19" cm="1">
        <f t="array" ref="E19">SUMPRODUCT(([0]!Date='DAY 5 solution'!$A19)*WasteLog!Qty*WasteLog!$E$2:$E$121)</f>
        <v>105.69</v>
      </c>
    </row>
    <row r="20" spans="1:5" x14ac:dyDescent="0.3">
      <c r="A20" s="3">
        <v>45857</v>
      </c>
      <c r="B20">
        <f>SUMIFS([0]!LineNetAmount,OrderDate,'DAY 5 solution'!$A20)</f>
        <v>1258.1079999999999</v>
      </c>
      <c r="C20">
        <f>IFERROR(AVERAGEIFS([0]!Rating,Feedback!Date,'DAY 5 solution'!$A20),0)</f>
        <v>4.333333333333333</v>
      </c>
      <c r="E20" cm="1">
        <f t="array" ref="E20">SUMPRODUCT(([0]!Date='DAY 5 solution'!$A20)*WasteLog!Qty*WasteLog!$E$2:$E$121)</f>
        <v>148.13999999999999</v>
      </c>
    </row>
    <row r="21" spans="1:5" x14ac:dyDescent="0.3">
      <c r="A21" s="3">
        <v>45858</v>
      </c>
      <c r="B21">
        <f>SUMIFS([0]!LineNetAmount,OrderDate,'DAY 5 solution'!$A21)</f>
        <v>2912.7894999999999</v>
      </c>
      <c r="C21">
        <f>IFERROR(AVERAGEIFS([0]!Rating,Feedback!Date,'DAY 5 solution'!$A21),0)</f>
        <v>3.3333333333333335</v>
      </c>
      <c r="E21" cm="1">
        <f t="array" ref="E21">SUMPRODUCT(([0]!Date='DAY 5 solution'!$A21)*WasteLog!Qty*WasteLog!$E$2:$E$121)</f>
        <v>14.18</v>
      </c>
    </row>
    <row r="22" spans="1:5" x14ac:dyDescent="0.3">
      <c r="A22" s="3">
        <v>45859</v>
      </c>
      <c r="B22">
        <f>SUMIFS([0]!LineNetAmount,OrderDate,'DAY 5 solution'!$A22)</f>
        <v>714.59739999999999</v>
      </c>
      <c r="C22">
        <f>IFERROR(AVERAGEIFS([0]!Rating,Feedback!Date,'DAY 5 solution'!$A22),0)</f>
        <v>4</v>
      </c>
      <c r="E22" cm="1">
        <f t="array" ref="E22">SUMPRODUCT(([0]!Date='DAY 5 solution'!$A22)*WasteLog!Qty*WasteLog!$E$2:$E$121)</f>
        <v>116.56</v>
      </c>
    </row>
    <row r="23" spans="1:5" x14ac:dyDescent="0.3">
      <c r="A23" s="3">
        <v>45860</v>
      </c>
      <c r="B23">
        <f>SUMIFS([0]!LineNetAmount,OrderDate,'DAY 5 solution'!$A23)</f>
        <v>933.67669999999998</v>
      </c>
      <c r="C23">
        <f>IFERROR(AVERAGEIFS([0]!Rating,Feedback!Date,'DAY 5 solution'!$A23),0)</f>
        <v>2</v>
      </c>
      <c r="E23" cm="1">
        <f t="array" ref="E23">SUMPRODUCT(([0]!Date='DAY 5 solution'!$A23)*WasteLog!Qty*WasteLog!$E$2:$E$121)</f>
        <v>762.78</v>
      </c>
    </row>
    <row r="24" spans="1:5" x14ac:dyDescent="0.3">
      <c r="A24" s="3">
        <v>45861</v>
      </c>
      <c r="B24">
        <f>SUMIFS([0]!LineNetAmount,OrderDate,'DAY 5 solution'!$A24)</f>
        <v>1650.5281</v>
      </c>
      <c r="C24">
        <f>IFERROR(AVERAGEIFS([0]!Rating,Feedback!Date,'DAY 5 solution'!$A24),0)</f>
        <v>2</v>
      </c>
      <c r="E24" cm="1">
        <f t="array" ref="E24">SUMPRODUCT(([0]!Date='DAY 5 solution'!$A24)*WasteLog!Qty*WasteLog!$E$2:$E$121)</f>
        <v>136.38999999999999</v>
      </c>
    </row>
    <row r="25" spans="1:5" x14ac:dyDescent="0.3">
      <c r="A25" s="3">
        <v>45862</v>
      </c>
      <c r="B25">
        <f>SUMIFS([0]!LineNetAmount,OrderDate,'DAY 5 solution'!$A25)</f>
        <v>2173.3865000000001</v>
      </c>
      <c r="C25">
        <f>IFERROR(AVERAGEIFS([0]!Rating,Feedback!Date,'DAY 5 solution'!$A25),0)</f>
        <v>4.25</v>
      </c>
      <c r="E25" cm="1">
        <f t="array" ref="E25">SUMPRODUCT(([0]!Date='DAY 5 solution'!$A25)*WasteLog!Qty*WasteLog!$E$2:$E$121)</f>
        <v>247.57000000000002</v>
      </c>
    </row>
    <row r="26" spans="1:5" x14ac:dyDescent="0.3">
      <c r="A26" s="3">
        <v>45863</v>
      </c>
      <c r="B26">
        <f>SUMIFS([0]!LineNetAmount,OrderDate,'DAY 5 solution'!$A26)</f>
        <v>811.55369999999982</v>
      </c>
      <c r="C26">
        <f>IFERROR(AVERAGEIFS([0]!Rating,Feedback!Date,'DAY 5 solution'!$A26),0)</f>
        <v>3.3333333333333335</v>
      </c>
      <c r="E26" cm="1">
        <f t="array" ref="E26">SUMPRODUCT(([0]!Date='DAY 5 solution'!$A26)*WasteLog!Qty*WasteLog!$E$2:$E$121)</f>
        <v>206.32999999999998</v>
      </c>
    </row>
    <row r="27" spans="1:5" x14ac:dyDescent="0.3">
      <c r="A27" s="3">
        <v>45864</v>
      </c>
      <c r="B27">
        <f>SUMIFS([0]!LineNetAmount,OrderDate,'DAY 5 solution'!$A27)</f>
        <v>2029.8743999999999</v>
      </c>
      <c r="C27">
        <f>IFERROR(AVERAGEIFS([0]!Rating,Feedback!Date,'DAY 5 solution'!$A27),0)</f>
        <v>3</v>
      </c>
      <c r="E27" cm="1">
        <f t="array" ref="E27">SUMPRODUCT(([0]!Date='DAY 5 solution'!$A27)*WasteLog!Qty*WasteLog!$E$2:$E$121)</f>
        <v>28.14</v>
      </c>
    </row>
    <row r="28" spans="1:5" x14ac:dyDescent="0.3">
      <c r="A28" s="3">
        <v>45865</v>
      </c>
      <c r="B28">
        <f>SUMIFS([0]!LineNetAmount,OrderDate,'DAY 5 solution'!$A28)</f>
        <v>2044.1306000000002</v>
      </c>
      <c r="C28">
        <f>IFERROR(AVERAGEIFS([0]!Rating,Feedback!Date,'DAY 5 solution'!$A28),0)</f>
        <v>3</v>
      </c>
      <c r="E28" cm="1">
        <f t="array" ref="E28">SUMPRODUCT(([0]!Date='DAY 5 solution'!$A28)*WasteLog!Qty*WasteLog!$E$2:$E$121)</f>
        <v>168.6</v>
      </c>
    </row>
    <row r="29" spans="1:5" x14ac:dyDescent="0.3">
      <c r="A29" s="3">
        <v>45866</v>
      </c>
      <c r="B29">
        <f>SUMIFS([0]!LineNetAmount,OrderDate,'DAY 5 solution'!$A29)</f>
        <v>2274.1075999999994</v>
      </c>
      <c r="C29">
        <f>IFERROR(AVERAGEIFS([0]!Rating,Feedback!Date,'DAY 5 solution'!$A29),0)</f>
        <v>4</v>
      </c>
      <c r="E29" cm="1">
        <f t="array" ref="E29">SUMPRODUCT(([0]!Date='DAY 5 solution'!$A29)*WasteLog!Qty*WasteLog!$E$2:$E$121)</f>
        <v>158.75</v>
      </c>
    </row>
    <row r="30" spans="1:5" x14ac:dyDescent="0.3">
      <c r="A30" s="3">
        <v>45867</v>
      </c>
      <c r="B30">
        <f>SUMIFS([0]!LineNetAmount,OrderDate,'DAY 5 solution'!$A30)</f>
        <v>3020.3593000000001</v>
      </c>
      <c r="C30">
        <f>IFERROR(AVERAGEIFS([0]!Rating,Feedback!Date,'DAY 5 solution'!$A30),0)</f>
        <v>3.1428571428571428</v>
      </c>
      <c r="E30" cm="1">
        <f t="array" ref="E30">SUMPRODUCT(([0]!Date='DAY 5 solution'!$A30)*WasteLog!Qty*WasteLog!$E$2:$E$121)</f>
        <v>158.62</v>
      </c>
    </row>
    <row r="31" spans="1:5" x14ac:dyDescent="0.3">
      <c r="A31" s="3">
        <v>45868</v>
      </c>
      <c r="B31">
        <f>SUMIFS([0]!LineNetAmount,OrderDate,'DAY 5 solution'!$A31)</f>
        <v>2648.0348000000004</v>
      </c>
      <c r="C31">
        <f>IFERROR(AVERAGEIFS([0]!Rating,Feedback!Date,'DAY 5 solution'!$A31),0)</f>
        <v>3.5714285714285716</v>
      </c>
      <c r="E31" cm="1">
        <f t="array" ref="E31">SUMPRODUCT(([0]!Date='DAY 5 solution'!$A31)*WasteLog!Qty*WasteLog!$E$2:$E$121)</f>
        <v>785.61999999999989</v>
      </c>
    </row>
    <row r="32" spans="1:5" x14ac:dyDescent="0.3">
      <c r="A32" s="3">
        <v>45869</v>
      </c>
      <c r="B32">
        <f>SUMIFS([0]!LineNetAmount,OrderDate,'DAY 5 solution'!$A32)</f>
        <v>4852.3995999999997</v>
      </c>
      <c r="C32">
        <f>IFERROR(AVERAGEIFS([0]!Rating,Feedback!Date,'DAY 5 solution'!$A32),0)</f>
        <v>3.125</v>
      </c>
      <c r="E32" cm="1">
        <f t="array" ref="E32">SUMPRODUCT(([0]!Date='DAY 5 solution'!$A32)*WasteLog!Qty*WasteLog!$E$2:$E$121)</f>
        <v>32</v>
      </c>
    </row>
    <row r="33" spans="1:5" x14ac:dyDescent="0.3">
      <c r="A33" s="3">
        <v>45870</v>
      </c>
      <c r="B33">
        <f>SUMIFS([0]!LineNetAmount,OrderDate,'DAY 5 solution'!$A33)</f>
        <v>1738.7399999999998</v>
      </c>
      <c r="C33">
        <f>IFERROR(AVERAGEIFS([0]!Rating,Feedback!Date,'DAY 5 solution'!$A33),0)</f>
        <v>3.8571428571428572</v>
      </c>
      <c r="E33" cm="1">
        <f t="array" ref="E33">SUMPRODUCT(([0]!Date='DAY 5 solution'!$A33)*WasteLog!Qty*WasteLog!$E$2:$E$121)</f>
        <v>132.03</v>
      </c>
    </row>
    <row r="34" spans="1:5" x14ac:dyDescent="0.3">
      <c r="A34" s="3">
        <v>45871</v>
      </c>
      <c r="B34">
        <f>SUMIFS([0]!LineNetAmount,OrderDate,'DAY 5 solution'!$A34)</f>
        <v>3170.9501999999998</v>
      </c>
      <c r="C34">
        <f>IFERROR(AVERAGEIFS([0]!Rating,Feedback!Date,'DAY 5 solution'!$A34),0)</f>
        <v>0</v>
      </c>
      <c r="E34" cm="1">
        <f t="array" ref="E34">SUMPRODUCT(([0]!Date='DAY 5 solution'!$A34)*WasteLog!Qty*WasteLog!$E$2:$E$121)</f>
        <v>116.93</v>
      </c>
    </row>
    <row r="35" spans="1:5" x14ac:dyDescent="0.3">
      <c r="A35" s="3">
        <v>45872</v>
      </c>
      <c r="B35">
        <f>SUMIFS([0]!LineNetAmount,OrderDate,'DAY 5 solution'!$A35)</f>
        <v>2245.7258999999995</v>
      </c>
      <c r="C35">
        <f>IFERROR(AVERAGEIFS([0]!Rating,Feedback!Date,'DAY 5 solution'!$A35),0)</f>
        <v>5</v>
      </c>
      <c r="E35" cm="1">
        <f t="array" ref="E35">SUMPRODUCT(([0]!Date='DAY 5 solution'!$A35)*WasteLog!Qty*WasteLog!$E$2:$E$121)</f>
        <v>74.069999999999993</v>
      </c>
    </row>
    <row r="36" spans="1:5" x14ac:dyDescent="0.3">
      <c r="A36" s="3">
        <v>45873</v>
      </c>
      <c r="B36">
        <f>SUMIFS([0]!LineNetAmount,OrderDate,'DAY 5 solution'!$A36)</f>
        <v>1903.7358999999999</v>
      </c>
      <c r="C36">
        <f>IFERROR(AVERAGEIFS([0]!Rating,Feedback!Date,'DAY 5 solution'!$A36),0)</f>
        <v>2.25</v>
      </c>
      <c r="E36" cm="1">
        <f t="array" ref="E36">SUMPRODUCT(([0]!Date='DAY 5 solution'!$A36)*WasteLog!Qty*WasteLog!$E$2:$E$121)</f>
        <v>286.32</v>
      </c>
    </row>
    <row r="37" spans="1:5" x14ac:dyDescent="0.3">
      <c r="A37" s="3">
        <v>45874</v>
      </c>
      <c r="B37">
        <f>SUMIFS([0]!LineNetAmount,OrderDate,'DAY 5 solution'!$A37)</f>
        <v>2167.9314000000004</v>
      </c>
      <c r="C37">
        <f>IFERROR(AVERAGEIFS([0]!Rating,Feedback!Date,'DAY 5 solution'!$A37),0)</f>
        <v>3.2</v>
      </c>
      <c r="E37" cm="1">
        <f t="array" ref="E37">SUMPRODUCT(([0]!Date='DAY 5 solution'!$A37)*WasteLog!Qty*WasteLog!$E$2:$E$121)</f>
        <v>0</v>
      </c>
    </row>
    <row r="38" spans="1:5" x14ac:dyDescent="0.3">
      <c r="A38" s="3">
        <v>45875</v>
      </c>
      <c r="B38">
        <f>SUMIFS([0]!LineNetAmount,OrderDate,'DAY 5 solution'!$A38)</f>
        <v>1658.0415000000003</v>
      </c>
      <c r="C38">
        <f>IFERROR(AVERAGEIFS([0]!Rating,Feedback!Date,'DAY 5 solution'!$A38),0)</f>
        <v>3.6666666666666665</v>
      </c>
      <c r="E38" cm="1">
        <f t="array" ref="E38">SUMPRODUCT(([0]!Date='DAY 5 solution'!$A38)*WasteLog!Qty*WasteLog!$E$2:$E$121)</f>
        <v>70.210000000000008</v>
      </c>
    </row>
    <row r="39" spans="1:5" x14ac:dyDescent="0.3">
      <c r="A39" s="3">
        <v>45876</v>
      </c>
      <c r="B39">
        <f>SUMIFS([0]!LineNetAmount,OrderDate,'DAY 5 solution'!$A39)</f>
        <v>1593.9491000000003</v>
      </c>
      <c r="C39">
        <f>IFERROR(AVERAGEIFS([0]!Rating,Feedback!Date,'DAY 5 solution'!$A39),0)</f>
        <v>4</v>
      </c>
      <c r="E39" cm="1">
        <f t="array" ref="E39">SUMPRODUCT(([0]!Date='DAY 5 solution'!$A39)*WasteLog!Qty*WasteLog!$E$2:$E$121)</f>
        <v>526.52</v>
      </c>
    </row>
    <row r="40" spans="1:5" x14ac:dyDescent="0.3">
      <c r="A40" s="3">
        <v>45877</v>
      </c>
      <c r="B40">
        <f>SUMIFS([0]!LineNetAmount,OrderDate,'DAY 5 solution'!$A40)</f>
        <v>1921.5368999999998</v>
      </c>
      <c r="C40">
        <f>IFERROR(AVERAGEIFS([0]!Rating,Feedback!Date,'DAY 5 solution'!$A40),0)</f>
        <v>3.3333333333333335</v>
      </c>
      <c r="E40" cm="1">
        <f t="array" ref="E40">SUMPRODUCT(([0]!Date='DAY 5 solution'!$A40)*WasteLog!Qty*WasteLog!$E$2:$E$121)</f>
        <v>80.92</v>
      </c>
    </row>
    <row r="41" spans="1:5" x14ac:dyDescent="0.3">
      <c r="A41" s="3">
        <v>45878</v>
      </c>
      <c r="B41">
        <f>SUMIFS([0]!LineNetAmount,OrderDate,'DAY 5 solution'!$A41)</f>
        <v>4129.2466000000004</v>
      </c>
      <c r="C41">
        <f>IFERROR(AVERAGEIFS([0]!Rating,Feedback!Date,'DAY 5 solution'!$A41),0)</f>
        <v>5</v>
      </c>
      <c r="E41" cm="1">
        <f t="array" ref="E41">SUMPRODUCT(([0]!Date='DAY 5 solution'!$A41)*WasteLog!Qty*WasteLog!$E$2:$E$121)</f>
        <v>398.28000000000003</v>
      </c>
    </row>
    <row r="42" spans="1:5" x14ac:dyDescent="0.3">
      <c r="A42" s="3">
        <v>45879</v>
      </c>
      <c r="B42">
        <f>SUMIFS([0]!LineNetAmount,OrderDate,'DAY 5 solution'!$A42)</f>
        <v>1401.8914</v>
      </c>
      <c r="C42">
        <f>IFERROR(AVERAGEIFS([0]!Rating,Feedback!Date,'DAY 5 solution'!$A42),0)</f>
        <v>4.5</v>
      </c>
      <c r="E42" cm="1">
        <f t="array" ref="E42">SUMPRODUCT(([0]!Date='DAY 5 solution'!$A42)*WasteLog!Qty*WasteLog!$E$2:$E$121)</f>
        <v>133.12</v>
      </c>
    </row>
    <row r="43" spans="1:5" x14ac:dyDescent="0.3">
      <c r="A43" s="3">
        <v>45880</v>
      </c>
      <c r="B43">
        <f>SUMIFS([0]!LineNetAmount,OrderDate,'DAY 5 solution'!$A43)</f>
        <v>2517.5508000000004</v>
      </c>
      <c r="C43">
        <f>IFERROR(AVERAGEIFS([0]!Rating,Feedback!Date,'DAY 5 solution'!$A43),0)</f>
        <v>3.5</v>
      </c>
      <c r="E43" cm="1">
        <f t="array" ref="E43">SUMPRODUCT(([0]!Date='DAY 5 solution'!$A43)*WasteLog!Qty*WasteLog!$E$2:$E$121)</f>
        <v>178.74</v>
      </c>
    </row>
    <row r="44" spans="1:5" x14ac:dyDescent="0.3">
      <c r="A44" s="3">
        <v>45881</v>
      </c>
      <c r="B44">
        <f>SUMIFS([0]!LineNetAmount,OrderDate,'DAY 5 solution'!$A44)</f>
        <v>2645.7173000000003</v>
      </c>
      <c r="C44">
        <f>IFERROR(AVERAGEIFS([0]!Rating,Feedback!Date,'DAY 5 solution'!$A44),0)</f>
        <v>3.6</v>
      </c>
      <c r="E44" cm="1">
        <f t="array" ref="E44">SUMPRODUCT(([0]!Date='DAY 5 solution'!$A44)*WasteLog!Qty*WasteLog!$E$2:$E$121)</f>
        <v>0</v>
      </c>
    </row>
    <row r="45" spans="1:5" x14ac:dyDescent="0.3">
      <c r="A45" s="3">
        <v>45882</v>
      </c>
      <c r="B45">
        <f>SUMIFS([0]!LineNetAmount,OrderDate,'DAY 5 solution'!$A45)</f>
        <v>2966.4973999999993</v>
      </c>
      <c r="C45">
        <f>IFERROR(AVERAGEIFS([0]!Rating,Feedback!Date,'DAY 5 solution'!$A45),0)</f>
        <v>3</v>
      </c>
      <c r="E45" cm="1">
        <f t="array" ref="E45">SUMPRODUCT(([0]!Date='DAY 5 solution'!$A45)*WasteLog!Qty*WasteLog!$E$2:$E$121)</f>
        <v>375.67999999999995</v>
      </c>
    </row>
    <row r="46" spans="1:5" x14ac:dyDescent="0.3">
      <c r="A46" s="3">
        <v>45883</v>
      </c>
      <c r="B46">
        <f>SUMIFS([0]!LineNetAmount,OrderDate,'DAY 5 solution'!$A46)</f>
        <v>2517.2587000000003</v>
      </c>
      <c r="C46">
        <f>IFERROR(AVERAGEIFS([0]!Rating,Feedback!Date,'DAY 5 solution'!$A46),0)</f>
        <v>3.8</v>
      </c>
      <c r="E46" cm="1">
        <f t="array" ref="E46">SUMPRODUCT(([0]!Date='DAY 5 solution'!$A46)*WasteLog!Qty*WasteLog!$E$2:$E$121)</f>
        <v>29.14</v>
      </c>
    </row>
    <row r="47" spans="1:5" x14ac:dyDescent="0.3">
      <c r="A47" s="3">
        <v>45884</v>
      </c>
      <c r="B47">
        <f>SUMIFS([0]!LineNetAmount,OrderDate,'DAY 5 solution'!$A47)</f>
        <v>2286.6790000000001</v>
      </c>
      <c r="C47">
        <f>IFERROR(AVERAGEIFS([0]!Rating,Feedback!Date,'DAY 5 solution'!$A47),0)</f>
        <v>2</v>
      </c>
      <c r="E47" cm="1">
        <f t="array" ref="E47">SUMPRODUCT(([0]!Date='DAY 5 solution'!$A47)*WasteLog!Qty*WasteLog!$E$2:$E$121)</f>
        <v>390.62</v>
      </c>
    </row>
    <row r="48" spans="1:5" x14ac:dyDescent="0.3">
      <c r="A48" s="3">
        <v>45885</v>
      </c>
      <c r="B48">
        <f>SUMIFS([0]!LineNetAmount,OrderDate,'DAY 5 solution'!$A48)</f>
        <v>2603.3123999999993</v>
      </c>
      <c r="C48">
        <f>IFERROR(AVERAGEIFS([0]!Rating,Feedback!Date,'DAY 5 solution'!$A48),0)</f>
        <v>5</v>
      </c>
      <c r="E48" cm="1">
        <f t="array" ref="E48">SUMPRODUCT(([0]!Date='DAY 5 solution'!$A48)*WasteLog!Qty*WasteLog!$E$2:$E$121)</f>
        <v>35.81</v>
      </c>
    </row>
    <row r="49" spans="1:5" x14ac:dyDescent="0.3">
      <c r="A49" s="3">
        <v>45886</v>
      </c>
      <c r="B49">
        <f>SUMIFS([0]!LineNetAmount,OrderDate,'DAY 5 solution'!$A49)</f>
        <v>2530.6252999999997</v>
      </c>
      <c r="C49">
        <f>IFERROR(AVERAGEIFS([0]!Rating,Feedback!Date,'DAY 5 solution'!$A49),0)</f>
        <v>3.5</v>
      </c>
      <c r="E49" cm="1">
        <f t="array" ref="E49">SUMPRODUCT(([0]!Date='DAY 5 solution'!$A49)*WasteLog!Qty*WasteLog!$E$2:$E$121)</f>
        <v>38.229999999999997</v>
      </c>
    </row>
    <row r="50" spans="1:5" x14ac:dyDescent="0.3">
      <c r="A50" s="3">
        <v>45887</v>
      </c>
      <c r="B50">
        <f>SUMIFS([0]!LineNetAmount,OrderDate,'DAY 5 solution'!$A50)</f>
        <v>1535.5767000000001</v>
      </c>
      <c r="C50">
        <f>IFERROR(AVERAGEIFS([0]!Rating,Feedback!Date,'DAY 5 solution'!$A50),0)</f>
        <v>3</v>
      </c>
      <c r="E50" cm="1">
        <f t="array" ref="E50">SUMPRODUCT(([0]!Date='DAY 5 solution'!$A50)*WasteLog!Qty*WasteLog!$E$2:$E$121)</f>
        <v>33.380000000000003</v>
      </c>
    </row>
    <row r="51" spans="1:5" x14ac:dyDescent="0.3">
      <c r="A51" s="3">
        <v>45888</v>
      </c>
      <c r="B51">
        <f>SUMIFS([0]!LineNetAmount,OrderDate,'DAY 5 solution'!$A51)</f>
        <v>2916.2893999999997</v>
      </c>
      <c r="C51">
        <f>IFERROR(AVERAGEIFS([0]!Rating,Feedback!Date,'DAY 5 solution'!$A51),0)</f>
        <v>5</v>
      </c>
      <c r="E51" cm="1">
        <f t="array" ref="E51">SUMPRODUCT(([0]!Date='DAY 5 solution'!$A51)*WasteLog!Qty*WasteLog!$E$2:$E$121)</f>
        <v>71.56</v>
      </c>
    </row>
    <row r="52" spans="1:5" x14ac:dyDescent="0.3">
      <c r="A52" s="3">
        <v>45889</v>
      </c>
      <c r="B52">
        <f>SUMIFS([0]!LineNetAmount,OrderDate,'DAY 5 solution'!$A52)</f>
        <v>1073.4818</v>
      </c>
      <c r="C52">
        <f>IFERROR(AVERAGEIFS([0]!Rating,Feedback!Date,'DAY 5 solution'!$A52),0)</f>
        <v>4</v>
      </c>
      <c r="E52" cm="1">
        <f t="array" ref="E52">SUMPRODUCT(([0]!Date='DAY 5 solution'!$A52)*WasteLog!Qty*WasteLog!$E$2:$E$121)</f>
        <v>177.95999999999998</v>
      </c>
    </row>
    <row r="53" spans="1:5" x14ac:dyDescent="0.3">
      <c r="A53" s="3">
        <v>45890</v>
      </c>
      <c r="B53">
        <f>SUMIFS([0]!LineNetAmount,OrderDate,'DAY 5 solution'!$A53)</f>
        <v>3053.0263999999997</v>
      </c>
      <c r="C53">
        <f>IFERROR(AVERAGEIFS([0]!Rating,Feedback!Date,'DAY 5 solution'!$A53),0)</f>
        <v>2</v>
      </c>
      <c r="E53" cm="1">
        <f t="array" ref="E53">SUMPRODUCT(([0]!Date='DAY 5 solution'!$A53)*WasteLog!Qty*WasteLog!$E$2:$E$121)</f>
        <v>291.83999999999997</v>
      </c>
    </row>
    <row r="54" spans="1:5" x14ac:dyDescent="0.3">
      <c r="A54" s="3">
        <v>45891</v>
      </c>
      <c r="B54">
        <f>SUMIFS([0]!LineNetAmount,OrderDate,'DAY 5 solution'!$A54)</f>
        <v>1982.1374000000001</v>
      </c>
      <c r="C54">
        <f>IFERROR(AVERAGEIFS([0]!Rating,Feedback!Date,'DAY 5 solution'!$A54),0)</f>
        <v>3.4</v>
      </c>
      <c r="E54" cm="1">
        <f t="array" ref="E54">SUMPRODUCT(([0]!Date='DAY 5 solution'!$A54)*WasteLog!Qty*WasteLog!$E$2:$E$121)</f>
        <v>303.95000000000005</v>
      </c>
    </row>
    <row r="55" spans="1:5" x14ac:dyDescent="0.3">
      <c r="A55" s="3">
        <v>45892</v>
      </c>
      <c r="B55">
        <f>SUMIFS([0]!LineNetAmount,OrderDate,'DAY 5 solution'!$A55)</f>
        <v>1250.1279999999997</v>
      </c>
      <c r="C55">
        <f>IFERROR(AVERAGEIFS([0]!Rating,Feedback!Date,'DAY 5 solution'!$A55),0)</f>
        <v>4.25</v>
      </c>
      <c r="E55" cm="1">
        <f t="array" ref="E55">SUMPRODUCT(([0]!Date='DAY 5 solution'!$A55)*WasteLog!Qty*WasteLog!$E$2:$E$121)</f>
        <v>72.259999999999991</v>
      </c>
    </row>
    <row r="56" spans="1:5" x14ac:dyDescent="0.3">
      <c r="A56" s="3">
        <v>45893</v>
      </c>
      <c r="B56">
        <f>SUMIFS([0]!LineNetAmount,OrderDate,'DAY 5 solution'!$A56)</f>
        <v>3195.5708000000004</v>
      </c>
      <c r="C56">
        <f>IFERROR(AVERAGEIFS([0]!Rating,Feedback!Date,'DAY 5 solution'!$A56),0)</f>
        <v>4.666666666666667</v>
      </c>
      <c r="E56" cm="1">
        <f t="array" ref="E56">SUMPRODUCT(([0]!Date='DAY 5 solution'!$A56)*WasteLog!Qty*WasteLog!$E$2:$E$121)</f>
        <v>252.81</v>
      </c>
    </row>
    <row r="57" spans="1:5" x14ac:dyDescent="0.3">
      <c r="A57" s="3">
        <v>45894</v>
      </c>
      <c r="B57">
        <f>SUMIFS([0]!LineNetAmount,OrderDate,'DAY 5 solution'!$A57)</f>
        <v>3411.9609000000005</v>
      </c>
      <c r="C57">
        <f>IFERROR(AVERAGEIFS([0]!Rating,Feedback!Date,'DAY 5 solution'!$A57),0)</f>
        <v>4</v>
      </c>
      <c r="E57" cm="1">
        <f t="array" ref="E57">SUMPRODUCT(([0]!Date='DAY 5 solution'!$A57)*WasteLog!Qty*WasteLog!$E$2:$E$121)</f>
        <v>123.58999999999999</v>
      </c>
    </row>
    <row r="58" spans="1:5" x14ac:dyDescent="0.3">
      <c r="A58" s="3">
        <v>45895</v>
      </c>
      <c r="B58">
        <f>SUMIFS([0]!LineNetAmount,OrderDate,'DAY 5 solution'!$A58)</f>
        <v>5601.9020999999993</v>
      </c>
      <c r="C58">
        <f>IFERROR(AVERAGEIFS([0]!Rating,Feedback!Date,'DAY 5 solution'!$A58),0)</f>
        <v>3.3333333333333335</v>
      </c>
      <c r="E58" cm="1">
        <f t="array" ref="E58">SUMPRODUCT(([0]!Date='DAY 5 solution'!$A58)*WasteLog!Qty*WasteLog!$E$2:$E$121)</f>
        <v>337.86</v>
      </c>
    </row>
    <row r="59" spans="1:5" x14ac:dyDescent="0.3">
      <c r="A59" s="3">
        <v>45896</v>
      </c>
      <c r="B59">
        <f>SUMIFS([0]!LineNetAmount,OrderDate,'DAY 5 solution'!$A59)</f>
        <v>2109.2730000000001</v>
      </c>
      <c r="C59">
        <f>IFERROR(AVERAGEIFS([0]!Rating,Feedback!Date,'DAY 5 solution'!$A59),0)</f>
        <v>4</v>
      </c>
      <c r="E59" cm="1">
        <f t="array" ref="E59">SUMPRODUCT(([0]!Date='DAY 5 solution'!$A59)*WasteLog!Qty*WasteLog!$E$2:$E$121)</f>
        <v>80.92</v>
      </c>
    </row>
    <row r="60" spans="1:5" x14ac:dyDescent="0.3">
      <c r="A60" s="3">
        <v>45897</v>
      </c>
      <c r="B60">
        <f>SUMIFS([0]!LineNetAmount,OrderDate,'DAY 5 solution'!$A60)</f>
        <v>1134.6641999999997</v>
      </c>
      <c r="C60">
        <f>IFERROR(AVERAGEIFS([0]!Rating,Feedback!Date,'DAY 5 solution'!$A60),0)</f>
        <v>3</v>
      </c>
      <c r="E60" cm="1">
        <f t="array" ref="E60">SUMPRODUCT(([0]!Date='DAY 5 solution'!$A60)*WasteLog!Qty*WasteLog!$E$2:$E$121)</f>
        <v>0</v>
      </c>
    </row>
    <row r="61" spans="1:5" x14ac:dyDescent="0.3">
      <c r="A61" s="3">
        <v>45898</v>
      </c>
      <c r="B61">
        <f>SUMIFS([0]!LineNetAmount,OrderDate,'DAY 5 solution'!$A61)</f>
        <v>1445.0394000000001</v>
      </c>
      <c r="C61">
        <f>IFERROR(AVERAGEIFS([0]!Rating,Feedback!Date,'DAY 5 solution'!$A61),0)</f>
        <v>0</v>
      </c>
      <c r="E61" cm="1">
        <f t="array" ref="E61">SUMPRODUCT(([0]!Date='DAY 5 solution'!$A61)*WasteLog!Qty*WasteLog!$E$2:$E$121)</f>
        <v>0</v>
      </c>
    </row>
  </sheetData>
  <conditionalFormatting sqref="A2:A61">
    <cfRule type="expression" dxfId="19" priority="1">
      <formula>OR($B2&lt;1500,$C2&lt;3.2,$E2&gt;($B2*0.04))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4AE25-0C5A-4153-935D-107E9D52A80E}">
  <sheetPr>
    <tabColor theme="9" tint="-0.249977111117893"/>
  </sheetPr>
  <dimension ref="A1:J19"/>
  <sheetViews>
    <sheetView workbookViewId="0">
      <selection activeCell="C27" sqref="C27"/>
    </sheetView>
  </sheetViews>
  <sheetFormatPr defaultRowHeight="14.4" x14ac:dyDescent="0.3"/>
  <cols>
    <col min="1" max="1" width="11" customWidth="1"/>
    <col min="3" max="3" width="11.88671875" customWidth="1"/>
  </cols>
  <sheetData>
    <row r="1" spans="1:10" x14ac:dyDescent="0.3">
      <c r="B1" s="9" t="s">
        <v>398</v>
      </c>
      <c r="C1" s="9" t="s">
        <v>569</v>
      </c>
      <c r="D1" s="9" t="s">
        <v>570</v>
      </c>
      <c r="J1" t="str" cm="1">
        <f t="array" ref="J1:J19">_xlfn.UNIQUE([0]!SKU)</f>
        <v>SHJ7XV</v>
      </c>
    </row>
    <row r="2" spans="1:10" x14ac:dyDescent="0.3">
      <c r="A2" s="9"/>
      <c r="B2" t="s">
        <v>403</v>
      </c>
      <c r="C2" t="s">
        <v>591</v>
      </c>
      <c r="D2">
        <f>INDEX(orderlinesTABLE[],MATCH(B2,[0]!SKU,0),MATCH('DAY 6 solution'!C2,orderlinesTABLE[#Headers],0))</f>
        <v>38.229999999999997</v>
      </c>
      <c r="J2" t="str">
        <v>BTIQJ7</v>
      </c>
    </row>
    <row r="3" spans="1:10" x14ac:dyDescent="0.3">
      <c r="A3" s="9"/>
      <c r="J3" t="str">
        <v>DH9SDB</v>
      </c>
    </row>
    <row r="4" spans="1:10" x14ac:dyDescent="0.3">
      <c r="A4" s="9"/>
      <c r="J4" t="str">
        <v>BOC6UZ</v>
      </c>
    </row>
    <row r="5" spans="1:10" x14ac:dyDescent="0.3">
      <c r="J5" t="str">
        <v>H3A3ZM</v>
      </c>
    </row>
    <row r="6" spans="1:10" x14ac:dyDescent="0.3">
      <c r="J6" t="str">
        <v>SZBIKC</v>
      </c>
    </row>
    <row r="7" spans="1:10" x14ac:dyDescent="0.3">
      <c r="J7" t="str">
        <v>HH1DNM</v>
      </c>
    </row>
    <row r="8" spans="1:10" x14ac:dyDescent="0.3">
      <c r="J8" t="str">
        <v>SCKW5N</v>
      </c>
    </row>
    <row r="9" spans="1:10" x14ac:dyDescent="0.3">
      <c r="J9" t="str">
        <v>B0T0PV</v>
      </c>
    </row>
    <row r="10" spans="1:10" x14ac:dyDescent="0.3">
      <c r="J10" t="str">
        <v>BXO6QJ</v>
      </c>
    </row>
    <row r="11" spans="1:10" x14ac:dyDescent="0.3">
      <c r="J11" t="str">
        <v>BHL1C3</v>
      </c>
    </row>
    <row r="12" spans="1:10" x14ac:dyDescent="0.3">
      <c r="J12" t="str">
        <v>DYTJXE</v>
      </c>
    </row>
    <row r="13" spans="1:10" x14ac:dyDescent="0.3">
      <c r="J13" t="str">
        <v>DFFYVN</v>
      </c>
    </row>
    <row r="14" spans="1:10" x14ac:dyDescent="0.3">
      <c r="J14" t="str">
        <v>D9T84A</v>
      </c>
    </row>
    <row r="15" spans="1:10" x14ac:dyDescent="0.3">
      <c r="J15" t="str">
        <v>HDPBHS</v>
      </c>
    </row>
    <row r="16" spans="1:10" x14ac:dyDescent="0.3">
      <c r="J16" t="str">
        <v>HXAJI0</v>
      </c>
    </row>
    <row r="17" spans="10:10" x14ac:dyDescent="0.3">
      <c r="J17" t="str">
        <v>HUZZPQ</v>
      </c>
    </row>
    <row r="18" spans="10:10" x14ac:dyDescent="0.3">
      <c r="J18" t="str">
        <v>SV30T9</v>
      </c>
    </row>
    <row r="19" spans="10:10" x14ac:dyDescent="0.3">
      <c r="J19" t="str">
        <v>S5NQ4F</v>
      </c>
    </row>
  </sheetData>
  <dataValidations count="2">
    <dataValidation type="list" allowBlank="1" showInputMessage="1" showErrorMessage="1" sqref="B2" xr:uid="{226F0631-49A8-4760-A9F9-819C512036C3}">
      <formula1>$J$1:$J$19</formula1>
    </dataValidation>
    <dataValidation type="list" allowBlank="1" showInputMessage="1" showErrorMessage="1" sqref="C2" xr:uid="{FE893328-C147-4A6F-B7D9-60841BC6D304}">
      <formula1>"UNITprice,UNITcost"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C483B-F151-4913-BEE4-0CA1F5500088}">
  <dimension ref="A1:AD925"/>
  <sheetViews>
    <sheetView workbookViewId="0">
      <selection activeCell="O2" sqref="O2"/>
    </sheetView>
  </sheetViews>
  <sheetFormatPr defaultRowHeight="14.4" x14ac:dyDescent="0.3"/>
  <cols>
    <col min="1" max="1" width="10" customWidth="1"/>
    <col min="2" max="2" width="8.77734375" customWidth="1"/>
    <col min="3" max="3" width="8.33203125" customWidth="1"/>
    <col min="4" max="4" width="7.21875" style="39" customWidth="1"/>
    <col min="5" max="5" width="9.6640625" customWidth="1"/>
    <col min="6" max="6" width="10.33203125" style="39" customWidth="1"/>
    <col min="7" max="7" width="13.109375" style="4" customWidth="1"/>
    <col min="8" max="8" width="8.44140625" customWidth="1"/>
    <col min="9" max="9" width="13" customWidth="1"/>
    <col min="10" max="10" width="15.44140625" customWidth="1"/>
    <col min="11" max="11" width="12.109375" style="4" customWidth="1"/>
    <col min="12" max="12" width="7" customWidth="1"/>
    <col min="13" max="13" width="14.33203125" customWidth="1"/>
    <col min="14" max="14" width="16.21875" customWidth="1"/>
    <col min="15" max="15" width="13" customWidth="1"/>
    <col min="16" max="16" width="11.21875" hidden="1" customWidth="1"/>
    <col min="17" max="17" width="7.77734375" hidden="1" customWidth="1"/>
    <col min="18" max="18" width="25" hidden="1" customWidth="1"/>
    <col min="19" max="19" width="52.77734375" hidden="1" customWidth="1"/>
    <col min="20" max="20" width="10.21875" style="54" hidden="1" customWidth="1"/>
    <col min="21" max="21" width="12.21875" style="70" customWidth="1"/>
    <col min="22" max="22" width="13.21875" customWidth="1"/>
    <col min="23" max="23" width="10" customWidth="1"/>
    <col min="24" max="24" width="12.77734375" customWidth="1"/>
    <col min="25" max="25" width="12.5546875" bestFit="1" customWidth="1"/>
    <col min="26" max="26" width="21" bestFit="1" customWidth="1"/>
    <col min="27" max="27" width="22.109375" bestFit="1" customWidth="1"/>
    <col min="28" max="28" width="21" bestFit="1" customWidth="1"/>
    <col min="29" max="29" width="12.5546875" bestFit="1" customWidth="1"/>
    <col min="30" max="30" width="15.44140625" bestFit="1" customWidth="1"/>
    <col min="31" max="31" width="10.77734375" bestFit="1" customWidth="1"/>
    <col min="32" max="32" width="7.33203125" bestFit="1" customWidth="1"/>
    <col min="33" max="33" width="9" bestFit="1" customWidth="1"/>
    <col min="34" max="34" width="8" bestFit="1" customWidth="1"/>
    <col min="35" max="35" width="7.33203125" bestFit="1" customWidth="1"/>
    <col min="36" max="36" width="9" bestFit="1" customWidth="1"/>
    <col min="37" max="37" width="7.33203125" bestFit="1" customWidth="1"/>
    <col min="38" max="39" width="9" bestFit="1" customWidth="1"/>
    <col min="40" max="40" width="8" bestFit="1" customWidth="1"/>
    <col min="41" max="41" width="7.33203125" bestFit="1" customWidth="1"/>
    <col min="42" max="43" width="8" bestFit="1" customWidth="1"/>
    <col min="44" max="45" width="9" bestFit="1" customWidth="1"/>
    <col min="46" max="47" width="8" bestFit="1" customWidth="1"/>
    <col min="48" max="48" width="9" bestFit="1" customWidth="1"/>
    <col min="49" max="49" width="8" bestFit="1" customWidth="1"/>
    <col min="50" max="51" width="9" bestFit="1" customWidth="1"/>
    <col min="52" max="54" width="8" bestFit="1" customWidth="1"/>
    <col min="55" max="55" width="7.33203125" bestFit="1" customWidth="1"/>
    <col min="56" max="58" width="9" bestFit="1" customWidth="1"/>
    <col min="59" max="60" width="8" bestFit="1" customWidth="1"/>
    <col min="61" max="61" width="9" bestFit="1" customWidth="1"/>
    <col min="62" max="62" width="7.33203125" bestFit="1" customWidth="1"/>
    <col min="63" max="63" width="8" bestFit="1" customWidth="1"/>
    <col min="64" max="64" width="7.33203125" bestFit="1" customWidth="1"/>
    <col min="65" max="65" width="8" bestFit="1" customWidth="1"/>
    <col min="66" max="66" width="9" bestFit="1" customWidth="1"/>
    <col min="67" max="67" width="7.33203125" bestFit="1" customWidth="1"/>
    <col min="68" max="71" width="9" bestFit="1" customWidth="1"/>
    <col min="72" max="72" width="7.33203125" bestFit="1" customWidth="1"/>
    <col min="73" max="73" width="9" bestFit="1" customWidth="1"/>
    <col min="74" max="75" width="8" bestFit="1" customWidth="1"/>
    <col min="76" max="76" width="9" bestFit="1" customWidth="1"/>
    <col min="77" max="77" width="8" bestFit="1" customWidth="1"/>
    <col min="78" max="78" width="9" bestFit="1" customWidth="1"/>
    <col min="79" max="79" width="7.33203125" bestFit="1" customWidth="1"/>
    <col min="80" max="81" width="9" bestFit="1" customWidth="1"/>
    <col min="82" max="82" width="8" bestFit="1" customWidth="1"/>
    <col min="83" max="83" width="7.33203125" bestFit="1" customWidth="1"/>
    <col min="84" max="84" width="9" bestFit="1" customWidth="1"/>
    <col min="85" max="85" width="8" bestFit="1" customWidth="1"/>
    <col min="86" max="87" width="9" bestFit="1" customWidth="1"/>
    <col min="88" max="88" width="7.33203125" bestFit="1" customWidth="1"/>
    <col min="89" max="90" width="8" bestFit="1" customWidth="1"/>
    <col min="91" max="91" width="9" bestFit="1" customWidth="1"/>
    <col min="92" max="93" width="8" bestFit="1" customWidth="1"/>
    <col min="94" max="94" width="9" bestFit="1" customWidth="1"/>
    <col min="95" max="95" width="10" bestFit="1" customWidth="1"/>
    <col min="96" max="97" width="9" bestFit="1" customWidth="1"/>
    <col min="98" max="99" width="8" bestFit="1" customWidth="1"/>
    <col min="100" max="101" width="9" bestFit="1" customWidth="1"/>
    <col min="102" max="102" width="7.33203125" bestFit="1" customWidth="1"/>
    <col min="103" max="105" width="9" bestFit="1" customWidth="1"/>
    <col min="106" max="106" width="8" bestFit="1" customWidth="1"/>
    <col min="107" max="107" width="9" bestFit="1" customWidth="1"/>
    <col min="108" max="110" width="8" bestFit="1" customWidth="1"/>
    <col min="111" max="111" width="7.33203125" bestFit="1" customWidth="1"/>
    <col min="112" max="117" width="9" bestFit="1" customWidth="1"/>
    <col min="118" max="118" width="7.33203125" bestFit="1" customWidth="1"/>
    <col min="119" max="119" width="9" bestFit="1" customWidth="1"/>
    <col min="120" max="120" width="8" bestFit="1" customWidth="1"/>
    <col min="121" max="124" width="9" bestFit="1" customWidth="1"/>
    <col min="125" max="126" width="8" bestFit="1" customWidth="1"/>
    <col min="127" max="129" width="9" bestFit="1" customWidth="1"/>
    <col min="130" max="130" width="7.33203125" bestFit="1" customWidth="1"/>
    <col min="131" max="131" width="8" bestFit="1" customWidth="1"/>
    <col min="132" max="132" width="9" bestFit="1" customWidth="1"/>
    <col min="133" max="133" width="7.33203125" bestFit="1" customWidth="1"/>
    <col min="134" max="134" width="8" bestFit="1" customWidth="1"/>
    <col min="135" max="135" width="9" bestFit="1" customWidth="1"/>
    <col min="136" max="136" width="8" bestFit="1" customWidth="1"/>
    <col min="137" max="137" width="9" bestFit="1" customWidth="1"/>
    <col min="138" max="138" width="8" bestFit="1" customWidth="1"/>
    <col min="139" max="146" width="9" bestFit="1" customWidth="1"/>
    <col min="147" max="149" width="8" bestFit="1" customWidth="1"/>
    <col min="150" max="151" width="9" bestFit="1" customWidth="1"/>
    <col min="152" max="152" width="8" bestFit="1" customWidth="1"/>
    <col min="153" max="153" width="9" bestFit="1" customWidth="1"/>
    <col min="154" max="154" width="7.33203125" bestFit="1" customWidth="1"/>
    <col min="155" max="155" width="9" bestFit="1" customWidth="1"/>
    <col min="156" max="156" width="8" bestFit="1" customWidth="1"/>
    <col min="157" max="157" width="9" bestFit="1" customWidth="1"/>
    <col min="158" max="158" width="8" bestFit="1" customWidth="1"/>
    <col min="159" max="159" width="9" bestFit="1" customWidth="1"/>
    <col min="160" max="160" width="7.33203125" bestFit="1" customWidth="1"/>
    <col min="161" max="162" width="9" bestFit="1" customWidth="1"/>
    <col min="163" max="163" width="8" bestFit="1" customWidth="1"/>
    <col min="164" max="165" width="9" bestFit="1" customWidth="1"/>
    <col min="166" max="167" width="8" bestFit="1" customWidth="1"/>
    <col min="168" max="169" width="9" bestFit="1" customWidth="1"/>
    <col min="170" max="170" width="8" bestFit="1" customWidth="1"/>
    <col min="171" max="172" width="7.33203125" bestFit="1" customWidth="1"/>
    <col min="173" max="173" width="8" bestFit="1" customWidth="1"/>
    <col min="174" max="176" width="9" bestFit="1" customWidth="1"/>
    <col min="177" max="177" width="7.33203125" bestFit="1" customWidth="1"/>
    <col min="178" max="178" width="8" bestFit="1" customWidth="1"/>
    <col min="179" max="179" width="9" bestFit="1" customWidth="1"/>
    <col min="180" max="180" width="10" bestFit="1" customWidth="1"/>
    <col min="181" max="181" width="9" bestFit="1" customWidth="1"/>
    <col min="182" max="182" width="8" bestFit="1" customWidth="1"/>
    <col min="183" max="184" width="9" bestFit="1" customWidth="1"/>
    <col min="185" max="185" width="8" bestFit="1" customWidth="1"/>
    <col min="186" max="189" width="9" bestFit="1" customWidth="1"/>
    <col min="190" max="191" width="8" bestFit="1" customWidth="1"/>
    <col min="192" max="192" width="7.33203125" bestFit="1" customWidth="1"/>
    <col min="193" max="196" width="8" bestFit="1" customWidth="1"/>
    <col min="197" max="198" width="9" bestFit="1" customWidth="1"/>
    <col min="199" max="199" width="8" bestFit="1" customWidth="1"/>
    <col min="200" max="200" width="7.33203125" bestFit="1" customWidth="1"/>
    <col min="201" max="201" width="9" bestFit="1" customWidth="1"/>
    <col min="202" max="202" width="8" bestFit="1" customWidth="1"/>
    <col min="203" max="207" width="9" bestFit="1" customWidth="1"/>
    <col min="208" max="208" width="8" bestFit="1" customWidth="1"/>
    <col min="209" max="209" width="7.33203125" bestFit="1" customWidth="1"/>
    <col min="210" max="210" width="10" bestFit="1" customWidth="1"/>
    <col min="211" max="211" width="7.33203125" bestFit="1" customWidth="1"/>
    <col min="212" max="212" width="9" bestFit="1" customWidth="1"/>
    <col min="213" max="213" width="8" bestFit="1" customWidth="1"/>
    <col min="214" max="214" width="9" bestFit="1" customWidth="1"/>
    <col min="215" max="215" width="8" bestFit="1" customWidth="1"/>
    <col min="216" max="218" width="9" bestFit="1" customWidth="1"/>
    <col min="219" max="219" width="8" bestFit="1" customWidth="1"/>
    <col min="220" max="221" width="9" bestFit="1" customWidth="1"/>
    <col min="222" max="222" width="8" bestFit="1" customWidth="1"/>
    <col min="223" max="223" width="9" bestFit="1" customWidth="1"/>
    <col min="224" max="224" width="7.33203125" bestFit="1" customWidth="1"/>
    <col min="225" max="225" width="8" bestFit="1" customWidth="1"/>
    <col min="226" max="228" width="9" bestFit="1" customWidth="1"/>
    <col min="229" max="229" width="7.33203125" bestFit="1" customWidth="1"/>
    <col min="230" max="230" width="8" bestFit="1" customWidth="1"/>
    <col min="231" max="231" width="9" bestFit="1" customWidth="1"/>
    <col min="232" max="233" width="8" bestFit="1" customWidth="1"/>
    <col min="234" max="235" width="9" bestFit="1" customWidth="1"/>
    <col min="236" max="236" width="8" bestFit="1" customWidth="1"/>
    <col min="237" max="238" width="9" bestFit="1" customWidth="1"/>
    <col min="239" max="241" width="8" bestFit="1" customWidth="1"/>
    <col min="242" max="242" width="7.33203125" bestFit="1" customWidth="1"/>
    <col min="243" max="244" width="8" bestFit="1" customWidth="1"/>
    <col min="245" max="246" width="9" bestFit="1" customWidth="1"/>
    <col min="247" max="247" width="8" bestFit="1" customWidth="1"/>
    <col min="248" max="249" width="9" bestFit="1" customWidth="1"/>
    <col min="250" max="250" width="7.33203125" bestFit="1" customWidth="1"/>
    <col min="251" max="252" width="8" bestFit="1" customWidth="1"/>
    <col min="253" max="254" width="9" bestFit="1" customWidth="1"/>
    <col min="255" max="255" width="7.33203125" bestFit="1" customWidth="1"/>
    <col min="256" max="256" width="9" bestFit="1" customWidth="1"/>
    <col min="257" max="257" width="8" bestFit="1" customWidth="1"/>
    <col min="258" max="258" width="9" bestFit="1" customWidth="1"/>
    <col min="259" max="259" width="7.33203125" bestFit="1" customWidth="1"/>
    <col min="260" max="262" width="9" bestFit="1" customWidth="1"/>
    <col min="263" max="263" width="7.33203125" bestFit="1" customWidth="1"/>
    <col min="264" max="265" width="8" bestFit="1" customWidth="1"/>
    <col min="266" max="266" width="7.33203125" bestFit="1" customWidth="1"/>
    <col min="267" max="268" width="9" bestFit="1" customWidth="1"/>
    <col min="269" max="269" width="10" bestFit="1" customWidth="1"/>
    <col min="270" max="270" width="9" bestFit="1" customWidth="1"/>
    <col min="271" max="271" width="10" bestFit="1" customWidth="1"/>
    <col min="272" max="272" width="8" bestFit="1" customWidth="1"/>
    <col min="273" max="273" width="7.33203125" bestFit="1" customWidth="1"/>
    <col min="274" max="277" width="9" bestFit="1" customWidth="1"/>
    <col min="278" max="278" width="8" bestFit="1" customWidth="1"/>
    <col min="279" max="280" width="10" bestFit="1" customWidth="1"/>
    <col min="281" max="283" width="9" bestFit="1" customWidth="1"/>
    <col min="284" max="284" width="8" bestFit="1" customWidth="1"/>
    <col min="285" max="295" width="9" bestFit="1" customWidth="1"/>
    <col min="296" max="296" width="8" bestFit="1" customWidth="1"/>
    <col min="297" max="297" width="9" bestFit="1" customWidth="1"/>
    <col min="298" max="298" width="10" bestFit="1" customWidth="1"/>
    <col min="299" max="301" width="9" bestFit="1" customWidth="1"/>
    <col min="302" max="302" width="8" bestFit="1" customWidth="1"/>
    <col min="303" max="304" width="9" bestFit="1" customWidth="1"/>
    <col min="305" max="306" width="8" bestFit="1" customWidth="1"/>
    <col min="307" max="307" width="9" bestFit="1" customWidth="1"/>
    <col min="308" max="308" width="8" bestFit="1" customWidth="1"/>
    <col min="309" max="309" width="9" bestFit="1" customWidth="1"/>
    <col min="310" max="310" width="8" bestFit="1" customWidth="1"/>
    <col min="311" max="311" width="9" bestFit="1" customWidth="1"/>
    <col min="312" max="312" width="10" bestFit="1" customWidth="1"/>
    <col min="313" max="318" width="9" bestFit="1" customWidth="1"/>
    <col min="319" max="319" width="8" bestFit="1" customWidth="1"/>
    <col min="320" max="320" width="9" bestFit="1" customWidth="1"/>
    <col min="321" max="321" width="8" bestFit="1" customWidth="1"/>
    <col min="322" max="323" width="7.33203125" bestFit="1" customWidth="1"/>
    <col min="324" max="325" width="8" bestFit="1" customWidth="1"/>
    <col min="326" max="330" width="9" bestFit="1" customWidth="1"/>
    <col min="331" max="331" width="7.33203125" bestFit="1" customWidth="1"/>
    <col min="332" max="332" width="9" bestFit="1" customWidth="1"/>
    <col min="333" max="333" width="8" bestFit="1" customWidth="1"/>
    <col min="334" max="335" width="7.33203125" bestFit="1" customWidth="1"/>
    <col min="336" max="337" width="9" bestFit="1" customWidth="1"/>
    <col min="338" max="338" width="8" bestFit="1" customWidth="1"/>
    <col min="339" max="340" width="9" bestFit="1" customWidth="1"/>
    <col min="341" max="341" width="8" bestFit="1" customWidth="1"/>
    <col min="342" max="342" width="7.33203125" bestFit="1" customWidth="1"/>
    <col min="343" max="344" width="8" bestFit="1" customWidth="1"/>
    <col min="345" max="345" width="7.33203125" bestFit="1" customWidth="1"/>
    <col min="346" max="346" width="8" bestFit="1" customWidth="1"/>
    <col min="347" max="347" width="9" bestFit="1" customWidth="1"/>
    <col min="348" max="348" width="8" bestFit="1" customWidth="1"/>
    <col min="349" max="353" width="9" bestFit="1" customWidth="1"/>
    <col min="354" max="355" width="8" bestFit="1" customWidth="1"/>
    <col min="356" max="356" width="9" bestFit="1" customWidth="1"/>
    <col min="357" max="358" width="8" bestFit="1" customWidth="1"/>
    <col min="359" max="360" width="9" bestFit="1" customWidth="1"/>
    <col min="361" max="361" width="8" bestFit="1" customWidth="1"/>
    <col min="362" max="365" width="9" bestFit="1" customWidth="1"/>
    <col min="366" max="366" width="7.33203125" bestFit="1" customWidth="1"/>
    <col min="367" max="369" width="9" bestFit="1" customWidth="1"/>
    <col min="370" max="370" width="7.33203125" bestFit="1" customWidth="1"/>
    <col min="371" max="371" width="9" bestFit="1" customWidth="1"/>
    <col min="372" max="373" width="8" bestFit="1" customWidth="1"/>
    <col min="374" max="374" width="9" bestFit="1" customWidth="1"/>
    <col min="375" max="376" width="8" bestFit="1" customWidth="1"/>
    <col min="377" max="377" width="10" bestFit="1" customWidth="1"/>
    <col min="378" max="378" width="8" bestFit="1" customWidth="1"/>
    <col min="379" max="379" width="9" bestFit="1" customWidth="1"/>
    <col min="380" max="380" width="8" bestFit="1" customWidth="1"/>
    <col min="381" max="383" width="9" bestFit="1" customWidth="1"/>
    <col min="384" max="384" width="7.33203125" bestFit="1" customWidth="1"/>
    <col min="385" max="385" width="9" bestFit="1" customWidth="1"/>
    <col min="386" max="387" width="8" bestFit="1" customWidth="1"/>
    <col min="388" max="388" width="7.33203125" bestFit="1" customWidth="1"/>
    <col min="389" max="389" width="9" bestFit="1" customWidth="1"/>
    <col min="390" max="390" width="12" bestFit="1" customWidth="1"/>
  </cols>
  <sheetData>
    <row r="1" spans="1:30" ht="18.600000000000001" x14ac:dyDescent="0.45">
      <c r="A1" s="16" t="s">
        <v>0</v>
      </c>
      <c r="B1" s="16" t="s">
        <v>398</v>
      </c>
      <c r="C1" s="16" t="s">
        <v>399</v>
      </c>
      <c r="D1" s="34" t="s">
        <v>400</v>
      </c>
      <c r="E1" s="17" t="s">
        <v>421</v>
      </c>
      <c r="F1" s="34" t="s">
        <v>423</v>
      </c>
      <c r="G1" s="18" t="s">
        <v>522</v>
      </c>
      <c r="H1" s="19" t="s">
        <v>2</v>
      </c>
      <c r="I1" s="17" t="s">
        <v>7</v>
      </c>
      <c r="J1" s="20" t="s">
        <v>523</v>
      </c>
      <c r="K1" s="21" t="s">
        <v>525</v>
      </c>
      <c r="L1" s="22" t="s">
        <v>5</v>
      </c>
      <c r="M1" s="1" t="s">
        <v>4</v>
      </c>
      <c r="N1" s="41" t="s">
        <v>546</v>
      </c>
      <c r="O1" s="41" t="s">
        <v>552</v>
      </c>
      <c r="P1" s="55" t="s">
        <v>574</v>
      </c>
      <c r="Q1" s="55" t="s">
        <v>575</v>
      </c>
      <c r="R1" s="55" t="s">
        <v>420</v>
      </c>
      <c r="S1" s="55" t="s">
        <v>590</v>
      </c>
      <c r="T1" s="61" t="s">
        <v>558</v>
      </c>
      <c r="U1" s="69" t="s">
        <v>614</v>
      </c>
      <c r="V1" s="42"/>
      <c r="W1" s="83" t="s">
        <v>555</v>
      </c>
      <c r="X1" s="83"/>
      <c r="Y1" s="83"/>
    </row>
    <row r="2" spans="1:30" x14ac:dyDescent="0.3">
      <c r="A2" s="23" t="s">
        <v>8</v>
      </c>
      <c r="B2" s="23" t="s">
        <v>401</v>
      </c>
      <c r="C2" s="23">
        <v>3</v>
      </c>
      <c r="D2" s="35">
        <f>VLOOKUP($B2,Menu!$A$1:$F$20,MATCH($D$1,Menu!$A$1:$F$1,0),0)</f>
        <v>52.45</v>
      </c>
      <c r="E2" s="31" t="str">
        <f>VLOOKUP($B2,Menu!$A$1:$F$20,MATCH(OrderLines!E$1,Menu!$A$1:$F$1,0),0)</f>
        <v>Snack</v>
      </c>
      <c r="F2" s="35">
        <f>VLOOKUP($B2,Menu!$A$1:$F$20,MATCH(OrderLines!F$1,Menu!$A$1:$F$1,0),0)</f>
        <v>25.8</v>
      </c>
      <c r="G2" s="24">
        <f>VLOOKUP($A2,Orders!$A$1:$H$361,MATCH($G$1,Orders!$A$1:$H$1,0),0)</f>
        <v>45852</v>
      </c>
      <c r="H2" s="23" t="str">
        <f>VLOOKUP($A2,Orders!$A$1:$H$361,MATCH(OrderLines!$H$1,Orders!$A$1:$H$1,0),0)</f>
        <v>Head Office Café</v>
      </c>
      <c r="I2" s="23">
        <f>VLOOKUP($A2,Orders!$A$1:$H$361,MATCH(OrderLines!$I$1,Orders!$A$1:$H$1,0),0)</f>
        <v>0.06</v>
      </c>
      <c r="J2" s="25">
        <f>$C2*$D2*(1-$I2)</f>
        <v>147.90900000000002</v>
      </c>
      <c r="K2" s="26" t="str">
        <f>TEXT($G2,"mmmm")</f>
        <v>July</v>
      </c>
      <c r="L2" s="25" t="str">
        <f>VLOOKUP(OrderLines!$A2,Orders!$A$1:$H$361,MATCH(OrderLines!$L$1,Orders!$A$1:$H$1,0),0)</f>
        <v>Breakfast</v>
      </c>
      <c r="M2" t="str">
        <f>VLOOKUP($A2,Orders!$A$1:$H$361,MATCH(OrderLines!$M$1,Orders!$A$1:$H$1,0),0)</f>
        <v>UPI</v>
      </c>
      <c r="N2" t="str">
        <f t="shared" ref="N2:N65" si="0">IF(AND(COUNTIFS(OrderID,$A2,Category,"hot meal")&gt;=1,COUNTIFS(OrderID,$A2,Category,"beverage")&gt;=1),"Combo","Single")</f>
        <v>Single</v>
      </c>
      <c r="O2" t="str" cm="1">
        <f t="array" ref="O2">IF((SUMPRODUCT((OrderID=OrderLines!$A2)*Qty*UnitPrice*DiscountPct))&gt;40,"HighDisc","OK")</f>
        <v>OK</v>
      </c>
      <c r="P2">
        <f>(orderlinesTABLE[[#This Row],[UnitCost]]*orderlinesTABLE[[#This Row],[Qty]])</f>
        <v>77.400000000000006</v>
      </c>
      <c r="Q2">
        <f>(orderlinesTABLE[[#This Row],[LineNetAmount]]-orderlinesTABLE[[#This Row],[totalCOST]])</f>
        <v>70.509000000000015</v>
      </c>
      <c r="R2" t="str">
        <f>VLOOKUP($B2,Menu!$A$1:$F$20,MATCH(OrderLines!R$1,Menu!$A$1:$F$1,0),0)</f>
        <v>Poha</v>
      </c>
      <c r="S2" t="str" cm="1">
        <f t="array" ref="S2">_xlfn.TEXTJOIN("+",TRUE,_xlfn._xlws.FILTER(orderlinesTABLE[ItemName],OrderID=orderlinesTABLE[[#This Row],[OrderID]]))</f>
        <v>Poha</v>
      </c>
      <c r="T2" s="54">
        <f>orderlinesTABLE[[#This Row],[Profit]]/orderlinesTABLE[[#This Row],[LineNetAmount]]</f>
        <v>0.47670527148449388</v>
      </c>
      <c r="U2" s="70">
        <f>(orderlinesTABLE[[#This Row],[Qty]]*orderlinesTABLE[[#This Row],[UnitCost]])</f>
        <v>77.400000000000006</v>
      </c>
    </row>
    <row r="3" spans="1:30" x14ac:dyDescent="0.3">
      <c r="A3" s="15" t="s">
        <v>14</v>
      </c>
      <c r="B3" s="15" t="s">
        <v>402</v>
      </c>
      <c r="C3" s="15">
        <v>1</v>
      </c>
      <c r="D3" s="36">
        <f>VLOOKUP($B3,Menu!$A$1:$F$20,MATCH($D$1,Menu!$A$1:$F$1,0),0)</f>
        <v>30.34</v>
      </c>
      <c r="E3" s="15" t="str">
        <f>VLOOKUP($B3,Menu!$A$1:$F$20,MATCH(OrderLines!E$1,Menu!$A$1:$F$1,0),0)</f>
        <v>Beverage</v>
      </c>
      <c r="F3" s="36">
        <f>VLOOKUP($B3,Menu!$A$1:$F$20,MATCH(OrderLines!F$1,Menu!$A$1:$F$1,0),0)</f>
        <v>14.18</v>
      </c>
      <c r="G3" s="27">
        <f>VLOOKUP($A3,Orders!$A$1:$H$361,MATCH($G$1,Orders!$A$1:$H$1,0),0)</f>
        <v>45862</v>
      </c>
      <c r="H3" s="15" t="str">
        <f>VLOOKUP($A3,Orders!$A$1:$H$361,MATCH(OrderLines!$H$1,Orders!$A$1:$H$1,0),0)</f>
        <v>Plant 2 Canteen</v>
      </c>
      <c r="I3" s="15">
        <f>VLOOKUP($A3,Orders!$A$1:$H$361,MATCH(OrderLines!$I$1,Orders!$A$1:$H$1,0),0)</f>
        <v>0.05</v>
      </c>
      <c r="J3" s="15">
        <f t="shared" ref="J3:J66" si="1">$C3*$D3*(1-$I3)</f>
        <v>28.822999999999997</v>
      </c>
      <c r="K3" s="27" t="str">
        <f t="shared" ref="K3:K66" si="2">TEXT($G3,"mmmm")</f>
        <v>July</v>
      </c>
      <c r="L3" s="15" t="str">
        <f>VLOOKUP(OrderLines!$A3,Orders!$A$1:$H$361,MATCH(OrderLines!$L$1,Orders!$A$1:$H$1,0),0)</f>
        <v>Dinner</v>
      </c>
      <c r="M3" t="str">
        <f>VLOOKUP($A3,Orders!$A$1:$H$361,MATCH(OrderLines!$M$1,Orders!$A$1:$H$1,0),0)</f>
        <v>Cash</v>
      </c>
      <c r="N3" t="str">
        <f t="shared" si="0"/>
        <v>Single</v>
      </c>
      <c r="O3" t="str" cm="1">
        <f t="array" ref="O3">IF((SUMPRODUCT((OrderID=OrderLines!$A3)*Qty*UnitPrice*DiscountPct))&gt;40,"HighDisc","OK")</f>
        <v>OK</v>
      </c>
      <c r="P3">
        <f>(orderlinesTABLE[[#This Row],[UnitCost]]*orderlinesTABLE[[#This Row],[Qty]])</f>
        <v>14.18</v>
      </c>
      <c r="Q3">
        <f>(orderlinesTABLE[[#This Row],[LineNetAmount]]-orderlinesTABLE[[#This Row],[totalCOST]])</f>
        <v>14.642999999999997</v>
      </c>
      <c r="R3" t="str">
        <f>VLOOKUP($B3,Menu!$A$1:$F$20,MATCH(OrderLines!R$1,Menu!$A$1:$F$1,0),0)</f>
        <v>Tea</v>
      </c>
      <c r="S3" t="str" cm="1">
        <f t="array" ref="S3">_xlfn.TEXTJOIN("+",TRUE,_xlfn._xlws.FILTER(orderlinesTABLE[ItemName],OrderID=orderlinesTABLE[[#This Row],[OrderID]]))</f>
        <v>Tea+Gulab Jamun (2 pc)</v>
      </c>
      <c r="T3" s="54">
        <f>orderlinesTABLE[[#This Row],[Profit]]/orderlinesTABLE[[#This Row],[LineNetAmount]]</f>
        <v>0.50803178017555417</v>
      </c>
      <c r="U3" s="70">
        <f>(orderlinesTABLE[[#This Row],[Qty]]*orderlinesTABLE[[#This Row],[UnitCost]])</f>
        <v>14.18</v>
      </c>
    </row>
    <row r="4" spans="1:30" x14ac:dyDescent="0.3">
      <c r="A4" s="14" t="s">
        <v>14</v>
      </c>
      <c r="B4" s="14" t="s">
        <v>403</v>
      </c>
      <c r="C4" s="14">
        <v>1</v>
      </c>
      <c r="D4" s="37">
        <f>VLOOKUP($B4,Menu!$A$1:$F$20,MATCH($D$1,Menu!$A$1:$F$1,0),0)</f>
        <v>76.55</v>
      </c>
      <c r="E4" s="14" t="str">
        <f>VLOOKUP($B4,Menu!$A$1:$F$20,MATCH(OrderLines!E$1,Menu!$A$1:$F$1,0),0)</f>
        <v>Dessert</v>
      </c>
      <c r="F4" s="37">
        <f>VLOOKUP($B4,Menu!$A$1:$F$20,MATCH(OrderLines!F$1,Menu!$A$1:$F$1,0),0)</f>
        <v>38.229999999999997</v>
      </c>
      <c r="G4" s="28">
        <f>VLOOKUP($A4,Orders!$A$1:$H$361,MATCH($G$1,Orders!$A$1:$H$1,0),0)</f>
        <v>45862</v>
      </c>
      <c r="H4" s="14" t="str">
        <f>VLOOKUP($A4,Orders!$A$1:$H$361,MATCH(OrderLines!$H$1,Orders!$A$1:$H$1,0),0)</f>
        <v>Plant 2 Canteen</v>
      </c>
      <c r="I4" s="14">
        <f>VLOOKUP($A4,Orders!$A$1:$H$361,MATCH(OrderLines!$I$1,Orders!$A$1:$H$1,0),0)</f>
        <v>0.05</v>
      </c>
      <c r="J4" s="14">
        <f t="shared" si="1"/>
        <v>72.722499999999997</v>
      </c>
      <c r="K4" s="28" t="str">
        <f t="shared" si="2"/>
        <v>July</v>
      </c>
      <c r="L4" s="14" t="str">
        <f>VLOOKUP(OrderLines!$A4,Orders!$A$1:$H$361,MATCH(OrderLines!$L$1,Orders!$A$1:$H$1,0),0)</f>
        <v>Dinner</v>
      </c>
      <c r="M4" t="str">
        <f>VLOOKUP($A4,Orders!$A$1:$H$361,MATCH(OrderLines!$M$1,Orders!$A$1:$H$1,0),0)</f>
        <v>Cash</v>
      </c>
      <c r="N4" t="str">
        <f t="shared" si="0"/>
        <v>Single</v>
      </c>
      <c r="O4" t="str" cm="1">
        <f t="array" ref="O4">IF((SUMPRODUCT((OrderID=OrderLines!$A4)*Qty*UnitPrice*DiscountPct))&gt;40,"HighDisc","OK")</f>
        <v>OK</v>
      </c>
      <c r="P4">
        <f>(orderlinesTABLE[[#This Row],[UnitCost]]*orderlinesTABLE[[#This Row],[Qty]])</f>
        <v>38.229999999999997</v>
      </c>
      <c r="Q4">
        <f>(orderlinesTABLE[[#This Row],[LineNetAmount]]-orderlinesTABLE[[#This Row],[totalCOST]])</f>
        <v>34.4925</v>
      </c>
      <c r="R4" t="str">
        <f>VLOOKUP($B4,Menu!$A$1:$F$20,MATCH(OrderLines!R$1,Menu!$A$1:$F$1,0),0)</f>
        <v>Gulab Jamun (2 pc)</v>
      </c>
      <c r="S4" t="str" cm="1">
        <f t="array" ref="S4">_xlfn.TEXTJOIN("+",TRUE,_xlfn._xlws.FILTER(orderlinesTABLE[ItemName],OrderID=orderlinesTABLE[[#This Row],[OrderID]]))</f>
        <v>Tea+Gulab Jamun (2 pc)</v>
      </c>
      <c r="T4" s="54">
        <f>orderlinesTABLE[[#This Row],[Profit]]/orderlinesTABLE[[#This Row],[LineNetAmount]]</f>
        <v>0.47430300113444945</v>
      </c>
      <c r="U4" s="70">
        <f>(orderlinesTABLE[[#This Row],[Qty]]*orderlinesTABLE[[#This Row],[UnitCost]])</f>
        <v>38.229999999999997</v>
      </c>
      <c r="Y4" t="s">
        <v>524</v>
      </c>
    </row>
    <row r="5" spans="1:30" x14ac:dyDescent="0.3">
      <c r="A5" s="15" t="s">
        <v>20</v>
      </c>
      <c r="B5" s="15" t="s">
        <v>404</v>
      </c>
      <c r="C5" s="15">
        <v>2</v>
      </c>
      <c r="D5" s="36">
        <f>VLOOKUP($B5,Menu!$A$1:$F$20,MATCH($D$1,Menu!$A$1:$F$1,0),0)</f>
        <v>32.979999999999997</v>
      </c>
      <c r="E5" s="15" t="str">
        <f>VLOOKUP($B5,Menu!$A$1:$F$20,MATCH(OrderLines!E$1,Menu!$A$1:$F$1,0),0)</f>
        <v>Beverage</v>
      </c>
      <c r="F5" s="36">
        <f>VLOOKUP($B5,Menu!$A$1:$F$20,MATCH(OrderLines!F$1,Menu!$A$1:$F$1,0),0)</f>
        <v>11.84</v>
      </c>
      <c r="G5" s="27">
        <f>VLOOKUP($A5,Orders!$A$1:$H$361,MATCH($G$1,Orders!$A$1:$H$1,0),0)</f>
        <v>45848</v>
      </c>
      <c r="H5" s="15" t="str">
        <f>VLOOKUP($A5,Orders!$A$1:$H$361,MATCH(OrderLines!$H$1,Orders!$A$1:$H$1,0),0)</f>
        <v>Head Office Café</v>
      </c>
      <c r="I5" s="15">
        <f>VLOOKUP($A5,Orders!$A$1:$H$361,MATCH(OrderLines!$I$1,Orders!$A$1:$H$1,0),0)</f>
        <v>0</v>
      </c>
      <c r="J5" s="15">
        <f t="shared" si="1"/>
        <v>65.959999999999994</v>
      </c>
      <c r="K5" s="27" t="str">
        <f t="shared" si="2"/>
        <v>July</v>
      </c>
      <c r="L5" s="15" t="str">
        <f>VLOOKUP(OrderLines!$A5,Orders!$A$1:$H$361,MATCH(OrderLines!$L$1,Orders!$A$1:$H$1,0),0)</f>
        <v>Lunch</v>
      </c>
      <c r="M5" t="str">
        <f>VLOOKUP($A5,Orders!$A$1:$H$361,MATCH(OrderLines!$M$1,Orders!$A$1:$H$1,0),0)</f>
        <v>Card</v>
      </c>
      <c r="N5" t="str">
        <f t="shared" si="0"/>
        <v>Combo</v>
      </c>
      <c r="O5" t="str" cm="1">
        <f t="array" ref="O5">IF((SUMPRODUCT((OrderID=OrderLines!$A5)*Qty*UnitPrice*DiscountPct))&gt;40,"HighDisc","OK")</f>
        <v>OK</v>
      </c>
      <c r="P5">
        <f>(orderlinesTABLE[[#This Row],[UnitCost]]*orderlinesTABLE[[#This Row],[Qty]])</f>
        <v>23.68</v>
      </c>
      <c r="Q5">
        <f>(orderlinesTABLE[[#This Row],[LineNetAmount]]-orderlinesTABLE[[#This Row],[totalCOST]])</f>
        <v>42.279999999999994</v>
      </c>
      <c r="R5" t="str">
        <f>VLOOKUP($B5,Menu!$A$1:$F$20,MATCH(OrderLines!R$1,Menu!$A$1:$F$1,0),0)</f>
        <v>Masala Chaas</v>
      </c>
      <c r="S5" t="str" cm="1">
        <f t="array" ref="S5">_xlfn.TEXTJOIN("+",TRUE,_xlfn._xlws.FILTER(orderlinesTABLE[ItemName],OrderID=orderlinesTABLE[[#This Row],[OrderID]]))</f>
        <v>Masala Chaas+Poha+Paneer Butter Masala + Naan+Paneer Roll</v>
      </c>
      <c r="T5" s="54">
        <f>orderlinesTABLE[[#This Row],[Profit]]/orderlinesTABLE[[#This Row],[LineNetAmount]]</f>
        <v>0.64099454214675555</v>
      </c>
      <c r="U5" s="70">
        <f>(orderlinesTABLE[[#This Row],[Qty]]*orderlinesTABLE[[#This Row],[UnitCost]])</f>
        <v>23.68</v>
      </c>
      <c r="W5" s="10"/>
      <c r="X5" s="10"/>
      <c r="Y5">
        <v>132647.63059999992</v>
      </c>
      <c r="AB5" s="10"/>
      <c r="AC5" s="10"/>
      <c r="AD5" s="10"/>
    </row>
    <row r="6" spans="1:30" x14ac:dyDescent="0.3">
      <c r="A6" s="14" t="s">
        <v>20</v>
      </c>
      <c r="B6" s="14" t="s">
        <v>401</v>
      </c>
      <c r="C6" s="14">
        <v>1</v>
      </c>
      <c r="D6" s="37">
        <f>VLOOKUP($B6,Menu!$A$1:$F$20,MATCH($D$1,Menu!$A$1:$F$1,0),0)</f>
        <v>52.45</v>
      </c>
      <c r="E6" s="14" t="str">
        <f>VLOOKUP($B6,Menu!$A$1:$F$20,MATCH(OrderLines!E$1,Menu!$A$1:$F$1,0),0)</f>
        <v>Snack</v>
      </c>
      <c r="F6" s="37">
        <f>VLOOKUP($B6,Menu!$A$1:$F$20,MATCH(OrderLines!F$1,Menu!$A$1:$F$1,0),0)</f>
        <v>25.8</v>
      </c>
      <c r="G6" s="28">
        <f>VLOOKUP($A6,Orders!$A$1:$H$361,MATCH($G$1,Orders!$A$1:$H$1,0),0)</f>
        <v>45848</v>
      </c>
      <c r="H6" s="14" t="str">
        <f>VLOOKUP($A6,Orders!$A$1:$H$361,MATCH(OrderLines!$H$1,Orders!$A$1:$H$1,0),0)</f>
        <v>Head Office Café</v>
      </c>
      <c r="I6" s="14">
        <f>VLOOKUP($A6,Orders!$A$1:$H$361,MATCH(OrderLines!$I$1,Orders!$A$1:$H$1,0),0)</f>
        <v>0</v>
      </c>
      <c r="J6" s="14">
        <f t="shared" si="1"/>
        <v>52.45</v>
      </c>
      <c r="K6" s="28" t="str">
        <f t="shared" si="2"/>
        <v>July</v>
      </c>
      <c r="L6" s="14" t="str">
        <f>VLOOKUP(OrderLines!$A6,Orders!$A$1:$H$361,MATCH(OrderLines!$L$1,Orders!$A$1:$H$1,0),0)</f>
        <v>Lunch</v>
      </c>
      <c r="M6" t="str">
        <f>VLOOKUP($A6,Orders!$A$1:$H$361,MATCH(OrderLines!$M$1,Orders!$A$1:$H$1,0),0)</f>
        <v>Card</v>
      </c>
      <c r="N6" t="str">
        <f t="shared" si="0"/>
        <v>Combo</v>
      </c>
      <c r="O6" t="str" cm="1">
        <f t="array" ref="O6">IF((SUMPRODUCT((OrderID=OrderLines!$A6)*Qty*UnitPrice*DiscountPct))&gt;40,"HighDisc","OK")</f>
        <v>OK</v>
      </c>
      <c r="P6">
        <f>(orderlinesTABLE[[#This Row],[UnitCost]]*orderlinesTABLE[[#This Row],[Qty]])</f>
        <v>25.8</v>
      </c>
      <c r="Q6">
        <f>(orderlinesTABLE[[#This Row],[LineNetAmount]]-orderlinesTABLE[[#This Row],[totalCOST]])</f>
        <v>26.650000000000002</v>
      </c>
      <c r="R6" t="str">
        <f>VLOOKUP($B6,Menu!$A$1:$F$20,MATCH(OrderLines!R$1,Menu!$A$1:$F$1,0),0)</f>
        <v>Poha</v>
      </c>
      <c r="S6" t="str" cm="1">
        <f t="array" ref="S6">_xlfn.TEXTJOIN("+",TRUE,_xlfn._xlws.FILTER(orderlinesTABLE[ItemName],OrderID=orderlinesTABLE[[#This Row],[OrderID]]))</f>
        <v>Masala Chaas+Poha+Paneer Butter Masala + Naan+Paneer Roll</v>
      </c>
      <c r="T6" s="54">
        <f>orderlinesTABLE[[#This Row],[Profit]]/orderlinesTABLE[[#This Row],[LineNetAmount]]</f>
        <v>0.50810295519542426</v>
      </c>
      <c r="U6" s="70">
        <f>(orderlinesTABLE[[#This Row],[Qty]]*orderlinesTABLE[[#This Row],[UnitCost]])</f>
        <v>25.8</v>
      </c>
    </row>
    <row r="7" spans="1:30" x14ac:dyDescent="0.3">
      <c r="A7" s="15" t="s">
        <v>20</v>
      </c>
      <c r="B7" s="15" t="s">
        <v>405</v>
      </c>
      <c r="C7" s="15">
        <v>3</v>
      </c>
      <c r="D7" s="36">
        <f>VLOOKUP($B7,Menu!$A$1:$F$20,MATCH($D$1,Menu!$A$1:$F$1,0),0)</f>
        <v>170.83</v>
      </c>
      <c r="E7" s="15" t="str">
        <f>VLOOKUP($B7,Menu!$A$1:$F$20,MATCH(OrderLines!E$1,Menu!$A$1:$F$1,0),0)</f>
        <v>Hot Meal</v>
      </c>
      <c r="F7" s="36">
        <f>VLOOKUP($B7,Menu!$A$1:$F$20,MATCH(OrderLines!F$1,Menu!$A$1:$F$1,0),0)</f>
        <v>74.069999999999993</v>
      </c>
      <c r="G7" s="27">
        <f>VLOOKUP($A7,Orders!$A$1:$H$361,MATCH($G$1,Orders!$A$1:$H$1,0),0)</f>
        <v>45848</v>
      </c>
      <c r="H7" s="15" t="str">
        <f>VLOOKUP($A7,Orders!$A$1:$H$361,MATCH(OrderLines!$H$1,Orders!$A$1:$H$1,0),0)</f>
        <v>Head Office Café</v>
      </c>
      <c r="I7" s="15">
        <f>VLOOKUP($A7,Orders!$A$1:$H$361,MATCH(OrderLines!$I$1,Orders!$A$1:$H$1,0),0)</f>
        <v>0</v>
      </c>
      <c r="J7" s="15">
        <f t="shared" si="1"/>
        <v>512.49</v>
      </c>
      <c r="K7" s="27" t="str">
        <f t="shared" si="2"/>
        <v>July</v>
      </c>
      <c r="L7" s="15" t="str">
        <f>VLOOKUP(OrderLines!$A7,Orders!$A$1:$H$361,MATCH(OrderLines!$L$1,Orders!$A$1:$H$1,0),0)</f>
        <v>Lunch</v>
      </c>
      <c r="M7" t="str">
        <f>VLOOKUP($A7,Orders!$A$1:$H$361,MATCH(OrderLines!$M$1,Orders!$A$1:$H$1,0),0)</f>
        <v>Card</v>
      </c>
      <c r="N7" t="str">
        <f t="shared" si="0"/>
        <v>Combo</v>
      </c>
      <c r="O7" t="str" cm="1">
        <f t="array" ref="O7">IF((SUMPRODUCT((OrderID=OrderLines!$A7)*Qty*UnitPrice*DiscountPct))&gt;40,"HighDisc","OK")</f>
        <v>OK</v>
      </c>
      <c r="P7">
        <f>(orderlinesTABLE[[#This Row],[UnitCost]]*orderlinesTABLE[[#This Row],[Qty]])</f>
        <v>222.20999999999998</v>
      </c>
      <c r="Q7">
        <f>(orderlinesTABLE[[#This Row],[LineNetAmount]]-orderlinesTABLE[[#This Row],[totalCOST]])</f>
        <v>290.28000000000003</v>
      </c>
      <c r="R7" t="str">
        <f>VLOOKUP($B7,Menu!$A$1:$F$20,MATCH(OrderLines!R$1,Menu!$A$1:$F$1,0),0)</f>
        <v>Paneer Butter Masala + Naan</v>
      </c>
      <c r="S7" t="str" cm="1">
        <f t="array" ref="S7">_xlfn.TEXTJOIN("+",TRUE,_xlfn._xlws.FILTER(orderlinesTABLE[ItemName],OrderID=orderlinesTABLE[[#This Row],[OrderID]]))</f>
        <v>Masala Chaas+Poha+Paneer Butter Masala + Naan+Paneer Roll</v>
      </c>
      <c r="T7" s="54">
        <f>orderlinesTABLE[[#This Row],[Profit]]/orderlinesTABLE[[#This Row],[LineNetAmount]]</f>
        <v>0.56641105192296437</v>
      </c>
      <c r="U7" s="70">
        <f>(orderlinesTABLE[[#This Row],[Qty]]*orderlinesTABLE[[#This Row],[UnitCost]])</f>
        <v>222.20999999999998</v>
      </c>
    </row>
    <row r="8" spans="1:30" x14ac:dyDescent="0.3">
      <c r="A8" s="14" t="s">
        <v>20</v>
      </c>
      <c r="B8" s="14" t="s">
        <v>406</v>
      </c>
      <c r="C8" s="14">
        <v>1</v>
      </c>
      <c r="D8" s="37">
        <f>VLOOKUP($B8,Menu!$A$1:$F$20,MATCH($D$1,Menu!$A$1:$F$1,0),0)</f>
        <v>38.06</v>
      </c>
      <c r="E8" s="14" t="str">
        <f>VLOOKUP($B8,Menu!$A$1:$F$20,MATCH(OrderLines!E$1,Menu!$A$1:$F$1,0),0)</f>
        <v>Snack</v>
      </c>
      <c r="F8" s="37">
        <f>VLOOKUP($B8,Menu!$A$1:$F$20,MATCH(OrderLines!F$1,Menu!$A$1:$F$1,0),0)</f>
        <v>19.55</v>
      </c>
      <c r="G8" s="28">
        <f>VLOOKUP($A8,Orders!$A$1:$H$361,MATCH($G$1,Orders!$A$1:$H$1,0),0)</f>
        <v>45848</v>
      </c>
      <c r="H8" s="14" t="str">
        <f>VLOOKUP($A8,Orders!$A$1:$H$361,MATCH(OrderLines!$H$1,Orders!$A$1:$H$1,0),0)</f>
        <v>Head Office Café</v>
      </c>
      <c r="I8" s="14">
        <f>VLOOKUP($A8,Orders!$A$1:$H$361,MATCH(OrderLines!$I$1,Orders!$A$1:$H$1,0),0)</f>
        <v>0</v>
      </c>
      <c r="J8" s="14">
        <f t="shared" si="1"/>
        <v>38.06</v>
      </c>
      <c r="K8" s="28" t="str">
        <f t="shared" si="2"/>
        <v>July</v>
      </c>
      <c r="L8" s="14" t="str">
        <f>VLOOKUP(OrderLines!$A8,Orders!$A$1:$H$361,MATCH(OrderLines!$L$1,Orders!$A$1:$H$1,0),0)</f>
        <v>Lunch</v>
      </c>
      <c r="M8" t="str">
        <f>VLOOKUP($A8,Orders!$A$1:$H$361,MATCH(OrderLines!$M$1,Orders!$A$1:$H$1,0),0)</f>
        <v>Card</v>
      </c>
      <c r="N8" t="str">
        <f t="shared" si="0"/>
        <v>Combo</v>
      </c>
      <c r="O8" t="str" cm="1">
        <f t="array" ref="O8">IF((SUMPRODUCT((OrderID=OrderLines!$A8)*Qty*UnitPrice*DiscountPct))&gt;40,"HighDisc","OK")</f>
        <v>OK</v>
      </c>
      <c r="P8">
        <f>(orderlinesTABLE[[#This Row],[UnitCost]]*orderlinesTABLE[[#This Row],[Qty]])</f>
        <v>19.55</v>
      </c>
      <c r="Q8">
        <f>(orderlinesTABLE[[#This Row],[LineNetAmount]]-orderlinesTABLE[[#This Row],[totalCOST]])</f>
        <v>18.510000000000002</v>
      </c>
      <c r="R8" t="str">
        <f>VLOOKUP($B8,Menu!$A$1:$F$20,MATCH(OrderLines!R$1,Menu!$A$1:$F$1,0),0)</f>
        <v>Paneer Roll</v>
      </c>
      <c r="S8" t="str" cm="1">
        <f t="array" ref="S8">_xlfn.TEXTJOIN("+",TRUE,_xlfn._xlws.FILTER(orderlinesTABLE[ItemName],OrderID=orderlinesTABLE[[#This Row],[OrderID]]))</f>
        <v>Masala Chaas+Poha+Paneer Butter Masala + Naan+Paneer Roll</v>
      </c>
      <c r="T8" s="54">
        <f>orderlinesTABLE[[#This Row],[Profit]]/orderlinesTABLE[[#This Row],[LineNetAmount]]</f>
        <v>0.48633736205990541</v>
      </c>
      <c r="U8" s="70">
        <f>(orderlinesTABLE[[#This Row],[Qty]]*orderlinesTABLE[[#This Row],[UnitCost]])</f>
        <v>19.55</v>
      </c>
    </row>
    <row r="9" spans="1:30" ht="14.4" customHeight="1" x14ac:dyDescent="0.3">
      <c r="A9" s="15" t="s">
        <v>24</v>
      </c>
      <c r="B9" s="15" t="s">
        <v>407</v>
      </c>
      <c r="C9" s="15">
        <v>2</v>
      </c>
      <c r="D9" s="36">
        <f>VLOOKUP($B9,Menu!$A$1:$F$20,MATCH($D$1,Menu!$A$1:$F$1,0),0)</f>
        <v>246.09</v>
      </c>
      <c r="E9" s="15" t="str">
        <f>VLOOKUP($B9,Menu!$A$1:$F$20,MATCH(OrderLines!E$1,Menu!$A$1:$F$1,0),0)</f>
        <v>Hot Meal</v>
      </c>
      <c r="F9" s="36">
        <f>VLOOKUP($B9,Menu!$A$1:$F$20,MATCH(OrderLines!F$1,Menu!$A$1:$F$1,0),0)</f>
        <v>112.08</v>
      </c>
      <c r="G9" s="27">
        <f>VLOOKUP($A9,Orders!$A$1:$H$361,MATCH($G$1,Orders!$A$1:$H$1,0),0)</f>
        <v>45879</v>
      </c>
      <c r="H9" s="15" t="str">
        <f>VLOOKUP($A9,Orders!$A$1:$H$361,MATCH(OrderLines!$H$1,Orders!$A$1:$H$1,0),0)</f>
        <v>Plant 2 Canteen</v>
      </c>
      <c r="I9" s="15">
        <f>VLOOKUP($A9,Orders!$A$1:$H$361,MATCH(OrderLines!$I$1,Orders!$A$1:$H$1,0),0)</f>
        <v>0.03</v>
      </c>
      <c r="J9" s="15">
        <f t="shared" si="1"/>
        <v>477.41460000000001</v>
      </c>
      <c r="K9" s="27" t="str">
        <f t="shared" si="2"/>
        <v>August</v>
      </c>
      <c r="L9" s="15" t="str">
        <f>VLOOKUP(OrderLines!$A9,Orders!$A$1:$H$361,MATCH(OrderLines!$L$1,Orders!$A$1:$H$1,0),0)</f>
        <v>Breakfast</v>
      </c>
      <c r="M9" t="str">
        <f>VLOOKUP($A9,Orders!$A$1:$H$361,MATCH(OrderLines!$M$1,Orders!$A$1:$H$1,0),0)</f>
        <v>Cash</v>
      </c>
      <c r="N9" t="str">
        <f t="shared" si="0"/>
        <v>Single</v>
      </c>
      <c r="O9" t="str" cm="1">
        <f t="array" ref="O9">IF((SUMPRODUCT((OrderID=OrderLines!$A9)*Qty*UnitPrice*DiscountPct))&gt;40,"HighDisc","OK")</f>
        <v>OK</v>
      </c>
      <c r="P9">
        <f>(orderlinesTABLE[[#This Row],[UnitCost]]*orderlinesTABLE[[#This Row],[Qty]])</f>
        <v>224.16</v>
      </c>
      <c r="Q9">
        <f>(orderlinesTABLE[[#This Row],[LineNetAmount]]-orderlinesTABLE[[#This Row],[totalCOST]])</f>
        <v>253.25460000000001</v>
      </c>
      <c r="R9" t="str">
        <f>VLOOKUP($B9,Menu!$A$1:$F$20,MATCH(OrderLines!R$1,Menu!$A$1:$F$1,0),0)</f>
        <v>Egg Curry + Rice</v>
      </c>
      <c r="S9" t="str" cm="1">
        <f t="array" ref="S9">_xlfn.TEXTJOIN("+",TRUE,_xlfn._xlws.FILTER(orderlinesTABLE[ItemName],OrderID=orderlinesTABLE[[#This Row],[OrderID]]))</f>
        <v>Egg Curry + Rice</v>
      </c>
      <c r="T9" s="54">
        <f>orderlinesTABLE[[#This Row],[Profit]]/orderlinesTABLE[[#This Row],[LineNetAmount]]</f>
        <v>0.53047099942062936</v>
      </c>
      <c r="U9" s="70">
        <f>(orderlinesTABLE[[#This Row],[Qty]]*orderlinesTABLE[[#This Row],[UnitCost]])</f>
        <v>224.16</v>
      </c>
    </row>
    <row r="10" spans="1:30" ht="15.6" customHeight="1" x14ac:dyDescent="0.3">
      <c r="A10" s="14" t="s">
        <v>25</v>
      </c>
      <c r="B10" s="14" t="s">
        <v>408</v>
      </c>
      <c r="C10" s="14">
        <v>1</v>
      </c>
      <c r="D10" s="37">
        <f>VLOOKUP($B10,Menu!$A$1:$F$20,MATCH($D$1,Menu!$A$1:$F$1,0),0)</f>
        <v>70.540000000000006</v>
      </c>
      <c r="E10" s="14" t="str">
        <f>VLOOKUP($B10,Menu!$A$1:$F$20,MATCH(OrderLines!E$1,Menu!$A$1:$F$1,0),0)</f>
        <v>Snack</v>
      </c>
      <c r="F10" s="37">
        <f>VLOOKUP($B10,Menu!$A$1:$F$20,MATCH(OrderLines!F$1,Menu!$A$1:$F$1,0),0)</f>
        <v>35.81</v>
      </c>
      <c r="G10" s="28">
        <f>VLOOKUP($A10,Orders!$A$1:$H$361,MATCH($G$1,Orders!$A$1:$H$1,0),0)</f>
        <v>45845</v>
      </c>
      <c r="H10" s="14" t="str">
        <f>VLOOKUP($A10,Orders!$A$1:$H$361,MATCH(OrderLines!$H$1,Orders!$A$1:$H$1,0),0)</f>
        <v>Plant 2 Canteen</v>
      </c>
      <c r="I10" s="14">
        <f>VLOOKUP($A10,Orders!$A$1:$H$361,MATCH(OrderLines!$I$1,Orders!$A$1:$H$1,0),0)</f>
        <v>0.04</v>
      </c>
      <c r="J10" s="14">
        <f t="shared" si="1"/>
        <v>67.718400000000003</v>
      </c>
      <c r="K10" s="28" t="str">
        <f t="shared" si="2"/>
        <v>July</v>
      </c>
      <c r="L10" s="14" t="str">
        <f>VLOOKUP(OrderLines!$A10,Orders!$A$1:$H$361,MATCH(OrderLines!$L$1,Orders!$A$1:$H$1,0),0)</f>
        <v>Breakfast</v>
      </c>
      <c r="M10" t="str">
        <f>VLOOKUP($A10,Orders!$A$1:$H$361,MATCH(OrderLines!$M$1,Orders!$A$1:$H$1,0),0)</f>
        <v>Card</v>
      </c>
      <c r="N10" t="str">
        <f t="shared" si="0"/>
        <v>Single</v>
      </c>
      <c r="O10" t="str" cm="1">
        <f t="array" ref="O10">IF((SUMPRODUCT((OrderID=OrderLines!$A10)*Qty*UnitPrice*DiscountPct))&gt;40,"HighDisc","OK")</f>
        <v>OK</v>
      </c>
      <c r="P10">
        <f>(orderlinesTABLE[[#This Row],[UnitCost]]*orderlinesTABLE[[#This Row],[Qty]])</f>
        <v>35.81</v>
      </c>
      <c r="Q10">
        <f>(orderlinesTABLE[[#This Row],[LineNetAmount]]-orderlinesTABLE[[#This Row],[totalCOST]])</f>
        <v>31.9084</v>
      </c>
      <c r="R10" t="str">
        <f>VLOOKUP($B10,Menu!$A$1:$F$20,MATCH(OrderLines!R$1,Menu!$A$1:$F$1,0),0)</f>
        <v>Veg Sandwich</v>
      </c>
      <c r="S10" t="str" cm="1">
        <f t="array" ref="S10">_xlfn.TEXTJOIN("+",TRUE,_xlfn._xlws.FILTER(orderlinesTABLE[ItemName],OrderID=orderlinesTABLE[[#This Row],[OrderID]]))</f>
        <v>Veg Sandwich+Bottled Water</v>
      </c>
      <c r="T10" s="54">
        <f>orderlinesTABLE[[#This Row],[Profit]]/orderlinesTABLE[[#This Row],[LineNetAmount]]</f>
        <v>0.4711924676306587</v>
      </c>
      <c r="U10" s="70">
        <f>(orderlinesTABLE[[#This Row],[Qty]]*orderlinesTABLE[[#This Row],[UnitCost]])</f>
        <v>35.81</v>
      </c>
      <c r="W10" s="33" t="s">
        <v>539</v>
      </c>
      <c r="Y10" s="11" t="s">
        <v>526</v>
      </c>
      <c r="Z10" t="s">
        <v>524</v>
      </c>
      <c r="AA10" t="s">
        <v>608</v>
      </c>
    </row>
    <row r="11" spans="1:30" ht="13.2" customHeight="1" x14ac:dyDescent="0.3">
      <c r="A11" s="15" t="s">
        <v>25</v>
      </c>
      <c r="B11" s="15" t="s">
        <v>409</v>
      </c>
      <c r="C11" s="15">
        <v>1</v>
      </c>
      <c r="D11" s="36">
        <f>VLOOKUP($B11,Menu!$A$1:$F$20,MATCH($D$1,Menu!$A$1:$F$1,0),0)</f>
        <v>28.43</v>
      </c>
      <c r="E11" s="15" t="str">
        <f>VLOOKUP($B11,Menu!$A$1:$F$20,MATCH(OrderLines!E$1,Menu!$A$1:$F$1,0),0)</f>
        <v>Beverage</v>
      </c>
      <c r="F11" s="36">
        <f>VLOOKUP($B11,Menu!$A$1:$F$20,MATCH(OrderLines!F$1,Menu!$A$1:$F$1,0),0)</f>
        <v>13.89</v>
      </c>
      <c r="G11" s="27">
        <f>VLOOKUP($A11,Orders!$A$1:$H$361,MATCH($G$1,Orders!$A$1:$H$1,0),0)</f>
        <v>45845</v>
      </c>
      <c r="H11" s="15" t="str">
        <f>VLOOKUP($A11,Orders!$A$1:$H$361,MATCH(OrderLines!$H$1,Orders!$A$1:$H$1,0),0)</f>
        <v>Plant 2 Canteen</v>
      </c>
      <c r="I11" s="15">
        <f>VLOOKUP($A11,Orders!$A$1:$H$361,MATCH(OrderLines!$I$1,Orders!$A$1:$H$1,0),0)</f>
        <v>0.04</v>
      </c>
      <c r="J11" s="15">
        <f t="shared" si="1"/>
        <v>27.2928</v>
      </c>
      <c r="K11" s="27" t="str">
        <f t="shared" si="2"/>
        <v>July</v>
      </c>
      <c r="L11" s="15" t="str">
        <f>VLOOKUP(OrderLines!$A11,Orders!$A$1:$H$361,MATCH(OrderLines!$L$1,Orders!$A$1:$H$1,0),0)</f>
        <v>Breakfast</v>
      </c>
      <c r="M11" t="str">
        <f>VLOOKUP($A11,Orders!$A$1:$H$361,MATCH(OrderLines!$M$1,Orders!$A$1:$H$1,0),0)</f>
        <v>Card</v>
      </c>
      <c r="N11" t="str">
        <f t="shared" si="0"/>
        <v>Single</v>
      </c>
      <c r="O11" t="str" cm="1">
        <f t="array" ref="O11">IF((SUMPRODUCT((OrderID=OrderLines!$A11)*Qty*UnitPrice*DiscountPct))&gt;40,"HighDisc","OK")</f>
        <v>OK</v>
      </c>
      <c r="P11">
        <f>(orderlinesTABLE[[#This Row],[UnitCost]]*orderlinesTABLE[[#This Row],[Qty]])</f>
        <v>13.89</v>
      </c>
      <c r="Q11">
        <f>(orderlinesTABLE[[#This Row],[LineNetAmount]]-orderlinesTABLE[[#This Row],[totalCOST]])</f>
        <v>13.402799999999999</v>
      </c>
      <c r="R11" t="str">
        <f>VLOOKUP($B11,Menu!$A$1:$F$20,MATCH(OrderLines!R$1,Menu!$A$1:$F$1,0),0)</f>
        <v>Bottled Water</v>
      </c>
      <c r="S11" t="str" cm="1">
        <f t="array" ref="S11">_xlfn.TEXTJOIN("+",TRUE,_xlfn._xlws.FILTER(orderlinesTABLE[ItemName],OrderID=orderlinesTABLE[[#This Row],[OrderID]]))</f>
        <v>Veg Sandwich+Bottled Water</v>
      </c>
      <c r="T11" s="54">
        <f>orderlinesTABLE[[#This Row],[Profit]]/orderlinesTABLE[[#This Row],[LineNetAmount]]</f>
        <v>0.49107456911712977</v>
      </c>
      <c r="U11" s="70">
        <f>(orderlinesTABLE[[#This Row],[Qty]]*orderlinesTABLE[[#This Row],[UnitCost]])</f>
        <v>13.89</v>
      </c>
      <c r="Y11" s="12" t="s">
        <v>528</v>
      </c>
      <c r="Z11">
        <v>63939.190700000021</v>
      </c>
      <c r="AA11" s="40"/>
    </row>
    <row r="12" spans="1:30" ht="18" customHeight="1" x14ac:dyDescent="0.3">
      <c r="A12" s="14" t="s">
        <v>26</v>
      </c>
      <c r="B12" s="14" t="s">
        <v>410</v>
      </c>
      <c r="C12" s="14">
        <v>3</v>
      </c>
      <c r="D12" s="37">
        <f>VLOOKUP($B12,Menu!$A$1:$F$20,MATCH($D$1,Menu!$A$1:$F$1,0),0)</f>
        <v>20.11</v>
      </c>
      <c r="E12" s="14" t="str">
        <f>VLOOKUP($B12,Menu!$A$1:$F$20,MATCH(OrderLines!E$1,Menu!$A$1:$F$1,0),0)</f>
        <v>Beverage</v>
      </c>
      <c r="F12" s="37">
        <f>VLOOKUP($B12,Menu!$A$1:$F$20,MATCH(OrderLines!F$1,Menu!$A$1:$F$1,0),0)</f>
        <v>8</v>
      </c>
      <c r="G12" s="28">
        <f>VLOOKUP($A12,Orders!$A$1:$H$361,MATCH($G$1,Orders!$A$1:$H$1,0),0)</f>
        <v>45863</v>
      </c>
      <c r="H12" s="14" t="str">
        <f>VLOOKUP($A12,Orders!$A$1:$H$361,MATCH(OrderLines!$H$1,Orders!$A$1:$H$1,0),0)</f>
        <v>Plant 1 Canteen</v>
      </c>
      <c r="I12" s="14">
        <f>VLOOKUP($A12,Orders!$A$1:$H$361,MATCH(OrderLines!$I$1,Orders!$A$1:$H$1,0),0)</f>
        <v>0.1</v>
      </c>
      <c r="J12" s="14">
        <f t="shared" si="1"/>
        <v>54.296999999999997</v>
      </c>
      <c r="K12" s="28" t="str">
        <f t="shared" si="2"/>
        <v>July</v>
      </c>
      <c r="L12" s="14" t="str">
        <f>VLOOKUP(OrderLines!$A12,Orders!$A$1:$H$361,MATCH(OrderLines!$L$1,Orders!$A$1:$H$1,0),0)</f>
        <v>Breakfast</v>
      </c>
      <c r="M12" t="str">
        <f>VLOOKUP($A12,Orders!$A$1:$H$361,MATCH(OrderLines!$M$1,Orders!$A$1:$H$1,0),0)</f>
        <v>UPI</v>
      </c>
      <c r="N12" t="str">
        <f t="shared" si="0"/>
        <v>Single</v>
      </c>
      <c r="O12" t="str" cm="1">
        <f t="array" ref="O12">IF((SUMPRODUCT((OrderID=OrderLines!$A12)*Qty*UnitPrice*DiscountPct))&gt;40,"HighDisc","OK")</f>
        <v>OK</v>
      </c>
      <c r="P12">
        <f>(orderlinesTABLE[[#This Row],[UnitCost]]*orderlinesTABLE[[#This Row],[Qty]])</f>
        <v>24</v>
      </c>
      <c r="Q12">
        <f>(orderlinesTABLE[[#This Row],[LineNetAmount]]-orderlinesTABLE[[#This Row],[totalCOST]])</f>
        <v>30.296999999999997</v>
      </c>
      <c r="R12" t="str">
        <f>VLOOKUP($B12,Menu!$A$1:$F$20,MATCH(OrderLines!R$1,Menu!$A$1:$F$1,0),0)</f>
        <v>Nimbu Pani</v>
      </c>
      <c r="S12" t="str" cm="1">
        <f t="array" ref="S12">_xlfn.TEXTJOIN("+",TRUE,_xlfn._xlws.FILTER(orderlinesTABLE[ItemName],OrderID=orderlinesTABLE[[#This Row],[OrderID]]))</f>
        <v>Nimbu Pani</v>
      </c>
      <c r="T12" s="54">
        <f>orderlinesTABLE[[#This Row],[Profit]]/orderlinesTABLE[[#This Row],[LineNetAmount]]</f>
        <v>0.5579866290955301</v>
      </c>
      <c r="U12" s="70">
        <f>(orderlinesTABLE[[#This Row],[Qty]]*orderlinesTABLE[[#This Row],[UnitCost]])</f>
        <v>24</v>
      </c>
      <c r="Y12" s="12" t="s">
        <v>529</v>
      </c>
      <c r="Z12">
        <v>68708.43990000007</v>
      </c>
      <c r="AA12" s="40">
        <v>7.4590390459853717E-2</v>
      </c>
    </row>
    <row r="13" spans="1:30" ht="14.4" customHeight="1" x14ac:dyDescent="0.3">
      <c r="A13" s="15" t="s">
        <v>30</v>
      </c>
      <c r="B13" s="15" t="s">
        <v>404</v>
      </c>
      <c r="C13" s="15">
        <v>1</v>
      </c>
      <c r="D13" s="36">
        <f>VLOOKUP($B13,Menu!$A$1:$F$20,MATCH($D$1,Menu!$A$1:$F$1,0),0)</f>
        <v>32.979999999999997</v>
      </c>
      <c r="E13" s="15" t="str">
        <f>VLOOKUP($B13,Menu!$A$1:$F$20,MATCH(OrderLines!E$1,Menu!$A$1:$F$1,0),0)</f>
        <v>Beverage</v>
      </c>
      <c r="F13" s="36">
        <f>VLOOKUP($B13,Menu!$A$1:$F$20,MATCH(OrderLines!F$1,Menu!$A$1:$F$1,0),0)</f>
        <v>11.84</v>
      </c>
      <c r="G13" s="27">
        <f>VLOOKUP($A13,Orders!$A$1:$H$361,MATCH($G$1,Orders!$A$1:$H$1,0),0)</f>
        <v>45852</v>
      </c>
      <c r="H13" s="15" t="str">
        <f>VLOOKUP($A13,Orders!$A$1:$H$361,MATCH(OrderLines!$H$1,Orders!$A$1:$H$1,0),0)</f>
        <v>Plant 2 Canteen</v>
      </c>
      <c r="I13" s="15">
        <f>VLOOKUP($A13,Orders!$A$1:$H$361,MATCH(OrderLines!$I$1,Orders!$A$1:$H$1,0),0)</f>
        <v>7.0000000000000007E-2</v>
      </c>
      <c r="J13" s="15">
        <f t="shared" si="1"/>
        <v>30.671399999999995</v>
      </c>
      <c r="K13" s="27" t="str">
        <f t="shared" si="2"/>
        <v>July</v>
      </c>
      <c r="L13" s="15" t="str">
        <f>VLOOKUP(OrderLines!$A13,Orders!$A$1:$H$361,MATCH(OrderLines!$L$1,Orders!$A$1:$H$1,0),0)</f>
        <v>Dinner</v>
      </c>
      <c r="M13" t="str">
        <f>VLOOKUP($A13,Orders!$A$1:$H$361,MATCH(OrderLines!$M$1,Orders!$A$1:$H$1,0),0)</f>
        <v>Card</v>
      </c>
      <c r="N13" t="str">
        <f t="shared" si="0"/>
        <v>Combo</v>
      </c>
      <c r="O13" t="str" cm="1">
        <f t="array" ref="O13">IF((SUMPRODUCT((OrderID=OrderLines!$A13)*Qty*UnitPrice*DiscountPct))&gt;40,"HighDisc","OK")</f>
        <v>OK</v>
      </c>
      <c r="P13">
        <f>(orderlinesTABLE[[#This Row],[UnitCost]]*orderlinesTABLE[[#This Row],[Qty]])</f>
        <v>11.84</v>
      </c>
      <c r="Q13">
        <f>(orderlinesTABLE[[#This Row],[LineNetAmount]]-orderlinesTABLE[[#This Row],[totalCOST]])</f>
        <v>18.831399999999995</v>
      </c>
      <c r="R13" t="str">
        <f>VLOOKUP($B13,Menu!$A$1:$F$20,MATCH(OrderLines!R$1,Menu!$A$1:$F$1,0),0)</f>
        <v>Masala Chaas</v>
      </c>
      <c r="S13" t="str" cm="1">
        <f t="array" ref="S13">_xlfn.TEXTJOIN("+",TRUE,_xlfn._xlws.FILTER(orderlinesTABLE[ItemName],OrderID=orderlinesTABLE[[#This Row],[OrderID]]))</f>
        <v>Masala Chaas+Paneer Butter Masala + Naan</v>
      </c>
      <c r="T13" s="54">
        <f>orderlinesTABLE[[#This Row],[Profit]]/orderlinesTABLE[[#This Row],[LineNetAmount]]</f>
        <v>0.61397262596425328</v>
      </c>
      <c r="U13" s="70">
        <f>(orderlinesTABLE[[#This Row],[Qty]]*orderlinesTABLE[[#This Row],[UnitCost]])</f>
        <v>11.84</v>
      </c>
      <c r="Y13" s="12" t="s">
        <v>527</v>
      </c>
      <c r="Z13">
        <v>132647.63060000009</v>
      </c>
      <c r="AA13" s="40"/>
    </row>
    <row r="14" spans="1:30" ht="17.399999999999999" customHeight="1" x14ac:dyDescent="0.3">
      <c r="A14" s="14" t="s">
        <v>30</v>
      </c>
      <c r="B14" s="14" t="s">
        <v>405</v>
      </c>
      <c r="C14" s="14">
        <v>2</v>
      </c>
      <c r="D14" s="37">
        <f>VLOOKUP($B14,Menu!$A$1:$F$20,MATCH($D$1,Menu!$A$1:$F$1,0),0)</f>
        <v>170.83</v>
      </c>
      <c r="E14" s="14" t="str">
        <f>VLOOKUP($B14,Menu!$A$1:$F$20,MATCH(OrderLines!E$1,Menu!$A$1:$F$1,0),0)</f>
        <v>Hot Meal</v>
      </c>
      <c r="F14" s="37">
        <f>VLOOKUP($B14,Menu!$A$1:$F$20,MATCH(OrderLines!F$1,Menu!$A$1:$F$1,0),0)</f>
        <v>74.069999999999993</v>
      </c>
      <c r="G14" s="28">
        <f>VLOOKUP($A14,Orders!$A$1:$H$361,MATCH($G$1,Orders!$A$1:$H$1,0),0)</f>
        <v>45852</v>
      </c>
      <c r="H14" s="14" t="str">
        <f>VLOOKUP($A14,Orders!$A$1:$H$361,MATCH(OrderLines!$H$1,Orders!$A$1:$H$1,0),0)</f>
        <v>Plant 2 Canteen</v>
      </c>
      <c r="I14" s="14">
        <f>VLOOKUP($A14,Orders!$A$1:$H$361,MATCH(OrderLines!$I$1,Orders!$A$1:$H$1,0),0)</f>
        <v>7.0000000000000007E-2</v>
      </c>
      <c r="J14" s="14">
        <f t="shared" si="1"/>
        <v>317.74380000000002</v>
      </c>
      <c r="K14" s="28" t="str">
        <f t="shared" si="2"/>
        <v>July</v>
      </c>
      <c r="L14" s="14" t="str">
        <f>VLOOKUP(OrderLines!$A14,Orders!$A$1:$H$361,MATCH(OrderLines!$L$1,Orders!$A$1:$H$1,0),0)</f>
        <v>Dinner</v>
      </c>
      <c r="M14" t="str">
        <f>VLOOKUP($A14,Orders!$A$1:$H$361,MATCH(OrderLines!$M$1,Orders!$A$1:$H$1,0),0)</f>
        <v>Card</v>
      </c>
      <c r="N14" t="str">
        <f t="shared" si="0"/>
        <v>Combo</v>
      </c>
      <c r="O14" t="str" cm="1">
        <f t="array" ref="O14">IF((SUMPRODUCT((OrderID=OrderLines!$A14)*Qty*UnitPrice*DiscountPct))&gt;40,"HighDisc","OK")</f>
        <v>OK</v>
      </c>
      <c r="P14">
        <f>(orderlinesTABLE[[#This Row],[UnitCost]]*orderlinesTABLE[[#This Row],[Qty]])</f>
        <v>148.13999999999999</v>
      </c>
      <c r="Q14">
        <f>(orderlinesTABLE[[#This Row],[LineNetAmount]]-orderlinesTABLE[[#This Row],[totalCOST]])</f>
        <v>169.60380000000004</v>
      </c>
      <c r="R14" t="str">
        <f>VLOOKUP($B14,Menu!$A$1:$F$20,MATCH(OrderLines!R$1,Menu!$A$1:$F$1,0),0)</f>
        <v>Paneer Butter Masala + Naan</v>
      </c>
      <c r="S14" t="str" cm="1">
        <f t="array" ref="S14">_xlfn.TEXTJOIN("+",TRUE,_xlfn._xlws.FILTER(orderlinesTABLE[ItemName],OrderID=orderlinesTABLE[[#This Row],[OrderID]]))</f>
        <v>Masala Chaas+Paneer Butter Masala + Naan</v>
      </c>
      <c r="T14" s="54">
        <f>orderlinesTABLE[[#This Row],[Profit]]/orderlinesTABLE[[#This Row],[LineNetAmount]]</f>
        <v>0.53377532464834887</v>
      </c>
      <c r="U14" s="70">
        <f>(orderlinesTABLE[[#This Row],[Qty]]*orderlinesTABLE[[#This Row],[UnitCost]])</f>
        <v>148.13999999999999</v>
      </c>
    </row>
    <row r="15" spans="1:30" ht="16.2" customHeight="1" x14ac:dyDescent="0.3">
      <c r="A15" s="15" t="s">
        <v>31</v>
      </c>
      <c r="B15" s="15" t="s">
        <v>411</v>
      </c>
      <c r="C15" s="15">
        <v>1</v>
      </c>
      <c r="D15" s="36">
        <f>VLOOKUP($B15,Menu!$A$1:$F$20,MATCH($D$1,Menu!$A$1:$F$1,0),0)</f>
        <v>22.2</v>
      </c>
      <c r="E15" s="15" t="str">
        <f>VLOOKUP($B15,Menu!$A$1:$F$20,MATCH(OrderLines!E$1,Menu!$A$1:$F$1,0),0)</f>
        <v>Beverage</v>
      </c>
      <c r="F15" s="36">
        <f>VLOOKUP($B15,Menu!$A$1:$F$20,MATCH(OrderLines!F$1,Menu!$A$1:$F$1,0),0)</f>
        <v>9.3800000000000008</v>
      </c>
      <c r="G15" s="27">
        <f>VLOOKUP($A15,Orders!$A$1:$H$361,MATCH($G$1,Orders!$A$1:$H$1,0),0)</f>
        <v>45863</v>
      </c>
      <c r="H15" s="15" t="str">
        <f>VLOOKUP($A15,Orders!$A$1:$H$361,MATCH(OrderLines!$H$1,Orders!$A$1:$H$1,0),0)</f>
        <v>Plant 1 Canteen</v>
      </c>
      <c r="I15" s="15">
        <f>VLOOKUP($A15,Orders!$A$1:$H$361,MATCH(OrderLines!$I$1,Orders!$A$1:$H$1,0),0)</f>
        <v>0</v>
      </c>
      <c r="J15" s="15">
        <f t="shared" si="1"/>
        <v>22.2</v>
      </c>
      <c r="K15" s="27" t="str">
        <f t="shared" si="2"/>
        <v>July</v>
      </c>
      <c r="L15" s="15" t="str">
        <f>VLOOKUP(OrderLines!$A15,Orders!$A$1:$H$361,MATCH(OrderLines!$L$1,Orders!$A$1:$H$1,0),0)</f>
        <v>Lunch</v>
      </c>
      <c r="M15" t="str">
        <f>VLOOKUP($A15,Orders!$A$1:$H$361,MATCH(OrderLines!$M$1,Orders!$A$1:$H$1,0),0)</f>
        <v>UPI</v>
      </c>
      <c r="N15" t="str">
        <f t="shared" si="0"/>
        <v>Single</v>
      </c>
      <c r="O15" t="str" cm="1">
        <f t="array" ref="O15">IF((SUMPRODUCT((OrderID=OrderLines!$A15)*Qty*UnitPrice*DiscountPct))&gt;40,"HighDisc","OK")</f>
        <v>OK</v>
      </c>
      <c r="P15">
        <f>(orderlinesTABLE[[#This Row],[UnitCost]]*orderlinesTABLE[[#This Row],[Qty]])</f>
        <v>9.3800000000000008</v>
      </c>
      <c r="Q15">
        <f>(orderlinesTABLE[[#This Row],[LineNetAmount]]-orderlinesTABLE[[#This Row],[totalCOST]])</f>
        <v>12.819999999999999</v>
      </c>
      <c r="R15" t="str">
        <f>VLOOKUP($B15,Menu!$A$1:$F$20,MATCH(OrderLines!R$1,Menu!$A$1:$F$1,0),0)</f>
        <v>Coffee</v>
      </c>
      <c r="S15" t="str" cm="1">
        <f t="array" ref="S15">_xlfn.TEXTJOIN("+",TRUE,_xlfn._xlws.FILTER(orderlinesTABLE[ItemName],OrderID=orderlinesTABLE[[#This Row],[OrderID]]))</f>
        <v>Coffee+Fruit Cup+Tea</v>
      </c>
      <c r="T15" s="54">
        <f>orderlinesTABLE[[#This Row],[Profit]]/orderlinesTABLE[[#This Row],[LineNetAmount]]</f>
        <v>0.57747747747747746</v>
      </c>
      <c r="U15" s="70">
        <f>(orderlinesTABLE[[#This Row],[Qty]]*orderlinesTABLE[[#This Row],[UnitCost]])</f>
        <v>9.3800000000000008</v>
      </c>
    </row>
    <row r="16" spans="1:30" ht="20.399999999999999" customHeight="1" x14ac:dyDescent="0.3">
      <c r="A16" s="14" t="s">
        <v>31</v>
      </c>
      <c r="B16" s="14" t="s">
        <v>412</v>
      </c>
      <c r="C16" s="14">
        <v>3</v>
      </c>
      <c r="D16" s="37">
        <f>VLOOKUP($B16,Menu!$A$1:$F$20,MATCH($D$1,Menu!$A$1:$F$1,0),0)</f>
        <v>57.07</v>
      </c>
      <c r="E16" s="14" t="str">
        <f>VLOOKUP($B16,Menu!$A$1:$F$20,MATCH(OrderLines!E$1,Menu!$A$1:$F$1,0),0)</f>
        <v>Dessert</v>
      </c>
      <c r="F16" s="37">
        <f>VLOOKUP($B16,Menu!$A$1:$F$20,MATCH(OrderLines!F$1,Menu!$A$1:$F$1,0),0)</f>
        <v>29.14</v>
      </c>
      <c r="G16" s="28">
        <f>VLOOKUP($A16,Orders!$A$1:$H$361,MATCH($G$1,Orders!$A$1:$H$1,0),0)</f>
        <v>45863</v>
      </c>
      <c r="H16" s="14" t="str">
        <f>VLOOKUP($A16,Orders!$A$1:$H$361,MATCH(OrderLines!$H$1,Orders!$A$1:$H$1,0),0)</f>
        <v>Plant 1 Canteen</v>
      </c>
      <c r="I16" s="14">
        <f>VLOOKUP($A16,Orders!$A$1:$H$361,MATCH(OrderLines!$I$1,Orders!$A$1:$H$1,0),0)</f>
        <v>0</v>
      </c>
      <c r="J16" s="14">
        <f t="shared" si="1"/>
        <v>171.21</v>
      </c>
      <c r="K16" s="28" t="str">
        <f t="shared" si="2"/>
        <v>July</v>
      </c>
      <c r="L16" s="14" t="str">
        <f>VLOOKUP(OrderLines!$A16,Orders!$A$1:$H$361,MATCH(OrderLines!$L$1,Orders!$A$1:$H$1,0),0)</f>
        <v>Lunch</v>
      </c>
      <c r="M16" t="str">
        <f>VLOOKUP($A16,Orders!$A$1:$H$361,MATCH(OrderLines!$M$1,Orders!$A$1:$H$1,0),0)</f>
        <v>UPI</v>
      </c>
      <c r="N16" t="str">
        <f t="shared" si="0"/>
        <v>Single</v>
      </c>
      <c r="O16" t="str" cm="1">
        <f t="array" ref="O16">IF((SUMPRODUCT((OrderID=OrderLines!$A16)*Qty*UnitPrice*DiscountPct))&gt;40,"HighDisc","OK")</f>
        <v>OK</v>
      </c>
      <c r="P16">
        <f>(orderlinesTABLE[[#This Row],[UnitCost]]*orderlinesTABLE[[#This Row],[Qty]])</f>
        <v>87.42</v>
      </c>
      <c r="Q16">
        <f>(orderlinesTABLE[[#This Row],[LineNetAmount]]-orderlinesTABLE[[#This Row],[totalCOST]])</f>
        <v>83.79</v>
      </c>
      <c r="R16" t="str">
        <f>VLOOKUP($B16,Menu!$A$1:$F$20,MATCH(OrderLines!R$1,Menu!$A$1:$F$1,0),0)</f>
        <v>Fruit Cup</v>
      </c>
      <c r="S16" t="str" cm="1">
        <f t="array" ref="S16">_xlfn.TEXTJOIN("+",TRUE,_xlfn._xlws.FILTER(orderlinesTABLE[ItemName],OrderID=orderlinesTABLE[[#This Row],[OrderID]]))</f>
        <v>Coffee+Fruit Cup+Tea</v>
      </c>
      <c r="T16" s="54">
        <f>orderlinesTABLE[[#This Row],[Profit]]/orderlinesTABLE[[#This Row],[LineNetAmount]]</f>
        <v>0.48939898370422291</v>
      </c>
      <c r="U16" s="70">
        <f>(orderlinesTABLE[[#This Row],[Qty]]*orderlinesTABLE[[#This Row],[UnitCost]])</f>
        <v>87.42</v>
      </c>
      <c r="X16" s="68" t="s">
        <v>609</v>
      </c>
      <c r="Y16" s="13">
        <f>(GETPIVOTDATA("LineNetAmount",$Y$10,"MonthName","August")-GETPIVOTDATA("LineNetAmount",$Y$10,"MonthName","July"))/GETPIVOTDATA("LineNetAmount",$Y$10,"MonthName","July")*100</f>
        <v>7.4590390459853717</v>
      </c>
      <c r="Z16" s="13" t="s">
        <v>530</v>
      </c>
      <c r="AB16" s="9"/>
      <c r="AC16" s="9"/>
    </row>
    <row r="17" spans="1:29" x14ac:dyDescent="0.3">
      <c r="A17" s="15" t="s">
        <v>31</v>
      </c>
      <c r="B17" s="15" t="s">
        <v>402</v>
      </c>
      <c r="C17" s="15">
        <v>1</v>
      </c>
      <c r="D17" s="36">
        <f>VLOOKUP($B17,Menu!$A$1:$F$20,MATCH($D$1,Menu!$A$1:$F$1,0),0)</f>
        <v>30.34</v>
      </c>
      <c r="E17" s="15" t="str">
        <f>VLOOKUP($B17,Menu!$A$1:$F$20,MATCH(OrderLines!E$1,Menu!$A$1:$F$1,0),0)</f>
        <v>Beverage</v>
      </c>
      <c r="F17" s="36">
        <f>VLOOKUP($B17,Menu!$A$1:$F$20,MATCH(OrderLines!F$1,Menu!$A$1:$F$1,0),0)</f>
        <v>14.18</v>
      </c>
      <c r="G17" s="27">
        <f>VLOOKUP($A17,Orders!$A$1:$H$361,MATCH($G$1,Orders!$A$1:$H$1,0),0)</f>
        <v>45863</v>
      </c>
      <c r="H17" s="15" t="str">
        <f>VLOOKUP($A17,Orders!$A$1:$H$361,MATCH(OrderLines!$H$1,Orders!$A$1:$H$1,0),0)</f>
        <v>Plant 1 Canteen</v>
      </c>
      <c r="I17" s="15">
        <f>VLOOKUP($A17,Orders!$A$1:$H$361,MATCH(OrderLines!$I$1,Orders!$A$1:$H$1,0),0)</f>
        <v>0</v>
      </c>
      <c r="J17" s="15">
        <f t="shared" si="1"/>
        <v>30.34</v>
      </c>
      <c r="K17" s="27" t="str">
        <f t="shared" si="2"/>
        <v>July</v>
      </c>
      <c r="L17" s="15" t="str">
        <f>VLOOKUP(OrderLines!$A17,Orders!$A$1:$H$361,MATCH(OrderLines!$L$1,Orders!$A$1:$H$1,0),0)</f>
        <v>Lunch</v>
      </c>
      <c r="M17" t="str">
        <f>VLOOKUP($A17,Orders!$A$1:$H$361,MATCH(OrderLines!$M$1,Orders!$A$1:$H$1,0),0)</f>
        <v>UPI</v>
      </c>
      <c r="N17" t="str">
        <f t="shared" si="0"/>
        <v>Single</v>
      </c>
      <c r="O17" t="str" cm="1">
        <f t="array" ref="O17">IF((SUMPRODUCT((OrderID=OrderLines!$A17)*Qty*UnitPrice*DiscountPct))&gt;40,"HighDisc","OK")</f>
        <v>OK</v>
      </c>
      <c r="P17">
        <f>(orderlinesTABLE[[#This Row],[UnitCost]]*orderlinesTABLE[[#This Row],[Qty]])</f>
        <v>14.18</v>
      </c>
      <c r="Q17">
        <f>(orderlinesTABLE[[#This Row],[LineNetAmount]]-orderlinesTABLE[[#This Row],[totalCOST]])</f>
        <v>16.16</v>
      </c>
      <c r="R17" t="str">
        <f>VLOOKUP($B17,Menu!$A$1:$F$20,MATCH(OrderLines!R$1,Menu!$A$1:$F$1,0),0)</f>
        <v>Tea</v>
      </c>
      <c r="S17" t="str" cm="1">
        <f t="array" ref="S17">_xlfn.TEXTJOIN("+",TRUE,_xlfn._xlws.FILTER(orderlinesTABLE[ItemName],OrderID=orderlinesTABLE[[#This Row],[OrderID]]))</f>
        <v>Coffee+Fruit Cup+Tea</v>
      </c>
      <c r="T17" s="54">
        <f>orderlinesTABLE[[#This Row],[Profit]]/orderlinesTABLE[[#This Row],[LineNetAmount]]</f>
        <v>0.53263019116677657</v>
      </c>
      <c r="U17" s="70">
        <f>(orderlinesTABLE[[#This Row],[Qty]]*orderlinesTABLE[[#This Row],[UnitCost]])</f>
        <v>14.18</v>
      </c>
    </row>
    <row r="18" spans="1:29" x14ac:dyDescent="0.3">
      <c r="A18" s="14" t="s">
        <v>32</v>
      </c>
      <c r="B18" s="14" t="s">
        <v>405</v>
      </c>
      <c r="C18" s="14">
        <v>2</v>
      </c>
      <c r="D18" s="37">
        <f>VLOOKUP($B18,Menu!$A$1:$F$20,MATCH($D$1,Menu!$A$1:$F$1,0),0)</f>
        <v>170.83</v>
      </c>
      <c r="E18" s="14" t="str">
        <f>VLOOKUP($B18,Menu!$A$1:$F$20,MATCH(OrderLines!E$1,Menu!$A$1:$F$1,0),0)</f>
        <v>Hot Meal</v>
      </c>
      <c r="F18" s="37">
        <f>VLOOKUP($B18,Menu!$A$1:$F$20,MATCH(OrderLines!F$1,Menu!$A$1:$F$1,0),0)</f>
        <v>74.069999999999993</v>
      </c>
      <c r="G18" s="28">
        <f>VLOOKUP($A18,Orders!$A$1:$H$361,MATCH($G$1,Orders!$A$1:$H$1,0),0)</f>
        <v>45844</v>
      </c>
      <c r="H18" s="14" t="str">
        <f>VLOOKUP($A18,Orders!$A$1:$H$361,MATCH(OrderLines!$H$1,Orders!$A$1:$H$1,0),0)</f>
        <v>Head Office Café</v>
      </c>
      <c r="I18" s="14">
        <f>VLOOKUP($A18,Orders!$A$1:$H$361,MATCH(OrderLines!$I$1,Orders!$A$1:$H$1,0),0)</f>
        <v>7.0000000000000007E-2</v>
      </c>
      <c r="J18" s="14">
        <f t="shared" si="1"/>
        <v>317.74380000000002</v>
      </c>
      <c r="K18" s="28" t="str">
        <f t="shared" si="2"/>
        <v>July</v>
      </c>
      <c r="L18" s="14" t="str">
        <f>VLOOKUP(OrderLines!$A18,Orders!$A$1:$H$361,MATCH(OrderLines!$L$1,Orders!$A$1:$H$1,0),0)</f>
        <v>Breakfast</v>
      </c>
      <c r="M18" t="str">
        <f>VLOOKUP($A18,Orders!$A$1:$H$361,MATCH(OrderLines!$M$1,Orders!$A$1:$H$1,0),0)</f>
        <v>Cash</v>
      </c>
      <c r="N18" t="str">
        <f t="shared" si="0"/>
        <v>Single</v>
      </c>
      <c r="O18" t="str" cm="1">
        <f t="array" ref="O18">IF((SUMPRODUCT((OrderID=OrderLines!$A18)*Qty*UnitPrice*DiscountPct))&gt;40,"HighDisc","OK")</f>
        <v>OK</v>
      </c>
      <c r="P18">
        <f>(orderlinesTABLE[[#This Row],[UnitCost]]*orderlinesTABLE[[#This Row],[Qty]])</f>
        <v>148.13999999999999</v>
      </c>
      <c r="Q18">
        <f>(orderlinesTABLE[[#This Row],[LineNetAmount]]-orderlinesTABLE[[#This Row],[totalCOST]])</f>
        <v>169.60380000000004</v>
      </c>
      <c r="R18" t="str">
        <f>VLOOKUP($B18,Menu!$A$1:$F$20,MATCH(OrderLines!R$1,Menu!$A$1:$F$1,0),0)</f>
        <v>Paneer Butter Masala + Naan</v>
      </c>
      <c r="S18" t="str" cm="1">
        <f t="array" ref="S18">_xlfn.TEXTJOIN("+",TRUE,_xlfn._xlws.FILTER(orderlinesTABLE[ItemName],OrderID=orderlinesTABLE[[#This Row],[OrderID]]))</f>
        <v>Paneer Butter Masala + Naan+Fruit Cup+Paneer Roll</v>
      </c>
      <c r="T18" s="54">
        <f>orderlinesTABLE[[#This Row],[Profit]]/orderlinesTABLE[[#This Row],[LineNetAmount]]</f>
        <v>0.53377532464834887</v>
      </c>
      <c r="U18" s="70">
        <f>(orderlinesTABLE[[#This Row],[Qty]]*orderlinesTABLE[[#This Row],[UnitCost]])</f>
        <v>148.13999999999999</v>
      </c>
    </row>
    <row r="19" spans="1:29" x14ac:dyDescent="0.3">
      <c r="A19" s="15" t="s">
        <v>32</v>
      </c>
      <c r="B19" s="15" t="s">
        <v>412</v>
      </c>
      <c r="C19" s="15">
        <v>2</v>
      </c>
      <c r="D19" s="36">
        <f>VLOOKUP($B19,Menu!$A$1:$F$20,MATCH($D$1,Menu!$A$1:$F$1,0),0)</f>
        <v>57.07</v>
      </c>
      <c r="E19" s="15" t="str">
        <f>VLOOKUP($B19,Menu!$A$1:$F$20,MATCH(OrderLines!E$1,Menu!$A$1:$F$1,0),0)</f>
        <v>Dessert</v>
      </c>
      <c r="F19" s="36">
        <f>VLOOKUP($B19,Menu!$A$1:$F$20,MATCH(OrderLines!F$1,Menu!$A$1:$F$1,0),0)</f>
        <v>29.14</v>
      </c>
      <c r="G19" s="27">
        <f>VLOOKUP($A19,Orders!$A$1:$H$361,MATCH($G$1,Orders!$A$1:$H$1,0),0)</f>
        <v>45844</v>
      </c>
      <c r="H19" s="15" t="str">
        <f>VLOOKUP($A19,Orders!$A$1:$H$361,MATCH(OrderLines!$H$1,Orders!$A$1:$H$1,0),0)</f>
        <v>Head Office Café</v>
      </c>
      <c r="I19" s="15">
        <f>VLOOKUP($A19,Orders!$A$1:$H$361,MATCH(OrderLines!$I$1,Orders!$A$1:$H$1,0),0)</f>
        <v>7.0000000000000007E-2</v>
      </c>
      <c r="J19" s="15">
        <f t="shared" si="1"/>
        <v>106.1502</v>
      </c>
      <c r="K19" s="27" t="str">
        <f t="shared" si="2"/>
        <v>July</v>
      </c>
      <c r="L19" s="15" t="str">
        <f>VLOOKUP(OrderLines!$A19,Orders!$A$1:$H$361,MATCH(OrderLines!$L$1,Orders!$A$1:$H$1,0),0)</f>
        <v>Breakfast</v>
      </c>
      <c r="M19" t="str">
        <f>VLOOKUP($A19,Orders!$A$1:$H$361,MATCH(OrderLines!$M$1,Orders!$A$1:$H$1,0),0)</f>
        <v>Cash</v>
      </c>
      <c r="N19" t="str">
        <f t="shared" si="0"/>
        <v>Single</v>
      </c>
      <c r="O19" t="str" cm="1">
        <f t="array" ref="O19">IF((SUMPRODUCT((OrderID=OrderLines!$A19)*Qty*UnitPrice*DiscountPct))&gt;40,"HighDisc","OK")</f>
        <v>OK</v>
      </c>
      <c r="P19">
        <f>(orderlinesTABLE[[#This Row],[UnitCost]]*orderlinesTABLE[[#This Row],[Qty]])</f>
        <v>58.28</v>
      </c>
      <c r="Q19">
        <f>(orderlinesTABLE[[#This Row],[LineNetAmount]]-orderlinesTABLE[[#This Row],[totalCOST]])</f>
        <v>47.870199999999997</v>
      </c>
      <c r="R19" t="str">
        <f>VLOOKUP($B19,Menu!$A$1:$F$20,MATCH(OrderLines!R$1,Menu!$A$1:$F$1,0),0)</f>
        <v>Fruit Cup</v>
      </c>
      <c r="S19" t="str" cm="1">
        <f t="array" ref="S19">_xlfn.TEXTJOIN("+",TRUE,_xlfn._xlws.FILTER(orderlinesTABLE[ItemName],OrderID=orderlinesTABLE[[#This Row],[OrderID]]))</f>
        <v>Paneer Butter Masala + Naan+Fruit Cup+Paneer Roll</v>
      </c>
      <c r="T19" s="54">
        <f>orderlinesTABLE[[#This Row],[Profit]]/orderlinesTABLE[[#This Row],[LineNetAmount]]</f>
        <v>0.45096664914432566</v>
      </c>
      <c r="U19" s="70">
        <f>(orderlinesTABLE[[#This Row],[Qty]]*orderlinesTABLE[[#This Row],[UnitCost]])</f>
        <v>58.28</v>
      </c>
      <c r="W19" s="67"/>
      <c r="X19" s="67"/>
      <c r="Y19" s="67"/>
      <c r="Z19" s="67"/>
      <c r="AA19" s="67"/>
      <c r="AB19" s="67"/>
      <c r="AC19" s="67"/>
    </row>
    <row r="20" spans="1:29" x14ac:dyDescent="0.3">
      <c r="A20" s="14" t="s">
        <v>32</v>
      </c>
      <c r="B20" s="14" t="s">
        <v>406</v>
      </c>
      <c r="C20" s="14">
        <v>1</v>
      </c>
      <c r="D20" s="37">
        <f>VLOOKUP($B20,Menu!$A$1:$F$20,MATCH($D$1,Menu!$A$1:$F$1,0),0)</f>
        <v>38.06</v>
      </c>
      <c r="E20" s="14" t="str">
        <f>VLOOKUP($B20,Menu!$A$1:$F$20,MATCH(OrderLines!E$1,Menu!$A$1:$F$1,0),0)</f>
        <v>Snack</v>
      </c>
      <c r="F20" s="37">
        <f>VLOOKUP($B20,Menu!$A$1:$F$20,MATCH(OrderLines!F$1,Menu!$A$1:$F$1,0),0)</f>
        <v>19.55</v>
      </c>
      <c r="G20" s="28">
        <f>VLOOKUP($A20,Orders!$A$1:$H$361,MATCH($G$1,Orders!$A$1:$H$1,0),0)</f>
        <v>45844</v>
      </c>
      <c r="H20" s="14" t="str">
        <f>VLOOKUP($A20,Orders!$A$1:$H$361,MATCH(OrderLines!$H$1,Orders!$A$1:$H$1,0),0)</f>
        <v>Head Office Café</v>
      </c>
      <c r="I20" s="14">
        <f>VLOOKUP($A20,Orders!$A$1:$H$361,MATCH(OrderLines!$I$1,Orders!$A$1:$H$1,0),0)</f>
        <v>7.0000000000000007E-2</v>
      </c>
      <c r="J20" s="14">
        <f t="shared" si="1"/>
        <v>35.395800000000001</v>
      </c>
      <c r="K20" s="28" t="str">
        <f t="shared" si="2"/>
        <v>July</v>
      </c>
      <c r="L20" s="14" t="str">
        <f>VLOOKUP(OrderLines!$A20,Orders!$A$1:$H$361,MATCH(OrderLines!$L$1,Orders!$A$1:$H$1,0),0)</f>
        <v>Breakfast</v>
      </c>
      <c r="M20" t="str">
        <f>VLOOKUP($A20,Orders!$A$1:$H$361,MATCH(OrderLines!$M$1,Orders!$A$1:$H$1,0),0)</f>
        <v>Cash</v>
      </c>
      <c r="N20" t="str">
        <f t="shared" si="0"/>
        <v>Single</v>
      </c>
      <c r="O20" t="str" cm="1">
        <f t="array" ref="O20">IF((SUMPRODUCT((OrderID=OrderLines!$A20)*Qty*UnitPrice*DiscountPct))&gt;40,"HighDisc","OK")</f>
        <v>OK</v>
      </c>
      <c r="P20">
        <f>(orderlinesTABLE[[#This Row],[UnitCost]]*orderlinesTABLE[[#This Row],[Qty]])</f>
        <v>19.55</v>
      </c>
      <c r="Q20">
        <f>(orderlinesTABLE[[#This Row],[LineNetAmount]]-orderlinesTABLE[[#This Row],[totalCOST]])</f>
        <v>15.845800000000001</v>
      </c>
      <c r="R20" t="str">
        <f>VLOOKUP($B20,Menu!$A$1:$F$20,MATCH(OrderLines!R$1,Menu!$A$1:$F$1,0),0)</f>
        <v>Paneer Roll</v>
      </c>
      <c r="S20" t="str" cm="1">
        <f t="array" ref="S20">_xlfn.TEXTJOIN("+",TRUE,_xlfn._xlws.FILTER(orderlinesTABLE[ItemName],OrderID=orderlinesTABLE[[#This Row],[OrderID]]))</f>
        <v>Paneer Butter Masala + Naan+Fruit Cup+Paneer Roll</v>
      </c>
      <c r="T20" s="54">
        <f>orderlinesTABLE[[#This Row],[Profit]]/orderlinesTABLE[[#This Row],[LineNetAmount]]</f>
        <v>0.44767458286011336</v>
      </c>
      <c r="U20" s="70">
        <f>(orderlinesTABLE[[#This Row],[Qty]]*orderlinesTABLE[[#This Row],[UnitCost]])</f>
        <v>19.55</v>
      </c>
      <c r="W20" s="67"/>
      <c r="X20" s="67"/>
      <c r="Y20" s="67"/>
      <c r="Z20" s="67"/>
      <c r="AA20" s="67"/>
      <c r="AB20" s="67"/>
      <c r="AC20" s="67"/>
    </row>
    <row r="21" spans="1:29" x14ac:dyDescent="0.3">
      <c r="A21" s="15" t="s">
        <v>34</v>
      </c>
      <c r="B21" s="15" t="s">
        <v>411</v>
      </c>
      <c r="C21" s="15">
        <v>2</v>
      </c>
      <c r="D21" s="36">
        <f>VLOOKUP($B21,Menu!$A$1:$F$20,MATCH($D$1,Menu!$A$1:$F$1,0),0)</f>
        <v>22.2</v>
      </c>
      <c r="E21" s="15" t="str">
        <f>VLOOKUP($B21,Menu!$A$1:$F$20,MATCH(OrderLines!E$1,Menu!$A$1:$F$1,0),0)</f>
        <v>Beverage</v>
      </c>
      <c r="F21" s="36">
        <f>VLOOKUP($B21,Menu!$A$1:$F$20,MATCH(OrderLines!F$1,Menu!$A$1:$F$1,0),0)</f>
        <v>9.3800000000000008</v>
      </c>
      <c r="G21" s="27">
        <f>VLOOKUP($A21,Orders!$A$1:$H$361,MATCH($G$1,Orders!$A$1:$H$1,0),0)</f>
        <v>45862</v>
      </c>
      <c r="H21" s="15" t="str">
        <f>VLOOKUP($A21,Orders!$A$1:$H$361,MATCH(OrderLines!$H$1,Orders!$A$1:$H$1,0),0)</f>
        <v>Plant 1 Canteen</v>
      </c>
      <c r="I21" s="15">
        <f>VLOOKUP($A21,Orders!$A$1:$H$361,MATCH(OrderLines!$I$1,Orders!$A$1:$H$1,0),0)</f>
        <v>0.04</v>
      </c>
      <c r="J21" s="15">
        <f t="shared" si="1"/>
        <v>42.623999999999995</v>
      </c>
      <c r="K21" s="27" t="str">
        <f t="shared" si="2"/>
        <v>July</v>
      </c>
      <c r="L21" s="15" t="str">
        <f>VLOOKUP(OrderLines!$A21,Orders!$A$1:$H$361,MATCH(OrderLines!$L$1,Orders!$A$1:$H$1,0),0)</f>
        <v>Breakfast</v>
      </c>
      <c r="M21" t="str">
        <f>VLOOKUP($A21,Orders!$A$1:$H$361,MATCH(OrderLines!$M$1,Orders!$A$1:$H$1,0),0)</f>
        <v>Card</v>
      </c>
      <c r="N21" t="str">
        <f t="shared" si="0"/>
        <v>Combo</v>
      </c>
      <c r="O21" t="str" cm="1">
        <f t="array" ref="O21">IF((SUMPRODUCT((OrderID=OrderLines!$A21)*Qty*UnitPrice*DiscountPct))&gt;40,"HighDisc","OK")</f>
        <v>OK</v>
      </c>
      <c r="P21">
        <f>(orderlinesTABLE[[#This Row],[UnitCost]]*orderlinesTABLE[[#This Row],[Qty]])</f>
        <v>18.760000000000002</v>
      </c>
      <c r="Q21">
        <f>(orderlinesTABLE[[#This Row],[LineNetAmount]]-orderlinesTABLE[[#This Row],[totalCOST]])</f>
        <v>23.863999999999994</v>
      </c>
      <c r="R21" t="str">
        <f>VLOOKUP($B21,Menu!$A$1:$F$20,MATCH(OrderLines!R$1,Menu!$A$1:$F$1,0),0)</f>
        <v>Coffee</v>
      </c>
      <c r="S21" t="str" cm="1">
        <f t="array" ref="S21">_xlfn.TEXTJOIN("+",TRUE,_xlfn._xlws.FILTER(orderlinesTABLE[ItemName],OrderID=orderlinesTABLE[[#This Row],[OrderID]]))</f>
        <v>Coffee+Egg Curry + Rice+Veg Sandwich+Gulab Jamun (2 pc)</v>
      </c>
      <c r="T21" s="54">
        <f>orderlinesTABLE[[#This Row],[Profit]]/orderlinesTABLE[[#This Row],[LineNetAmount]]</f>
        <v>0.55987237237237231</v>
      </c>
      <c r="U21" s="70">
        <f>(orderlinesTABLE[[#This Row],[Qty]]*orderlinesTABLE[[#This Row],[UnitCost]])</f>
        <v>18.760000000000002</v>
      </c>
      <c r="W21" s="67"/>
      <c r="X21" s="67"/>
      <c r="Y21" s="67"/>
      <c r="Z21" s="67"/>
      <c r="AA21" s="67"/>
      <c r="AB21" s="67"/>
      <c r="AC21" s="67"/>
    </row>
    <row r="22" spans="1:29" x14ac:dyDescent="0.3">
      <c r="A22" s="14" t="s">
        <v>34</v>
      </c>
      <c r="B22" s="14" t="s">
        <v>407</v>
      </c>
      <c r="C22" s="14">
        <v>1</v>
      </c>
      <c r="D22" s="37">
        <f>VLOOKUP($B22,Menu!$A$1:$F$20,MATCH($D$1,Menu!$A$1:$F$1,0),0)</f>
        <v>246.09</v>
      </c>
      <c r="E22" s="14" t="str">
        <f>VLOOKUP($B22,Menu!$A$1:$F$20,MATCH(OrderLines!E$1,Menu!$A$1:$F$1,0),0)</f>
        <v>Hot Meal</v>
      </c>
      <c r="F22" s="37">
        <f>VLOOKUP($B22,Menu!$A$1:$F$20,MATCH(OrderLines!F$1,Menu!$A$1:$F$1,0),0)</f>
        <v>112.08</v>
      </c>
      <c r="G22" s="28">
        <f>VLOOKUP($A22,Orders!$A$1:$H$361,MATCH($G$1,Orders!$A$1:$H$1,0),0)</f>
        <v>45862</v>
      </c>
      <c r="H22" s="14" t="str">
        <f>VLOOKUP($A22,Orders!$A$1:$H$361,MATCH(OrderLines!$H$1,Orders!$A$1:$H$1,0),0)</f>
        <v>Plant 1 Canteen</v>
      </c>
      <c r="I22" s="14">
        <f>VLOOKUP($A22,Orders!$A$1:$H$361,MATCH(OrderLines!$I$1,Orders!$A$1:$H$1,0),0)</f>
        <v>0.04</v>
      </c>
      <c r="J22" s="14">
        <f t="shared" si="1"/>
        <v>236.24639999999999</v>
      </c>
      <c r="K22" s="28" t="str">
        <f t="shared" si="2"/>
        <v>July</v>
      </c>
      <c r="L22" s="14" t="str">
        <f>VLOOKUP(OrderLines!$A22,Orders!$A$1:$H$361,MATCH(OrderLines!$L$1,Orders!$A$1:$H$1,0),0)</f>
        <v>Breakfast</v>
      </c>
      <c r="M22" t="str">
        <f>VLOOKUP($A22,Orders!$A$1:$H$361,MATCH(OrderLines!$M$1,Orders!$A$1:$H$1,0),0)</f>
        <v>Card</v>
      </c>
      <c r="N22" t="str">
        <f t="shared" si="0"/>
        <v>Combo</v>
      </c>
      <c r="O22" t="str" cm="1">
        <f t="array" ref="O22">IF((SUMPRODUCT((OrderID=OrderLines!$A22)*Qty*UnitPrice*DiscountPct))&gt;40,"HighDisc","OK")</f>
        <v>OK</v>
      </c>
      <c r="P22">
        <f>(orderlinesTABLE[[#This Row],[UnitCost]]*orderlinesTABLE[[#This Row],[Qty]])</f>
        <v>112.08</v>
      </c>
      <c r="Q22">
        <f>(orderlinesTABLE[[#This Row],[LineNetAmount]]-orderlinesTABLE[[#This Row],[totalCOST]])</f>
        <v>124.1664</v>
      </c>
      <c r="R22" t="str">
        <f>VLOOKUP($B22,Menu!$A$1:$F$20,MATCH(OrderLines!R$1,Menu!$A$1:$F$1,0),0)</f>
        <v>Egg Curry + Rice</v>
      </c>
      <c r="S22" t="str" cm="1">
        <f t="array" ref="S22">_xlfn.TEXTJOIN("+",TRUE,_xlfn._xlws.FILTER(orderlinesTABLE[ItemName],OrderID=orderlinesTABLE[[#This Row],[OrderID]]))</f>
        <v>Coffee+Egg Curry + Rice+Veg Sandwich+Gulab Jamun (2 pc)</v>
      </c>
      <c r="T22" s="54">
        <f>orderlinesTABLE[[#This Row],[Profit]]/orderlinesTABLE[[#This Row],[LineNetAmount]]</f>
        <v>0.52558007233126092</v>
      </c>
      <c r="U22" s="70">
        <f>(orderlinesTABLE[[#This Row],[Qty]]*orderlinesTABLE[[#This Row],[UnitCost]])</f>
        <v>112.08</v>
      </c>
    </row>
    <row r="23" spans="1:29" x14ac:dyDescent="0.3">
      <c r="A23" s="15" t="s">
        <v>34</v>
      </c>
      <c r="B23" s="15" t="s">
        <v>408</v>
      </c>
      <c r="C23" s="15">
        <v>1</v>
      </c>
      <c r="D23" s="36">
        <f>VLOOKUP($B23,Menu!$A$1:$F$20,MATCH($D$1,Menu!$A$1:$F$1,0),0)</f>
        <v>70.540000000000006</v>
      </c>
      <c r="E23" s="15" t="str">
        <f>VLOOKUP($B23,Menu!$A$1:$F$20,MATCH(OrderLines!E$1,Menu!$A$1:$F$1,0),0)</f>
        <v>Snack</v>
      </c>
      <c r="F23" s="36">
        <f>VLOOKUP($B23,Menu!$A$1:$F$20,MATCH(OrderLines!F$1,Menu!$A$1:$F$1,0),0)</f>
        <v>35.81</v>
      </c>
      <c r="G23" s="27">
        <f>VLOOKUP($A23,Orders!$A$1:$H$361,MATCH($G$1,Orders!$A$1:$H$1,0),0)</f>
        <v>45862</v>
      </c>
      <c r="H23" s="15" t="str">
        <f>VLOOKUP($A23,Orders!$A$1:$H$361,MATCH(OrderLines!$H$1,Orders!$A$1:$H$1,0),0)</f>
        <v>Plant 1 Canteen</v>
      </c>
      <c r="I23" s="15">
        <f>VLOOKUP($A23,Orders!$A$1:$H$361,MATCH(OrderLines!$I$1,Orders!$A$1:$H$1,0),0)</f>
        <v>0.04</v>
      </c>
      <c r="J23" s="15">
        <f t="shared" si="1"/>
        <v>67.718400000000003</v>
      </c>
      <c r="K23" s="27" t="str">
        <f t="shared" si="2"/>
        <v>July</v>
      </c>
      <c r="L23" s="15" t="str">
        <f>VLOOKUP(OrderLines!$A23,Orders!$A$1:$H$361,MATCH(OrderLines!$L$1,Orders!$A$1:$H$1,0),0)</f>
        <v>Breakfast</v>
      </c>
      <c r="M23" t="str">
        <f>VLOOKUP($A23,Orders!$A$1:$H$361,MATCH(OrderLines!$M$1,Orders!$A$1:$H$1,0),0)</f>
        <v>Card</v>
      </c>
      <c r="N23" t="str">
        <f t="shared" si="0"/>
        <v>Combo</v>
      </c>
      <c r="O23" t="str" cm="1">
        <f t="array" ref="O23">IF((SUMPRODUCT((OrderID=OrderLines!$A23)*Qty*UnitPrice*DiscountPct))&gt;40,"HighDisc","OK")</f>
        <v>OK</v>
      </c>
      <c r="P23">
        <f>(orderlinesTABLE[[#This Row],[UnitCost]]*orderlinesTABLE[[#This Row],[Qty]])</f>
        <v>35.81</v>
      </c>
      <c r="Q23">
        <f>(orderlinesTABLE[[#This Row],[LineNetAmount]]-orderlinesTABLE[[#This Row],[totalCOST]])</f>
        <v>31.9084</v>
      </c>
      <c r="R23" t="str">
        <f>VLOOKUP($B23,Menu!$A$1:$F$20,MATCH(OrderLines!R$1,Menu!$A$1:$F$1,0),0)</f>
        <v>Veg Sandwich</v>
      </c>
      <c r="S23" t="str" cm="1">
        <f t="array" ref="S23">_xlfn.TEXTJOIN("+",TRUE,_xlfn._xlws.FILTER(orderlinesTABLE[ItemName],OrderID=orderlinesTABLE[[#This Row],[OrderID]]))</f>
        <v>Coffee+Egg Curry + Rice+Veg Sandwich+Gulab Jamun (2 pc)</v>
      </c>
      <c r="T23" s="54">
        <f>orderlinesTABLE[[#This Row],[Profit]]/orderlinesTABLE[[#This Row],[LineNetAmount]]</f>
        <v>0.4711924676306587</v>
      </c>
      <c r="U23" s="70">
        <f>(orderlinesTABLE[[#This Row],[Qty]]*orderlinesTABLE[[#This Row],[UnitCost]])</f>
        <v>35.81</v>
      </c>
      <c r="W23" s="33" t="s">
        <v>540</v>
      </c>
      <c r="Y23" s="13" t="s">
        <v>531</v>
      </c>
      <c r="Z23" s="13"/>
      <c r="AA23" s="13"/>
      <c r="AB23" s="13"/>
      <c r="AC23" s="13"/>
    </row>
    <row r="24" spans="1:29" x14ac:dyDescent="0.3">
      <c r="A24" s="14" t="s">
        <v>34</v>
      </c>
      <c r="B24" s="14" t="s">
        <v>403</v>
      </c>
      <c r="C24" s="14">
        <v>1</v>
      </c>
      <c r="D24" s="37">
        <f>VLOOKUP($B24,Menu!$A$1:$F$20,MATCH($D$1,Menu!$A$1:$F$1,0),0)</f>
        <v>76.55</v>
      </c>
      <c r="E24" s="14" t="str">
        <f>VLOOKUP($B24,Menu!$A$1:$F$20,MATCH(OrderLines!E$1,Menu!$A$1:$F$1,0),0)</f>
        <v>Dessert</v>
      </c>
      <c r="F24" s="37">
        <f>VLOOKUP($B24,Menu!$A$1:$F$20,MATCH(OrderLines!F$1,Menu!$A$1:$F$1,0),0)</f>
        <v>38.229999999999997</v>
      </c>
      <c r="G24" s="28">
        <f>VLOOKUP($A24,Orders!$A$1:$H$361,MATCH($G$1,Orders!$A$1:$H$1,0),0)</f>
        <v>45862</v>
      </c>
      <c r="H24" s="14" t="str">
        <f>VLOOKUP($A24,Orders!$A$1:$H$361,MATCH(OrderLines!$H$1,Orders!$A$1:$H$1,0),0)</f>
        <v>Plant 1 Canteen</v>
      </c>
      <c r="I24" s="14">
        <f>VLOOKUP($A24,Orders!$A$1:$H$361,MATCH(OrderLines!$I$1,Orders!$A$1:$H$1,0),0)</f>
        <v>0.04</v>
      </c>
      <c r="J24" s="14">
        <f t="shared" si="1"/>
        <v>73.488</v>
      </c>
      <c r="K24" s="28" t="str">
        <f t="shared" si="2"/>
        <v>July</v>
      </c>
      <c r="L24" s="14" t="str">
        <f>VLOOKUP(OrderLines!$A24,Orders!$A$1:$H$361,MATCH(OrderLines!$L$1,Orders!$A$1:$H$1,0),0)</f>
        <v>Breakfast</v>
      </c>
      <c r="M24" t="str">
        <f>VLOOKUP($A24,Orders!$A$1:$H$361,MATCH(OrderLines!$M$1,Orders!$A$1:$H$1,0),0)</f>
        <v>Card</v>
      </c>
      <c r="N24" t="str">
        <f t="shared" si="0"/>
        <v>Combo</v>
      </c>
      <c r="O24" t="str" cm="1">
        <f t="array" ref="O24">IF((SUMPRODUCT((OrderID=OrderLines!$A24)*Qty*UnitPrice*DiscountPct))&gt;40,"HighDisc","OK")</f>
        <v>OK</v>
      </c>
      <c r="P24">
        <f>(orderlinesTABLE[[#This Row],[UnitCost]]*orderlinesTABLE[[#This Row],[Qty]])</f>
        <v>38.229999999999997</v>
      </c>
      <c r="Q24">
        <f>(orderlinesTABLE[[#This Row],[LineNetAmount]]-orderlinesTABLE[[#This Row],[totalCOST]])</f>
        <v>35.258000000000003</v>
      </c>
      <c r="R24" t="str">
        <f>VLOOKUP($B24,Menu!$A$1:$F$20,MATCH(OrderLines!R$1,Menu!$A$1:$F$1,0),0)</f>
        <v>Gulab Jamun (2 pc)</v>
      </c>
      <c r="S24" t="str" cm="1">
        <f t="array" ref="S24">_xlfn.TEXTJOIN("+",TRUE,_xlfn._xlws.FILTER(orderlinesTABLE[ItemName],OrderID=orderlinesTABLE[[#This Row],[OrderID]]))</f>
        <v>Coffee+Egg Curry + Rice+Veg Sandwich+Gulab Jamun (2 pc)</v>
      </c>
      <c r="T24" s="54">
        <f>orderlinesTABLE[[#This Row],[Profit]]/orderlinesTABLE[[#This Row],[LineNetAmount]]</f>
        <v>0.47977901153929897</v>
      </c>
      <c r="U24" s="70">
        <f>(orderlinesTABLE[[#This Row],[Qty]]*orderlinesTABLE[[#This Row],[UnitCost]])</f>
        <v>38.229999999999997</v>
      </c>
      <c r="Y24" s="13"/>
    </row>
    <row r="25" spans="1:29" x14ac:dyDescent="0.3">
      <c r="A25" s="15" t="s">
        <v>35</v>
      </c>
      <c r="B25" s="15" t="s">
        <v>409</v>
      </c>
      <c r="C25" s="15">
        <v>1</v>
      </c>
      <c r="D25" s="36">
        <f>VLOOKUP($B25,Menu!$A$1:$F$20,MATCH($D$1,Menu!$A$1:$F$1,0),0)</f>
        <v>28.43</v>
      </c>
      <c r="E25" s="15" t="str">
        <f>VLOOKUP($B25,Menu!$A$1:$F$20,MATCH(OrderLines!E$1,Menu!$A$1:$F$1,0),0)</f>
        <v>Beverage</v>
      </c>
      <c r="F25" s="36">
        <f>VLOOKUP($B25,Menu!$A$1:$F$20,MATCH(OrderLines!F$1,Menu!$A$1:$F$1,0),0)</f>
        <v>13.89</v>
      </c>
      <c r="G25" s="27">
        <f>VLOOKUP($A25,Orders!$A$1:$H$361,MATCH($G$1,Orders!$A$1:$H$1,0),0)</f>
        <v>45860</v>
      </c>
      <c r="H25" s="15" t="str">
        <f>VLOOKUP($A25,Orders!$A$1:$H$361,MATCH(OrderLines!$H$1,Orders!$A$1:$H$1,0),0)</f>
        <v>Plant 2 Canteen</v>
      </c>
      <c r="I25" s="15">
        <f>VLOOKUP($A25,Orders!$A$1:$H$361,MATCH(OrderLines!$I$1,Orders!$A$1:$H$1,0),0)</f>
        <v>0.03</v>
      </c>
      <c r="J25" s="15">
        <f t="shared" si="1"/>
        <v>27.577099999999998</v>
      </c>
      <c r="K25" s="27" t="str">
        <f t="shared" si="2"/>
        <v>July</v>
      </c>
      <c r="L25" s="15" t="str">
        <f>VLOOKUP(OrderLines!$A25,Orders!$A$1:$H$361,MATCH(OrderLines!$L$1,Orders!$A$1:$H$1,0),0)</f>
        <v>Breakfast</v>
      </c>
      <c r="M25" t="str">
        <f>VLOOKUP($A25,Orders!$A$1:$H$361,MATCH(OrderLines!$M$1,Orders!$A$1:$H$1,0),0)</f>
        <v>Cash</v>
      </c>
      <c r="N25" t="str">
        <f t="shared" si="0"/>
        <v>Single</v>
      </c>
      <c r="O25" t="str" cm="1">
        <f t="array" ref="O25">IF((SUMPRODUCT((OrderID=OrderLines!$A25)*Qty*UnitPrice*DiscountPct))&gt;40,"HighDisc","OK")</f>
        <v>OK</v>
      </c>
      <c r="P25">
        <f>(orderlinesTABLE[[#This Row],[UnitCost]]*orderlinesTABLE[[#This Row],[Qty]])</f>
        <v>13.89</v>
      </c>
      <c r="Q25">
        <f>(orderlinesTABLE[[#This Row],[LineNetAmount]]-orderlinesTABLE[[#This Row],[totalCOST]])</f>
        <v>13.687099999999997</v>
      </c>
      <c r="R25" t="str">
        <f>VLOOKUP($B25,Menu!$A$1:$F$20,MATCH(OrderLines!R$1,Menu!$A$1:$F$1,0),0)</f>
        <v>Bottled Water</v>
      </c>
      <c r="S25" t="str" cm="1">
        <f t="array" ref="S25">_xlfn.TEXTJOIN("+",TRUE,_xlfn._xlws.FILTER(orderlinesTABLE[ItemName],OrderID=orderlinesTABLE[[#This Row],[OrderID]]))</f>
        <v>Bottled Water</v>
      </c>
      <c r="T25" s="54">
        <f>orderlinesTABLE[[#This Row],[Profit]]/orderlinesTABLE[[#This Row],[LineNetAmount]]</f>
        <v>0.49632122304375725</v>
      </c>
      <c r="U25" s="70">
        <f>(orderlinesTABLE[[#This Row],[Qty]]*orderlinesTABLE[[#This Row],[UnitCost]])</f>
        <v>13.89</v>
      </c>
      <c r="X25" s="68" t="s">
        <v>609</v>
      </c>
      <c r="Y25" s="13" cm="1">
        <f t="array" ref="Y25">COUNTA(_xlfn.UNIQUE(_xlfn._xlws.FILTER(OrderID,(Category="beverage")*(PaymentType="upi"))))</f>
        <v>70</v>
      </c>
    </row>
    <row r="26" spans="1:29" x14ac:dyDescent="0.3">
      <c r="A26" s="14" t="s">
        <v>37</v>
      </c>
      <c r="B26" s="14" t="s">
        <v>413</v>
      </c>
      <c r="C26" s="14">
        <v>1</v>
      </c>
      <c r="D26" s="37">
        <f>VLOOKUP($B26,Menu!$A$1:$F$20,MATCH($D$1,Menu!$A$1:$F$1,0),0)</f>
        <v>54.2</v>
      </c>
      <c r="E26" s="14" t="str">
        <f>VLOOKUP($B26,Menu!$A$1:$F$20,MATCH(OrderLines!E$1,Menu!$A$1:$F$1,0),0)</f>
        <v>Dessert</v>
      </c>
      <c r="F26" s="37">
        <f>VLOOKUP($B26,Menu!$A$1:$F$20,MATCH(OrderLines!F$1,Menu!$A$1:$F$1,0),0)</f>
        <v>21.95</v>
      </c>
      <c r="G26" s="28">
        <f>VLOOKUP($A26,Orders!$A$1:$H$361,MATCH($G$1,Orders!$A$1:$H$1,0),0)</f>
        <v>45839</v>
      </c>
      <c r="H26" s="14" t="str">
        <f>VLOOKUP($A26,Orders!$A$1:$H$361,MATCH(OrderLines!$H$1,Orders!$A$1:$H$1,0),0)</f>
        <v>Plant 2 Canteen</v>
      </c>
      <c r="I26" s="14">
        <f>VLOOKUP($A26,Orders!$A$1:$H$361,MATCH(OrderLines!$I$1,Orders!$A$1:$H$1,0),0)</f>
        <v>0.08</v>
      </c>
      <c r="J26" s="14">
        <f t="shared" si="1"/>
        <v>49.864000000000004</v>
      </c>
      <c r="K26" s="28" t="str">
        <f t="shared" si="2"/>
        <v>July</v>
      </c>
      <c r="L26" s="14" t="str">
        <f>VLOOKUP(OrderLines!$A26,Orders!$A$1:$H$361,MATCH(OrderLines!$L$1,Orders!$A$1:$H$1,0),0)</f>
        <v>Lunch</v>
      </c>
      <c r="M26" t="str">
        <f>VLOOKUP($A26,Orders!$A$1:$H$361,MATCH(OrderLines!$M$1,Orders!$A$1:$H$1,0),0)</f>
        <v>Card</v>
      </c>
      <c r="N26" t="str">
        <f t="shared" si="0"/>
        <v>Single</v>
      </c>
      <c r="O26" t="str" cm="1">
        <f t="array" ref="O26">IF((SUMPRODUCT((OrderID=OrderLines!$A26)*Qty*UnitPrice*DiscountPct))&gt;40,"HighDisc","OK")</f>
        <v>OK</v>
      </c>
      <c r="P26">
        <f>(orderlinesTABLE[[#This Row],[UnitCost]]*orderlinesTABLE[[#This Row],[Qty]])</f>
        <v>21.95</v>
      </c>
      <c r="Q26">
        <f>(orderlinesTABLE[[#This Row],[LineNetAmount]]-orderlinesTABLE[[#This Row],[totalCOST]])</f>
        <v>27.914000000000005</v>
      </c>
      <c r="R26" t="str">
        <f>VLOOKUP($B26,Menu!$A$1:$F$20,MATCH(OrderLines!R$1,Menu!$A$1:$F$1,0),0)</f>
        <v>Kheer Cup</v>
      </c>
      <c r="S26" t="str" cm="1">
        <f t="array" ref="S26">_xlfn.TEXTJOIN("+",TRUE,_xlfn._xlws.FILTER(orderlinesTABLE[ItemName],OrderID=orderlinesTABLE[[#This Row],[OrderID]]))</f>
        <v>Kheer Cup+Poha</v>
      </c>
      <c r="T26" s="54">
        <f>orderlinesTABLE[[#This Row],[Profit]]/orderlinesTABLE[[#This Row],[LineNetAmount]]</f>
        <v>0.55980266324402383</v>
      </c>
      <c r="U26" s="70">
        <f>(orderlinesTABLE[[#This Row],[Qty]]*orderlinesTABLE[[#This Row],[UnitCost]])</f>
        <v>21.95</v>
      </c>
    </row>
    <row r="27" spans="1:29" x14ac:dyDescent="0.3">
      <c r="A27" s="15" t="s">
        <v>37</v>
      </c>
      <c r="B27" s="15" t="s">
        <v>401</v>
      </c>
      <c r="C27" s="15">
        <v>1</v>
      </c>
      <c r="D27" s="36">
        <f>VLOOKUP($B27,Menu!$A$1:$F$20,MATCH($D$1,Menu!$A$1:$F$1,0),0)</f>
        <v>52.45</v>
      </c>
      <c r="E27" s="15" t="str">
        <f>VLOOKUP($B27,Menu!$A$1:$F$20,MATCH(OrderLines!E$1,Menu!$A$1:$F$1,0),0)</f>
        <v>Snack</v>
      </c>
      <c r="F27" s="36">
        <f>VLOOKUP($B27,Menu!$A$1:$F$20,MATCH(OrderLines!F$1,Menu!$A$1:$F$1,0),0)</f>
        <v>25.8</v>
      </c>
      <c r="G27" s="27">
        <f>VLOOKUP($A27,Orders!$A$1:$H$361,MATCH($G$1,Orders!$A$1:$H$1,0),0)</f>
        <v>45839</v>
      </c>
      <c r="H27" s="15" t="str">
        <f>VLOOKUP($A27,Orders!$A$1:$H$361,MATCH(OrderLines!$H$1,Orders!$A$1:$H$1,0),0)</f>
        <v>Plant 2 Canteen</v>
      </c>
      <c r="I27" s="15">
        <f>VLOOKUP($A27,Orders!$A$1:$H$361,MATCH(OrderLines!$I$1,Orders!$A$1:$H$1,0),0)</f>
        <v>0.08</v>
      </c>
      <c r="J27" s="15">
        <f t="shared" si="1"/>
        <v>48.254000000000005</v>
      </c>
      <c r="K27" s="27" t="str">
        <f t="shared" si="2"/>
        <v>July</v>
      </c>
      <c r="L27" s="15" t="str">
        <f>VLOOKUP(OrderLines!$A27,Orders!$A$1:$H$361,MATCH(OrderLines!$L$1,Orders!$A$1:$H$1,0),0)</f>
        <v>Lunch</v>
      </c>
      <c r="M27" t="str">
        <f>VLOOKUP($A27,Orders!$A$1:$H$361,MATCH(OrderLines!$M$1,Orders!$A$1:$H$1,0),0)</f>
        <v>Card</v>
      </c>
      <c r="N27" t="str">
        <f t="shared" si="0"/>
        <v>Single</v>
      </c>
      <c r="O27" t="str" cm="1">
        <f t="array" ref="O27">IF((SUMPRODUCT((OrderID=OrderLines!$A27)*Qty*UnitPrice*DiscountPct))&gt;40,"HighDisc","OK")</f>
        <v>OK</v>
      </c>
      <c r="P27">
        <f>(orderlinesTABLE[[#This Row],[UnitCost]]*orderlinesTABLE[[#This Row],[Qty]])</f>
        <v>25.8</v>
      </c>
      <c r="Q27">
        <f>(orderlinesTABLE[[#This Row],[LineNetAmount]]-orderlinesTABLE[[#This Row],[totalCOST]])</f>
        <v>22.454000000000004</v>
      </c>
      <c r="R27" t="str">
        <f>VLOOKUP($B27,Menu!$A$1:$F$20,MATCH(OrderLines!R$1,Menu!$A$1:$F$1,0),0)</f>
        <v>Poha</v>
      </c>
      <c r="S27" t="str" cm="1">
        <f t="array" ref="S27">_xlfn.TEXTJOIN("+",TRUE,_xlfn._xlws.FILTER(orderlinesTABLE[ItemName],OrderID=orderlinesTABLE[[#This Row],[OrderID]]))</f>
        <v>Kheer Cup+Poha</v>
      </c>
      <c r="T27" s="54">
        <f>orderlinesTABLE[[#This Row],[Profit]]/orderlinesTABLE[[#This Row],[LineNetAmount]]</f>
        <v>0.46532929912546112</v>
      </c>
      <c r="U27" s="70">
        <f>(orderlinesTABLE[[#This Row],[Qty]]*orderlinesTABLE[[#This Row],[UnitCost]])</f>
        <v>25.8</v>
      </c>
    </row>
    <row r="28" spans="1:29" x14ac:dyDescent="0.3">
      <c r="A28" s="14" t="s">
        <v>39</v>
      </c>
      <c r="B28" s="14" t="s">
        <v>403</v>
      </c>
      <c r="C28" s="14">
        <v>3</v>
      </c>
      <c r="D28" s="37">
        <f>VLOOKUP($B28,Menu!$A$1:$F$20,MATCH($D$1,Menu!$A$1:$F$1,0),0)</f>
        <v>76.55</v>
      </c>
      <c r="E28" s="14" t="str">
        <f>VLOOKUP($B28,Menu!$A$1:$F$20,MATCH(OrderLines!E$1,Menu!$A$1:$F$1,0),0)</f>
        <v>Dessert</v>
      </c>
      <c r="F28" s="37">
        <f>VLOOKUP($B28,Menu!$A$1:$F$20,MATCH(OrderLines!F$1,Menu!$A$1:$F$1,0),0)</f>
        <v>38.229999999999997</v>
      </c>
      <c r="G28" s="28">
        <f>VLOOKUP($A28,Orders!$A$1:$H$361,MATCH($G$1,Orders!$A$1:$H$1,0),0)</f>
        <v>45880</v>
      </c>
      <c r="H28" s="14" t="str">
        <f>VLOOKUP($A28,Orders!$A$1:$H$361,MATCH(OrderLines!$H$1,Orders!$A$1:$H$1,0),0)</f>
        <v>Head Office Café</v>
      </c>
      <c r="I28" s="14">
        <f>VLOOKUP($A28,Orders!$A$1:$H$361,MATCH(OrderLines!$I$1,Orders!$A$1:$H$1,0),0)</f>
        <v>0.1</v>
      </c>
      <c r="J28" s="14">
        <f t="shared" si="1"/>
        <v>206.68499999999997</v>
      </c>
      <c r="K28" s="28" t="str">
        <f t="shared" si="2"/>
        <v>August</v>
      </c>
      <c r="L28" s="14" t="str">
        <f>VLOOKUP(OrderLines!$A28,Orders!$A$1:$H$361,MATCH(OrderLines!$L$1,Orders!$A$1:$H$1,0),0)</f>
        <v>Breakfast</v>
      </c>
      <c r="M28" t="str">
        <f>VLOOKUP($A28,Orders!$A$1:$H$361,MATCH(OrderLines!$M$1,Orders!$A$1:$H$1,0),0)</f>
        <v>UPI</v>
      </c>
      <c r="N28" t="str">
        <f t="shared" si="0"/>
        <v>Combo</v>
      </c>
      <c r="O28" t="str" cm="1">
        <f t="array" ref="O28">IF((SUMPRODUCT((OrderID=OrderLines!$A28)*Qty*UnitPrice*DiscountPct))&gt;40,"HighDisc","OK")</f>
        <v>HighDisc</v>
      </c>
      <c r="P28">
        <f>(orderlinesTABLE[[#This Row],[UnitCost]]*orderlinesTABLE[[#This Row],[Qty]])</f>
        <v>114.69</v>
      </c>
      <c r="Q28">
        <f>(orderlinesTABLE[[#This Row],[LineNetAmount]]-orderlinesTABLE[[#This Row],[totalCOST]])</f>
        <v>91.994999999999976</v>
      </c>
      <c r="R28" t="str">
        <f>VLOOKUP($B28,Menu!$A$1:$F$20,MATCH(OrderLines!R$1,Menu!$A$1:$F$1,0),0)</f>
        <v>Gulab Jamun (2 pc)</v>
      </c>
      <c r="S28" t="str" cm="1">
        <f t="array" ref="S28">_xlfn.TEXTJOIN("+",TRUE,_xlfn._xlws.FILTER(orderlinesTABLE[ItemName],OrderID=orderlinesTABLE[[#This Row],[OrderID]]))</f>
        <v>Gulab Jamun (2 pc)+Tea+Brownie+Chicken Thali</v>
      </c>
      <c r="T28" s="54">
        <f>orderlinesTABLE[[#This Row],[Profit]]/orderlinesTABLE[[#This Row],[LineNetAmount]]</f>
        <v>0.44509761230858547</v>
      </c>
      <c r="U28" s="70">
        <f>(orderlinesTABLE[[#This Row],[Qty]]*orderlinesTABLE[[#This Row],[UnitCost]])</f>
        <v>114.69</v>
      </c>
    </row>
    <row r="29" spans="1:29" x14ac:dyDescent="0.3">
      <c r="A29" s="15" t="s">
        <v>39</v>
      </c>
      <c r="B29" s="15" t="s">
        <v>402</v>
      </c>
      <c r="C29" s="15">
        <v>2</v>
      </c>
      <c r="D29" s="36">
        <f>VLOOKUP($B29,Menu!$A$1:$F$20,MATCH($D$1,Menu!$A$1:$F$1,0),0)</f>
        <v>30.34</v>
      </c>
      <c r="E29" s="15" t="str">
        <f>VLOOKUP($B29,Menu!$A$1:$F$20,MATCH(OrderLines!E$1,Menu!$A$1:$F$1,0),0)</f>
        <v>Beverage</v>
      </c>
      <c r="F29" s="36">
        <f>VLOOKUP($B29,Menu!$A$1:$F$20,MATCH(OrderLines!F$1,Menu!$A$1:$F$1,0),0)</f>
        <v>14.18</v>
      </c>
      <c r="G29" s="27">
        <f>VLOOKUP($A29,Orders!$A$1:$H$361,MATCH($G$1,Orders!$A$1:$H$1,0),0)</f>
        <v>45880</v>
      </c>
      <c r="H29" s="15" t="str">
        <f>VLOOKUP($A29,Orders!$A$1:$H$361,MATCH(OrderLines!$H$1,Orders!$A$1:$H$1,0),0)</f>
        <v>Head Office Café</v>
      </c>
      <c r="I29" s="15">
        <f>VLOOKUP($A29,Orders!$A$1:$H$361,MATCH(OrderLines!$I$1,Orders!$A$1:$H$1,0),0)</f>
        <v>0.1</v>
      </c>
      <c r="J29" s="15">
        <f t="shared" si="1"/>
        <v>54.612000000000002</v>
      </c>
      <c r="K29" s="27" t="str">
        <f t="shared" si="2"/>
        <v>August</v>
      </c>
      <c r="L29" s="15" t="str">
        <f>VLOOKUP(OrderLines!$A29,Orders!$A$1:$H$361,MATCH(OrderLines!$L$1,Orders!$A$1:$H$1,0),0)</f>
        <v>Breakfast</v>
      </c>
      <c r="M29" t="str">
        <f>VLOOKUP($A29,Orders!$A$1:$H$361,MATCH(OrderLines!$M$1,Orders!$A$1:$H$1,0),0)</f>
        <v>UPI</v>
      </c>
      <c r="N29" t="str">
        <f t="shared" si="0"/>
        <v>Combo</v>
      </c>
      <c r="O29" t="str" cm="1">
        <f t="array" ref="O29">IF((SUMPRODUCT((OrderID=OrderLines!$A29)*Qty*UnitPrice*DiscountPct))&gt;40,"HighDisc","OK")</f>
        <v>HighDisc</v>
      </c>
      <c r="P29">
        <f>(orderlinesTABLE[[#This Row],[UnitCost]]*orderlinesTABLE[[#This Row],[Qty]])</f>
        <v>28.36</v>
      </c>
      <c r="Q29">
        <f>(orderlinesTABLE[[#This Row],[LineNetAmount]]-orderlinesTABLE[[#This Row],[totalCOST]])</f>
        <v>26.252000000000002</v>
      </c>
      <c r="R29" t="str">
        <f>VLOOKUP($B29,Menu!$A$1:$F$20,MATCH(OrderLines!R$1,Menu!$A$1:$F$1,0),0)</f>
        <v>Tea</v>
      </c>
      <c r="S29" t="str" cm="1">
        <f t="array" ref="S29">_xlfn.TEXTJOIN("+",TRUE,_xlfn._xlws.FILTER(orderlinesTABLE[ItemName],OrderID=orderlinesTABLE[[#This Row],[OrderID]]))</f>
        <v>Gulab Jamun (2 pc)+Tea+Brownie+Chicken Thali</v>
      </c>
      <c r="T29" s="54">
        <f>orderlinesTABLE[[#This Row],[Profit]]/orderlinesTABLE[[#This Row],[LineNetAmount]]</f>
        <v>0.48070021240752953</v>
      </c>
      <c r="U29" s="70">
        <f>(orderlinesTABLE[[#This Row],[Qty]]*orderlinesTABLE[[#This Row],[UnitCost]])</f>
        <v>28.36</v>
      </c>
      <c r="W29" s="33" t="s">
        <v>541</v>
      </c>
      <c r="Y29" t="s">
        <v>532</v>
      </c>
    </row>
    <row r="30" spans="1:29" x14ac:dyDescent="0.3">
      <c r="A30" s="14" t="s">
        <v>39</v>
      </c>
      <c r="B30" s="14" t="s">
        <v>414</v>
      </c>
      <c r="C30" s="14">
        <v>3</v>
      </c>
      <c r="D30" s="37">
        <f>VLOOKUP($B30,Menu!$A$1:$F$20,MATCH($D$1,Menu!$A$1:$F$1,0),0)</f>
        <v>116.8</v>
      </c>
      <c r="E30" s="14" t="str">
        <f>VLOOKUP($B30,Menu!$A$1:$F$20,MATCH(OrderLines!E$1,Menu!$A$1:$F$1,0),0)</f>
        <v>Dessert</v>
      </c>
      <c r="F30" s="37">
        <f>VLOOKUP($B30,Menu!$A$1:$F$20,MATCH(OrderLines!F$1,Menu!$A$1:$F$1,0),0)</f>
        <v>48.97</v>
      </c>
      <c r="G30" s="28">
        <f>VLOOKUP($A30,Orders!$A$1:$H$361,MATCH($G$1,Orders!$A$1:$H$1,0),0)</f>
        <v>45880</v>
      </c>
      <c r="H30" s="14" t="str">
        <f>VLOOKUP($A30,Orders!$A$1:$H$361,MATCH(OrderLines!$H$1,Orders!$A$1:$H$1,0),0)</f>
        <v>Head Office Café</v>
      </c>
      <c r="I30" s="14">
        <f>VLOOKUP($A30,Orders!$A$1:$H$361,MATCH(OrderLines!$I$1,Orders!$A$1:$H$1,0),0)</f>
        <v>0.1</v>
      </c>
      <c r="J30" s="14">
        <f t="shared" si="1"/>
        <v>315.36</v>
      </c>
      <c r="K30" s="28" t="str">
        <f t="shared" si="2"/>
        <v>August</v>
      </c>
      <c r="L30" s="14" t="str">
        <f>VLOOKUP(OrderLines!$A30,Orders!$A$1:$H$361,MATCH(OrderLines!$L$1,Orders!$A$1:$H$1,0),0)</f>
        <v>Breakfast</v>
      </c>
      <c r="M30" t="str">
        <f>VLOOKUP($A30,Orders!$A$1:$H$361,MATCH(OrderLines!$M$1,Orders!$A$1:$H$1,0),0)</f>
        <v>UPI</v>
      </c>
      <c r="N30" t="str">
        <f t="shared" si="0"/>
        <v>Combo</v>
      </c>
      <c r="O30" t="str" cm="1">
        <f t="array" ref="O30">IF((SUMPRODUCT((OrderID=OrderLines!$A30)*Qty*UnitPrice*DiscountPct))&gt;40,"HighDisc","OK")</f>
        <v>HighDisc</v>
      </c>
      <c r="P30">
        <f>(orderlinesTABLE[[#This Row],[UnitCost]]*orderlinesTABLE[[#This Row],[Qty]])</f>
        <v>146.91</v>
      </c>
      <c r="Q30">
        <f>(orderlinesTABLE[[#This Row],[LineNetAmount]]-orderlinesTABLE[[#This Row],[totalCOST]])</f>
        <v>168.45000000000002</v>
      </c>
      <c r="R30" t="str">
        <f>VLOOKUP($B30,Menu!$A$1:$F$20,MATCH(OrderLines!R$1,Menu!$A$1:$F$1,0),0)</f>
        <v>Brownie</v>
      </c>
      <c r="S30" t="str" cm="1">
        <f t="array" ref="S30">_xlfn.TEXTJOIN("+",TRUE,_xlfn._xlws.FILTER(orderlinesTABLE[ItemName],OrderID=orderlinesTABLE[[#This Row],[OrderID]]))</f>
        <v>Gulab Jamun (2 pc)+Tea+Brownie+Chicken Thali</v>
      </c>
      <c r="T30" s="54">
        <f>orderlinesTABLE[[#This Row],[Profit]]/orderlinesTABLE[[#This Row],[LineNetAmount]]</f>
        <v>0.53415144596651454</v>
      </c>
      <c r="U30" s="70">
        <f>(orderlinesTABLE[[#This Row],[Qty]]*orderlinesTABLE[[#This Row],[UnitCost]])</f>
        <v>146.91</v>
      </c>
    </row>
    <row r="31" spans="1:29" x14ac:dyDescent="0.3">
      <c r="A31" s="15" t="s">
        <v>39</v>
      </c>
      <c r="B31" s="15" t="s">
        <v>415</v>
      </c>
      <c r="C31" s="15">
        <v>1</v>
      </c>
      <c r="D31" s="36">
        <f>VLOOKUP($B31,Menu!$A$1:$F$20,MATCH($D$1,Menu!$A$1:$F$1,0),0)</f>
        <v>256.91000000000003</v>
      </c>
      <c r="E31" s="15" t="str">
        <f>VLOOKUP($B31,Menu!$A$1:$F$20,MATCH(OrderLines!E$1,Menu!$A$1:$F$1,0),0)</f>
        <v>Hot Meal</v>
      </c>
      <c r="F31" s="36">
        <f>VLOOKUP($B31,Menu!$A$1:$F$20,MATCH(OrderLines!F$1,Menu!$A$1:$F$1,0),0)</f>
        <v>121.24</v>
      </c>
      <c r="G31" s="27">
        <f>VLOOKUP($A31,Orders!$A$1:$H$361,MATCH($G$1,Orders!$A$1:$H$1,0),0)</f>
        <v>45880</v>
      </c>
      <c r="H31" s="15" t="str">
        <f>VLOOKUP($A31,Orders!$A$1:$H$361,MATCH(OrderLines!$H$1,Orders!$A$1:$H$1,0),0)</f>
        <v>Head Office Café</v>
      </c>
      <c r="I31" s="15">
        <f>VLOOKUP($A31,Orders!$A$1:$H$361,MATCH(OrderLines!$I$1,Orders!$A$1:$H$1,0),0)</f>
        <v>0.1</v>
      </c>
      <c r="J31" s="15">
        <f t="shared" si="1"/>
        <v>231.21900000000002</v>
      </c>
      <c r="K31" s="27" t="str">
        <f t="shared" si="2"/>
        <v>August</v>
      </c>
      <c r="L31" s="15" t="str">
        <f>VLOOKUP(OrderLines!$A31,Orders!$A$1:$H$361,MATCH(OrderLines!$L$1,Orders!$A$1:$H$1,0),0)</f>
        <v>Breakfast</v>
      </c>
      <c r="M31" t="str">
        <f>VLOOKUP($A31,Orders!$A$1:$H$361,MATCH(OrderLines!$M$1,Orders!$A$1:$H$1,0),0)</f>
        <v>UPI</v>
      </c>
      <c r="N31" t="str">
        <f t="shared" si="0"/>
        <v>Combo</v>
      </c>
      <c r="O31" t="str" cm="1">
        <f t="array" ref="O31">IF((SUMPRODUCT((OrderID=OrderLines!$A31)*Qty*UnitPrice*DiscountPct))&gt;40,"HighDisc","OK")</f>
        <v>HighDisc</v>
      </c>
      <c r="P31">
        <f>(orderlinesTABLE[[#This Row],[UnitCost]]*orderlinesTABLE[[#This Row],[Qty]])</f>
        <v>121.24</v>
      </c>
      <c r="Q31">
        <f>(orderlinesTABLE[[#This Row],[LineNetAmount]]-orderlinesTABLE[[#This Row],[totalCOST]])</f>
        <v>109.97900000000003</v>
      </c>
      <c r="R31" t="str">
        <f>VLOOKUP($B31,Menu!$A$1:$F$20,MATCH(OrderLines!R$1,Menu!$A$1:$F$1,0),0)</f>
        <v>Chicken Thali</v>
      </c>
      <c r="S31" t="str" cm="1">
        <f t="array" ref="S31">_xlfn.TEXTJOIN("+",TRUE,_xlfn._xlws.FILTER(orderlinesTABLE[ItemName],OrderID=orderlinesTABLE[[#This Row],[OrderID]]))</f>
        <v>Gulab Jamun (2 pc)+Tea+Brownie+Chicken Thali</v>
      </c>
      <c r="T31" s="54">
        <f>orderlinesTABLE[[#This Row],[Profit]]/orderlinesTABLE[[#This Row],[LineNetAmount]]</f>
        <v>0.47564862749168546</v>
      </c>
      <c r="U31" s="70">
        <f>(orderlinesTABLE[[#This Row],[Qty]]*orderlinesTABLE[[#This Row],[UnitCost]])</f>
        <v>121.24</v>
      </c>
    </row>
    <row r="32" spans="1:29" x14ac:dyDescent="0.3">
      <c r="A32" s="14" t="s">
        <v>40</v>
      </c>
      <c r="B32" s="14" t="s">
        <v>409</v>
      </c>
      <c r="C32" s="14">
        <v>1</v>
      </c>
      <c r="D32" s="37">
        <f>VLOOKUP($B32,Menu!$A$1:$F$20,MATCH($D$1,Menu!$A$1:$F$1,0),0)</f>
        <v>28.43</v>
      </c>
      <c r="E32" s="14" t="str">
        <f>VLOOKUP($B32,Menu!$A$1:$F$20,MATCH(OrderLines!E$1,Menu!$A$1:$F$1,0),0)</f>
        <v>Beverage</v>
      </c>
      <c r="F32" s="37">
        <f>VLOOKUP($B32,Menu!$A$1:$F$20,MATCH(OrderLines!F$1,Menu!$A$1:$F$1,0),0)</f>
        <v>13.89</v>
      </c>
      <c r="G32" s="28">
        <f>VLOOKUP($A32,Orders!$A$1:$H$361,MATCH($G$1,Orders!$A$1:$H$1,0),0)</f>
        <v>45854</v>
      </c>
      <c r="H32" s="14" t="str">
        <f>VLOOKUP($A32,Orders!$A$1:$H$361,MATCH(OrderLines!$H$1,Orders!$A$1:$H$1,0),0)</f>
        <v>Plant 1 Canteen</v>
      </c>
      <c r="I32" s="14">
        <f>VLOOKUP($A32,Orders!$A$1:$H$361,MATCH(OrderLines!$I$1,Orders!$A$1:$H$1,0),0)</f>
        <v>0.1</v>
      </c>
      <c r="J32" s="14">
        <f t="shared" si="1"/>
        <v>25.587</v>
      </c>
      <c r="K32" s="28" t="str">
        <f t="shared" si="2"/>
        <v>July</v>
      </c>
      <c r="L32" s="14" t="str">
        <f>VLOOKUP(OrderLines!$A32,Orders!$A$1:$H$361,MATCH(OrderLines!$L$1,Orders!$A$1:$H$1,0),0)</f>
        <v>Breakfast</v>
      </c>
      <c r="M32" t="str">
        <f>VLOOKUP($A32,Orders!$A$1:$H$361,MATCH(OrderLines!$M$1,Orders!$A$1:$H$1,0),0)</f>
        <v>Cash</v>
      </c>
      <c r="N32" t="str">
        <f t="shared" si="0"/>
        <v>Single</v>
      </c>
      <c r="O32" t="str" cm="1">
        <f t="array" ref="O32">IF((SUMPRODUCT((OrderID=OrderLines!$A32)*Qty*UnitPrice*DiscountPct))&gt;40,"HighDisc","OK")</f>
        <v>OK</v>
      </c>
      <c r="P32">
        <f>(orderlinesTABLE[[#This Row],[UnitCost]]*orderlinesTABLE[[#This Row],[Qty]])</f>
        <v>13.89</v>
      </c>
      <c r="Q32">
        <f>(orderlinesTABLE[[#This Row],[LineNetAmount]]-orderlinesTABLE[[#This Row],[totalCOST]])</f>
        <v>11.696999999999999</v>
      </c>
      <c r="R32" t="str">
        <f>VLOOKUP($B32,Menu!$A$1:$F$20,MATCH(OrderLines!R$1,Menu!$A$1:$F$1,0),0)</f>
        <v>Bottled Water</v>
      </c>
      <c r="S32" t="str" cm="1">
        <f t="array" ref="S32">_xlfn.TEXTJOIN("+",TRUE,_xlfn._xlws.FILTER(orderlinesTABLE[ItemName],OrderID=orderlinesTABLE[[#This Row],[OrderID]]))</f>
        <v>Bottled Water+Gulab Jamun (2 pc)+Nimbu Pani</v>
      </c>
      <c r="T32" s="54">
        <f>orderlinesTABLE[[#This Row],[Profit]]/orderlinesTABLE[[#This Row],[LineNetAmount]]</f>
        <v>0.45714620705827175</v>
      </c>
      <c r="U32" s="70">
        <f>(orderlinesTABLE[[#This Row],[Qty]]*orderlinesTABLE[[#This Row],[UnitCost]])</f>
        <v>13.89</v>
      </c>
    </row>
    <row r="33" spans="1:28" x14ac:dyDescent="0.3">
      <c r="A33" s="15" t="s">
        <v>40</v>
      </c>
      <c r="B33" s="15" t="s">
        <v>403</v>
      </c>
      <c r="C33" s="15">
        <v>2</v>
      </c>
      <c r="D33" s="36">
        <f>VLOOKUP($B33,Menu!$A$1:$F$20,MATCH($D$1,Menu!$A$1:$F$1,0),0)</f>
        <v>76.55</v>
      </c>
      <c r="E33" s="15" t="str">
        <f>VLOOKUP($B33,Menu!$A$1:$F$20,MATCH(OrderLines!E$1,Menu!$A$1:$F$1,0),0)</f>
        <v>Dessert</v>
      </c>
      <c r="F33" s="36">
        <f>VLOOKUP($B33,Menu!$A$1:$F$20,MATCH(OrderLines!F$1,Menu!$A$1:$F$1,0),0)</f>
        <v>38.229999999999997</v>
      </c>
      <c r="G33" s="27">
        <f>VLOOKUP($A33,Orders!$A$1:$H$361,MATCH($G$1,Orders!$A$1:$H$1,0),0)</f>
        <v>45854</v>
      </c>
      <c r="H33" s="15" t="str">
        <f>VLOOKUP($A33,Orders!$A$1:$H$361,MATCH(OrderLines!$H$1,Orders!$A$1:$H$1,0),0)</f>
        <v>Plant 1 Canteen</v>
      </c>
      <c r="I33" s="15">
        <f>VLOOKUP($A33,Orders!$A$1:$H$361,MATCH(OrderLines!$I$1,Orders!$A$1:$H$1,0),0)</f>
        <v>0.1</v>
      </c>
      <c r="J33" s="15">
        <f t="shared" si="1"/>
        <v>137.79</v>
      </c>
      <c r="K33" s="27" t="str">
        <f t="shared" si="2"/>
        <v>July</v>
      </c>
      <c r="L33" s="15" t="str">
        <f>VLOOKUP(OrderLines!$A33,Orders!$A$1:$H$361,MATCH(OrderLines!$L$1,Orders!$A$1:$H$1,0),0)</f>
        <v>Breakfast</v>
      </c>
      <c r="M33" t="str">
        <f>VLOOKUP($A33,Orders!$A$1:$H$361,MATCH(OrderLines!$M$1,Orders!$A$1:$H$1,0),0)</f>
        <v>Cash</v>
      </c>
      <c r="N33" t="str">
        <f t="shared" si="0"/>
        <v>Single</v>
      </c>
      <c r="O33" t="str" cm="1">
        <f t="array" ref="O33">IF((SUMPRODUCT((OrderID=OrderLines!$A33)*Qty*UnitPrice*DiscountPct))&gt;40,"HighDisc","OK")</f>
        <v>OK</v>
      </c>
      <c r="P33">
        <f>(orderlinesTABLE[[#This Row],[UnitCost]]*orderlinesTABLE[[#This Row],[Qty]])</f>
        <v>76.459999999999994</v>
      </c>
      <c r="Q33">
        <f>(orderlinesTABLE[[#This Row],[LineNetAmount]]-orderlinesTABLE[[#This Row],[totalCOST]])</f>
        <v>61.33</v>
      </c>
      <c r="R33" t="str">
        <f>VLOOKUP($B33,Menu!$A$1:$F$20,MATCH(OrderLines!R$1,Menu!$A$1:$F$1,0),0)</f>
        <v>Gulab Jamun (2 pc)</v>
      </c>
      <c r="S33" t="str" cm="1">
        <f t="array" ref="S33">_xlfn.TEXTJOIN("+",TRUE,_xlfn._xlws.FILTER(orderlinesTABLE[ItemName],OrderID=orderlinesTABLE[[#This Row],[OrderID]]))</f>
        <v>Bottled Water+Gulab Jamun (2 pc)+Nimbu Pani</v>
      </c>
      <c r="T33" s="54">
        <f>orderlinesTABLE[[#This Row],[Profit]]/orderlinesTABLE[[#This Row],[LineNetAmount]]</f>
        <v>0.44509761230858552</v>
      </c>
      <c r="U33" s="70">
        <f>(orderlinesTABLE[[#This Row],[Qty]]*orderlinesTABLE[[#This Row],[UnitCost]])</f>
        <v>76.459999999999994</v>
      </c>
    </row>
    <row r="34" spans="1:28" x14ac:dyDescent="0.3">
      <c r="A34" s="14" t="s">
        <v>40</v>
      </c>
      <c r="B34" s="14" t="s">
        <v>410</v>
      </c>
      <c r="C34" s="14">
        <v>1</v>
      </c>
      <c r="D34" s="37">
        <f>VLOOKUP($B34,Menu!$A$1:$F$20,MATCH($D$1,Menu!$A$1:$F$1,0),0)</f>
        <v>20.11</v>
      </c>
      <c r="E34" s="14" t="str">
        <f>VLOOKUP($B34,Menu!$A$1:$F$20,MATCH(OrderLines!E$1,Menu!$A$1:$F$1,0),0)</f>
        <v>Beverage</v>
      </c>
      <c r="F34" s="37">
        <f>VLOOKUP($B34,Menu!$A$1:$F$20,MATCH(OrderLines!F$1,Menu!$A$1:$F$1,0),0)</f>
        <v>8</v>
      </c>
      <c r="G34" s="28">
        <f>VLOOKUP($A34,Orders!$A$1:$H$361,MATCH($G$1,Orders!$A$1:$H$1,0),0)</f>
        <v>45854</v>
      </c>
      <c r="H34" s="14" t="str">
        <f>VLOOKUP($A34,Orders!$A$1:$H$361,MATCH(OrderLines!$H$1,Orders!$A$1:$H$1,0),0)</f>
        <v>Plant 1 Canteen</v>
      </c>
      <c r="I34" s="14">
        <f>VLOOKUP($A34,Orders!$A$1:$H$361,MATCH(OrderLines!$I$1,Orders!$A$1:$H$1,0),0)</f>
        <v>0.1</v>
      </c>
      <c r="J34" s="14">
        <f t="shared" si="1"/>
        <v>18.099</v>
      </c>
      <c r="K34" s="28" t="str">
        <f t="shared" si="2"/>
        <v>July</v>
      </c>
      <c r="L34" s="14" t="str">
        <f>VLOOKUP(OrderLines!$A34,Orders!$A$1:$H$361,MATCH(OrderLines!$L$1,Orders!$A$1:$H$1,0),0)</f>
        <v>Breakfast</v>
      </c>
      <c r="M34" t="str">
        <f>VLOOKUP($A34,Orders!$A$1:$H$361,MATCH(OrderLines!$M$1,Orders!$A$1:$H$1,0),0)</f>
        <v>Cash</v>
      </c>
      <c r="N34" t="str">
        <f t="shared" si="0"/>
        <v>Single</v>
      </c>
      <c r="O34" t="str" cm="1">
        <f t="array" ref="O34">IF((SUMPRODUCT((OrderID=OrderLines!$A34)*Qty*UnitPrice*DiscountPct))&gt;40,"HighDisc","OK")</f>
        <v>OK</v>
      </c>
      <c r="P34">
        <f>(orderlinesTABLE[[#This Row],[UnitCost]]*orderlinesTABLE[[#This Row],[Qty]])</f>
        <v>8</v>
      </c>
      <c r="Q34">
        <f>(orderlinesTABLE[[#This Row],[LineNetAmount]]-orderlinesTABLE[[#This Row],[totalCOST]])</f>
        <v>10.099</v>
      </c>
      <c r="R34" t="str">
        <f>VLOOKUP($B34,Menu!$A$1:$F$20,MATCH(OrderLines!R$1,Menu!$A$1:$F$1,0),0)</f>
        <v>Nimbu Pani</v>
      </c>
      <c r="S34" t="str" cm="1">
        <f t="array" ref="S34">_xlfn.TEXTJOIN("+",TRUE,_xlfn._xlws.FILTER(orderlinesTABLE[ItemName],OrderID=orderlinesTABLE[[#This Row],[OrderID]]))</f>
        <v>Bottled Water+Gulab Jamun (2 pc)+Nimbu Pani</v>
      </c>
      <c r="T34" s="54">
        <f>orderlinesTABLE[[#This Row],[Profit]]/orderlinesTABLE[[#This Row],[LineNetAmount]]</f>
        <v>0.5579866290955301</v>
      </c>
      <c r="U34" s="70">
        <f>(orderlinesTABLE[[#This Row],[Qty]]*orderlinesTABLE[[#This Row],[UnitCost]])</f>
        <v>8</v>
      </c>
      <c r="W34" s="33" t="s">
        <v>542</v>
      </c>
      <c r="Y34" s="32" t="s">
        <v>533</v>
      </c>
      <c r="Z34" s="32" t="s">
        <v>534</v>
      </c>
    </row>
    <row r="35" spans="1:28" x14ac:dyDescent="0.3">
      <c r="A35" s="15" t="s">
        <v>42</v>
      </c>
      <c r="B35" s="15" t="s">
        <v>405</v>
      </c>
      <c r="C35" s="15">
        <v>1</v>
      </c>
      <c r="D35" s="36">
        <f>VLOOKUP($B35,Menu!$A$1:$F$20,MATCH($D$1,Menu!$A$1:$F$1,0),0)</f>
        <v>170.83</v>
      </c>
      <c r="E35" s="15" t="str">
        <f>VLOOKUP($B35,Menu!$A$1:$F$20,MATCH(OrderLines!E$1,Menu!$A$1:$F$1,0),0)</f>
        <v>Hot Meal</v>
      </c>
      <c r="F35" s="36">
        <f>VLOOKUP($B35,Menu!$A$1:$F$20,MATCH(OrderLines!F$1,Menu!$A$1:$F$1,0),0)</f>
        <v>74.069999999999993</v>
      </c>
      <c r="G35" s="27">
        <f>VLOOKUP($A35,Orders!$A$1:$H$361,MATCH($G$1,Orders!$A$1:$H$1,0),0)</f>
        <v>45895</v>
      </c>
      <c r="H35" s="15" t="str">
        <f>VLOOKUP($A35,Orders!$A$1:$H$361,MATCH(OrderLines!$H$1,Orders!$A$1:$H$1,0),0)</f>
        <v>Head Office Café</v>
      </c>
      <c r="I35" s="15">
        <f>VLOOKUP($A35,Orders!$A$1:$H$361,MATCH(OrderLines!$I$1,Orders!$A$1:$H$1,0),0)</f>
        <v>0.03</v>
      </c>
      <c r="J35" s="15">
        <f t="shared" si="1"/>
        <v>165.70510000000002</v>
      </c>
      <c r="K35" s="27" t="str">
        <f t="shared" si="2"/>
        <v>August</v>
      </c>
      <c r="L35" s="15" t="str">
        <f>VLOOKUP(OrderLines!$A35,Orders!$A$1:$H$361,MATCH(OrderLines!$L$1,Orders!$A$1:$H$1,0),0)</f>
        <v>Lunch</v>
      </c>
      <c r="M35" t="str">
        <f>VLOOKUP($A35,Orders!$A$1:$H$361,MATCH(OrderLines!$M$1,Orders!$A$1:$H$1,0),0)</f>
        <v>Cash</v>
      </c>
      <c r="N35" t="str">
        <f t="shared" si="0"/>
        <v>Combo</v>
      </c>
      <c r="O35" t="str" cm="1">
        <f t="array" ref="O35">IF((SUMPRODUCT((OrderID=OrderLines!$A35)*Qty*UnitPrice*DiscountPct))&gt;40,"HighDisc","OK")</f>
        <v>OK</v>
      </c>
      <c r="P35">
        <f>(orderlinesTABLE[[#This Row],[UnitCost]]*orderlinesTABLE[[#This Row],[Qty]])</f>
        <v>74.069999999999993</v>
      </c>
      <c r="Q35">
        <f>(orderlinesTABLE[[#This Row],[LineNetAmount]]-orderlinesTABLE[[#This Row],[totalCOST]])</f>
        <v>91.635100000000023</v>
      </c>
      <c r="R35" t="str">
        <f>VLOOKUP($B35,Menu!$A$1:$F$20,MATCH(OrderLines!R$1,Menu!$A$1:$F$1,0),0)</f>
        <v>Paneer Butter Masala + Naan</v>
      </c>
      <c r="S35" t="str" cm="1">
        <f t="array" ref="S35">_xlfn.TEXTJOIN("+",TRUE,_xlfn._xlws.FILTER(orderlinesTABLE[ItemName],OrderID=orderlinesTABLE[[#This Row],[OrderID]]))</f>
        <v>Paneer Butter Masala + Naan+Masala Chaas+Gulab Jamun (2 pc)</v>
      </c>
      <c r="T35" s="54">
        <f>orderlinesTABLE[[#This Row],[Profit]]/orderlinesTABLE[[#This Row],[LineNetAmount]]</f>
        <v>0.5530010844566644</v>
      </c>
      <c r="U35" s="70">
        <f>(orderlinesTABLE[[#This Row],[Qty]]*orderlinesTABLE[[#This Row],[UnitCost]])</f>
        <v>74.069999999999993</v>
      </c>
      <c r="Y35" t="s">
        <v>538</v>
      </c>
      <c r="Z35" cm="1">
        <f t="array" ref="Z35">(SUMIFS(LineNetAmount,Shift,$Y35))/COUNTA(_xlfn.UNIQUE(_xlfn._xlws.FILTER(OrderID,(Shift=$Y35))))</f>
        <v>360.57145141242927</v>
      </c>
    </row>
    <row r="36" spans="1:28" x14ac:dyDescent="0.3">
      <c r="A36" s="14" t="s">
        <v>42</v>
      </c>
      <c r="B36" s="14" t="s">
        <v>404</v>
      </c>
      <c r="C36" s="14">
        <v>3</v>
      </c>
      <c r="D36" s="37">
        <f>VLOOKUP($B36,Menu!$A$1:$F$20,MATCH($D$1,Menu!$A$1:$F$1,0),0)</f>
        <v>32.979999999999997</v>
      </c>
      <c r="E36" s="14" t="str">
        <f>VLOOKUP($B36,Menu!$A$1:$F$20,MATCH(OrderLines!E$1,Menu!$A$1:$F$1,0),0)</f>
        <v>Beverage</v>
      </c>
      <c r="F36" s="37">
        <f>VLOOKUP($B36,Menu!$A$1:$F$20,MATCH(OrderLines!F$1,Menu!$A$1:$F$1,0),0)</f>
        <v>11.84</v>
      </c>
      <c r="G36" s="28">
        <f>VLOOKUP($A36,Orders!$A$1:$H$361,MATCH($G$1,Orders!$A$1:$H$1,0),0)</f>
        <v>45895</v>
      </c>
      <c r="H36" s="14" t="str">
        <f>VLOOKUP($A36,Orders!$A$1:$H$361,MATCH(OrderLines!$H$1,Orders!$A$1:$H$1,0),0)</f>
        <v>Head Office Café</v>
      </c>
      <c r="I36" s="14">
        <f>VLOOKUP($A36,Orders!$A$1:$H$361,MATCH(OrderLines!$I$1,Orders!$A$1:$H$1,0),0)</f>
        <v>0.03</v>
      </c>
      <c r="J36" s="14">
        <f t="shared" si="1"/>
        <v>95.971800000000002</v>
      </c>
      <c r="K36" s="28" t="str">
        <f t="shared" si="2"/>
        <v>August</v>
      </c>
      <c r="L36" s="14" t="str">
        <f>VLOOKUP(OrderLines!$A36,Orders!$A$1:$H$361,MATCH(OrderLines!$L$1,Orders!$A$1:$H$1,0),0)</f>
        <v>Lunch</v>
      </c>
      <c r="M36" t="str">
        <f>VLOOKUP($A36,Orders!$A$1:$H$361,MATCH(OrderLines!$M$1,Orders!$A$1:$H$1,0),0)</f>
        <v>Cash</v>
      </c>
      <c r="N36" t="str">
        <f t="shared" si="0"/>
        <v>Combo</v>
      </c>
      <c r="O36" t="str" cm="1">
        <f t="array" ref="O36">IF((SUMPRODUCT((OrderID=OrderLines!$A36)*Qty*UnitPrice*DiscountPct))&gt;40,"HighDisc","OK")</f>
        <v>OK</v>
      </c>
      <c r="P36">
        <f>(orderlinesTABLE[[#This Row],[UnitCost]]*orderlinesTABLE[[#This Row],[Qty]])</f>
        <v>35.519999999999996</v>
      </c>
      <c r="Q36">
        <f>(orderlinesTABLE[[#This Row],[LineNetAmount]]-orderlinesTABLE[[#This Row],[totalCOST]])</f>
        <v>60.451800000000006</v>
      </c>
      <c r="R36" t="str">
        <f>VLOOKUP($B36,Menu!$A$1:$F$20,MATCH(OrderLines!R$1,Menu!$A$1:$F$1,0),0)</f>
        <v>Masala Chaas</v>
      </c>
      <c r="S36" t="str" cm="1">
        <f t="array" ref="S36">_xlfn.TEXTJOIN("+",TRUE,_xlfn._xlws.FILTER(orderlinesTABLE[ItemName],OrderID=orderlinesTABLE[[#This Row],[OrderID]]))</f>
        <v>Paneer Butter Masala + Naan+Masala Chaas+Gulab Jamun (2 pc)</v>
      </c>
      <c r="T36" s="54">
        <f>orderlinesTABLE[[#This Row],[Profit]]/orderlinesTABLE[[#This Row],[LineNetAmount]]</f>
        <v>0.62989128056366561</v>
      </c>
      <c r="U36" s="70">
        <f>(orderlinesTABLE[[#This Row],[Qty]]*orderlinesTABLE[[#This Row],[UnitCost]])</f>
        <v>35.519999999999996</v>
      </c>
      <c r="Y36" t="s">
        <v>535</v>
      </c>
      <c r="Z36" cm="1">
        <f t="array" ref="Z36">(SUMIFS(LineNetAmount,Shift,$Y36))/COUNTA(_xlfn.UNIQUE(_xlfn._xlws.FILTER(OrderID,(Shift=$Y36))))</f>
        <v>372.02586849315099</v>
      </c>
    </row>
    <row r="37" spans="1:28" ht="17.399999999999999" customHeight="1" x14ac:dyDescent="0.3">
      <c r="A37" s="15" t="s">
        <v>42</v>
      </c>
      <c r="B37" s="15" t="s">
        <v>403</v>
      </c>
      <c r="C37" s="15">
        <v>2</v>
      </c>
      <c r="D37" s="36">
        <f>VLOOKUP($B37,Menu!$A$1:$F$20,MATCH($D$1,Menu!$A$1:$F$1,0),0)</f>
        <v>76.55</v>
      </c>
      <c r="E37" s="15" t="str">
        <f>VLOOKUP($B37,Menu!$A$1:$F$20,MATCH(OrderLines!E$1,Menu!$A$1:$F$1,0),0)</f>
        <v>Dessert</v>
      </c>
      <c r="F37" s="36">
        <f>VLOOKUP($B37,Menu!$A$1:$F$20,MATCH(OrderLines!F$1,Menu!$A$1:$F$1,0),0)</f>
        <v>38.229999999999997</v>
      </c>
      <c r="G37" s="27">
        <f>VLOOKUP($A37,Orders!$A$1:$H$361,MATCH($G$1,Orders!$A$1:$H$1,0),0)</f>
        <v>45895</v>
      </c>
      <c r="H37" s="15" t="str">
        <f>VLOOKUP($A37,Orders!$A$1:$H$361,MATCH(OrderLines!$H$1,Orders!$A$1:$H$1,0),0)</f>
        <v>Head Office Café</v>
      </c>
      <c r="I37" s="15">
        <f>VLOOKUP($A37,Orders!$A$1:$H$361,MATCH(OrderLines!$I$1,Orders!$A$1:$H$1,0),0)</f>
        <v>0.03</v>
      </c>
      <c r="J37" s="15">
        <f t="shared" si="1"/>
        <v>148.50699999999998</v>
      </c>
      <c r="K37" s="27" t="str">
        <f t="shared" si="2"/>
        <v>August</v>
      </c>
      <c r="L37" s="15" t="str">
        <f>VLOOKUP(OrderLines!$A37,Orders!$A$1:$H$361,MATCH(OrderLines!$L$1,Orders!$A$1:$H$1,0),0)</f>
        <v>Lunch</v>
      </c>
      <c r="M37" t="str">
        <f>VLOOKUP($A37,Orders!$A$1:$H$361,MATCH(OrderLines!$M$1,Orders!$A$1:$H$1,0),0)</f>
        <v>Cash</v>
      </c>
      <c r="N37" t="str">
        <f t="shared" si="0"/>
        <v>Combo</v>
      </c>
      <c r="O37" t="str" cm="1">
        <f t="array" ref="O37">IF((SUMPRODUCT((OrderID=OrderLines!$A37)*Qty*UnitPrice*DiscountPct))&gt;40,"HighDisc","OK")</f>
        <v>OK</v>
      </c>
      <c r="P37">
        <f>(orderlinesTABLE[[#This Row],[UnitCost]]*orderlinesTABLE[[#This Row],[Qty]])</f>
        <v>76.459999999999994</v>
      </c>
      <c r="Q37">
        <f>(orderlinesTABLE[[#This Row],[LineNetAmount]]-orderlinesTABLE[[#This Row],[totalCOST]])</f>
        <v>72.046999999999983</v>
      </c>
      <c r="R37" t="str">
        <f>VLOOKUP($B37,Menu!$A$1:$F$20,MATCH(OrderLines!R$1,Menu!$A$1:$F$1,0),0)</f>
        <v>Gulab Jamun (2 pc)</v>
      </c>
      <c r="S37" t="str" cm="1">
        <f t="array" ref="S37">_xlfn.TEXTJOIN("+",TRUE,_xlfn._xlws.FILTER(orderlinesTABLE[ItemName],OrderID=orderlinesTABLE[[#This Row],[OrderID]]))</f>
        <v>Paneer Butter Masala + Naan+Masala Chaas+Gulab Jamun (2 pc)</v>
      </c>
      <c r="T37" s="54">
        <f>orderlinesTABLE[[#This Row],[Profit]]/orderlinesTABLE[[#This Row],[LineNetAmount]]</f>
        <v>0.48514211451312056</v>
      </c>
      <c r="U37" s="70">
        <f>(orderlinesTABLE[[#This Row],[Qty]]*orderlinesTABLE[[#This Row],[UnitCost]])</f>
        <v>76.459999999999994</v>
      </c>
      <c r="Y37" t="s">
        <v>536</v>
      </c>
      <c r="Z37" cm="1">
        <f t="array" ref="Z37">(SUMIFS(LineNetAmount,Shift,$Y37))/COUNTA(_xlfn.UNIQUE(_xlfn._xlws.FILTER(OrderID,(Shift=$Y37))))</f>
        <v>378.80541181818205</v>
      </c>
    </row>
    <row r="38" spans="1:28" x14ac:dyDescent="0.3">
      <c r="A38" s="14" t="s">
        <v>44</v>
      </c>
      <c r="B38" s="14" t="s">
        <v>412</v>
      </c>
      <c r="C38" s="14">
        <v>1</v>
      </c>
      <c r="D38" s="37">
        <f>VLOOKUP($B38,Menu!$A$1:$F$20,MATCH($D$1,Menu!$A$1:$F$1,0),0)</f>
        <v>57.07</v>
      </c>
      <c r="E38" s="14" t="str">
        <f>VLOOKUP($B38,Menu!$A$1:$F$20,MATCH(OrderLines!E$1,Menu!$A$1:$F$1,0),0)</f>
        <v>Dessert</v>
      </c>
      <c r="F38" s="37">
        <f>VLOOKUP($B38,Menu!$A$1:$F$20,MATCH(OrderLines!F$1,Menu!$A$1:$F$1,0),0)</f>
        <v>29.14</v>
      </c>
      <c r="G38" s="28">
        <f>VLOOKUP($A38,Orders!$A$1:$H$361,MATCH($G$1,Orders!$A$1:$H$1,0),0)</f>
        <v>45844</v>
      </c>
      <c r="H38" s="14" t="str">
        <f>VLOOKUP($A38,Orders!$A$1:$H$361,MATCH(OrderLines!$H$1,Orders!$A$1:$H$1,0),0)</f>
        <v>Plant 1 Canteen</v>
      </c>
      <c r="I38" s="14">
        <f>VLOOKUP($A38,Orders!$A$1:$H$361,MATCH(OrderLines!$I$1,Orders!$A$1:$H$1,0),0)</f>
        <v>0.05</v>
      </c>
      <c r="J38" s="14">
        <f t="shared" si="1"/>
        <v>54.216499999999996</v>
      </c>
      <c r="K38" s="28" t="str">
        <f t="shared" si="2"/>
        <v>July</v>
      </c>
      <c r="L38" s="14" t="str">
        <f>VLOOKUP(OrderLines!$A38,Orders!$A$1:$H$361,MATCH(OrderLines!$L$1,Orders!$A$1:$H$1,0),0)</f>
        <v>Dinner</v>
      </c>
      <c r="M38" t="str">
        <f>VLOOKUP($A38,Orders!$A$1:$H$361,MATCH(OrderLines!$M$1,Orders!$A$1:$H$1,0),0)</f>
        <v>Card</v>
      </c>
      <c r="N38" t="str">
        <f t="shared" si="0"/>
        <v>Single</v>
      </c>
      <c r="O38" t="str" cm="1">
        <f t="array" ref="O38">IF((SUMPRODUCT((OrderID=OrderLines!$A38)*Qty*UnitPrice*DiscountPct))&gt;40,"HighDisc","OK")</f>
        <v>OK</v>
      </c>
      <c r="P38">
        <f>(orderlinesTABLE[[#This Row],[UnitCost]]*orderlinesTABLE[[#This Row],[Qty]])</f>
        <v>29.14</v>
      </c>
      <c r="Q38">
        <f>(orderlinesTABLE[[#This Row],[LineNetAmount]]-orderlinesTABLE[[#This Row],[totalCOST]])</f>
        <v>25.076499999999996</v>
      </c>
      <c r="R38" t="str">
        <f>VLOOKUP($B38,Menu!$A$1:$F$20,MATCH(OrderLines!R$1,Menu!$A$1:$F$1,0),0)</f>
        <v>Fruit Cup</v>
      </c>
      <c r="S38" t="str" cm="1">
        <f t="array" ref="S38">_xlfn.TEXTJOIN("+",TRUE,_xlfn._xlws.FILTER(orderlinesTABLE[ItemName],OrderID=orderlinesTABLE[[#This Row],[OrderID]]))</f>
        <v>Fruit Cup+Veg Sandwich+Poha+Veg Thali</v>
      </c>
      <c r="T38" s="54">
        <f>orderlinesTABLE[[#This Row],[Profit]]/orderlinesTABLE[[#This Row],[LineNetAmount]]</f>
        <v>0.46252524600444511</v>
      </c>
      <c r="U38" s="70">
        <f>(orderlinesTABLE[[#This Row],[Qty]]*orderlinesTABLE[[#This Row],[UnitCost]])</f>
        <v>29.14</v>
      </c>
    </row>
    <row r="39" spans="1:28" x14ac:dyDescent="0.3">
      <c r="A39" s="15" t="s">
        <v>44</v>
      </c>
      <c r="B39" s="15" t="s">
        <v>408</v>
      </c>
      <c r="C39" s="15">
        <v>1</v>
      </c>
      <c r="D39" s="36">
        <f>VLOOKUP($B39,Menu!$A$1:$F$20,MATCH($D$1,Menu!$A$1:$F$1,0),0)</f>
        <v>70.540000000000006</v>
      </c>
      <c r="E39" s="15" t="str">
        <f>VLOOKUP($B39,Menu!$A$1:$F$20,MATCH(OrderLines!E$1,Menu!$A$1:$F$1,0),0)</f>
        <v>Snack</v>
      </c>
      <c r="F39" s="36">
        <f>VLOOKUP($B39,Menu!$A$1:$F$20,MATCH(OrderLines!F$1,Menu!$A$1:$F$1,0),0)</f>
        <v>35.81</v>
      </c>
      <c r="G39" s="27">
        <f>VLOOKUP($A39,Orders!$A$1:$H$361,MATCH($G$1,Orders!$A$1:$H$1,0),0)</f>
        <v>45844</v>
      </c>
      <c r="H39" s="15" t="str">
        <f>VLOOKUP($A39,Orders!$A$1:$H$361,MATCH(OrderLines!$H$1,Orders!$A$1:$H$1,0),0)</f>
        <v>Plant 1 Canteen</v>
      </c>
      <c r="I39" s="15">
        <f>VLOOKUP($A39,Orders!$A$1:$H$361,MATCH(OrderLines!$I$1,Orders!$A$1:$H$1,0),0)</f>
        <v>0.05</v>
      </c>
      <c r="J39" s="15">
        <f t="shared" si="1"/>
        <v>67.013000000000005</v>
      </c>
      <c r="K39" s="27" t="str">
        <f t="shared" si="2"/>
        <v>July</v>
      </c>
      <c r="L39" s="15" t="str">
        <f>VLOOKUP(OrderLines!$A39,Orders!$A$1:$H$361,MATCH(OrderLines!$L$1,Orders!$A$1:$H$1,0),0)</f>
        <v>Dinner</v>
      </c>
      <c r="M39" t="str">
        <f>VLOOKUP($A39,Orders!$A$1:$H$361,MATCH(OrderLines!$M$1,Orders!$A$1:$H$1,0),0)</f>
        <v>Card</v>
      </c>
      <c r="N39" t="str">
        <f t="shared" si="0"/>
        <v>Single</v>
      </c>
      <c r="O39" t="str" cm="1">
        <f t="array" ref="O39">IF((SUMPRODUCT((OrderID=OrderLines!$A39)*Qty*UnitPrice*DiscountPct))&gt;40,"HighDisc","OK")</f>
        <v>OK</v>
      </c>
      <c r="P39">
        <f>(orderlinesTABLE[[#This Row],[UnitCost]]*orderlinesTABLE[[#This Row],[Qty]])</f>
        <v>35.81</v>
      </c>
      <c r="Q39">
        <f>(orderlinesTABLE[[#This Row],[LineNetAmount]]-orderlinesTABLE[[#This Row],[totalCOST]])</f>
        <v>31.203000000000003</v>
      </c>
      <c r="R39" t="str">
        <f>VLOOKUP($B39,Menu!$A$1:$F$20,MATCH(OrderLines!R$1,Menu!$A$1:$F$1,0),0)</f>
        <v>Veg Sandwich</v>
      </c>
      <c r="S39" t="str" cm="1">
        <f t="array" ref="S39">_xlfn.TEXTJOIN("+",TRUE,_xlfn._xlws.FILTER(orderlinesTABLE[ItemName],OrderID=orderlinesTABLE[[#This Row],[OrderID]]))</f>
        <v>Fruit Cup+Veg Sandwich+Poha+Veg Thali</v>
      </c>
      <c r="T39" s="54">
        <f>orderlinesTABLE[[#This Row],[Profit]]/orderlinesTABLE[[#This Row],[LineNetAmount]]</f>
        <v>0.46562607255308675</v>
      </c>
      <c r="U39" s="70">
        <f>(orderlinesTABLE[[#This Row],[Qty]]*orderlinesTABLE[[#This Row],[UnitCost]])</f>
        <v>35.81</v>
      </c>
    </row>
    <row r="40" spans="1:28" x14ac:dyDescent="0.3">
      <c r="A40" s="14" t="s">
        <v>44</v>
      </c>
      <c r="B40" s="14" t="s">
        <v>401</v>
      </c>
      <c r="C40" s="14">
        <v>3</v>
      </c>
      <c r="D40" s="37">
        <f>VLOOKUP($B40,Menu!$A$1:$F$20,MATCH($D$1,Menu!$A$1:$F$1,0),0)</f>
        <v>52.45</v>
      </c>
      <c r="E40" s="14" t="str">
        <f>VLOOKUP($B40,Menu!$A$1:$F$20,MATCH(OrderLines!E$1,Menu!$A$1:$F$1,0),0)</f>
        <v>Snack</v>
      </c>
      <c r="F40" s="37">
        <f>VLOOKUP($B40,Menu!$A$1:$F$20,MATCH(OrderLines!F$1,Menu!$A$1:$F$1,0),0)</f>
        <v>25.8</v>
      </c>
      <c r="G40" s="28">
        <f>VLOOKUP($A40,Orders!$A$1:$H$361,MATCH($G$1,Orders!$A$1:$H$1,0),0)</f>
        <v>45844</v>
      </c>
      <c r="H40" s="14" t="str">
        <f>VLOOKUP($A40,Orders!$A$1:$H$361,MATCH(OrderLines!$H$1,Orders!$A$1:$H$1,0),0)</f>
        <v>Plant 1 Canteen</v>
      </c>
      <c r="I40" s="14">
        <f>VLOOKUP($A40,Orders!$A$1:$H$361,MATCH(OrderLines!$I$1,Orders!$A$1:$H$1,0),0)</f>
        <v>0.05</v>
      </c>
      <c r="J40" s="14">
        <f t="shared" si="1"/>
        <v>149.48250000000002</v>
      </c>
      <c r="K40" s="28" t="str">
        <f t="shared" si="2"/>
        <v>July</v>
      </c>
      <c r="L40" s="14" t="str">
        <f>VLOOKUP(OrderLines!$A40,Orders!$A$1:$H$361,MATCH(OrderLines!$L$1,Orders!$A$1:$H$1,0),0)</f>
        <v>Dinner</v>
      </c>
      <c r="M40" t="str">
        <f>VLOOKUP($A40,Orders!$A$1:$H$361,MATCH(OrderLines!$M$1,Orders!$A$1:$H$1,0),0)</f>
        <v>Card</v>
      </c>
      <c r="N40" t="str">
        <f t="shared" si="0"/>
        <v>Single</v>
      </c>
      <c r="O40" t="str" cm="1">
        <f t="array" ref="O40">IF((SUMPRODUCT((OrderID=OrderLines!$A40)*Qty*UnitPrice*DiscountPct))&gt;40,"HighDisc","OK")</f>
        <v>OK</v>
      </c>
      <c r="P40">
        <f>(orderlinesTABLE[[#This Row],[UnitCost]]*orderlinesTABLE[[#This Row],[Qty]])</f>
        <v>77.400000000000006</v>
      </c>
      <c r="Q40">
        <f>(orderlinesTABLE[[#This Row],[LineNetAmount]]-orderlinesTABLE[[#This Row],[totalCOST]])</f>
        <v>72.08250000000001</v>
      </c>
      <c r="R40" t="str">
        <f>VLOOKUP($B40,Menu!$A$1:$F$20,MATCH(OrderLines!R$1,Menu!$A$1:$F$1,0),0)</f>
        <v>Poha</v>
      </c>
      <c r="S40" t="str" cm="1">
        <f t="array" ref="S40">_xlfn.TEXTJOIN("+",TRUE,_xlfn._xlws.FILTER(orderlinesTABLE[ItemName],OrderID=orderlinesTABLE[[#This Row],[OrderID]]))</f>
        <v>Fruit Cup+Veg Sandwich+Poha+Veg Thali</v>
      </c>
      <c r="T40" s="54">
        <f>orderlinesTABLE[[#This Row],[Profit]]/orderlinesTABLE[[#This Row],[LineNetAmount]]</f>
        <v>0.482213637047815</v>
      </c>
      <c r="U40" s="70">
        <f>(orderlinesTABLE[[#This Row],[Qty]]*orderlinesTABLE[[#This Row],[UnitCost]])</f>
        <v>77.400000000000006</v>
      </c>
    </row>
    <row r="41" spans="1:28" x14ac:dyDescent="0.3">
      <c r="A41" s="15" t="s">
        <v>44</v>
      </c>
      <c r="B41" s="15" t="s">
        <v>416</v>
      </c>
      <c r="C41" s="15">
        <v>1</v>
      </c>
      <c r="D41" s="36">
        <f>VLOOKUP($B41,Menu!$A$1:$F$20,MATCH($D$1,Menu!$A$1:$F$1,0),0)</f>
        <v>227.61</v>
      </c>
      <c r="E41" s="15" t="str">
        <f>VLOOKUP($B41,Menu!$A$1:$F$20,MATCH(OrderLines!E$1,Menu!$A$1:$F$1,0),0)</f>
        <v>Hot Meal</v>
      </c>
      <c r="F41" s="36">
        <f>VLOOKUP($B41,Menu!$A$1:$F$20,MATCH(OrderLines!F$1,Menu!$A$1:$F$1,0),0)</f>
        <v>96.22</v>
      </c>
      <c r="G41" s="27">
        <f>VLOOKUP($A41,Orders!$A$1:$H$361,MATCH($G$1,Orders!$A$1:$H$1,0),0)</f>
        <v>45844</v>
      </c>
      <c r="H41" s="15" t="str">
        <f>VLOOKUP($A41,Orders!$A$1:$H$361,MATCH(OrderLines!$H$1,Orders!$A$1:$H$1,0),0)</f>
        <v>Plant 1 Canteen</v>
      </c>
      <c r="I41" s="15">
        <f>VLOOKUP($A41,Orders!$A$1:$H$361,MATCH(OrderLines!$I$1,Orders!$A$1:$H$1,0),0)</f>
        <v>0.05</v>
      </c>
      <c r="J41" s="15">
        <f t="shared" si="1"/>
        <v>216.2295</v>
      </c>
      <c r="K41" s="27" t="str">
        <f t="shared" si="2"/>
        <v>July</v>
      </c>
      <c r="L41" s="15" t="str">
        <f>VLOOKUP(OrderLines!$A41,Orders!$A$1:$H$361,MATCH(OrderLines!$L$1,Orders!$A$1:$H$1,0),0)</f>
        <v>Dinner</v>
      </c>
      <c r="M41" t="str">
        <f>VLOOKUP($A41,Orders!$A$1:$H$361,MATCH(OrderLines!$M$1,Orders!$A$1:$H$1,0),0)</f>
        <v>Card</v>
      </c>
      <c r="N41" t="str">
        <f t="shared" si="0"/>
        <v>Single</v>
      </c>
      <c r="O41" t="str" cm="1">
        <f t="array" ref="O41">IF((SUMPRODUCT((OrderID=OrderLines!$A41)*Qty*UnitPrice*DiscountPct))&gt;40,"HighDisc","OK")</f>
        <v>OK</v>
      </c>
      <c r="P41">
        <f>(orderlinesTABLE[[#This Row],[UnitCost]]*orderlinesTABLE[[#This Row],[Qty]])</f>
        <v>96.22</v>
      </c>
      <c r="Q41">
        <f>(orderlinesTABLE[[#This Row],[LineNetAmount]]-orderlinesTABLE[[#This Row],[totalCOST]])</f>
        <v>120.0095</v>
      </c>
      <c r="R41" t="str">
        <f>VLOOKUP($B41,Menu!$A$1:$F$20,MATCH(OrderLines!R$1,Menu!$A$1:$F$1,0),0)</f>
        <v>Veg Thali</v>
      </c>
      <c r="S41" t="str" cm="1">
        <f t="array" ref="S41">_xlfn.TEXTJOIN("+",TRUE,_xlfn._xlws.FILTER(orderlinesTABLE[ItemName],OrderID=orderlinesTABLE[[#This Row],[OrderID]]))</f>
        <v>Fruit Cup+Veg Sandwich+Poha+Veg Thali</v>
      </c>
      <c r="T41" s="54">
        <f>orderlinesTABLE[[#This Row],[Profit]]/orderlinesTABLE[[#This Row],[LineNetAmount]]</f>
        <v>0.55500983908301138</v>
      </c>
      <c r="U41" s="70">
        <f>(orderlinesTABLE[[#This Row],[Qty]]*orderlinesTABLE[[#This Row],[UnitCost]])</f>
        <v>96.22</v>
      </c>
      <c r="W41" s="33" t="s">
        <v>543</v>
      </c>
      <c r="Y41" s="11" t="s">
        <v>526</v>
      </c>
      <c r="Z41" s="11" t="s">
        <v>537</v>
      </c>
      <c r="AA41" t="s">
        <v>524</v>
      </c>
      <c r="AB41" s="9" t="s">
        <v>534</v>
      </c>
    </row>
    <row r="42" spans="1:28" x14ac:dyDescent="0.3">
      <c r="A42" s="14" t="s">
        <v>46</v>
      </c>
      <c r="B42" s="14" t="s">
        <v>404</v>
      </c>
      <c r="C42" s="14">
        <v>1</v>
      </c>
      <c r="D42" s="37">
        <f>VLOOKUP($B42,Menu!$A$1:$F$20,MATCH($D$1,Menu!$A$1:$F$1,0),0)</f>
        <v>32.979999999999997</v>
      </c>
      <c r="E42" s="14" t="str">
        <f>VLOOKUP($B42,Menu!$A$1:$F$20,MATCH(OrderLines!E$1,Menu!$A$1:$F$1,0),0)</f>
        <v>Beverage</v>
      </c>
      <c r="F42" s="37">
        <f>VLOOKUP($B42,Menu!$A$1:$F$20,MATCH(OrderLines!F$1,Menu!$A$1:$F$1,0),0)</f>
        <v>11.84</v>
      </c>
      <c r="G42" s="28">
        <f>VLOOKUP($A42,Orders!$A$1:$H$361,MATCH($G$1,Orders!$A$1:$H$1,0),0)</f>
        <v>45890</v>
      </c>
      <c r="H42" s="14" t="str">
        <f>VLOOKUP($A42,Orders!$A$1:$H$361,MATCH(OrderLines!$H$1,Orders!$A$1:$H$1,0),0)</f>
        <v>Plant 1 Canteen</v>
      </c>
      <c r="I42" s="14">
        <f>VLOOKUP($A42,Orders!$A$1:$H$361,MATCH(OrderLines!$I$1,Orders!$A$1:$H$1,0),0)</f>
        <v>7.0000000000000007E-2</v>
      </c>
      <c r="J42" s="14">
        <f t="shared" si="1"/>
        <v>30.671399999999995</v>
      </c>
      <c r="K42" s="28" t="str">
        <f t="shared" si="2"/>
        <v>August</v>
      </c>
      <c r="L42" s="14" t="str">
        <f>VLOOKUP(OrderLines!$A42,Orders!$A$1:$H$361,MATCH(OrderLines!$L$1,Orders!$A$1:$H$1,0),0)</f>
        <v>Dinner</v>
      </c>
      <c r="M42" t="str">
        <f>VLOOKUP($A42,Orders!$A$1:$H$361,MATCH(OrderLines!$M$1,Orders!$A$1:$H$1,0),0)</f>
        <v>UPI</v>
      </c>
      <c r="N42" t="str">
        <f t="shared" si="0"/>
        <v>Single</v>
      </c>
      <c r="O42" t="str" cm="1">
        <f t="array" ref="O42">IF((SUMPRODUCT((OrderID=OrderLines!$A42)*Qty*UnitPrice*DiscountPct))&gt;40,"HighDisc","OK")</f>
        <v>OK</v>
      </c>
      <c r="P42">
        <f>(orderlinesTABLE[[#This Row],[UnitCost]]*orderlinesTABLE[[#This Row],[Qty]])</f>
        <v>11.84</v>
      </c>
      <c r="Q42">
        <f>(orderlinesTABLE[[#This Row],[LineNetAmount]]-orderlinesTABLE[[#This Row],[totalCOST]])</f>
        <v>18.831399999999995</v>
      </c>
      <c r="R42" t="str">
        <f>VLOOKUP($B42,Menu!$A$1:$F$20,MATCH(OrderLines!R$1,Menu!$A$1:$F$1,0),0)</f>
        <v>Masala Chaas</v>
      </c>
      <c r="S42" t="str" cm="1">
        <f t="array" ref="S42">_xlfn.TEXTJOIN("+",TRUE,_xlfn._xlws.FILTER(orderlinesTABLE[ItemName],OrderID=orderlinesTABLE[[#This Row],[OrderID]]))</f>
        <v>Masala Chaas</v>
      </c>
      <c r="T42" s="54">
        <f>orderlinesTABLE[[#This Row],[Profit]]/orderlinesTABLE[[#This Row],[LineNetAmount]]</f>
        <v>0.61397262596425328</v>
      </c>
      <c r="U42" s="70">
        <f>(orderlinesTABLE[[#This Row],[Qty]]*orderlinesTABLE[[#This Row],[UnitCost]])</f>
        <v>11.84</v>
      </c>
      <c r="Y42" s="12" t="s">
        <v>12</v>
      </c>
      <c r="Z42">
        <v>177</v>
      </c>
      <c r="AA42">
        <v>63821.146899999985</v>
      </c>
      <c r="AB42">
        <f>(GETPIVOTDATA("[Measures].[Sum of LineNetAmount]",$Y$41,"[Range].[Shift]","[Range].[Shift].&amp;[Breakfast]")/GETPIVOTDATA("[Measures].[Distinct Count of OrderID]",$Y$41,"[Range].[Shift]","[Range].[Shift].&amp;[Breakfast]"))</f>
        <v>360.57145141242927</v>
      </c>
    </row>
    <row r="43" spans="1:28" x14ac:dyDescent="0.3">
      <c r="A43" s="15" t="s">
        <v>47</v>
      </c>
      <c r="B43" s="15" t="s">
        <v>414</v>
      </c>
      <c r="C43" s="15">
        <v>1</v>
      </c>
      <c r="D43" s="36">
        <f>VLOOKUP($B43,Menu!$A$1:$F$20,MATCH($D$1,Menu!$A$1:$F$1,0),0)</f>
        <v>116.8</v>
      </c>
      <c r="E43" s="15" t="str">
        <f>VLOOKUP($B43,Menu!$A$1:$F$20,MATCH(OrderLines!E$1,Menu!$A$1:$F$1,0),0)</f>
        <v>Dessert</v>
      </c>
      <c r="F43" s="36">
        <f>VLOOKUP($B43,Menu!$A$1:$F$20,MATCH(OrderLines!F$1,Menu!$A$1:$F$1,0),0)</f>
        <v>48.97</v>
      </c>
      <c r="G43" s="27">
        <f>VLOOKUP($A43,Orders!$A$1:$H$361,MATCH($G$1,Orders!$A$1:$H$1,0),0)</f>
        <v>45857</v>
      </c>
      <c r="H43" s="15" t="str">
        <f>VLOOKUP($A43,Orders!$A$1:$H$361,MATCH(OrderLines!$H$1,Orders!$A$1:$H$1,0),0)</f>
        <v>Plant 1 Canteen</v>
      </c>
      <c r="I43" s="15">
        <f>VLOOKUP($A43,Orders!$A$1:$H$361,MATCH(OrderLines!$I$1,Orders!$A$1:$H$1,0),0)</f>
        <v>0.1</v>
      </c>
      <c r="J43" s="15">
        <f t="shared" si="1"/>
        <v>105.12</v>
      </c>
      <c r="K43" s="27" t="str">
        <f t="shared" si="2"/>
        <v>July</v>
      </c>
      <c r="L43" s="15" t="str">
        <f>VLOOKUP(OrderLines!$A43,Orders!$A$1:$H$361,MATCH(OrderLines!$L$1,Orders!$A$1:$H$1,0),0)</f>
        <v>Breakfast</v>
      </c>
      <c r="M43" t="str">
        <f>VLOOKUP($A43,Orders!$A$1:$H$361,MATCH(OrderLines!$M$1,Orders!$A$1:$H$1,0),0)</f>
        <v>Cash</v>
      </c>
      <c r="N43" t="str">
        <f t="shared" si="0"/>
        <v>Single</v>
      </c>
      <c r="O43" t="str" cm="1">
        <f t="array" ref="O43">IF((SUMPRODUCT((OrderID=OrderLines!$A43)*Qty*UnitPrice*DiscountPct))&gt;40,"HighDisc","OK")</f>
        <v>OK</v>
      </c>
      <c r="P43">
        <f>(orderlinesTABLE[[#This Row],[UnitCost]]*orderlinesTABLE[[#This Row],[Qty]])</f>
        <v>48.97</v>
      </c>
      <c r="Q43">
        <f>(orderlinesTABLE[[#This Row],[LineNetAmount]]-orderlinesTABLE[[#This Row],[totalCOST]])</f>
        <v>56.150000000000006</v>
      </c>
      <c r="R43" t="str">
        <f>VLOOKUP($B43,Menu!$A$1:$F$20,MATCH(OrderLines!R$1,Menu!$A$1:$F$1,0),0)</f>
        <v>Brownie</v>
      </c>
      <c r="S43" t="str" cm="1">
        <f t="array" ref="S43">_xlfn.TEXTJOIN("+",TRUE,_xlfn._xlws.FILTER(orderlinesTABLE[ItemName],OrderID=orderlinesTABLE[[#This Row],[OrderID]]))</f>
        <v>Brownie+Masala Chaas</v>
      </c>
      <c r="T43" s="54">
        <f>orderlinesTABLE[[#This Row],[Profit]]/orderlinesTABLE[[#This Row],[LineNetAmount]]</f>
        <v>0.53415144596651454</v>
      </c>
      <c r="U43" s="70">
        <f>(orderlinesTABLE[[#This Row],[Qty]]*orderlinesTABLE[[#This Row],[UnitCost]])</f>
        <v>48.97</v>
      </c>
      <c r="Y43" s="12" t="s">
        <v>18</v>
      </c>
      <c r="Z43">
        <v>110</v>
      </c>
      <c r="AA43">
        <v>41668.595300000023</v>
      </c>
      <c r="AB43">
        <f>(GETPIVOTDATA("[Measures].[Sum of LineNetAmount]",$Y$41,"[Range].[Shift]","[Range].[Shift].&amp;[Dinner]")/GETPIVOTDATA("[Measures].[Distinct Count of OrderID]",$Y$41,"[Range].[Shift]","[Range].[Shift].&amp;[Dinner]"))</f>
        <v>378.80541181818205</v>
      </c>
    </row>
    <row r="44" spans="1:28" x14ac:dyDescent="0.3">
      <c r="A44" s="14" t="s">
        <v>47</v>
      </c>
      <c r="B44" s="14" t="s">
        <v>404</v>
      </c>
      <c r="C44" s="14">
        <v>2</v>
      </c>
      <c r="D44" s="37">
        <f>VLOOKUP($B44,Menu!$A$1:$F$20,MATCH($D$1,Menu!$A$1:$F$1,0),0)</f>
        <v>32.979999999999997</v>
      </c>
      <c r="E44" s="14" t="str">
        <f>VLOOKUP($B44,Menu!$A$1:$F$20,MATCH(OrderLines!E$1,Menu!$A$1:$F$1,0),0)</f>
        <v>Beverage</v>
      </c>
      <c r="F44" s="37">
        <f>VLOOKUP($B44,Menu!$A$1:$F$20,MATCH(OrderLines!F$1,Menu!$A$1:$F$1,0),0)</f>
        <v>11.84</v>
      </c>
      <c r="G44" s="28">
        <f>VLOOKUP($A44,Orders!$A$1:$H$361,MATCH($G$1,Orders!$A$1:$H$1,0),0)</f>
        <v>45857</v>
      </c>
      <c r="H44" s="14" t="str">
        <f>VLOOKUP($A44,Orders!$A$1:$H$361,MATCH(OrderLines!$H$1,Orders!$A$1:$H$1,0),0)</f>
        <v>Plant 1 Canteen</v>
      </c>
      <c r="I44" s="14">
        <f>VLOOKUP($A44,Orders!$A$1:$H$361,MATCH(OrderLines!$I$1,Orders!$A$1:$H$1,0),0)</f>
        <v>0.1</v>
      </c>
      <c r="J44" s="14">
        <f t="shared" si="1"/>
        <v>59.363999999999997</v>
      </c>
      <c r="K44" s="28" t="str">
        <f t="shared" si="2"/>
        <v>July</v>
      </c>
      <c r="L44" s="14" t="str">
        <f>VLOOKUP(OrderLines!$A44,Orders!$A$1:$H$361,MATCH(OrderLines!$L$1,Orders!$A$1:$H$1,0),0)</f>
        <v>Breakfast</v>
      </c>
      <c r="M44" t="str">
        <f>VLOOKUP($A44,Orders!$A$1:$H$361,MATCH(OrderLines!$M$1,Orders!$A$1:$H$1,0),0)</f>
        <v>Cash</v>
      </c>
      <c r="N44" t="str">
        <f t="shared" si="0"/>
        <v>Single</v>
      </c>
      <c r="O44" t="str" cm="1">
        <f t="array" ref="O44">IF((SUMPRODUCT((OrderID=OrderLines!$A44)*Qty*UnitPrice*DiscountPct))&gt;40,"HighDisc","OK")</f>
        <v>OK</v>
      </c>
      <c r="P44">
        <f>(orderlinesTABLE[[#This Row],[UnitCost]]*orderlinesTABLE[[#This Row],[Qty]])</f>
        <v>23.68</v>
      </c>
      <c r="Q44">
        <f>(orderlinesTABLE[[#This Row],[LineNetAmount]]-orderlinesTABLE[[#This Row],[totalCOST]])</f>
        <v>35.683999999999997</v>
      </c>
      <c r="R44" t="str">
        <f>VLOOKUP($B44,Menu!$A$1:$F$20,MATCH(OrderLines!R$1,Menu!$A$1:$F$1,0),0)</f>
        <v>Masala Chaas</v>
      </c>
      <c r="S44" t="str" cm="1">
        <f t="array" ref="S44">_xlfn.TEXTJOIN("+",TRUE,_xlfn._xlws.FILTER(orderlinesTABLE[ItemName],OrderID=orderlinesTABLE[[#This Row],[OrderID]]))</f>
        <v>Brownie+Masala Chaas</v>
      </c>
      <c r="T44" s="54">
        <f>orderlinesTABLE[[#This Row],[Profit]]/orderlinesTABLE[[#This Row],[LineNetAmount]]</f>
        <v>0.60110504682972843</v>
      </c>
      <c r="U44" s="70">
        <f>(orderlinesTABLE[[#This Row],[Qty]]*orderlinesTABLE[[#This Row],[UnitCost]])</f>
        <v>23.68</v>
      </c>
      <c r="Y44" s="12" t="s">
        <v>22</v>
      </c>
      <c r="Z44">
        <v>73</v>
      </c>
      <c r="AA44">
        <v>27157.888400000022</v>
      </c>
      <c r="AB44">
        <f>(GETPIVOTDATA("[Measures].[Sum of LineNetAmount]",$Y$41,"[Range].[Shift]","[Range].[Shift].&amp;[Lunch]")/GETPIVOTDATA("[Measures].[Distinct Count of OrderID]",$Y$41,"[Range].[Shift]","[Range].[Shift].&amp;[Lunch]"))</f>
        <v>372.02586849315099</v>
      </c>
    </row>
    <row r="45" spans="1:28" x14ac:dyDescent="0.3">
      <c r="A45" s="15" t="s">
        <v>49</v>
      </c>
      <c r="B45" s="15" t="s">
        <v>417</v>
      </c>
      <c r="C45" s="15">
        <v>1</v>
      </c>
      <c r="D45" s="36">
        <f>VLOOKUP($B45,Menu!$A$1:$F$20,MATCH($D$1,Menu!$A$1:$F$1,0),0)</f>
        <v>146.4</v>
      </c>
      <c r="E45" s="15" t="str">
        <f>VLOOKUP($B45,Menu!$A$1:$F$20,MATCH(OrderLines!E$1,Menu!$A$1:$F$1,0),0)</f>
        <v>Hot Meal</v>
      </c>
      <c r="F45" s="36">
        <f>VLOOKUP($B45,Menu!$A$1:$F$20,MATCH(OrderLines!F$1,Menu!$A$1:$F$1,0),0)</f>
        <v>80.92</v>
      </c>
      <c r="G45" s="27">
        <f>VLOOKUP($A45,Orders!$A$1:$H$361,MATCH($G$1,Orders!$A$1:$H$1,0),0)</f>
        <v>45878</v>
      </c>
      <c r="H45" s="15" t="str">
        <f>VLOOKUP($A45,Orders!$A$1:$H$361,MATCH(OrderLines!$H$1,Orders!$A$1:$H$1,0),0)</f>
        <v>Plant 1 Canteen</v>
      </c>
      <c r="I45" s="15">
        <f>VLOOKUP($A45,Orders!$A$1:$H$361,MATCH(OrderLines!$I$1,Orders!$A$1:$H$1,0),0)</f>
        <v>0.04</v>
      </c>
      <c r="J45" s="15">
        <f t="shared" si="1"/>
        <v>140.54400000000001</v>
      </c>
      <c r="K45" s="27" t="str">
        <f t="shared" si="2"/>
        <v>August</v>
      </c>
      <c r="L45" s="15" t="str">
        <f>VLOOKUP(OrderLines!$A45,Orders!$A$1:$H$361,MATCH(OrderLines!$L$1,Orders!$A$1:$H$1,0),0)</f>
        <v>Breakfast</v>
      </c>
      <c r="M45" t="str">
        <f>VLOOKUP($A45,Orders!$A$1:$H$361,MATCH(OrderLines!$M$1,Orders!$A$1:$H$1,0),0)</f>
        <v>Cash</v>
      </c>
      <c r="N45" t="str">
        <f t="shared" si="0"/>
        <v>Single</v>
      </c>
      <c r="O45" t="str" cm="1">
        <f t="array" ref="O45">IF((SUMPRODUCT((OrderID=OrderLines!$A45)*Qty*UnitPrice*DiscountPct))&gt;40,"HighDisc","OK")</f>
        <v>OK</v>
      </c>
      <c r="P45">
        <f>(orderlinesTABLE[[#This Row],[UnitCost]]*orderlinesTABLE[[#This Row],[Qty]])</f>
        <v>80.92</v>
      </c>
      <c r="Q45">
        <f>(orderlinesTABLE[[#This Row],[LineNetAmount]]-orderlinesTABLE[[#This Row],[totalCOST]])</f>
        <v>59.624000000000009</v>
      </c>
      <c r="R45" t="str">
        <f>VLOOKUP($B45,Menu!$A$1:$F$20,MATCH(OrderLines!R$1,Menu!$A$1:$F$1,0),0)</f>
        <v>Rajma Chawal</v>
      </c>
      <c r="S45" t="str" cm="1">
        <f t="array" ref="S45">_xlfn.TEXTJOIN("+",TRUE,_xlfn._xlws.FILTER(orderlinesTABLE[ItemName],OrderID=orderlinesTABLE[[#This Row],[OrderID]]))</f>
        <v>Rajma Chawal+Veg Sandwich+Chicken Thali</v>
      </c>
      <c r="T45" s="54">
        <f>orderlinesTABLE[[#This Row],[Profit]]/orderlinesTABLE[[#This Row],[LineNetAmount]]</f>
        <v>0.4242372495446266</v>
      </c>
      <c r="U45" s="70">
        <f>(orderlinesTABLE[[#This Row],[Qty]]*orderlinesTABLE[[#This Row],[UnitCost]])</f>
        <v>80.92</v>
      </c>
      <c r="Y45" s="12" t="s">
        <v>527</v>
      </c>
      <c r="Z45">
        <v>360</v>
      </c>
      <c r="AA45">
        <v>132647.63059999992</v>
      </c>
    </row>
    <row r="46" spans="1:28" x14ac:dyDescent="0.3">
      <c r="A46" s="14" t="s">
        <v>49</v>
      </c>
      <c r="B46" s="14" t="s">
        <v>408</v>
      </c>
      <c r="C46" s="14">
        <v>1</v>
      </c>
      <c r="D46" s="37">
        <f>VLOOKUP($B46,Menu!$A$1:$F$20,MATCH($D$1,Menu!$A$1:$F$1,0),0)</f>
        <v>70.540000000000006</v>
      </c>
      <c r="E46" s="14" t="str">
        <f>VLOOKUP($B46,Menu!$A$1:$F$20,MATCH(OrderLines!E$1,Menu!$A$1:$F$1,0),0)</f>
        <v>Snack</v>
      </c>
      <c r="F46" s="37">
        <f>VLOOKUP($B46,Menu!$A$1:$F$20,MATCH(OrderLines!F$1,Menu!$A$1:$F$1,0),0)</f>
        <v>35.81</v>
      </c>
      <c r="G46" s="28">
        <f>VLOOKUP($A46,Orders!$A$1:$H$361,MATCH($G$1,Orders!$A$1:$H$1,0),0)</f>
        <v>45878</v>
      </c>
      <c r="H46" s="14" t="str">
        <f>VLOOKUP($A46,Orders!$A$1:$H$361,MATCH(OrderLines!$H$1,Orders!$A$1:$H$1,0),0)</f>
        <v>Plant 1 Canteen</v>
      </c>
      <c r="I46" s="14">
        <f>VLOOKUP($A46,Orders!$A$1:$H$361,MATCH(OrderLines!$I$1,Orders!$A$1:$H$1,0),0)</f>
        <v>0.04</v>
      </c>
      <c r="J46" s="14">
        <f t="shared" si="1"/>
        <v>67.718400000000003</v>
      </c>
      <c r="K46" s="28" t="str">
        <f t="shared" si="2"/>
        <v>August</v>
      </c>
      <c r="L46" s="14" t="str">
        <f>VLOOKUP(OrderLines!$A46,Orders!$A$1:$H$361,MATCH(OrderLines!$L$1,Orders!$A$1:$H$1,0),0)</f>
        <v>Breakfast</v>
      </c>
      <c r="M46" t="str">
        <f>VLOOKUP($A46,Orders!$A$1:$H$361,MATCH(OrderLines!$M$1,Orders!$A$1:$H$1,0),0)</f>
        <v>Cash</v>
      </c>
      <c r="N46" t="str">
        <f t="shared" si="0"/>
        <v>Single</v>
      </c>
      <c r="O46" t="str" cm="1">
        <f t="array" ref="O46">IF((SUMPRODUCT((OrderID=OrderLines!$A46)*Qty*UnitPrice*DiscountPct))&gt;40,"HighDisc","OK")</f>
        <v>OK</v>
      </c>
      <c r="P46">
        <f>(orderlinesTABLE[[#This Row],[UnitCost]]*orderlinesTABLE[[#This Row],[Qty]])</f>
        <v>35.81</v>
      </c>
      <c r="Q46">
        <f>(orderlinesTABLE[[#This Row],[LineNetAmount]]-orderlinesTABLE[[#This Row],[totalCOST]])</f>
        <v>31.9084</v>
      </c>
      <c r="R46" t="str">
        <f>VLOOKUP($B46,Menu!$A$1:$F$20,MATCH(OrderLines!R$1,Menu!$A$1:$F$1,0),0)</f>
        <v>Veg Sandwich</v>
      </c>
      <c r="S46" t="str" cm="1">
        <f t="array" ref="S46">_xlfn.TEXTJOIN("+",TRUE,_xlfn._xlws.FILTER(orderlinesTABLE[ItemName],OrderID=orderlinesTABLE[[#This Row],[OrderID]]))</f>
        <v>Rajma Chawal+Veg Sandwich+Chicken Thali</v>
      </c>
      <c r="T46" s="54">
        <f>orderlinesTABLE[[#This Row],[Profit]]/orderlinesTABLE[[#This Row],[LineNetAmount]]</f>
        <v>0.4711924676306587</v>
      </c>
      <c r="U46" s="70">
        <f>(orderlinesTABLE[[#This Row],[Qty]]*orderlinesTABLE[[#This Row],[UnitCost]])</f>
        <v>35.81</v>
      </c>
    </row>
    <row r="47" spans="1:28" x14ac:dyDescent="0.3">
      <c r="A47" s="15" t="s">
        <v>49</v>
      </c>
      <c r="B47" s="15" t="s">
        <v>415</v>
      </c>
      <c r="C47" s="15">
        <v>2</v>
      </c>
      <c r="D47" s="36">
        <f>VLOOKUP($B47,Menu!$A$1:$F$20,MATCH($D$1,Menu!$A$1:$F$1,0),0)</f>
        <v>256.91000000000003</v>
      </c>
      <c r="E47" s="15" t="str">
        <f>VLOOKUP($B47,Menu!$A$1:$F$20,MATCH(OrderLines!E$1,Menu!$A$1:$F$1,0),0)</f>
        <v>Hot Meal</v>
      </c>
      <c r="F47" s="36">
        <f>VLOOKUP($B47,Menu!$A$1:$F$20,MATCH(OrderLines!F$1,Menu!$A$1:$F$1,0),0)</f>
        <v>121.24</v>
      </c>
      <c r="G47" s="27">
        <f>VLOOKUP($A47,Orders!$A$1:$H$361,MATCH($G$1,Orders!$A$1:$H$1,0),0)</f>
        <v>45878</v>
      </c>
      <c r="H47" s="15" t="str">
        <f>VLOOKUP($A47,Orders!$A$1:$H$361,MATCH(OrderLines!$H$1,Orders!$A$1:$H$1,0),0)</f>
        <v>Plant 1 Canteen</v>
      </c>
      <c r="I47" s="15">
        <f>VLOOKUP($A47,Orders!$A$1:$H$361,MATCH(OrderLines!$I$1,Orders!$A$1:$H$1,0),0)</f>
        <v>0.04</v>
      </c>
      <c r="J47" s="15">
        <f t="shared" si="1"/>
        <v>493.2672</v>
      </c>
      <c r="K47" s="27" t="str">
        <f t="shared" si="2"/>
        <v>August</v>
      </c>
      <c r="L47" s="15" t="str">
        <f>VLOOKUP(OrderLines!$A47,Orders!$A$1:$H$361,MATCH(OrderLines!$L$1,Orders!$A$1:$H$1,0),0)</f>
        <v>Breakfast</v>
      </c>
      <c r="M47" t="str">
        <f>VLOOKUP($A47,Orders!$A$1:$H$361,MATCH(OrderLines!$M$1,Orders!$A$1:$H$1,0),0)</f>
        <v>Cash</v>
      </c>
      <c r="N47" t="str">
        <f t="shared" si="0"/>
        <v>Single</v>
      </c>
      <c r="O47" t="str" cm="1">
        <f t="array" ref="O47">IF((SUMPRODUCT((OrderID=OrderLines!$A47)*Qty*UnitPrice*DiscountPct))&gt;40,"HighDisc","OK")</f>
        <v>OK</v>
      </c>
      <c r="P47">
        <f>(orderlinesTABLE[[#This Row],[UnitCost]]*orderlinesTABLE[[#This Row],[Qty]])</f>
        <v>242.48</v>
      </c>
      <c r="Q47">
        <f>(orderlinesTABLE[[#This Row],[LineNetAmount]]-orderlinesTABLE[[#This Row],[totalCOST]])</f>
        <v>250.78720000000001</v>
      </c>
      <c r="R47" t="str">
        <f>VLOOKUP($B47,Menu!$A$1:$F$20,MATCH(OrderLines!R$1,Menu!$A$1:$F$1,0),0)</f>
        <v>Chicken Thali</v>
      </c>
      <c r="S47" t="str" cm="1">
        <f t="array" ref="S47">_xlfn.TEXTJOIN("+",TRUE,_xlfn._xlws.FILTER(orderlinesTABLE[ItemName],OrderID=orderlinesTABLE[[#This Row],[OrderID]]))</f>
        <v>Rajma Chawal+Veg Sandwich+Chicken Thali</v>
      </c>
      <c r="T47" s="54">
        <f>orderlinesTABLE[[#This Row],[Profit]]/orderlinesTABLE[[#This Row],[LineNetAmount]]</f>
        <v>0.50842058827345504</v>
      </c>
      <c r="U47" s="70">
        <f>(orderlinesTABLE[[#This Row],[Qty]]*orderlinesTABLE[[#This Row],[UnitCost]])</f>
        <v>242.48</v>
      </c>
    </row>
    <row r="48" spans="1:28" x14ac:dyDescent="0.3">
      <c r="A48" s="14" t="s">
        <v>50</v>
      </c>
      <c r="B48" s="14" t="s">
        <v>413</v>
      </c>
      <c r="C48" s="14">
        <v>3</v>
      </c>
      <c r="D48" s="37">
        <f>VLOOKUP($B48,Menu!$A$1:$F$20,MATCH($D$1,Menu!$A$1:$F$1,0),0)</f>
        <v>54.2</v>
      </c>
      <c r="E48" s="14" t="str">
        <f>VLOOKUP($B48,Menu!$A$1:$F$20,MATCH(OrderLines!E$1,Menu!$A$1:$F$1,0),0)</f>
        <v>Dessert</v>
      </c>
      <c r="F48" s="37">
        <f>VLOOKUP($B48,Menu!$A$1:$F$20,MATCH(OrderLines!F$1,Menu!$A$1:$F$1,0),0)</f>
        <v>21.95</v>
      </c>
      <c r="G48" s="28">
        <f>VLOOKUP($A48,Orders!$A$1:$H$361,MATCH($G$1,Orders!$A$1:$H$1,0),0)</f>
        <v>45847</v>
      </c>
      <c r="H48" s="14" t="str">
        <f>VLOOKUP($A48,Orders!$A$1:$H$361,MATCH(OrderLines!$H$1,Orders!$A$1:$H$1,0),0)</f>
        <v>Plant 2 Canteen</v>
      </c>
      <c r="I48" s="14">
        <f>VLOOKUP($A48,Orders!$A$1:$H$361,MATCH(OrderLines!$I$1,Orders!$A$1:$H$1,0),0)</f>
        <v>0.05</v>
      </c>
      <c r="J48" s="14">
        <f t="shared" si="1"/>
        <v>154.47000000000003</v>
      </c>
      <c r="K48" s="28" t="str">
        <f t="shared" si="2"/>
        <v>July</v>
      </c>
      <c r="L48" s="14" t="str">
        <f>VLOOKUP(OrderLines!$A48,Orders!$A$1:$H$361,MATCH(OrderLines!$L$1,Orders!$A$1:$H$1,0),0)</f>
        <v>Breakfast</v>
      </c>
      <c r="M48" t="str">
        <f>VLOOKUP($A48,Orders!$A$1:$H$361,MATCH(OrderLines!$M$1,Orders!$A$1:$H$1,0),0)</f>
        <v>UPI</v>
      </c>
      <c r="N48" t="str">
        <f t="shared" si="0"/>
        <v>Combo</v>
      </c>
      <c r="O48" t="str" cm="1">
        <f t="array" ref="O48">IF((SUMPRODUCT((OrderID=OrderLines!$A48)*Qty*UnitPrice*DiscountPct))&gt;40,"HighDisc","OK")</f>
        <v>OK</v>
      </c>
      <c r="P48">
        <f>(orderlinesTABLE[[#This Row],[UnitCost]]*orderlinesTABLE[[#This Row],[Qty]])</f>
        <v>65.849999999999994</v>
      </c>
      <c r="Q48">
        <f>(orderlinesTABLE[[#This Row],[LineNetAmount]]-orderlinesTABLE[[#This Row],[totalCOST]])</f>
        <v>88.620000000000033</v>
      </c>
      <c r="R48" t="str">
        <f>VLOOKUP($B48,Menu!$A$1:$F$20,MATCH(OrderLines!R$1,Menu!$A$1:$F$1,0),0)</f>
        <v>Kheer Cup</v>
      </c>
      <c r="S48" t="str" cm="1">
        <f t="array" ref="S48">_xlfn.TEXTJOIN("+",TRUE,_xlfn._xlws.FILTER(orderlinesTABLE[ItemName],OrderID=orderlinesTABLE[[#This Row],[OrderID]]))</f>
        <v>Kheer Cup+Veg Thali+Masala Chaas+Gulab Jamun (2 pc)</v>
      </c>
      <c r="T48" s="54">
        <f>orderlinesTABLE[[#This Row],[Profit]]/orderlinesTABLE[[#This Row],[LineNetAmount]]</f>
        <v>0.57370363177315997</v>
      </c>
      <c r="U48" s="70">
        <f>(orderlinesTABLE[[#This Row],[Qty]]*orderlinesTABLE[[#This Row],[UnitCost]])</f>
        <v>65.849999999999994</v>
      </c>
    </row>
    <row r="49" spans="1:23" x14ac:dyDescent="0.3">
      <c r="A49" s="15" t="s">
        <v>50</v>
      </c>
      <c r="B49" s="15" t="s">
        <v>416</v>
      </c>
      <c r="C49" s="15">
        <v>1</v>
      </c>
      <c r="D49" s="36">
        <f>VLOOKUP($B49,Menu!$A$1:$F$20,MATCH($D$1,Menu!$A$1:$F$1,0),0)</f>
        <v>227.61</v>
      </c>
      <c r="E49" s="15" t="str">
        <f>VLOOKUP($B49,Menu!$A$1:$F$20,MATCH(OrderLines!E$1,Menu!$A$1:$F$1,0),0)</f>
        <v>Hot Meal</v>
      </c>
      <c r="F49" s="36">
        <f>VLOOKUP($B49,Menu!$A$1:$F$20,MATCH(OrderLines!F$1,Menu!$A$1:$F$1,0),0)</f>
        <v>96.22</v>
      </c>
      <c r="G49" s="27">
        <f>VLOOKUP($A49,Orders!$A$1:$H$361,MATCH($G$1,Orders!$A$1:$H$1,0),0)</f>
        <v>45847</v>
      </c>
      <c r="H49" s="15" t="str">
        <f>VLOOKUP($A49,Orders!$A$1:$H$361,MATCH(OrderLines!$H$1,Orders!$A$1:$H$1,0),0)</f>
        <v>Plant 2 Canteen</v>
      </c>
      <c r="I49" s="15">
        <f>VLOOKUP($A49,Orders!$A$1:$H$361,MATCH(OrderLines!$I$1,Orders!$A$1:$H$1,0),0)</f>
        <v>0.05</v>
      </c>
      <c r="J49" s="15">
        <f t="shared" si="1"/>
        <v>216.2295</v>
      </c>
      <c r="K49" s="27" t="str">
        <f t="shared" si="2"/>
        <v>July</v>
      </c>
      <c r="L49" s="15" t="str">
        <f>VLOOKUP(OrderLines!$A49,Orders!$A$1:$H$361,MATCH(OrderLines!$L$1,Orders!$A$1:$H$1,0),0)</f>
        <v>Breakfast</v>
      </c>
      <c r="M49" t="str">
        <f>VLOOKUP($A49,Orders!$A$1:$H$361,MATCH(OrderLines!$M$1,Orders!$A$1:$H$1,0),0)</f>
        <v>UPI</v>
      </c>
      <c r="N49" t="str">
        <f t="shared" si="0"/>
        <v>Combo</v>
      </c>
      <c r="O49" t="str" cm="1">
        <f t="array" ref="O49">IF((SUMPRODUCT((OrderID=OrderLines!$A49)*Qty*UnitPrice*DiscountPct))&gt;40,"HighDisc","OK")</f>
        <v>OK</v>
      </c>
      <c r="P49">
        <f>(orderlinesTABLE[[#This Row],[UnitCost]]*orderlinesTABLE[[#This Row],[Qty]])</f>
        <v>96.22</v>
      </c>
      <c r="Q49">
        <f>(orderlinesTABLE[[#This Row],[LineNetAmount]]-orderlinesTABLE[[#This Row],[totalCOST]])</f>
        <v>120.0095</v>
      </c>
      <c r="R49" t="str">
        <f>VLOOKUP($B49,Menu!$A$1:$F$20,MATCH(OrderLines!R$1,Menu!$A$1:$F$1,0),0)</f>
        <v>Veg Thali</v>
      </c>
      <c r="S49" t="str" cm="1">
        <f t="array" ref="S49">_xlfn.TEXTJOIN("+",TRUE,_xlfn._xlws.FILTER(orderlinesTABLE[ItemName],OrderID=orderlinesTABLE[[#This Row],[OrderID]]))</f>
        <v>Kheer Cup+Veg Thali+Masala Chaas+Gulab Jamun (2 pc)</v>
      </c>
      <c r="T49" s="54">
        <f>orderlinesTABLE[[#This Row],[Profit]]/orderlinesTABLE[[#This Row],[LineNetAmount]]</f>
        <v>0.55500983908301138</v>
      </c>
      <c r="U49" s="70">
        <f>(orderlinesTABLE[[#This Row],[Qty]]*orderlinesTABLE[[#This Row],[UnitCost]])</f>
        <v>96.22</v>
      </c>
    </row>
    <row r="50" spans="1:23" x14ac:dyDescent="0.3">
      <c r="A50" s="14" t="s">
        <v>50</v>
      </c>
      <c r="B50" s="14" t="s">
        <v>404</v>
      </c>
      <c r="C50" s="14">
        <v>1</v>
      </c>
      <c r="D50" s="37">
        <f>VLOOKUP($B50,Menu!$A$1:$F$20,MATCH($D$1,Menu!$A$1:$F$1,0),0)</f>
        <v>32.979999999999997</v>
      </c>
      <c r="E50" s="14" t="str">
        <f>VLOOKUP($B50,Menu!$A$1:$F$20,MATCH(OrderLines!E$1,Menu!$A$1:$F$1,0),0)</f>
        <v>Beverage</v>
      </c>
      <c r="F50" s="37">
        <f>VLOOKUP($B50,Menu!$A$1:$F$20,MATCH(OrderLines!F$1,Menu!$A$1:$F$1,0),0)</f>
        <v>11.84</v>
      </c>
      <c r="G50" s="28">
        <f>VLOOKUP($A50,Orders!$A$1:$H$361,MATCH($G$1,Orders!$A$1:$H$1,0),0)</f>
        <v>45847</v>
      </c>
      <c r="H50" s="14" t="str">
        <f>VLOOKUP($A50,Orders!$A$1:$H$361,MATCH(OrderLines!$H$1,Orders!$A$1:$H$1,0),0)</f>
        <v>Plant 2 Canteen</v>
      </c>
      <c r="I50" s="14">
        <f>VLOOKUP($A50,Orders!$A$1:$H$361,MATCH(OrderLines!$I$1,Orders!$A$1:$H$1,0),0)</f>
        <v>0.05</v>
      </c>
      <c r="J50" s="14">
        <f t="shared" si="1"/>
        <v>31.330999999999996</v>
      </c>
      <c r="K50" s="28" t="str">
        <f t="shared" si="2"/>
        <v>July</v>
      </c>
      <c r="L50" s="14" t="str">
        <f>VLOOKUP(OrderLines!$A50,Orders!$A$1:$H$361,MATCH(OrderLines!$L$1,Orders!$A$1:$H$1,0),0)</f>
        <v>Breakfast</v>
      </c>
      <c r="M50" t="str">
        <f>VLOOKUP($A50,Orders!$A$1:$H$361,MATCH(OrderLines!$M$1,Orders!$A$1:$H$1,0),0)</f>
        <v>UPI</v>
      </c>
      <c r="N50" t="str">
        <f t="shared" si="0"/>
        <v>Combo</v>
      </c>
      <c r="O50" t="str" cm="1">
        <f t="array" ref="O50">IF((SUMPRODUCT((OrderID=OrderLines!$A50)*Qty*UnitPrice*DiscountPct))&gt;40,"HighDisc","OK")</f>
        <v>OK</v>
      </c>
      <c r="P50">
        <f>(orderlinesTABLE[[#This Row],[UnitCost]]*orderlinesTABLE[[#This Row],[Qty]])</f>
        <v>11.84</v>
      </c>
      <c r="Q50">
        <f>(orderlinesTABLE[[#This Row],[LineNetAmount]]-orderlinesTABLE[[#This Row],[totalCOST]])</f>
        <v>19.490999999999996</v>
      </c>
      <c r="R50" t="str">
        <f>VLOOKUP($B50,Menu!$A$1:$F$20,MATCH(OrderLines!R$1,Menu!$A$1:$F$1,0),0)</f>
        <v>Masala Chaas</v>
      </c>
      <c r="S50" t="str" cm="1">
        <f t="array" ref="S50">_xlfn.TEXTJOIN("+",TRUE,_xlfn._xlws.FILTER(orderlinesTABLE[ItemName],OrderID=orderlinesTABLE[[#This Row],[OrderID]]))</f>
        <v>Kheer Cup+Veg Thali+Masala Chaas+Gulab Jamun (2 pc)</v>
      </c>
      <c r="T50" s="54">
        <f>orderlinesTABLE[[#This Row],[Profit]]/orderlinesTABLE[[#This Row],[LineNetAmount]]</f>
        <v>0.62209951804921637</v>
      </c>
      <c r="U50" s="70">
        <f>(orderlinesTABLE[[#This Row],[Qty]]*orderlinesTABLE[[#This Row],[UnitCost]])</f>
        <v>11.84</v>
      </c>
    </row>
    <row r="51" spans="1:23" x14ac:dyDescent="0.3">
      <c r="A51" s="15" t="s">
        <v>50</v>
      </c>
      <c r="B51" s="15" t="s">
        <v>403</v>
      </c>
      <c r="C51" s="15">
        <v>1</v>
      </c>
      <c r="D51" s="36">
        <f>VLOOKUP($B51,Menu!$A$1:$F$20,MATCH($D$1,Menu!$A$1:$F$1,0),0)</f>
        <v>76.55</v>
      </c>
      <c r="E51" s="15" t="str">
        <f>VLOOKUP($B51,Menu!$A$1:$F$20,MATCH(OrderLines!E$1,Menu!$A$1:$F$1,0),0)</f>
        <v>Dessert</v>
      </c>
      <c r="F51" s="36">
        <f>VLOOKUP($B51,Menu!$A$1:$F$20,MATCH(OrderLines!F$1,Menu!$A$1:$F$1,0),0)</f>
        <v>38.229999999999997</v>
      </c>
      <c r="G51" s="27">
        <f>VLOOKUP($A51,Orders!$A$1:$H$361,MATCH($G$1,Orders!$A$1:$H$1,0),0)</f>
        <v>45847</v>
      </c>
      <c r="H51" s="15" t="str">
        <f>VLOOKUP($A51,Orders!$A$1:$H$361,MATCH(OrderLines!$H$1,Orders!$A$1:$H$1,0),0)</f>
        <v>Plant 2 Canteen</v>
      </c>
      <c r="I51" s="15">
        <f>VLOOKUP($A51,Orders!$A$1:$H$361,MATCH(OrderLines!$I$1,Orders!$A$1:$H$1,0),0)</f>
        <v>0.05</v>
      </c>
      <c r="J51" s="15">
        <f t="shared" si="1"/>
        <v>72.722499999999997</v>
      </c>
      <c r="K51" s="27" t="str">
        <f t="shared" si="2"/>
        <v>July</v>
      </c>
      <c r="L51" s="15" t="str">
        <f>VLOOKUP(OrderLines!$A51,Orders!$A$1:$H$361,MATCH(OrderLines!$L$1,Orders!$A$1:$H$1,0),0)</f>
        <v>Breakfast</v>
      </c>
      <c r="M51" t="str">
        <f>VLOOKUP($A51,Orders!$A$1:$H$361,MATCH(OrderLines!$M$1,Orders!$A$1:$H$1,0),0)</f>
        <v>UPI</v>
      </c>
      <c r="N51" t="str">
        <f t="shared" si="0"/>
        <v>Combo</v>
      </c>
      <c r="O51" t="str" cm="1">
        <f t="array" ref="O51">IF((SUMPRODUCT((OrderID=OrderLines!$A51)*Qty*UnitPrice*DiscountPct))&gt;40,"HighDisc","OK")</f>
        <v>OK</v>
      </c>
      <c r="P51">
        <f>(orderlinesTABLE[[#This Row],[UnitCost]]*orderlinesTABLE[[#This Row],[Qty]])</f>
        <v>38.229999999999997</v>
      </c>
      <c r="Q51">
        <f>(orderlinesTABLE[[#This Row],[LineNetAmount]]-orderlinesTABLE[[#This Row],[totalCOST]])</f>
        <v>34.4925</v>
      </c>
      <c r="R51" t="str">
        <f>VLOOKUP($B51,Menu!$A$1:$F$20,MATCH(OrderLines!R$1,Menu!$A$1:$F$1,0),0)</f>
        <v>Gulab Jamun (2 pc)</v>
      </c>
      <c r="S51" t="str" cm="1">
        <f t="array" ref="S51">_xlfn.TEXTJOIN("+",TRUE,_xlfn._xlws.FILTER(orderlinesTABLE[ItemName],OrderID=orderlinesTABLE[[#This Row],[OrderID]]))</f>
        <v>Kheer Cup+Veg Thali+Masala Chaas+Gulab Jamun (2 pc)</v>
      </c>
      <c r="T51" s="54">
        <f>orderlinesTABLE[[#This Row],[Profit]]/orderlinesTABLE[[#This Row],[LineNetAmount]]</f>
        <v>0.47430300113444945</v>
      </c>
      <c r="U51" s="70">
        <f>(orderlinesTABLE[[#This Row],[Qty]]*orderlinesTABLE[[#This Row],[UnitCost]])</f>
        <v>38.229999999999997</v>
      </c>
      <c r="W51" t="str" cm="1">
        <f t="array" ref="W51:W69">(_xlfn.UNIQUE(SKU))</f>
        <v>SHJ7XV</v>
      </c>
    </row>
    <row r="52" spans="1:23" x14ac:dyDescent="0.3">
      <c r="A52" s="14" t="s">
        <v>51</v>
      </c>
      <c r="B52" s="14" t="s">
        <v>401</v>
      </c>
      <c r="C52" s="14">
        <v>3</v>
      </c>
      <c r="D52" s="37">
        <f>VLOOKUP($B52,Menu!$A$1:$F$20,MATCH($D$1,Menu!$A$1:$F$1,0),0)</f>
        <v>52.45</v>
      </c>
      <c r="E52" s="14" t="str">
        <f>VLOOKUP($B52,Menu!$A$1:$F$20,MATCH(OrderLines!E$1,Menu!$A$1:$F$1,0),0)</f>
        <v>Snack</v>
      </c>
      <c r="F52" s="37">
        <f>VLOOKUP($B52,Menu!$A$1:$F$20,MATCH(OrderLines!F$1,Menu!$A$1:$F$1,0),0)</f>
        <v>25.8</v>
      </c>
      <c r="G52" s="28">
        <f>VLOOKUP($A52,Orders!$A$1:$H$361,MATCH($G$1,Orders!$A$1:$H$1,0),0)</f>
        <v>45869</v>
      </c>
      <c r="H52" s="14" t="str">
        <f>VLOOKUP($A52,Orders!$A$1:$H$361,MATCH(OrderLines!$H$1,Orders!$A$1:$H$1,0),0)</f>
        <v>Plant 2 Canteen</v>
      </c>
      <c r="I52" s="14">
        <f>VLOOKUP($A52,Orders!$A$1:$H$361,MATCH(OrderLines!$I$1,Orders!$A$1:$H$1,0),0)</f>
        <v>0.02</v>
      </c>
      <c r="J52" s="14">
        <f t="shared" si="1"/>
        <v>154.20300000000003</v>
      </c>
      <c r="K52" s="28" t="str">
        <f t="shared" si="2"/>
        <v>July</v>
      </c>
      <c r="L52" s="14" t="str">
        <f>VLOOKUP(OrderLines!$A52,Orders!$A$1:$H$361,MATCH(OrderLines!$L$1,Orders!$A$1:$H$1,0),0)</f>
        <v>Dinner</v>
      </c>
      <c r="M52" t="str">
        <f>VLOOKUP($A52,Orders!$A$1:$H$361,MATCH(OrderLines!$M$1,Orders!$A$1:$H$1,0),0)</f>
        <v>UPI</v>
      </c>
      <c r="N52" t="str">
        <f t="shared" si="0"/>
        <v>Single</v>
      </c>
      <c r="O52" t="str" cm="1">
        <f t="array" ref="O52">IF((SUMPRODUCT((OrderID=OrderLines!$A52)*Qty*UnitPrice*DiscountPct))&gt;40,"HighDisc","OK")</f>
        <v>OK</v>
      </c>
      <c r="P52">
        <f>(orderlinesTABLE[[#This Row],[UnitCost]]*orderlinesTABLE[[#This Row],[Qty]])</f>
        <v>77.400000000000006</v>
      </c>
      <c r="Q52">
        <f>(orderlinesTABLE[[#This Row],[LineNetAmount]]-orderlinesTABLE[[#This Row],[totalCOST]])</f>
        <v>76.803000000000026</v>
      </c>
      <c r="R52" t="str">
        <f>VLOOKUP($B52,Menu!$A$1:$F$20,MATCH(OrderLines!R$1,Menu!$A$1:$F$1,0),0)</f>
        <v>Poha</v>
      </c>
      <c r="S52" t="str" cm="1">
        <f t="array" ref="S52">_xlfn.TEXTJOIN("+",TRUE,_xlfn._xlws.FILTER(orderlinesTABLE[ItemName],OrderID=orderlinesTABLE[[#This Row],[OrderID]]))</f>
        <v>Poha+Samosa+Masala Puff</v>
      </c>
      <c r="T52" s="54">
        <f>orderlinesTABLE[[#This Row],[Profit]]/orderlinesTABLE[[#This Row],[LineNetAmount]]</f>
        <v>0.49806423999533089</v>
      </c>
      <c r="U52" s="70">
        <f>(orderlinesTABLE[[#This Row],[Qty]]*orderlinesTABLE[[#This Row],[UnitCost]])</f>
        <v>77.400000000000006</v>
      </c>
      <c r="W52" t="str">
        <v>BTIQJ7</v>
      </c>
    </row>
    <row r="53" spans="1:23" x14ac:dyDescent="0.3">
      <c r="A53" s="15" t="s">
        <v>51</v>
      </c>
      <c r="B53" s="15" t="s">
        <v>418</v>
      </c>
      <c r="C53" s="15">
        <v>1</v>
      </c>
      <c r="D53" s="36">
        <f>VLOOKUP($B53,Menu!$A$1:$F$20,MATCH($D$1,Menu!$A$1:$F$1,0),0)</f>
        <v>39.950000000000003</v>
      </c>
      <c r="E53" s="15" t="str">
        <f>VLOOKUP($B53,Menu!$A$1:$F$20,MATCH(OrderLines!E$1,Menu!$A$1:$F$1,0),0)</f>
        <v>Snack</v>
      </c>
      <c r="F53" s="36">
        <f>VLOOKUP($B53,Menu!$A$1:$F$20,MATCH(OrderLines!F$1,Menu!$A$1:$F$1,0),0)</f>
        <v>15.51</v>
      </c>
      <c r="G53" s="27">
        <f>VLOOKUP($A53,Orders!$A$1:$H$361,MATCH($G$1,Orders!$A$1:$H$1,0),0)</f>
        <v>45869</v>
      </c>
      <c r="H53" s="15" t="str">
        <f>VLOOKUP($A53,Orders!$A$1:$H$361,MATCH(OrderLines!$H$1,Orders!$A$1:$H$1,0),0)</f>
        <v>Plant 2 Canteen</v>
      </c>
      <c r="I53" s="15">
        <f>VLOOKUP($A53,Orders!$A$1:$H$361,MATCH(OrderLines!$I$1,Orders!$A$1:$H$1,0),0)</f>
        <v>0.02</v>
      </c>
      <c r="J53" s="15">
        <f t="shared" si="1"/>
        <v>39.151000000000003</v>
      </c>
      <c r="K53" s="27" t="str">
        <f t="shared" si="2"/>
        <v>July</v>
      </c>
      <c r="L53" s="15" t="str">
        <f>VLOOKUP(OrderLines!$A53,Orders!$A$1:$H$361,MATCH(OrderLines!$L$1,Orders!$A$1:$H$1,0),0)</f>
        <v>Dinner</v>
      </c>
      <c r="M53" t="str">
        <f>VLOOKUP($A53,Orders!$A$1:$H$361,MATCH(OrderLines!$M$1,Orders!$A$1:$H$1,0),0)</f>
        <v>UPI</v>
      </c>
      <c r="N53" t="str">
        <f t="shared" si="0"/>
        <v>Single</v>
      </c>
      <c r="O53" t="str" cm="1">
        <f t="array" ref="O53">IF((SUMPRODUCT((OrderID=OrderLines!$A53)*Qty*UnitPrice*DiscountPct))&gt;40,"HighDisc","OK")</f>
        <v>OK</v>
      </c>
      <c r="P53">
        <f>(orderlinesTABLE[[#This Row],[UnitCost]]*orderlinesTABLE[[#This Row],[Qty]])</f>
        <v>15.51</v>
      </c>
      <c r="Q53">
        <f>(orderlinesTABLE[[#This Row],[LineNetAmount]]-orderlinesTABLE[[#This Row],[totalCOST]])</f>
        <v>23.641000000000005</v>
      </c>
      <c r="R53" t="str">
        <f>VLOOKUP($B53,Menu!$A$1:$F$20,MATCH(OrderLines!R$1,Menu!$A$1:$F$1,0),0)</f>
        <v>Samosa</v>
      </c>
      <c r="S53" t="str" cm="1">
        <f t="array" ref="S53">_xlfn.TEXTJOIN("+",TRUE,_xlfn._xlws.FILTER(orderlinesTABLE[ItemName],OrderID=orderlinesTABLE[[#This Row],[OrderID]]))</f>
        <v>Poha+Samosa+Masala Puff</v>
      </c>
      <c r="T53" s="54">
        <f>orderlinesTABLE[[#This Row],[Profit]]/orderlinesTABLE[[#This Row],[LineNetAmount]]</f>
        <v>0.6038415366146459</v>
      </c>
      <c r="U53" s="70">
        <f>(orderlinesTABLE[[#This Row],[Qty]]*orderlinesTABLE[[#This Row],[UnitCost]])</f>
        <v>15.51</v>
      </c>
      <c r="W53" t="str">
        <v>DH9SDB</v>
      </c>
    </row>
    <row r="54" spans="1:23" x14ac:dyDescent="0.3">
      <c r="A54" s="14" t="s">
        <v>51</v>
      </c>
      <c r="B54" s="14" t="s">
        <v>419</v>
      </c>
      <c r="C54" s="14">
        <v>2</v>
      </c>
      <c r="D54" s="37">
        <f>VLOOKUP($B54,Menu!$A$1:$F$20,MATCH($D$1,Menu!$A$1:$F$1,0),0)</f>
        <v>50.19</v>
      </c>
      <c r="E54" s="14" t="str">
        <f>VLOOKUP($B54,Menu!$A$1:$F$20,MATCH(OrderLines!E$1,Menu!$A$1:$F$1,0),0)</f>
        <v>Snack</v>
      </c>
      <c r="F54" s="37">
        <f>VLOOKUP($B54,Menu!$A$1:$F$20,MATCH(OrderLines!F$1,Menu!$A$1:$F$1,0),0)</f>
        <v>22.61</v>
      </c>
      <c r="G54" s="28">
        <f>VLOOKUP($A54,Orders!$A$1:$H$361,MATCH($G$1,Orders!$A$1:$H$1,0),0)</f>
        <v>45869</v>
      </c>
      <c r="H54" s="14" t="str">
        <f>VLOOKUP($A54,Orders!$A$1:$H$361,MATCH(OrderLines!$H$1,Orders!$A$1:$H$1,0),0)</f>
        <v>Plant 2 Canteen</v>
      </c>
      <c r="I54" s="14">
        <f>VLOOKUP($A54,Orders!$A$1:$H$361,MATCH(OrderLines!$I$1,Orders!$A$1:$H$1,0),0)</f>
        <v>0.02</v>
      </c>
      <c r="J54" s="14">
        <f t="shared" si="1"/>
        <v>98.372399999999999</v>
      </c>
      <c r="K54" s="28" t="str">
        <f t="shared" si="2"/>
        <v>July</v>
      </c>
      <c r="L54" s="14" t="str">
        <f>VLOOKUP(OrderLines!$A54,Orders!$A$1:$H$361,MATCH(OrderLines!$L$1,Orders!$A$1:$H$1,0),0)</f>
        <v>Dinner</v>
      </c>
      <c r="M54" t="str">
        <f>VLOOKUP($A54,Orders!$A$1:$H$361,MATCH(OrderLines!$M$1,Orders!$A$1:$H$1,0),0)</f>
        <v>UPI</v>
      </c>
      <c r="N54" t="str">
        <f t="shared" si="0"/>
        <v>Single</v>
      </c>
      <c r="O54" t="str" cm="1">
        <f t="array" ref="O54">IF((SUMPRODUCT((OrderID=OrderLines!$A54)*Qty*UnitPrice*DiscountPct))&gt;40,"HighDisc","OK")</f>
        <v>OK</v>
      </c>
      <c r="P54">
        <f>(orderlinesTABLE[[#This Row],[UnitCost]]*orderlinesTABLE[[#This Row],[Qty]])</f>
        <v>45.22</v>
      </c>
      <c r="Q54">
        <f>(orderlinesTABLE[[#This Row],[LineNetAmount]]-orderlinesTABLE[[#This Row],[totalCOST]])</f>
        <v>53.1524</v>
      </c>
      <c r="R54" t="str">
        <f>VLOOKUP($B54,Menu!$A$1:$F$20,MATCH(OrderLines!R$1,Menu!$A$1:$F$1,0),0)</f>
        <v>Masala Puff</v>
      </c>
      <c r="S54" t="str" cm="1">
        <f t="array" ref="S54">_xlfn.TEXTJOIN("+",TRUE,_xlfn._xlws.FILTER(orderlinesTABLE[ItemName],OrderID=orderlinesTABLE[[#This Row],[OrderID]]))</f>
        <v>Poha+Samosa+Masala Puff</v>
      </c>
      <c r="T54" s="54">
        <f>orderlinesTABLE[[#This Row],[Profit]]/orderlinesTABLE[[#This Row],[LineNetAmount]]</f>
        <v>0.54031821933794444</v>
      </c>
      <c r="U54" s="70">
        <f>(orderlinesTABLE[[#This Row],[Qty]]*orderlinesTABLE[[#This Row],[UnitCost]])</f>
        <v>45.22</v>
      </c>
      <c r="W54" t="str">
        <v>BOC6UZ</v>
      </c>
    </row>
    <row r="55" spans="1:23" x14ac:dyDescent="0.3">
      <c r="A55" s="15" t="s">
        <v>52</v>
      </c>
      <c r="B55" s="15" t="s">
        <v>413</v>
      </c>
      <c r="C55" s="15">
        <v>1</v>
      </c>
      <c r="D55" s="36">
        <f>VLOOKUP($B55,Menu!$A$1:$F$20,MATCH($D$1,Menu!$A$1:$F$1,0),0)</f>
        <v>54.2</v>
      </c>
      <c r="E55" s="15" t="str">
        <f>VLOOKUP($B55,Menu!$A$1:$F$20,MATCH(OrderLines!E$1,Menu!$A$1:$F$1,0),0)</f>
        <v>Dessert</v>
      </c>
      <c r="F55" s="36">
        <f>VLOOKUP($B55,Menu!$A$1:$F$20,MATCH(OrderLines!F$1,Menu!$A$1:$F$1,0),0)</f>
        <v>21.95</v>
      </c>
      <c r="G55" s="27">
        <f>VLOOKUP($A55,Orders!$A$1:$H$361,MATCH($G$1,Orders!$A$1:$H$1,0),0)</f>
        <v>45862</v>
      </c>
      <c r="H55" s="15" t="str">
        <f>VLOOKUP($A55,Orders!$A$1:$H$361,MATCH(OrderLines!$H$1,Orders!$A$1:$H$1,0),0)</f>
        <v>Plant 2 Canteen</v>
      </c>
      <c r="I55" s="15">
        <f>VLOOKUP($A55,Orders!$A$1:$H$361,MATCH(OrderLines!$I$1,Orders!$A$1:$H$1,0),0)</f>
        <v>0.01</v>
      </c>
      <c r="J55" s="15">
        <f t="shared" si="1"/>
        <v>53.658000000000001</v>
      </c>
      <c r="K55" s="27" t="str">
        <f t="shared" si="2"/>
        <v>July</v>
      </c>
      <c r="L55" s="15" t="str">
        <f>VLOOKUP(OrderLines!$A55,Orders!$A$1:$H$361,MATCH(OrderLines!$L$1,Orders!$A$1:$H$1,0),0)</f>
        <v>Breakfast</v>
      </c>
      <c r="M55" t="str">
        <f>VLOOKUP($A55,Orders!$A$1:$H$361,MATCH(OrderLines!$M$1,Orders!$A$1:$H$1,0),0)</f>
        <v>Cash</v>
      </c>
      <c r="N55" t="str">
        <f t="shared" si="0"/>
        <v>Combo</v>
      </c>
      <c r="O55" t="str" cm="1">
        <f t="array" ref="O55">IF((SUMPRODUCT((OrderID=OrderLines!$A55)*Qty*UnitPrice*DiscountPct))&gt;40,"HighDisc","OK")</f>
        <v>OK</v>
      </c>
      <c r="P55">
        <f>(orderlinesTABLE[[#This Row],[UnitCost]]*orderlinesTABLE[[#This Row],[Qty]])</f>
        <v>21.95</v>
      </c>
      <c r="Q55">
        <f>(orderlinesTABLE[[#This Row],[LineNetAmount]]-orderlinesTABLE[[#This Row],[totalCOST]])</f>
        <v>31.708000000000002</v>
      </c>
      <c r="R55" t="str">
        <f>VLOOKUP($B55,Menu!$A$1:$F$20,MATCH(OrderLines!R$1,Menu!$A$1:$F$1,0),0)</f>
        <v>Kheer Cup</v>
      </c>
      <c r="S55" t="str" cm="1">
        <f t="array" ref="S55">_xlfn.TEXTJOIN("+",TRUE,_xlfn._xlws.FILTER(orderlinesTABLE[ItemName],OrderID=orderlinesTABLE[[#This Row],[OrderID]]))</f>
        <v>Kheer Cup+Bottled Water+Chicken Thali</v>
      </c>
      <c r="T55" s="54">
        <f>orderlinesTABLE[[#This Row],[Profit]]/orderlinesTABLE[[#This Row],[LineNetAmount]]</f>
        <v>0.59092772745909283</v>
      </c>
      <c r="U55" s="70">
        <f>(orderlinesTABLE[[#This Row],[Qty]]*orderlinesTABLE[[#This Row],[UnitCost]])</f>
        <v>21.95</v>
      </c>
      <c r="W55" t="str">
        <v>H3A3ZM</v>
      </c>
    </row>
    <row r="56" spans="1:23" x14ac:dyDescent="0.3">
      <c r="A56" s="14" t="s">
        <v>52</v>
      </c>
      <c r="B56" s="14" t="s">
        <v>409</v>
      </c>
      <c r="C56" s="14">
        <v>2</v>
      </c>
      <c r="D56" s="37">
        <f>VLOOKUP($B56,Menu!$A$1:$F$20,MATCH($D$1,Menu!$A$1:$F$1,0),0)</f>
        <v>28.43</v>
      </c>
      <c r="E56" s="14" t="str">
        <f>VLOOKUP($B56,Menu!$A$1:$F$20,MATCH(OrderLines!E$1,Menu!$A$1:$F$1,0),0)</f>
        <v>Beverage</v>
      </c>
      <c r="F56" s="37">
        <f>VLOOKUP($B56,Menu!$A$1:$F$20,MATCH(OrderLines!F$1,Menu!$A$1:$F$1,0),0)</f>
        <v>13.89</v>
      </c>
      <c r="G56" s="28">
        <f>VLOOKUP($A56,Orders!$A$1:$H$361,MATCH($G$1,Orders!$A$1:$H$1,0),0)</f>
        <v>45862</v>
      </c>
      <c r="H56" s="14" t="str">
        <f>VLOOKUP($A56,Orders!$A$1:$H$361,MATCH(OrderLines!$H$1,Orders!$A$1:$H$1,0),0)</f>
        <v>Plant 2 Canteen</v>
      </c>
      <c r="I56" s="14">
        <f>VLOOKUP($A56,Orders!$A$1:$H$361,MATCH(OrderLines!$I$1,Orders!$A$1:$H$1,0),0)</f>
        <v>0.01</v>
      </c>
      <c r="J56" s="14">
        <f t="shared" si="1"/>
        <v>56.291399999999996</v>
      </c>
      <c r="K56" s="28" t="str">
        <f t="shared" si="2"/>
        <v>July</v>
      </c>
      <c r="L56" s="14" t="str">
        <f>VLOOKUP(OrderLines!$A56,Orders!$A$1:$H$361,MATCH(OrderLines!$L$1,Orders!$A$1:$H$1,0),0)</f>
        <v>Breakfast</v>
      </c>
      <c r="M56" t="str">
        <f>VLOOKUP($A56,Orders!$A$1:$H$361,MATCH(OrderLines!$M$1,Orders!$A$1:$H$1,0),0)</f>
        <v>Cash</v>
      </c>
      <c r="N56" t="str">
        <f t="shared" si="0"/>
        <v>Combo</v>
      </c>
      <c r="O56" t="str" cm="1">
        <f t="array" ref="O56">IF((SUMPRODUCT((OrderID=OrderLines!$A56)*Qty*UnitPrice*DiscountPct))&gt;40,"HighDisc","OK")</f>
        <v>OK</v>
      </c>
      <c r="P56">
        <f>(orderlinesTABLE[[#This Row],[UnitCost]]*orderlinesTABLE[[#This Row],[Qty]])</f>
        <v>27.78</v>
      </c>
      <c r="Q56">
        <f>(orderlinesTABLE[[#This Row],[LineNetAmount]]-orderlinesTABLE[[#This Row],[totalCOST]])</f>
        <v>28.511399999999995</v>
      </c>
      <c r="R56" t="str">
        <f>VLOOKUP($B56,Menu!$A$1:$F$20,MATCH(OrderLines!R$1,Menu!$A$1:$F$1,0),0)</f>
        <v>Bottled Water</v>
      </c>
      <c r="S56" t="str" cm="1">
        <f t="array" ref="S56">_xlfn.TEXTJOIN("+",TRUE,_xlfn._xlws.FILTER(orderlinesTABLE[ItemName],OrderID=orderlinesTABLE[[#This Row],[OrderID]]))</f>
        <v>Kheer Cup+Bottled Water+Chicken Thali</v>
      </c>
      <c r="T56" s="54">
        <f>orderlinesTABLE[[#This Row],[Profit]]/orderlinesTABLE[[#This Row],[LineNetAmount]]</f>
        <v>0.50649655187115605</v>
      </c>
      <c r="U56" s="70">
        <f>(orderlinesTABLE[[#This Row],[Qty]]*orderlinesTABLE[[#This Row],[UnitCost]])</f>
        <v>27.78</v>
      </c>
      <c r="W56" t="str">
        <v>SZBIKC</v>
      </c>
    </row>
    <row r="57" spans="1:23" x14ac:dyDescent="0.3">
      <c r="A57" s="15" t="s">
        <v>52</v>
      </c>
      <c r="B57" s="15" t="s">
        <v>415</v>
      </c>
      <c r="C57" s="15">
        <v>1</v>
      </c>
      <c r="D57" s="36">
        <f>VLOOKUP($B57,Menu!$A$1:$F$20,MATCH($D$1,Menu!$A$1:$F$1,0),0)</f>
        <v>256.91000000000003</v>
      </c>
      <c r="E57" s="15" t="str">
        <f>VLOOKUP($B57,Menu!$A$1:$F$20,MATCH(OrderLines!E$1,Menu!$A$1:$F$1,0),0)</f>
        <v>Hot Meal</v>
      </c>
      <c r="F57" s="36">
        <f>VLOOKUP($B57,Menu!$A$1:$F$20,MATCH(OrderLines!F$1,Menu!$A$1:$F$1,0),0)</f>
        <v>121.24</v>
      </c>
      <c r="G57" s="27">
        <f>VLOOKUP($A57,Orders!$A$1:$H$361,MATCH($G$1,Orders!$A$1:$H$1,0),0)</f>
        <v>45862</v>
      </c>
      <c r="H57" s="15" t="str">
        <f>VLOOKUP($A57,Orders!$A$1:$H$361,MATCH(OrderLines!$H$1,Orders!$A$1:$H$1,0),0)</f>
        <v>Plant 2 Canteen</v>
      </c>
      <c r="I57" s="15">
        <f>VLOOKUP($A57,Orders!$A$1:$H$361,MATCH(OrderLines!$I$1,Orders!$A$1:$H$1,0),0)</f>
        <v>0.01</v>
      </c>
      <c r="J57" s="15">
        <f t="shared" si="1"/>
        <v>254.34090000000003</v>
      </c>
      <c r="K57" s="27" t="str">
        <f t="shared" si="2"/>
        <v>July</v>
      </c>
      <c r="L57" s="15" t="str">
        <f>VLOOKUP(OrderLines!$A57,Orders!$A$1:$H$361,MATCH(OrderLines!$L$1,Orders!$A$1:$H$1,0),0)</f>
        <v>Breakfast</v>
      </c>
      <c r="M57" t="str">
        <f>VLOOKUP($A57,Orders!$A$1:$H$361,MATCH(OrderLines!$M$1,Orders!$A$1:$H$1,0),0)</f>
        <v>Cash</v>
      </c>
      <c r="N57" t="str">
        <f t="shared" si="0"/>
        <v>Combo</v>
      </c>
      <c r="O57" t="str" cm="1">
        <f t="array" ref="O57">IF((SUMPRODUCT((OrderID=OrderLines!$A57)*Qty*UnitPrice*DiscountPct))&gt;40,"HighDisc","OK")</f>
        <v>OK</v>
      </c>
      <c r="P57">
        <f>(orderlinesTABLE[[#This Row],[UnitCost]]*orderlinesTABLE[[#This Row],[Qty]])</f>
        <v>121.24</v>
      </c>
      <c r="Q57">
        <f>(orderlinesTABLE[[#This Row],[LineNetAmount]]-orderlinesTABLE[[#This Row],[totalCOST]])</f>
        <v>133.10090000000002</v>
      </c>
      <c r="R57" t="str">
        <f>VLOOKUP($B57,Menu!$A$1:$F$20,MATCH(OrderLines!R$1,Menu!$A$1:$F$1,0),0)</f>
        <v>Chicken Thali</v>
      </c>
      <c r="S57" t="str" cm="1">
        <f t="array" ref="S57">_xlfn.TEXTJOIN("+",TRUE,_xlfn._xlws.FILTER(orderlinesTABLE[ItemName],OrderID=orderlinesTABLE[[#This Row],[OrderID]]))</f>
        <v>Kheer Cup+Bottled Water+Chicken Thali</v>
      </c>
      <c r="T57" s="54">
        <f>orderlinesTABLE[[#This Row],[Profit]]/orderlinesTABLE[[#This Row],[LineNetAmount]]</f>
        <v>0.52331693408335034</v>
      </c>
      <c r="U57" s="70">
        <f>(orderlinesTABLE[[#This Row],[Qty]]*orderlinesTABLE[[#This Row],[UnitCost]])</f>
        <v>121.24</v>
      </c>
      <c r="W57" t="str">
        <v>HH1DNM</v>
      </c>
    </row>
    <row r="58" spans="1:23" x14ac:dyDescent="0.3">
      <c r="A58" s="14" t="s">
        <v>53</v>
      </c>
      <c r="B58" s="14" t="s">
        <v>410</v>
      </c>
      <c r="C58" s="14">
        <v>1</v>
      </c>
      <c r="D58" s="37">
        <f>VLOOKUP($B58,Menu!$A$1:$F$20,MATCH($D$1,Menu!$A$1:$F$1,0),0)</f>
        <v>20.11</v>
      </c>
      <c r="E58" s="14" t="str">
        <f>VLOOKUP($B58,Menu!$A$1:$F$20,MATCH(OrderLines!E$1,Menu!$A$1:$F$1,0),0)</f>
        <v>Beverage</v>
      </c>
      <c r="F58" s="37">
        <f>VLOOKUP($B58,Menu!$A$1:$F$20,MATCH(OrderLines!F$1,Menu!$A$1:$F$1,0),0)</f>
        <v>8</v>
      </c>
      <c r="G58" s="28">
        <f>VLOOKUP($A58,Orders!$A$1:$H$361,MATCH($G$1,Orders!$A$1:$H$1,0),0)</f>
        <v>45883</v>
      </c>
      <c r="H58" s="14" t="str">
        <f>VLOOKUP($A58,Orders!$A$1:$H$361,MATCH(OrderLines!$H$1,Orders!$A$1:$H$1,0),0)</f>
        <v>Plant 2 Canteen</v>
      </c>
      <c r="I58" s="14">
        <f>VLOOKUP($A58,Orders!$A$1:$H$361,MATCH(OrderLines!$I$1,Orders!$A$1:$H$1,0),0)</f>
        <v>0.09</v>
      </c>
      <c r="J58" s="14">
        <f t="shared" si="1"/>
        <v>18.3001</v>
      </c>
      <c r="K58" s="28" t="str">
        <f t="shared" si="2"/>
        <v>August</v>
      </c>
      <c r="L58" s="14" t="str">
        <f>VLOOKUP(OrderLines!$A58,Orders!$A$1:$H$361,MATCH(OrderLines!$L$1,Orders!$A$1:$H$1,0),0)</f>
        <v>Lunch</v>
      </c>
      <c r="M58" t="str">
        <f>VLOOKUP($A58,Orders!$A$1:$H$361,MATCH(OrderLines!$M$1,Orders!$A$1:$H$1,0),0)</f>
        <v>Cash</v>
      </c>
      <c r="N58" t="str">
        <f t="shared" si="0"/>
        <v>Combo</v>
      </c>
      <c r="O58" t="str" cm="1">
        <f t="array" ref="O58">IF((SUMPRODUCT((OrderID=OrderLines!$A58)*Qty*UnitPrice*DiscountPct))&gt;40,"HighDisc","OK")</f>
        <v>OK</v>
      </c>
      <c r="P58">
        <f>(orderlinesTABLE[[#This Row],[UnitCost]]*orderlinesTABLE[[#This Row],[Qty]])</f>
        <v>8</v>
      </c>
      <c r="Q58">
        <f>(orderlinesTABLE[[#This Row],[LineNetAmount]]-orderlinesTABLE[[#This Row],[totalCOST]])</f>
        <v>10.3001</v>
      </c>
      <c r="R58" t="str">
        <f>VLOOKUP($B58,Menu!$A$1:$F$20,MATCH(OrderLines!R$1,Menu!$A$1:$F$1,0),0)</f>
        <v>Nimbu Pani</v>
      </c>
      <c r="S58" t="str" cm="1">
        <f t="array" ref="S58">_xlfn.TEXTJOIN("+",TRUE,_xlfn._xlws.FILTER(orderlinesTABLE[ItemName],OrderID=orderlinesTABLE[[#This Row],[OrderID]]))</f>
        <v>Nimbu Pani+Egg Curry + Rice</v>
      </c>
      <c r="T58" s="54">
        <f>orderlinesTABLE[[#This Row],[Profit]]/orderlinesTABLE[[#This Row],[LineNetAmount]]</f>
        <v>0.56284391888568919</v>
      </c>
      <c r="U58" s="70">
        <f>(orderlinesTABLE[[#This Row],[Qty]]*orderlinesTABLE[[#This Row],[UnitCost]])</f>
        <v>8</v>
      </c>
      <c r="W58" t="str">
        <v>SCKW5N</v>
      </c>
    </row>
    <row r="59" spans="1:23" x14ac:dyDescent="0.3">
      <c r="A59" s="15" t="s">
        <v>53</v>
      </c>
      <c r="B59" s="15" t="s">
        <v>407</v>
      </c>
      <c r="C59" s="15">
        <v>1</v>
      </c>
      <c r="D59" s="36">
        <f>VLOOKUP($B59,Menu!$A$1:$F$20,MATCH($D$1,Menu!$A$1:$F$1,0),0)</f>
        <v>246.09</v>
      </c>
      <c r="E59" s="15" t="str">
        <f>VLOOKUP($B59,Menu!$A$1:$F$20,MATCH(OrderLines!E$1,Menu!$A$1:$F$1,0),0)</f>
        <v>Hot Meal</v>
      </c>
      <c r="F59" s="36">
        <f>VLOOKUP($B59,Menu!$A$1:$F$20,MATCH(OrderLines!F$1,Menu!$A$1:$F$1,0),0)</f>
        <v>112.08</v>
      </c>
      <c r="G59" s="27">
        <f>VLOOKUP($A59,Orders!$A$1:$H$361,MATCH($G$1,Orders!$A$1:$H$1,0),0)</f>
        <v>45883</v>
      </c>
      <c r="H59" s="15" t="str">
        <f>VLOOKUP($A59,Orders!$A$1:$H$361,MATCH(OrderLines!$H$1,Orders!$A$1:$H$1,0),0)</f>
        <v>Plant 2 Canteen</v>
      </c>
      <c r="I59" s="15">
        <f>VLOOKUP($A59,Orders!$A$1:$H$361,MATCH(OrderLines!$I$1,Orders!$A$1:$H$1,0),0)</f>
        <v>0.09</v>
      </c>
      <c r="J59" s="15">
        <f t="shared" si="1"/>
        <v>223.9419</v>
      </c>
      <c r="K59" s="27" t="str">
        <f t="shared" si="2"/>
        <v>August</v>
      </c>
      <c r="L59" s="15" t="str">
        <f>VLOOKUP(OrderLines!$A59,Orders!$A$1:$H$361,MATCH(OrderLines!$L$1,Orders!$A$1:$H$1,0),0)</f>
        <v>Lunch</v>
      </c>
      <c r="M59" t="str">
        <f>VLOOKUP($A59,Orders!$A$1:$H$361,MATCH(OrderLines!$M$1,Orders!$A$1:$H$1,0),0)</f>
        <v>Cash</v>
      </c>
      <c r="N59" t="str">
        <f t="shared" si="0"/>
        <v>Combo</v>
      </c>
      <c r="O59" t="str" cm="1">
        <f t="array" ref="O59">IF((SUMPRODUCT((OrderID=OrderLines!$A59)*Qty*UnitPrice*DiscountPct))&gt;40,"HighDisc","OK")</f>
        <v>OK</v>
      </c>
      <c r="P59">
        <f>(orderlinesTABLE[[#This Row],[UnitCost]]*orderlinesTABLE[[#This Row],[Qty]])</f>
        <v>112.08</v>
      </c>
      <c r="Q59">
        <f>(orderlinesTABLE[[#This Row],[LineNetAmount]]-orderlinesTABLE[[#This Row],[totalCOST]])</f>
        <v>111.86190000000001</v>
      </c>
      <c r="R59" t="str">
        <f>VLOOKUP($B59,Menu!$A$1:$F$20,MATCH(OrderLines!R$1,Menu!$A$1:$F$1,0),0)</f>
        <v>Egg Curry + Rice</v>
      </c>
      <c r="S59" t="str" cm="1">
        <f t="array" ref="S59">_xlfn.TEXTJOIN("+",TRUE,_xlfn._xlws.FILTER(orderlinesTABLE[ItemName],OrderID=orderlinesTABLE[[#This Row],[OrderID]]))</f>
        <v>Nimbu Pani+Egg Curry + Rice</v>
      </c>
      <c r="T59" s="54">
        <f>orderlinesTABLE[[#This Row],[Profit]]/orderlinesTABLE[[#This Row],[LineNetAmount]]</f>
        <v>0.49951304333847307</v>
      </c>
      <c r="U59" s="70">
        <f>(orderlinesTABLE[[#This Row],[Qty]]*orderlinesTABLE[[#This Row],[UnitCost]])</f>
        <v>112.08</v>
      </c>
      <c r="W59" t="str">
        <v>B0T0PV</v>
      </c>
    </row>
    <row r="60" spans="1:23" x14ac:dyDescent="0.3">
      <c r="A60" s="14" t="s">
        <v>54</v>
      </c>
      <c r="B60" s="14" t="s">
        <v>417</v>
      </c>
      <c r="C60" s="14">
        <v>3</v>
      </c>
      <c r="D60" s="37">
        <f>VLOOKUP($B60,Menu!$A$1:$F$20,MATCH($D$1,Menu!$A$1:$F$1,0),0)</f>
        <v>146.4</v>
      </c>
      <c r="E60" s="14" t="str">
        <f>VLOOKUP($B60,Menu!$A$1:$F$20,MATCH(OrderLines!E$1,Menu!$A$1:$F$1,0),0)</f>
        <v>Hot Meal</v>
      </c>
      <c r="F60" s="37">
        <f>VLOOKUP($B60,Menu!$A$1:$F$20,MATCH(OrderLines!F$1,Menu!$A$1:$F$1,0),0)</f>
        <v>80.92</v>
      </c>
      <c r="G60" s="28">
        <f>VLOOKUP($A60,Orders!$A$1:$H$361,MATCH($G$1,Orders!$A$1:$H$1,0),0)</f>
        <v>45893</v>
      </c>
      <c r="H60" s="14" t="str">
        <f>VLOOKUP($A60,Orders!$A$1:$H$361,MATCH(OrderLines!$H$1,Orders!$A$1:$H$1,0),0)</f>
        <v>Plant 1 Canteen</v>
      </c>
      <c r="I60" s="14">
        <f>VLOOKUP($A60,Orders!$A$1:$H$361,MATCH(OrderLines!$I$1,Orders!$A$1:$H$1,0),0)</f>
        <v>0.11</v>
      </c>
      <c r="J60" s="14">
        <f t="shared" si="1"/>
        <v>390.88800000000003</v>
      </c>
      <c r="K60" s="28" t="str">
        <f t="shared" si="2"/>
        <v>August</v>
      </c>
      <c r="L60" s="14" t="str">
        <f>VLOOKUP(OrderLines!$A60,Orders!$A$1:$H$361,MATCH(OrderLines!$L$1,Orders!$A$1:$H$1,0),0)</f>
        <v>Dinner</v>
      </c>
      <c r="M60" t="str">
        <f>VLOOKUP($A60,Orders!$A$1:$H$361,MATCH(OrderLines!$M$1,Orders!$A$1:$H$1,0),0)</f>
        <v>UPI</v>
      </c>
      <c r="N60" t="str">
        <f t="shared" si="0"/>
        <v>Single</v>
      </c>
      <c r="O60" t="str" cm="1">
        <f t="array" ref="O60">IF((SUMPRODUCT((OrderID=OrderLines!$A60)*Qty*UnitPrice*DiscountPct))&gt;40,"HighDisc","OK")</f>
        <v>HighDisc</v>
      </c>
      <c r="P60">
        <f>(orderlinesTABLE[[#This Row],[UnitCost]]*orderlinesTABLE[[#This Row],[Qty]])</f>
        <v>242.76</v>
      </c>
      <c r="Q60">
        <f>(orderlinesTABLE[[#This Row],[LineNetAmount]]-orderlinesTABLE[[#This Row],[totalCOST]])</f>
        <v>148.12800000000004</v>
      </c>
      <c r="R60" t="str">
        <f>VLOOKUP($B60,Menu!$A$1:$F$20,MATCH(OrderLines!R$1,Menu!$A$1:$F$1,0),0)</f>
        <v>Rajma Chawal</v>
      </c>
      <c r="S60" t="str" cm="1">
        <f t="array" ref="S60">_xlfn.TEXTJOIN("+",TRUE,_xlfn._xlws.FILTER(orderlinesTABLE[ItemName],OrderID=orderlinesTABLE[[#This Row],[OrderID]]))</f>
        <v>Rajma Chawal</v>
      </c>
      <c r="T60" s="54">
        <f>orderlinesTABLE[[#This Row],[Profit]]/orderlinesTABLE[[#This Row],[LineNetAmount]]</f>
        <v>0.37895253883465346</v>
      </c>
      <c r="U60" s="70">
        <f>(orderlinesTABLE[[#This Row],[Qty]]*orderlinesTABLE[[#This Row],[UnitCost]])</f>
        <v>242.76</v>
      </c>
      <c r="W60" t="str">
        <v>BXO6QJ</v>
      </c>
    </row>
    <row r="61" spans="1:23" x14ac:dyDescent="0.3">
      <c r="A61" s="15" t="s">
        <v>56</v>
      </c>
      <c r="B61" s="15" t="s">
        <v>419</v>
      </c>
      <c r="C61" s="15">
        <v>1</v>
      </c>
      <c r="D61" s="36">
        <f>VLOOKUP($B61,Menu!$A$1:$F$20,MATCH($D$1,Menu!$A$1:$F$1,0),0)</f>
        <v>50.19</v>
      </c>
      <c r="E61" s="15" t="str">
        <f>VLOOKUP($B61,Menu!$A$1:$F$20,MATCH(OrderLines!E$1,Menu!$A$1:$F$1,0),0)</f>
        <v>Snack</v>
      </c>
      <c r="F61" s="36">
        <f>VLOOKUP($B61,Menu!$A$1:$F$20,MATCH(OrderLines!F$1,Menu!$A$1:$F$1,0),0)</f>
        <v>22.61</v>
      </c>
      <c r="G61" s="27">
        <f>VLOOKUP($A61,Orders!$A$1:$H$361,MATCH($G$1,Orders!$A$1:$H$1,0),0)</f>
        <v>45888</v>
      </c>
      <c r="H61" s="15" t="str">
        <f>VLOOKUP($A61,Orders!$A$1:$H$361,MATCH(OrderLines!$H$1,Orders!$A$1:$H$1,0),0)</f>
        <v>Plant 2 Canteen</v>
      </c>
      <c r="I61" s="15">
        <f>VLOOKUP($A61,Orders!$A$1:$H$361,MATCH(OrderLines!$I$1,Orders!$A$1:$H$1,0),0)</f>
        <v>0.06</v>
      </c>
      <c r="J61" s="15">
        <f t="shared" si="1"/>
        <v>47.178599999999996</v>
      </c>
      <c r="K61" s="27" t="str">
        <f t="shared" si="2"/>
        <v>August</v>
      </c>
      <c r="L61" s="15" t="str">
        <f>VLOOKUP(OrderLines!$A61,Orders!$A$1:$H$361,MATCH(OrderLines!$L$1,Orders!$A$1:$H$1,0),0)</f>
        <v>Breakfast</v>
      </c>
      <c r="M61" t="str">
        <f>VLOOKUP($A61,Orders!$A$1:$H$361,MATCH(OrderLines!$M$1,Orders!$A$1:$H$1,0),0)</f>
        <v>Card</v>
      </c>
      <c r="N61" t="str">
        <f t="shared" si="0"/>
        <v>Single</v>
      </c>
      <c r="O61" t="str" cm="1">
        <f t="array" ref="O61">IF((SUMPRODUCT((OrderID=OrderLines!$A61)*Qty*UnitPrice*DiscountPct))&gt;40,"HighDisc","OK")</f>
        <v>OK</v>
      </c>
      <c r="P61">
        <f>(orderlinesTABLE[[#This Row],[UnitCost]]*orderlinesTABLE[[#This Row],[Qty]])</f>
        <v>22.61</v>
      </c>
      <c r="Q61">
        <f>(orderlinesTABLE[[#This Row],[LineNetAmount]]-orderlinesTABLE[[#This Row],[totalCOST]])</f>
        <v>24.568599999999996</v>
      </c>
      <c r="R61" t="str">
        <f>VLOOKUP($B61,Menu!$A$1:$F$20,MATCH(OrderLines!R$1,Menu!$A$1:$F$1,0),0)</f>
        <v>Masala Puff</v>
      </c>
      <c r="S61" t="str" cm="1">
        <f t="array" ref="S61">_xlfn.TEXTJOIN("+",TRUE,_xlfn._xlws.FILTER(orderlinesTABLE[ItemName],OrderID=orderlinesTABLE[[#This Row],[OrderID]]))</f>
        <v>Masala Puff</v>
      </c>
      <c r="T61" s="54">
        <f>orderlinesTABLE[[#This Row],[Profit]]/orderlinesTABLE[[#This Row],[LineNetAmount]]</f>
        <v>0.52075729250126113</v>
      </c>
      <c r="U61" s="70">
        <f>(orderlinesTABLE[[#This Row],[Qty]]*orderlinesTABLE[[#This Row],[UnitCost]])</f>
        <v>22.61</v>
      </c>
      <c r="W61" t="str">
        <v>BHL1C3</v>
      </c>
    </row>
    <row r="62" spans="1:23" x14ac:dyDescent="0.3">
      <c r="A62" s="14" t="s">
        <v>57</v>
      </c>
      <c r="B62" s="14" t="s">
        <v>401</v>
      </c>
      <c r="C62" s="14">
        <v>1</v>
      </c>
      <c r="D62" s="37">
        <f>VLOOKUP($B62,Menu!$A$1:$F$20,MATCH($D$1,Menu!$A$1:$F$1,0),0)</f>
        <v>52.45</v>
      </c>
      <c r="E62" s="14" t="str">
        <f>VLOOKUP($B62,Menu!$A$1:$F$20,MATCH(OrderLines!E$1,Menu!$A$1:$F$1,0),0)</f>
        <v>Snack</v>
      </c>
      <c r="F62" s="37">
        <f>VLOOKUP($B62,Menu!$A$1:$F$20,MATCH(OrderLines!F$1,Menu!$A$1:$F$1,0),0)</f>
        <v>25.8</v>
      </c>
      <c r="G62" s="28">
        <f>VLOOKUP($A62,Orders!$A$1:$H$361,MATCH($G$1,Orders!$A$1:$H$1,0),0)</f>
        <v>45862</v>
      </c>
      <c r="H62" s="14" t="str">
        <f>VLOOKUP($A62,Orders!$A$1:$H$361,MATCH(OrderLines!$H$1,Orders!$A$1:$H$1,0),0)</f>
        <v>Plant 2 Canteen</v>
      </c>
      <c r="I62" s="14">
        <f>VLOOKUP($A62,Orders!$A$1:$H$361,MATCH(OrderLines!$I$1,Orders!$A$1:$H$1,0),0)</f>
        <v>0.1</v>
      </c>
      <c r="J62" s="14">
        <f t="shared" si="1"/>
        <v>47.205000000000005</v>
      </c>
      <c r="K62" s="28" t="str">
        <f t="shared" si="2"/>
        <v>July</v>
      </c>
      <c r="L62" s="14" t="str">
        <f>VLOOKUP(OrderLines!$A62,Orders!$A$1:$H$361,MATCH(OrderLines!$L$1,Orders!$A$1:$H$1,0),0)</f>
        <v>Dinner</v>
      </c>
      <c r="M62" t="str">
        <f>VLOOKUP($A62,Orders!$A$1:$H$361,MATCH(OrderLines!$M$1,Orders!$A$1:$H$1,0),0)</f>
        <v>Cash</v>
      </c>
      <c r="N62" t="str">
        <f t="shared" si="0"/>
        <v>Single</v>
      </c>
      <c r="O62" t="str" cm="1">
        <f t="array" ref="O62">IF((SUMPRODUCT((OrderID=OrderLines!$A62)*Qty*UnitPrice*DiscountPct))&gt;40,"HighDisc","OK")</f>
        <v>OK</v>
      </c>
      <c r="P62">
        <f>(orderlinesTABLE[[#This Row],[UnitCost]]*orderlinesTABLE[[#This Row],[Qty]])</f>
        <v>25.8</v>
      </c>
      <c r="Q62">
        <f>(orderlinesTABLE[[#This Row],[LineNetAmount]]-orderlinesTABLE[[#This Row],[totalCOST]])</f>
        <v>21.405000000000005</v>
      </c>
      <c r="R62" t="str">
        <f>VLOOKUP($B62,Menu!$A$1:$F$20,MATCH(OrderLines!R$1,Menu!$A$1:$F$1,0),0)</f>
        <v>Poha</v>
      </c>
      <c r="S62" t="str" cm="1">
        <f t="array" ref="S62">_xlfn.TEXTJOIN("+",TRUE,_xlfn._xlws.FILTER(orderlinesTABLE[ItemName],OrderID=orderlinesTABLE[[#This Row],[OrderID]]))</f>
        <v>Poha+Paneer Roll</v>
      </c>
      <c r="T62" s="54">
        <f>orderlinesTABLE[[#This Row],[Profit]]/orderlinesTABLE[[#This Row],[LineNetAmount]]</f>
        <v>0.45344772799491584</v>
      </c>
      <c r="U62" s="70">
        <f>(orderlinesTABLE[[#This Row],[Qty]]*orderlinesTABLE[[#This Row],[UnitCost]])</f>
        <v>25.8</v>
      </c>
      <c r="W62" t="str">
        <v>DYTJXE</v>
      </c>
    </row>
    <row r="63" spans="1:23" ht="18.600000000000001" customHeight="1" x14ac:dyDescent="0.3">
      <c r="A63" s="15" t="s">
        <v>57</v>
      </c>
      <c r="B63" s="15" t="s">
        <v>406</v>
      </c>
      <c r="C63" s="15">
        <v>1</v>
      </c>
      <c r="D63" s="36">
        <f>VLOOKUP($B63,Menu!$A$1:$F$20,MATCH($D$1,Menu!$A$1:$F$1,0),0)</f>
        <v>38.06</v>
      </c>
      <c r="E63" s="15" t="str">
        <f>VLOOKUP($B63,Menu!$A$1:$F$20,MATCH(OrderLines!E$1,Menu!$A$1:$F$1,0),0)</f>
        <v>Snack</v>
      </c>
      <c r="F63" s="36">
        <f>VLOOKUP($B63,Menu!$A$1:$F$20,MATCH(OrderLines!F$1,Menu!$A$1:$F$1,0),0)</f>
        <v>19.55</v>
      </c>
      <c r="G63" s="27">
        <f>VLOOKUP($A63,Orders!$A$1:$H$361,MATCH($G$1,Orders!$A$1:$H$1,0),0)</f>
        <v>45862</v>
      </c>
      <c r="H63" s="15" t="str">
        <f>VLOOKUP($A63,Orders!$A$1:$H$361,MATCH(OrderLines!$H$1,Orders!$A$1:$H$1,0),0)</f>
        <v>Plant 2 Canteen</v>
      </c>
      <c r="I63" s="15">
        <f>VLOOKUP($A63,Orders!$A$1:$H$361,MATCH(OrderLines!$I$1,Orders!$A$1:$H$1,0),0)</f>
        <v>0.1</v>
      </c>
      <c r="J63" s="15">
        <f t="shared" si="1"/>
        <v>34.254000000000005</v>
      </c>
      <c r="K63" s="27" t="str">
        <f t="shared" si="2"/>
        <v>July</v>
      </c>
      <c r="L63" s="15" t="str">
        <f>VLOOKUP(OrderLines!$A63,Orders!$A$1:$H$361,MATCH(OrderLines!$L$1,Orders!$A$1:$H$1,0),0)</f>
        <v>Dinner</v>
      </c>
      <c r="M63" t="str">
        <f>VLOOKUP($A63,Orders!$A$1:$H$361,MATCH(OrderLines!$M$1,Orders!$A$1:$H$1,0),0)</f>
        <v>Cash</v>
      </c>
      <c r="N63" t="str">
        <f t="shared" si="0"/>
        <v>Single</v>
      </c>
      <c r="O63" t="str" cm="1">
        <f t="array" ref="O63">IF((SUMPRODUCT((OrderID=OrderLines!$A63)*Qty*UnitPrice*DiscountPct))&gt;40,"HighDisc","OK")</f>
        <v>OK</v>
      </c>
      <c r="P63">
        <f>(orderlinesTABLE[[#This Row],[UnitCost]]*orderlinesTABLE[[#This Row],[Qty]])</f>
        <v>19.55</v>
      </c>
      <c r="Q63">
        <f>(orderlinesTABLE[[#This Row],[LineNetAmount]]-orderlinesTABLE[[#This Row],[totalCOST]])</f>
        <v>14.704000000000004</v>
      </c>
      <c r="R63" t="str">
        <f>VLOOKUP($B63,Menu!$A$1:$F$20,MATCH(OrderLines!R$1,Menu!$A$1:$F$1,0),0)</f>
        <v>Paneer Roll</v>
      </c>
      <c r="S63" t="str" cm="1">
        <f t="array" ref="S63">_xlfn.TEXTJOIN("+",TRUE,_xlfn._xlws.FILTER(orderlinesTABLE[ItemName],OrderID=orderlinesTABLE[[#This Row],[OrderID]]))</f>
        <v>Poha+Paneer Roll</v>
      </c>
      <c r="T63" s="54">
        <f>orderlinesTABLE[[#This Row],[Profit]]/orderlinesTABLE[[#This Row],[LineNetAmount]]</f>
        <v>0.42926373562211717</v>
      </c>
      <c r="U63" s="70">
        <f>(orderlinesTABLE[[#This Row],[Qty]]*orderlinesTABLE[[#This Row],[UnitCost]])</f>
        <v>19.55</v>
      </c>
      <c r="W63" t="str">
        <v>DFFYVN</v>
      </c>
    </row>
    <row r="64" spans="1:23" x14ac:dyDescent="0.3">
      <c r="A64" s="14" t="s">
        <v>58</v>
      </c>
      <c r="B64" s="14" t="s">
        <v>405</v>
      </c>
      <c r="C64" s="14">
        <v>3</v>
      </c>
      <c r="D64" s="37">
        <f>VLOOKUP($B64,Menu!$A$1:$F$20,MATCH($D$1,Menu!$A$1:$F$1,0),0)</f>
        <v>170.83</v>
      </c>
      <c r="E64" s="14" t="str">
        <f>VLOOKUP($B64,Menu!$A$1:$F$20,MATCH(OrderLines!E$1,Menu!$A$1:$F$1,0),0)</f>
        <v>Hot Meal</v>
      </c>
      <c r="F64" s="37">
        <f>VLOOKUP($B64,Menu!$A$1:$F$20,MATCH(OrderLines!F$1,Menu!$A$1:$F$1,0),0)</f>
        <v>74.069999999999993</v>
      </c>
      <c r="G64" s="28">
        <f>VLOOKUP($A64,Orders!$A$1:$H$361,MATCH($G$1,Orders!$A$1:$H$1,0),0)</f>
        <v>45891</v>
      </c>
      <c r="H64" s="14" t="str">
        <f>VLOOKUP($A64,Orders!$A$1:$H$361,MATCH(OrderLines!$H$1,Orders!$A$1:$H$1,0),0)</f>
        <v>Head Office Café</v>
      </c>
      <c r="I64" s="14">
        <f>VLOOKUP($A64,Orders!$A$1:$H$361,MATCH(OrderLines!$I$1,Orders!$A$1:$H$1,0),0)</f>
        <v>7.0000000000000007E-2</v>
      </c>
      <c r="J64" s="14">
        <f t="shared" si="1"/>
        <v>476.6157</v>
      </c>
      <c r="K64" s="28" t="str">
        <f t="shared" si="2"/>
        <v>August</v>
      </c>
      <c r="L64" s="14" t="str">
        <f>VLOOKUP(OrderLines!$A64,Orders!$A$1:$H$361,MATCH(OrderLines!$L$1,Orders!$A$1:$H$1,0),0)</f>
        <v>Dinner</v>
      </c>
      <c r="M64" t="str">
        <f>VLOOKUP($A64,Orders!$A$1:$H$361,MATCH(OrderLines!$M$1,Orders!$A$1:$H$1,0),0)</f>
        <v>UPI</v>
      </c>
      <c r="N64" t="str">
        <f t="shared" si="0"/>
        <v>Combo</v>
      </c>
      <c r="O64" t="str" cm="1">
        <f t="array" ref="O64">IF((SUMPRODUCT((OrderID=OrderLines!$A64)*Qty*UnitPrice*DiscountPct))&gt;40,"HighDisc","OK")</f>
        <v>HighDisc</v>
      </c>
      <c r="P64">
        <f>(orderlinesTABLE[[#This Row],[UnitCost]]*orderlinesTABLE[[#This Row],[Qty]])</f>
        <v>222.20999999999998</v>
      </c>
      <c r="Q64">
        <f>(orderlinesTABLE[[#This Row],[LineNetAmount]]-orderlinesTABLE[[#This Row],[totalCOST]])</f>
        <v>254.40570000000002</v>
      </c>
      <c r="R64" t="str">
        <f>VLOOKUP($B64,Menu!$A$1:$F$20,MATCH(OrderLines!R$1,Menu!$A$1:$F$1,0),0)</f>
        <v>Paneer Butter Masala + Naan</v>
      </c>
      <c r="S64" t="str" cm="1">
        <f t="array" ref="S64">_xlfn.TEXTJOIN("+",TRUE,_xlfn._xlws.FILTER(orderlinesTABLE[ItemName],OrderID=orderlinesTABLE[[#This Row],[OrderID]]))</f>
        <v>Paneer Butter Masala + Naan+Tea+Fruit Cup+Egg Curry + Rice</v>
      </c>
      <c r="T64" s="54">
        <f>orderlinesTABLE[[#This Row],[Profit]]/orderlinesTABLE[[#This Row],[LineNetAmount]]</f>
        <v>0.53377532464834876</v>
      </c>
      <c r="U64" s="70">
        <f>(orderlinesTABLE[[#This Row],[Qty]]*orderlinesTABLE[[#This Row],[UnitCost]])</f>
        <v>222.20999999999998</v>
      </c>
      <c r="W64" t="str">
        <v>D9T84A</v>
      </c>
    </row>
    <row r="65" spans="1:25" x14ac:dyDescent="0.3">
      <c r="A65" s="15" t="s">
        <v>58</v>
      </c>
      <c r="B65" s="15" t="s">
        <v>402</v>
      </c>
      <c r="C65" s="15">
        <v>1</v>
      </c>
      <c r="D65" s="36">
        <f>VLOOKUP($B65,Menu!$A$1:$F$20,MATCH($D$1,Menu!$A$1:$F$1,0),0)</f>
        <v>30.34</v>
      </c>
      <c r="E65" s="15" t="str">
        <f>VLOOKUP($B65,Menu!$A$1:$F$20,MATCH(OrderLines!E$1,Menu!$A$1:$F$1,0),0)</f>
        <v>Beverage</v>
      </c>
      <c r="F65" s="36">
        <f>VLOOKUP($B65,Menu!$A$1:$F$20,MATCH(OrderLines!F$1,Menu!$A$1:$F$1,0),0)</f>
        <v>14.18</v>
      </c>
      <c r="G65" s="27">
        <f>VLOOKUP($A65,Orders!$A$1:$H$361,MATCH($G$1,Orders!$A$1:$H$1,0),0)</f>
        <v>45891</v>
      </c>
      <c r="H65" s="15" t="str">
        <f>VLOOKUP($A65,Orders!$A$1:$H$361,MATCH(OrderLines!$H$1,Orders!$A$1:$H$1,0),0)</f>
        <v>Head Office Café</v>
      </c>
      <c r="I65" s="15">
        <f>VLOOKUP($A65,Orders!$A$1:$H$361,MATCH(OrderLines!$I$1,Orders!$A$1:$H$1,0),0)</f>
        <v>7.0000000000000007E-2</v>
      </c>
      <c r="J65" s="15">
        <f t="shared" si="1"/>
        <v>28.216199999999997</v>
      </c>
      <c r="K65" s="27" t="str">
        <f t="shared" si="2"/>
        <v>August</v>
      </c>
      <c r="L65" s="15" t="str">
        <f>VLOOKUP(OrderLines!$A65,Orders!$A$1:$H$361,MATCH(OrderLines!$L$1,Orders!$A$1:$H$1,0),0)</f>
        <v>Dinner</v>
      </c>
      <c r="M65" t="str">
        <f>VLOOKUP($A65,Orders!$A$1:$H$361,MATCH(OrderLines!$M$1,Orders!$A$1:$H$1,0),0)</f>
        <v>UPI</v>
      </c>
      <c r="N65" t="str">
        <f t="shared" si="0"/>
        <v>Combo</v>
      </c>
      <c r="O65" t="str" cm="1">
        <f t="array" ref="O65">IF((SUMPRODUCT((OrderID=OrderLines!$A65)*Qty*UnitPrice*DiscountPct))&gt;40,"HighDisc","OK")</f>
        <v>HighDisc</v>
      </c>
      <c r="P65">
        <f>(orderlinesTABLE[[#This Row],[UnitCost]]*orderlinesTABLE[[#This Row],[Qty]])</f>
        <v>14.18</v>
      </c>
      <c r="Q65">
        <f>(orderlinesTABLE[[#This Row],[LineNetAmount]]-orderlinesTABLE[[#This Row],[totalCOST]])</f>
        <v>14.036199999999997</v>
      </c>
      <c r="R65" t="str">
        <f>VLOOKUP($B65,Menu!$A$1:$F$20,MATCH(OrderLines!R$1,Menu!$A$1:$F$1,0),0)</f>
        <v>Tea</v>
      </c>
      <c r="S65" t="str" cm="1">
        <f t="array" ref="S65">_xlfn.TEXTJOIN("+",TRUE,_xlfn._xlws.FILTER(orderlinesTABLE[ItemName],OrderID=orderlinesTABLE[[#This Row],[OrderID]]))</f>
        <v>Paneer Butter Masala + Naan+Tea+Fruit Cup+Egg Curry + Rice</v>
      </c>
      <c r="T65" s="54">
        <f>orderlinesTABLE[[#This Row],[Profit]]/orderlinesTABLE[[#This Row],[LineNetAmount]]</f>
        <v>0.49745181845889946</v>
      </c>
      <c r="U65" s="70">
        <f>(orderlinesTABLE[[#This Row],[Qty]]*orderlinesTABLE[[#This Row],[UnitCost]])</f>
        <v>14.18</v>
      </c>
      <c r="W65" t="str">
        <v>HDPBHS</v>
      </c>
    </row>
    <row r="66" spans="1:25" x14ac:dyDescent="0.3">
      <c r="A66" s="14" t="s">
        <v>58</v>
      </c>
      <c r="B66" s="14" t="s">
        <v>412</v>
      </c>
      <c r="C66" s="14">
        <v>2</v>
      </c>
      <c r="D66" s="37">
        <f>VLOOKUP($B66,Menu!$A$1:$F$20,MATCH($D$1,Menu!$A$1:$F$1,0),0)</f>
        <v>57.07</v>
      </c>
      <c r="E66" s="14" t="str">
        <f>VLOOKUP($B66,Menu!$A$1:$F$20,MATCH(OrderLines!E$1,Menu!$A$1:$F$1,0),0)</f>
        <v>Dessert</v>
      </c>
      <c r="F66" s="37">
        <f>VLOOKUP($B66,Menu!$A$1:$F$20,MATCH(OrderLines!F$1,Menu!$A$1:$F$1,0),0)</f>
        <v>29.14</v>
      </c>
      <c r="G66" s="28">
        <f>VLOOKUP($A66,Orders!$A$1:$H$361,MATCH($G$1,Orders!$A$1:$H$1,0),0)</f>
        <v>45891</v>
      </c>
      <c r="H66" s="14" t="str">
        <f>VLOOKUP($A66,Orders!$A$1:$H$361,MATCH(OrderLines!$H$1,Orders!$A$1:$H$1,0),0)</f>
        <v>Head Office Café</v>
      </c>
      <c r="I66" s="14">
        <f>VLOOKUP($A66,Orders!$A$1:$H$361,MATCH(OrderLines!$I$1,Orders!$A$1:$H$1,0),0)</f>
        <v>7.0000000000000007E-2</v>
      </c>
      <c r="J66" s="14">
        <f t="shared" si="1"/>
        <v>106.1502</v>
      </c>
      <c r="K66" s="28" t="str">
        <f t="shared" si="2"/>
        <v>August</v>
      </c>
      <c r="L66" s="14" t="str">
        <f>VLOOKUP(OrderLines!$A66,Orders!$A$1:$H$361,MATCH(OrderLines!$L$1,Orders!$A$1:$H$1,0),0)</f>
        <v>Dinner</v>
      </c>
      <c r="M66" t="str">
        <f>VLOOKUP($A66,Orders!$A$1:$H$361,MATCH(OrderLines!$M$1,Orders!$A$1:$H$1,0),0)</f>
        <v>UPI</v>
      </c>
      <c r="N66" t="str">
        <f t="shared" ref="N66:N129" si="3">IF(AND(COUNTIFS(OrderID,$A66,Category,"hot meal")&gt;=1,COUNTIFS(OrderID,$A66,Category,"beverage")&gt;=1),"Combo","Single")</f>
        <v>Combo</v>
      </c>
      <c r="O66" t="str" cm="1">
        <f t="array" ref="O66">IF((SUMPRODUCT((OrderID=OrderLines!$A66)*Qty*UnitPrice*DiscountPct))&gt;40,"HighDisc","OK")</f>
        <v>HighDisc</v>
      </c>
      <c r="P66">
        <f>(orderlinesTABLE[[#This Row],[UnitCost]]*orderlinesTABLE[[#This Row],[Qty]])</f>
        <v>58.28</v>
      </c>
      <c r="Q66">
        <f>(orderlinesTABLE[[#This Row],[LineNetAmount]]-orderlinesTABLE[[#This Row],[totalCOST]])</f>
        <v>47.870199999999997</v>
      </c>
      <c r="R66" t="str">
        <f>VLOOKUP($B66,Menu!$A$1:$F$20,MATCH(OrderLines!R$1,Menu!$A$1:$F$1,0),0)</f>
        <v>Fruit Cup</v>
      </c>
      <c r="S66" t="str" cm="1">
        <f t="array" ref="S66">_xlfn.TEXTJOIN("+",TRUE,_xlfn._xlws.FILTER(orderlinesTABLE[ItemName],OrderID=orderlinesTABLE[[#This Row],[OrderID]]))</f>
        <v>Paneer Butter Masala + Naan+Tea+Fruit Cup+Egg Curry + Rice</v>
      </c>
      <c r="T66" s="54">
        <f>orderlinesTABLE[[#This Row],[Profit]]/orderlinesTABLE[[#This Row],[LineNetAmount]]</f>
        <v>0.45096664914432566</v>
      </c>
      <c r="U66" s="70">
        <f>(orderlinesTABLE[[#This Row],[Qty]]*orderlinesTABLE[[#This Row],[UnitCost]])</f>
        <v>58.28</v>
      </c>
      <c r="W66" t="str">
        <v>HXAJI0</v>
      </c>
    </row>
    <row r="67" spans="1:25" x14ac:dyDescent="0.3">
      <c r="A67" s="15" t="s">
        <v>58</v>
      </c>
      <c r="B67" s="15" t="s">
        <v>407</v>
      </c>
      <c r="C67" s="15">
        <v>1</v>
      </c>
      <c r="D67" s="36">
        <f>VLOOKUP($B67,Menu!$A$1:$F$20,MATCH($D$1,Menu!$A$1:$F$1,0),0)</f>
        <v>246.09</v>
      </c>
      <c r="E67" s="15" t="str">
        <f>VLOOKUP($B67,Menu!$A$1:$F$20,MATCH(OrderLines!E$1,Menu!$A$1:$F$1,0),0)</f>
        <v>Hot Meal</v>
      </c>
      <c r="F67" s="36">
        <f>VLOOKUP($B67,Menu!$A$1:$F$20,MATCH(OrderLines!F$1,Menu!$A$1:$F$1,0),0)</f>
        <v>112.08</v>
      </c>
      <c r="G67" s="27">
        <f>VLOOKUP($A67,Orders!$A$1:$H$361,MATCH($G$1,Orders!$A$1:$H$1,0),0)</f>
        <v>45891</v>
      </c>
      <c r="H67" s="15" t="str">
        <f>VLOOKUP($A67,Orders!$A$1:$H$361,MATCH(OrderLines!$H$1,Orders!$A$1:$H$1,0),0)</f>
        <v>Head Office Café</v>
      </c>
      <c r="I67" s="15">
        <f>VLOOKUP($A67,Orders!$A$1:$H$361,MATCH(OrderLines!$I$1,Orders!$A$1:$H$1,0),0)</f>
        <v>7.0000000000000007E-2</v>
      </c>
      <c r="J67" s="15">
        <f t="shared" ref="J67:J130" si="4">$C67*$D67*(1-$I67)</f>
        <v>228.86369999999999</v>
      </c>
      <c r="K67" s="27" t="str">
        <f t="shared" ref="K67:K130" si="5">TEXT($G67,"mmmm")</f>
        <v>August</v>
      </c>
      <c r="L67" s="15" t="str">
        <f>VLOOKUP(OrderLines!$A67,Orders!$A$1:$H$361,MATCH(OrderLines!$L$1,Orders!$A$1:$H$1,0),0)</f>
        <v>Dinner</v>
      </c>
      <c r="M67" t="str">
        <f>VLOOKUP($A67,Orders!$A$1:$H$361,MATCH(OrderLines!$M$1,Orders!$A$1:$H$1,0),0)</f>
        <v>UPI</v>
      </c>
      <c r="N67" t="str">
        <f t="shared" si="3"/>
        <v>Combo</v>
      </c>
      <c r="O67" t="str" cm="1">
        <f t="array" ref="O67">IF((SUMPRODUCT((OrderID=OrderLines!$A67)*Qty*UnitPrice*DiscountPct))&gt;40,"HighDisc","OK")</f>
        <v>HighDisc</v>
      </c>
      <c r="P67">
        <f>(orderlinesTABLE[[#This Row],[UnitCost]]*orderlinesTABLE[[#This Row],[Qty]])</f>
        <v>112.08</v>
      </c>
      <c r="Q67">
        <f>(orderlinesTABLE[[#This Row],[LineNetAmount]]-orderlinesTABLE[[#This Row],[totalCOST]])</f>
        <v>116.7837</v>
      </c>
      <c r="R67" t="str">
        <f>VLOOKUP($B67,Menu!$A$1:$F$20,MATCH(OrderLines!R$1,Menu!$A$1:$F$1,0),0)</f>
        <v>Egg Curry + Rice</v>
      </c>
      <c r="S67" t="str" cm="1">
        <f t="array" ref="S67">_xlfn.TEXTJOIN("+",TRUE,_xlfn._xlws.FILTER(orderlinesTABLE[ItemName],OrderID=orderlinesTABLE[[#This Row],[OrderID]]))</f>
        <v>Paneer Butter Masala + Naan+Tea+Fruit Cup+Egg Curry + Rice</v>
      </c>
      <c r="T67" s="54">
        <f>orderlinesTABLE[[#This Row],[Profit]]/orderlinesTABLE[[#This Row],[LineNetAmount]]</f>
        <v>0.5102762036967855</v>
      </c>
      <c r="U67" s="70">
        <f>(orderlinesTABLE[[#This Row],[Qty]]*orderlinesTABLE[[#This Row],[UnitCost]])</f>
        <v>112.08</v>
      </c>
      <c r="W67" t="str">
        <v>HUZZPQ</v>
      </c>
    </row>
    <row r="68" spans="1:25" x14ac:dyDescent="0.3">
      <c r="A68" s="14" t="s">
        <v>59</v>
      </c>
      <c r="B68" s="14" t="s">
        <v>419</v>
      </c>
      <c r="C68" s="14">
        <v>1</v>
      </c>
      <c r="D68" s="37">
        <f>VLOOKUP($B68,Menu!$A$1:$F$20,MATCH($D$1,Menu!$A$1:$F$1,0),0)</f>
        <v>50.19</v>
      </c>
      <c r="E68" s="14" t="str">
        <f>VLOOKUP($B68,Menu!$A$1:$F$20,MATCH(OrderLines!E$1,Menu!$A$1:$F$1,0),0)</f>
        <v>Snack</v>
      </c>
      <c r="F68" s="37">
        <f>VLOOKUP($B68,Menu!$A$1:$F$20,MATCH(OrderLines!F$1,Menu!$A$1:$F$1,0),0)</f>
        <v>22.61</v>
      </c>
      <c r="G68" s="28">
        <f>VLOOKUP($A68,Orders!$A$1:$H$361,MATCH($G$1,Orders!$A$1:$H$1,0),0)</f>
        <v>45840</v>
      </c>
      <c r="H68" s="14" t="str">
        <f>VLOOKUP($A68,Orders!$A$1:$H$361,MATCH(OrderLines!$H$1,Orders!$A$1:$H$1,0),0)</f>
        <v>Head Office Café</v>
      </c>
      <c r="I68" s="14">
        <f>VLOOKUP($A68,Orders!$A$1:$H$361,MATCH(OrderLines!$I$1,Orders!$A$1:$H$1,0),0)</f>
        <v>0.03</v>
      </c>
      <c r="J68" s="14">
        <f t="shared" si="4"/>
        <v>48.684299999999993</v>
      </c>
      <c r="K68" s="28" t="str">
        <f t="shared" si="5"/>
        <v>July</v>
      </c>
      <c r="L68" s="14" t="str">
        <f>VLOOKUP(OrderLines!$A68,Orders!$A$1:$H$361,MATCH(OrderLines!$L$1,Orders!$A$1:$H$1,0),0)</f>
        <v>Breakfast</v>
      </c>
      <c r="M68" t="str">
        <f>VLOOKUP($A68,Orders!$A$1:$H$361,MATCH(OrderLines!$M$1,Orders!$A$1:$H$1,0),0)</f>
        <v>Card</v>
      </c>
      <c r="N68" t="str">
        <f t="shared" si="3"/>
        <v>Single</v>
      </c>
      <c r="O68" t="str" cm="1">
        <f t="array" ref="O68">IF((SUMPRODUCT((OrderID=OrderLines!$A68)*Qty*UnitPrice*DiscountPct))&gt;40,"HighDisc","OK")</f>
        <v>OK</v>
      </c>
      <c r="P68">
        <f>(orderlinesTABLE[[#This Row],[UnitCost]]*orderlinesTABLE[[#This Row],[Qty]])</f>
        <v>22.61</v>
      </c>
      <c r="Q68">
        <f>(orderlinesTABLE[[#This Row],[LineNetAmount]]-orderlinesTABLE[[#This Row],[totalCOST]])</f>
        <v>26.074299999999994</v>
      </c>
      <c r="R68" t="str">
        <f>VLOOKUP($B68,Menu!$A$1:$F$20,MATCH(OrderLines!R$1,Menu!$A$1:$F$1,0),0)</f>
        <v>Masala Puff</v>
      </c>
      <c r="S68" t="str" cm="1">
        <f t="array" ref="S68">_xlfn.TEXTJOIN("+",TRUE,_xlfn._xlws.FILTER(orderlinesTABLE[ItemName],OrderID=orderlinesTABLE[[#This Row],[OrderID]]))</f>
        <v>Masala Puff+Brownie+Veg Sandwich+Nimbu Pani</v>
      </c>
      <c r="T68" s="54">
        <f>orderlinesTABLE[[#This Row],[Profit]]/orderlinesTABLE[[#This Row],[LineNetAmount]]</f>
        <v>0.53557923190843859</v>
      </c>
      <c r="U68" s="70">
        <f>(orderlinesTABLE[[#This Row],[Qty]]*orderlinesTABLE[[#This Row],[UnitCost]])</f>
        <v>22.61</v>
      </c>
      <c r="W68" t="str">
        <v>SV30T9</v>
      </c>
    </row>
    <row r="69" spans="1:25" x14ac:dyDescent="0.3">
      <c r="A69" s="15" t="s">
        <v>59</v>
      </c>
      <c r="B69" s="15" t="s">
        <v>414</v>
      </c>
      <c r="C69" s="15">
        <v>2</v>
      </c>
      <c r="D69" s="36">
        <f>VLOOKUP($B69,Menu!$A$1:$F$20,MATCH($D$1,Menu!$A$1:$F$1,0),0)</f>
        <v>116.8</v>
      </c>
      <c r="E69" s="15" t="str">
        <f>VLOOKUP($B69,Menu!$A$1:$F$20,MATCH(OrderLines!E$1,Menu!$A$1:$F$1,0),0)</f>
        <v>Dessert</v>
      </c>
      <c r="F69" s="36">
        <f>VLOOKUP($B69,Menu!$A$1:$F$20,MATCH(OrderLines!F$1,Menu!$A$1:$F$1,0),0)</f>
        <v>48.97</v>
      </c>
      <c r="G69" s="27">
        <f>VLOOKUP($A69,Orders!$A$1:$H$361,MATCH($G$1,Orders!$A$1:$H$1,0),0)</f>
        <v>45840</v>
      </c>
      <c r="H69" s="15" t="str">
        <f>VLOOKUP($A69,Orders!$A$1:$H$361,MATCH(OrderLines!$H$1,Orders!$A$1:$H$1,0),0)</f>
        <v>Head Office Café</v>
      </c>
      <c r="I69" s="15">
        <f>VLOOKUP($A69,Orders!$A$1:$H$361,MATCH(OrderLines!$I$1,Orders!$A$1:$H$1,0),0)</f>
        <v>0.03</v>
      </c>
      <c r="J69" s="15">
        <f t="shared" si="4"/>
        <v>226.59199999999998</v>
      </c>
      <c r="K69" s="27" t="str">
        <f t="shared" si="5"/>
        <v>July</v>
      </c>
      <c r="L69" s="15" t="str">
        <f>VLOOKUP(OrderLines!$A69,Orders!$A$1:$H$361,MATCH(OrderLines!$L$1,Orders!$A$1:$H$1,0),0)</f>
        <v>Breakfast</v>
      </c>
      <c r="M69" t="str">
        <f>VLOOKUP($A69,Orders!$A$1:$H$361,MATCH(OrderLines!$M$1,Orders!$A$1:$H$1,0),0)</f>
        <v>Card</v>
      </c>
      <c r="N69" t="str">
        <f t="shared" si="3"/>
        <v>Single</v>
      </c>
      <c r="O69" t="str" cm="1">
        <f t="array" ref="O69">IF((SUMPRODUCT((OrderID=OrderLines!$A69)*Qty*UnitPrice*DiscountPct))&gt;40,"HighDisc","OK")</f>
        <v>OK</v>
      </c>
      <c r="P69">
        <f>(orderlinesTABLE[[#This Row],[UnitCost]]*orderlinesTABLE[[#This Row],[Qty]])</f>
        <v>97.94</v>
      </c>
      <c r="Q69">
        <f>(orderlinesTABLE[[#This Row],[LineNetAmount]]-orderlinesTABLE[[#This Row],[totalCOST]])</f>
        <v>128.65199999999999</v>
      </c>
      <c r="R69" t="str">
        <f>VLOOKUP($B69,Menu!$A$1:$F$20,MATCH(OrderLines!R$1,Menu!$A$1:$F$1,0),0)</f>
        <v>Brownie</v>
      </c>
      <c r="S69" t="str" cm="1">
        <f t="array" ref="S69">_xlfn.TEXTJOIN("+",TRUE,_xlfn._xlws.FILTER(orderlinesTABLE[ItemName],OrderID=orderlinesTABLE[[#This Row],[OrderID]]))</f>
        <v>Masala Puff+Brownie+Veg Sandwich+Nimbu Pani</v>
      </c>
      <c r="T69" s="54">
        <f>orderlinesTABLE[[#This Row],[Profit]]/orderlinesTABLE[[#This Row],[LineNetAmount]]</f>
        <v>0.56776938285552891</v>
      </c>
      <c r="U69" s="70">
        <f>(orderlinesTABLE[[#This Row],[Qty]]*orderlinesTABLE[[#This Row],[UnitCost]])</f>
        <v>97.94</v>
      </c>
      <c r="W69" t="str">
        <v>S5NQ4F</v>
      </c>
    </row>
    <row r="70" spans="1:25" x14ac:dyDescent="0.3">
      <c r="A70" s="14" t="s">
        <v>59</v>
      </c>
      <c r="B70" s="14" t="s">
        <v>408</v>
      </c>
      <c r="C70" s="14">
        <v>1</v>
      </c>
      <c r="D70" s="37">
        <f>VLOOKUP($B70,Menu!$A$1:$F$20,MATCH($D$1,Menu!$A$1:$F$1,0),0)</f>
        <v>70.540000000000006</v>
      </c>
      <c r="E70" s="14" t="str">
        <f>VLOOKUP($B70,Menu!$A$1:$F$20,MATCH(OrderLines!E$1,Menu!$A$1:$F$1,0),0)</f>
        <v>Snack</v>
      </c>
      <c r="F70" s="37">
        <f>VLOOKUP($B70,Menu!$A$1:$F$20,MATCH(OrderLines!F$1,Menu!$A$1:$F$1,0),0)</f>
        <v>35.81</v>
      </c>
      <c r="G70" s="28">
        <f>VLOOKUP($A70,Orders!$A$1:$H$361,MATCH($G$1,Orders!$A$1:$H$1,0),0)</f>
        <v>45840</v>
      </c>
      <c r="H70" s="14" t="str">
        <f>VLOOKUP($A70,Orders!$A$1:$H$361,MATCH(OrderLines!$H$1,Orders!$A$1:$H$1,0),0)</f>
        <v>Head Office Café</v>
      </c>
      <c r="I70" s="14">
        <f>VLOOKUP($A70,Orders!$A$1:$H$361,MATCH(OrderLines!$I$1,Orders!$A$1:$H$1,0),0)</f>
        <v>0.03</v>
      </c>
      <c r="J70" s="14">
        <f t="shared" si="4"/>
        <v>68.4238</v>
      </c>
      <c r="K70" s="28" t="str">
        <f t="shared" si="5"/>
        <v>July</v>
      </c>
      <c r="L70" s="14" t="str">
        <f>VLOOKUP(OrderLines!$A70,Orders!$A$1:$H$361,MATCH(OrderLines!$L$1,Orders!$A$1:$H$1,0),0)</f>
        <v>Breakfast</v>
      </c>
      <c r="M70" t="str">
        <f>VLOOKUP($A70,Orders!$A$1:$H$361,MATCH(OrderLines!$M$1,Orders!$A$1:$H$1,0),0)</f>
        <v>Card</v>
      </c>
      <c r="N70" t="str">
        <f t="shared" si="3"/>
        <v>Single</v>
      </c>
      <c r="O70" t="str" cm="1">
        <f t="array" ref="O70">IF((SUMPRODUCT((OrderID=OrderLines!$A70)*Qty*UnitPrice*DiscountPct))&gt;40,"HighDisc","OK")</f>
        <v>OK</v>
      </c>
      <c r="P70">
        <f>(orderlinesTABLE[[#This Row],[UnitCost]]*orderlinesTABLE[[#This Row],[Qty]])</f>
        <v>35.81</v>
      </c>
      <c r="Q70">
        <f>(orderlinesTABLE[[#This Row],[LineNetAmount]]-orderlinesTABLE[[#This Row],[totalCOST]])</f>
        <v>32.613799999999998</v>
      </c>
      <c r="R70" t="str">
        <f>VLOOKUP($B70,Menu!$A$1:$F$20,MATCH(OrderLines!R$1,Menu!$A$1:$F$1,0),0)</f>
        <v>Veg Sandwich</v>
      </c>
      <c r="S70" t="str" cm="1">
        <f t="array" ref="S70">_xlfn.TEXTJOIN("+",TRUE,_xlfn._xlws.FILTER(orderlinesTABLE[ItemName],OrderID=orderlinesTABLE[[#This Row],[OrderID]]))</f>
        <v>Masala Puff+Brownie+Veg Sandwich+Nimbu Pani</v>
      </c>
      <c r="T70" s="54">
        <f>orderlinesTABLE[[#This Row],[Profit]]/orderlinesTABLE[[#This Row],[LineNetAmount]]</f>
        <v>0.47664409167570343</v>
      </c>
      <c r="U70" s="70">
        <f>(orderlinesTABLE[[#This Row],[Qty]]*orderlinesTABLE[[#This Row],[UnitCost]])</f>
        <v>35.81</v>
      </c>
    </row>
    <row r="71" spans="1:25" x14ac:dyDescent="0.3">
      <c r="A71" s="15" t="s">
        <v>59</v>
      </c>
      <c r="B71" s="15" t="s">
        <v>410</v>
      </c>
      <c r="C71" s="15">
        <v>2</v>
      </c>
      <c r="D71" s="36">
        <f>VLOOKUP($B71,Menu!$A$1:$F$20,MATCH($D$1,Menu!$A$1:$F$1,0),0)</f>
        <v>20.11</v>
      </c>
      <c r="E71" s="15" t="str">
        <f>VLOOKUP($B71,Menu!$A$1:$F$20,MATCH(OrderLines!E$1,Menu!$A$1:$F$1,0),0)</f>
        <v>Beverage</v>
      </c>
      <c r="F71" s="36">
        <f>VLOOKUP($B71,Menu!$A$1:$F$20,MATCH(OrderLines!F$1,Menu!$A$1:$F$1,0),0)</f>
        <v>8</v>
      </c>
      <c r="G71" s="27">
        <f>VLOOKUP($A71,Orders!$A$1:$H$361,MATCH($G$1,Orders!$A$1:$H$1,0),0)</f>
        <v>45840</v>
      </c>
      <c r="H71" s="15" t="str">
        <f>VLOOKUP($A71,Orders!$A$1:$H$361,MATCH(OrderLines!$H$1,Orders!$A$1:$H$1,0),0)</f>
        <v>Head Office Café</v>
      </c>
      <c r="I71" s="15">
        <f>VLOOKUP($A71,Orders!$A$1:$H$361,MATCH(OrderLines!$I$1,Orders!$A$1:$H$1,0),0)</f>
        <v>0.03</v>
      </c>
      <c r="J71" s="15">
        <f t="shared" si="4"/>
        <v>39.013399999999997</v>
      </c>
      <c r="K71" s="27" t="str">
        <f t="shared" si="5"/>
        <v>July</v>
      </c>
      <c r="L71" s="15" t="str">
        <f>VLOOKUP(OrderLines!$A71,Orders!$A$1:$H$361,MATCH(OrderLines!$L$1,Orders!$A$1:$H$1,0),0)</f>
        <v>Breakfast</v>
      </c>
      <c r="M71" t="str">
        <f>VLOOKUP($A71,Orders!$A$1:$H$361,MATCH(OrderLines!$M$1,Orders!$A$1:$H$1,0),0)</f>
        <v>Card</v>
      </c>
      <c r="N71" t="str">
        <f t="shared" si="3"/>
        <v>Single</v>
      </c>
      <c r="O71" t="str" cm="1">
        <f t="array" ref="O71">IF((SUMPRODUCT((OrderID=OrderLines!$A71)*Qty*UnitPrice*DiscountPct))&gt;40,"HighDisc","OK")</f>
        <v>OK</v>
      </c>
      <c r="P71">
        <f>(orderlinesTABLE[[#This Row],[UnitCost]]*orderlinesTABLE[[#This Row],[Qty]])</f>
        <v>16</v>
      </c>
      <c r="Q71">
        <f>(orderlinesTABLE[[#This Row],[LineNetAmount]]-orderlinesTABLE[[#This Row],[totalCOST]])</f>
        <v>23.013399999999997</v>
      </c>
      <c r="R71" t="str">
        <f>VLOOKUP($B71,Menu!$A$1:$F$20,MATCH(OrderLines!R$1,Menu!$A$1:$F$1,0),0)</f>
        <v>Nimbu Pani</v>
      </c>
      <c r="S71" t="str" cm="1">
        <f t="array" ref="S71">_xlfn.TEXTJOIN("+",TRUE,_xlfn._xlws.FILTER(orderlinesTABLE[ItemName],OrderID=orderlinesTABLE[[#This Row],[OrderID]]))</f>
        <v>Masala Puff+Brownie+Veg Sandwich+Nimbu Pani</v>
      </c>
      <c r="T71" s="54">
        <f>orderlinesTABLE[[#This Row],[Profit]]/orderlinesTABLE[[#This Row],[LineNetAmount]]</f>
        <v>0.58988450122265679</v>
      </c>
      <c r="U71" s="70">
        <f>(orderlinesTABLE[[#This Row],[Qty]]*orderlinesTABLE[[#This Row],[UnitCost]])</f>
        <v>16</v>
      </c>
    </row>
    <row r="72" spans="1:25" x14ac:dyDescent="0.3">
      <c r="A72" s="14" t="s">
        <v>60</v>
      </c>
      <c r="B72" s="14" t="s">
        <v>419</v>
      </c>
      <c r="C72" s="14">
        <v>3</v>
      </c>
      <c r="D72" s="37">
        <f>VLOOKUP($B72,Menu!$A$1:$F$20,MATCH($D$1,Menu!$A$1:$F$1,0),0)</f>
        <v>50.19</v>
      </c>
      <c r="E72" s="14" t="str">
        <f>VLOOKUP($B72,Menu!$A$1:$F$20,MATCH(OrderLines!E$1,Menu!$A$1:$F$1,0),0)</f>
        <v>Snack</v>
      </c>
      <c r="F72" s="37">
        <f>VLOOKUP($B72,Menu!$A$1:$F$20,MATCH(OrderLines!F$1,Menu!$A$1:$F$1,0),0)</f>
        <v>22.61</v>
      </c>
      <c r="G72" s="28">
        <f>VLOOKUP($A72,Orders!$A$1:$H$361,MATCH($G$1,Orders!$A$1:$H$1,0),0)</f>
        <v>45852</v>
      </c>
      <c r="H72" s="14" t="str">
        <f>VLOOKUP($A72,Orders!$A$1:$H$361,MATCH(OrderLines!$H$1,Orders!$A$1:$H$1,0),0)</f>
        <v>Plant 2 Canteen</v>
      </c>
      <c r="I72" s="14">
        <f>VLOOKUP($A72,Orders!$A$1:$H$361,MATCH(OrderLines!$I$1,Orders!$A$1:$H$1,0),0)</f>
        <v>7.0000000000000007E-2</v>
      </c>
      <c r="J72" s="14">
        <f t="shared" si="4"/>
        <v>140.03009999999998</v>
      </c>
      <c r="K72" s="28" t="str">
        <f t="shared" si="5"/>
        <v>July</v>
      </c>
      <c r="L72" s="14" t="str">
        <f>VLOOKUP(OrderLines!$A72,Orders!$A$1:$H$361,MATCH(OrderLines!$L$1,Orders!$A$1:$H$1,0),0)</f>
        <v>Breakfast</v>
      </c>
      <c r="M72" t="str">
        <f>VLOOKUP($A72,Orders!$A$1:$H$361,MATCH(OrderLines!$M$1,Orders!$A$1:$H$1,0),0)</f>
        <v>Cash</v>
      </c>
      <c r="N72" t="str">
        <f t="shared" si="3"/>
        <v>Single</v>
      </c>
      <c r="O72" t="str" cm="1">
        <f t="array" ref="O72">IF((SUMPRODUCT((OrderID=OrderLines!$A72)*Qty*UnitPrice*DiscountPct))&gt;40,"HighDisc","OK")</f>
        <v>OK</v>
      </c>
      <c r="P72">
        <f>(orderlinesTABLE[[#This Row],[UnitCost]]*orderlinesTABLE[[#This Row],[Qty]])</f>
        <v>67.83</v>
      </c>
      <c r="Q72">
        <f>(orderlinesTABLE[[#This Row],[LineNetAmount]]-orderlinesTABLE[[#This Row],[totalCOST]])</f>
        <v>72.200099999999978</v>
      </c>
      <c r="R72" t="str">
        <f>VLOOKUP($B72,Menu!$A$1:$F$20,MATCH(OrderLines!R$1,Menu!$A$1:$F$1,0),0)</f>
        <v>Masala Puff</v>
      </c>
      <c r="S72" t="str" cm="1">
        <f t="array" ref="S72">_xlfn.TEXTJOIN("+",TRUE,_xlfn._xlws.FILTER(orderlinesTABLE[ItemName],OrderID=orderlinesTABLE[[#This Row],[OrderID]]))</f>
        <v>Masala Puff</v>
      </c>
      <c r="T72" s="54">
        <f>orderlinesTABLE[[#This Row],[Profit]]/orderlinesTABLE[[#This Row],[LineNetAmount]]</f>
        <v>0.51560414510880148</v>
      </c>
      <c r="U72" s="70">
        <f>(orderlinesTABLE[[#This Row],[Qty]]*orderlinesTABLE[[#This Row],[UnitCost]])</f>
        <v>67.83</v>
      </c>
    </row>
    <row r="73" spans="1:25" x14ac:dyDescent="0.3">
      <c r="A73" s="15" t="s">
        <v>62</v>
      </c>
      <c r="B73" s="15" t="s">
        <v>409</v>
      </c>
      <c r="C73" s="15">
        <v>1</v>
      </c>
      <c r="D73" s="36">
        <f>VLOOKUP($B73,Menu!$A$1:$F$20,MATCH($D$1,Menu!$A$1:$F$1,0),0)</f>
        <v>28.43</v>
      </c>
      <c r="E73" s="15" t="str">
        <f>VLOOKUP($B73,Menu!$A$1:$F$20,MATCH(OrderLines!E$1,Menu!$A$1:$F$1,0),0)</f>
        <v>Beverage</v>
      </c>
      <c r="F73" s="36">
        <f>VLOOKUP($B73,Menu!$A$1:$F$20,MATCH(OrderLines!F$1,Menu!$A$1:$F$1,0),0)</f>
        <v>13.89</v>
      </c>
      <c r="G73" s="27">
        <f>VLOOKUP($A73,Orders!$A$1:$H$361,MATCH($G$1,Orders!$A$1:$H$1,0),0)</f>
        <v>45854</v>
      </c>
      <c r="H73" s="15" t="str">
        <f>VLOOKUP($A73,Orders!$A$1:$H$361,MATCH(OrderLines!$H$1,Orders!$A$1:$H$1,0),0)</f>
        <v>Plant 2 Canteen</v>
      </c>
      <c r="I73" s="15">
        <f>VLOOKUP($A73,Orders!$A$1:$H$361,MATCH(OrderLines!$I$1,Orders!$A$1:$H$1,0),0)</f>
        <v>0.12</v>
      </c>
      <c r="J73" s="15">
        <f t="shared" si="4"/>
        <v>25.0184</v>
      </c>
      <c r="K73" s="27" t="str">
        <f t="shared" si="5"/>
        <v>July</v>
      </c>
      <c r="L73" s="15" t="str">
        <f>VLOOKUP(OrderLines!$A73,Orders!$A$1:$H$361,MATCH(OrderLines!$L$1,Orders!$A$1:$H$1,0),0)</f>
        <v>Breakfast</v>
      </c>
      <c r="M73" t="str">
        <f>VLOOKUP($A73,Orders!$A$1:$H$361,MATCH(OrderLines!$M$1,Orders!$A$1:$H$1,0),0)</f>
        <v>UPI</v>
      </c>
      <c r="N73" t="str">
        <f t="shared" si="3"/>
        <v>Combo</v>
      </c>
      <c r="O73" t="str" cm="1">
        <f t="array" ref="O73">IF((SUMPRODUCT((OrderID=OrderLines!$A73)*Qty*UnitPrice*DiscountPct))&gt;40,"HighDisc","OK")</f>
        <v>HighDisc</v>
      </c>
      <c r="P73">
        <f>(orderlinesTABLE[[#This Row],[UnitCost]]*orderlinesTABLE[[#This Row],[Qty]])</f>
        <v>13.89</v>
      </c>
      <c r="Q73">
        <f>(orderlinesTABLE[[#This Row],[LineNetAmount]]-orderlinesTABLE[[#This Row],[totalCOST]])</f>
        <v>11.128399999999999</v>
      </c>
      <c r="R73" t="str">
        <f>VLOOKUP($B73,Menu!$A$1:$F$20,MATCH(OrderLines!R$1,Menu!$A$1:$F$1,0),0)</f>
        <v>Bottled Water</v>
      </c>
      <c r="S73" t="str" cm="1">
        <f t="array" ref="S73">_xlfn.TEXTJOIN("+",TRUE,_xlfn._xlws.FILTER(orderlinesTABLE[ItemName],OrderID=orderlinesTABLE[[#This Row],[OrderID]]))</f>
        <v>Bottled Water+Egg Curry + Rice+Veg Sandwich</v>
      </c>
      <c r="T73" s="54">
        <f>orderlinesTABLE[[#This Row],[Profit]]/orderlinesTABLE[[#This Row],[LineNetAmount]]</f>
        <v>0.44480862085505063</v>
      </c>
      <c r="U73" s="70">
        <f>(orderlinesTABLE[[#This Row],[Qty]]*orderlinesTABLE[[#This Row],[UnitCost]])</f>
        <v>13.89</v>
      </c>
    </row>
    <row r="74" spans="1:25" x14ac:dyDescent="0.3">
      <c r="A74" s="14" t="s">
        <v>62</v>
      </c>
      <c r="B74" s="14" t="s">
        <v>407</v>
      </c>
      <c r="C74" s="14">
        <v>1</v>
      </c>
      <c r="D74" s="37">
        <f>VLOOKUP($B74,Menu!$A$1:$F$20,MATCH($D$1,Menu!$A$1:$F$1,0),0)</f>
        <v>246.09</v>
      </c>
      <c r="E74" s="14" t="str">
        <f>VLOOKUP($B74,Menu!$A$1:$F$20,MATCH(OrderLines!E$1,Menu!$A$1:$F$1,0),0)</f>
        <v>Hot Meal</v>
      </c>
      <c r="F74" s="37">
        <f>VLOOKUP($B74,Menu!$A$1:$F$20,MATCH(OrderLines!F$1,Menu!$A$1:$F$1,0),0)</f>
        <v>112.08</v>
      </c>
      <c r="G74" s="28">
        <f>VLOOKUP($A74,Orders!$A$1:$H$361,MATCH($G$1,Orders!$A$1:$H$1,0),0)</f>
        <v>45854</v>
      </c>
      <c r="H74" s="14" t="str">
        <f>VLOOKUP($A74,Orders!$A$1:$H$361,MATCH(OrderLines!$H$1,Orders!$A$1:$H$1,0),0)</f>
        <v>Plant 2 Canteen</v>
      </c>
      <c r="I74" s="14">
        <f>VLOOKUP($A74,Orders!$A$1:$H$361,MATCH(OrderLines!$I$1,Orders!$A$1:$H$1,0),0)</f>
        <v>0.12</v>
      </c>
      <c r="J74" s="14">
        <f t="shared" si="4"/>
        <v>216.5592</v>
      </c>
      <c r="K74" s="28" t="str">
        <f t="shared" si="5"/>
        <v>July</v>
      </c>
      <c r="L74" s="14" t="str">
        <f>VLOOKUP(OrderLines!$A74,Orders!$A$1:$H$361,MATCH(OrderLines!$L$1,Orders!$A$1:$H$1,0),0)</f>
        <v>Breakfast</v>
      </c>
      <c r="M74" t="str">
        <f>VLOOKUP($A74,Orders!$A$1:$H$361,MATCH(OrderLines!$M$1,Orders!$A$1:$H$1,0),0)</f>
        <v>UPI</v>
      </c>
      <c r="N74" t="str">
        <f t="shared" si="3"/>
        <v>Combo</v>
      </c>
      <c r="O74" t="str" cm="1">
        <f t="array" ref="O74">IF((SUMPRODUCT((OrderID=OrderLines!$A74)*Qty*UnitPrice*DiscountPct))&gt;40,"HighDisc","OK")</f>
        <v>HighDisc</v>
      </c>
      <c r="P74">
        <f>(orderlinesTABLE[[#This Row],[UnitCost]]*orderlinesTABLE[[#This Row],[Qty]])</f>
        <v>112.08</v>
      </c>
      <c r="Q74">
        <f>(orderlinesTABLE[[#This Row],[LineNetAmount]]-orderlinesTABLE[[#This Row],[totalCOST]])</f>
        <v>104.47920000000001</v>
      </c>
      <c r="R74" t="str">
        <f>VLOOKUP($B74,Menu!$A$1:$F$20,MATCH(OrderLines!R$1,Menu!$A$1:$F$1,0),0)</f>
        <v>Egg Curry + Rice</v>
      </c>
      <c r="S74" t="str" cm="1">
        <f t="array" ref="S74">_xlfn.TEXTJOIN("+",TRUE,_xlfn._xlws.FILTER(orderlinesTABLE[ItemName],OrderID=orderlinesTABLE[[#This Row],[OrderID]]))</f>
        <v>Bottled Water+Egg Curry + Rice+Veg Sandwich</v>
      </c>
      <c r="T74" s="54">
        <f>orderlinesTABLE[[#This Row],[Profit]]/orderlinesTABLE[[#This Row],[LineNetAmount]]</f>
        <v>0.48245098799773922</v>
      </c>
      <c r="U74" s="70">
        <f>(orderlinesTABLE[[#This Row],[Qty]]*orderlinesTABLE[[#This Row],[UnitCost]])</f>
        <v>112.08</v>
      </c>
    </row>
    <row r="75" spans="1:25" x14ac:dyDescent="0.3">
      <c r="A75" s="15" t="s">
        <v>62</v>
      </c>
      <c r="B75" s="15" t="s">
        <v>408</v>
      </c>
      <c r="C75" s="15">
        <v>2</v>
      </c>
      <c r="D75" s="36">
        <f>VLOOKUP($B75,Menu!$A$1:$F$20,MATCH($D$1,Menu!$A$1:$F$1,0),0)</f>
        <v>70.540000000000006</v>
      </c>
      <c r="E75" s="15" t="str">
        <f>VLOOKUP($B75,Menu!$A$1:$F$20,MATCH(OrderLines!E$1,Menu!$A$1:$F$1,0),0)</f>
        <v>Snack</v>
      </c>
      <c r="F75" s="36">
        <f>VLOOKUP($B75,Menu!$A$1:$F$20,MATCH(OrderLines!F$1,Menu!$A$1:$F$1,0),0)</f>
        <v>35.81</v>
      </c>
      <c r="G75" s="27">
        <f>VLOOKUP($A75,Orders!$A$1:$H$361,MATCH($G$1,Orders!$A$1:$H$1,0),0)</f>
        <v>45854</v>
      </c>
      <c r="H75" s="15" t="str">
        <f>VLOOKUP($A75,Orders!$A$1:$H$361,MATCH(OrderLines!$H$1,Orders!$A$1:$H$1,0),0)</f>
        <v>Plant 2 Canteen</v>
      </c>
      <c r="I75" s="15">
        <f>VLOOKUP($A75,Orders!$A$1:$H$361,MATCH(OrderLines!$I$1,Orders!$A$1:$H$1,0),0)</f>
        <v>0.12</v>
      </c>
      <c r="J75" s="15">
        <f t="shared" si="4"/>
        <v>124.1504</v>
      </c>
      <c r="K75" s="27" t="str">
        <f t="shared" si="5"/>
        <v>July</v>
      </c>
      <c r="L75" s="15" t="str">
        <f>VLOOKUP(OrderLines!$A75,Orders!$A$1:$H$361,MATCH(OrderLines!$L$1,Orders!$A$1:$H$1,0),0)</f>
        <v>Breakfast</v>
      </c>
      <c r="M75" t="str">
        <f>VLOOKUP($A75,Orders!$A$1:$H$361,MATCH(OrderLines!$M$1,Orders!$A$1:$H$1,0),0)</f>
        <v>UPI</v>
      </c>
      <c r="N75" t="str">
        <f t="shared" si="3"/>
        <v>Combo</v>
      </c>
      <c r="O75" t="str" cm="1">
        <f t="array" ref="O75">IF((SUMPRODUCT((OrderID=OrderLines!$A75)*Qty*UnitPrice*DiscountPct))&gt;40,"HighDisc","OK")</f>
        <v>HighDisc</v>
      </c>
      <c r="P75">
        <f>(orderlinesTABLE[[#This Row],[UnitCost]]*orderlinesTABLE[[#This Row],[Qty]])</f>
        <v>71.62</v>
      </c>
      <c r="Q75">
        <f>(orderlinesTABLE[[#This Row],[LineNetAmount]]-orderlinesTABLE[[#This Row],[totalCOST]])</f>
        <v>52.5304</v>
      </c>
      <c r="R75" t="str">
        <f>VLOOKUP($B75,Menu!$A$1:$F$20,MATCH(OrderLines!R$1,Menu!$A$1:$F$1,0),0)</f>
        <v>Veg Sandwich</v>
      </c>
      <c r="S75" t="str" cm="1">
        <f t="array" ref="S75">_xlfn.TEXTJOIN("+",TRUE,_xlfn._xlws.FILTER(orderlinesTABLE[ItemName],OrderID=orderlinesTABLE[[#This Row],[OrderID]]))</f>
        <v>Bottled Water+Egg Curry + Rice+Veg Sandwich</v>
      </c>
      <c r="T75" s="54">
        <f>orderlinesTABLE[[#This Row],[Profit]]/orderlinesTABLE[[#This Row],[LineNetAmount]]</f>
        <v>0.42311905559708224</v>
      </c>
      <c r="U75" s="70">
        <f>(orderlinesTABLE[[#This Row],[Qty]]*orderlinesTABLE[[#This Row],[UnitCost]])</f>
        <v>71.62</v>
      </c>
    </row>
    <row r="76" spans="1:25" x14ac:dyDescent="0.3">
      <c r="A76" s="14" t="s">
        <v>63</v>
      </c>
      <c r="B76" s="14" t="s">
        <v>413</v>
      </c>
      <c r="C76" s="14">
        <v>1</v>
      </c>
      <c r="D76" s="37">
        <f>VLOOKUP($B76,Menu!$A$1:$F$20,MATCH($D$1,Menu!$A$1:$F$1,0),0)</f>
        <v>54.2</v>
      </c>
      <c r="E76" s="14" t="str">
        <f>VLOOKUP($B76,Menu!$A$1:$F$20,MATCH(OrderLines!E$1,Menu!$A$1:$F$1,0),0)</f>
        <v>Dessert</v>
      </c>
      <c r="F76" s="37">
        <f>VLOOKUP($B76,Menu!$A$1:$F$20,MATCH(OrderLines!F$1,Menu!$A$1:$F$1,0),0)</f>
        <v>21.95</v>
      </c>
      <c r="G76" s="28">
        <f>VLOOKUP($A76,Orders!$A$1:$H$361,MATCH($G$1,Orders!$A$1:$H$1,0),0)</f>
        <v>45872</v>
      </c>
      <c r="H76" s="14" t="str">
        <f>VLOOKUP($A76,Orders!$A$1:$H$361,MATCH(OrderLines!$H$1,Orders!$A$1:$H$1,0),0)</f>
        <v>Plant 1 Canteen</v>
      </c>
      <c r="I76" s="14">
        <f>VLOOKUP($A76,Orders!$A$1:$H$361,MATCH(OrderLines!$I$1,Orders!$A$1:$H$1,0),0)</f>
        <v>0.06</v>
      </c>
      <c r="J76" s="14">
        <f t="shared" si="4"/>
        <v>50.948</v>
      </c>
      <c r="K76" s="28" t="str">
        <f t="shared" si="5"/>
        <v>August</v>
      </c>
      <c r="L76" s="14" t="str">
        <f>VLOOKUP(OrderLines!$A76,Orders!$A$1:$H$361,MATCH(OrderLines!$L$1,Orders!$A$1:$H$1,0),0)</f>
        <v>Lunch</v>
      </c>
      <c r="M76" t="str">
        <f>VLOOKUP($A76,Orders!$A$1:$H$361,MATCH(OrderLines!$M$1,Orders!$A$1:$H$1,0),0)</f>
        <v>UPI</v>
      </c>
      <c r="N76" t="str">
        <f t="shared" si="3"/>
        <v>Single</v>
      </c>
      <c r="O76" t="str" cm="1">
        <f t="array" ref="O76">IF((SUMPRODUCT((OrderID=OrderLines!$A76)*Qty*UnitPrice*DiscountPct))&gt;40,"HighDisc","OK")</f>
        <v>OK</v>
      </c>
      <c r="P76">
        <f>(orderlinesTABLE[[#This Row],[UnitCost]]*orderlinesTABLE[[#This Row],[Qty]])</f>
        <v>21.95</v>
      </c>
      <c r="Q76">
        <f>(orderlinesTABLE[[#This Row],[LineNetAmount]]-orderlinesTABLE[[#This Row],[totalCOST]])</f>
        <v>28.998000000000001</v>
      </c>
      <c r="R76" t="str">
        <f>VLOOKUP($B76,Menu!$A$1:$F$20,MATCH(OrderLines!R$1,Menu!$A$1:$F$1,0),0)</f>
        <v>Kheer Cup</v>
      </c>
      <c r="S76" t="str" cm="1">
        <f t="array" ref="S76">_xlfn.TEXTJOIN("+",TRUE,_xlfn._xlws.FILTER(orderlinesTABLE[ItemName],OrderID=orderlinesTABLE[[#This Row],[OrderID]]))</f>
        <v>Kheer Cup+Rajma Chawal+Brownie</v>
      </c>
      <c r="T76" s="54">
        <f>orderlinesTABLE[[#This Row],[Profit]]/orderlinesTABLE[[#This Row],[LineNetAmount]]</f>
        <v>0.56916856402606586</v>
      </c>
      <c r="U76" s="70">
        <f>(orderlinesTABLE[[#This Row],[Qty]]*orderlinesTABLE[[#This Row],[UnitCost]])</f>
        <v>21.95</v>
      </c>
      <c r="Y76" t="str" cm="1">
        <f t="array" ref="Y76:Y78">_xlfn._xlws.SORT(_xlfn.UNIQUE(_xlfn._xlws.FILTER(Category,OrderID=A5)))</f>
        <v>Beverage</v>
      </c>
    </row>
    <row r="77" spans="1:25" x14ac:dyDescent="0.3">
      <c r="A77" s="15" t="s">
        <v>63</v>
      </c>
      <c r="B77" s="15" t="s">
        <v>417</v>
      </c>
      <c r="C77" s="15">
        <v>2</v>
      </c>
      <c r="D77" s="36">
        <f>VLOOKUP($B77,Menu!$A$1:$F$20,MATCH($D$1,Menu!$A$1:$F$1,0),0)</f>
        <v>146.4</v>
      </c>
      <c r="E77" s="15" t="str">
        <f>VLOOKUP($B77,Menu!$A$1:$F$20,MATCH(OrderLines!E$1,Menu!$A$1:$F$1,0),0)</f>
        <v>Hot Meal</v>
      </c>
      <c r="F77" s="36">
        <f>VLOOKUP($B77,Menu!$A$1:$F$20,MATCH(OrderLines!F$1,Menu!$A$1:$F$1,0),0)</f>
        <v>80.92</v>
      </c>
      <c r="G77" s="27">
        <f>VLOOKUP($A77,Orders!$A$1:$H$361,MATCH($G$1,Orders!$A$1:$H$1,0),0)</f>
        <v>45872</v>
      </c>
      <c r="H77" s="15" t="str">
        <f>VLOOKUP($A77,Orders!$A$1:$H$361,MATCH(OrderLines!$H$1,Orders!$A$1:$H$1,0),0)</f>
        <v>Plant 1 Canteen</v>
      </c>
      <c r="I77" s="15">
        <f>VLOOKUP($A77,Orders!$A$1:$H$361,MATCH(OrderLines!$I$1,Orders!$A$1:$H$1,0),0)</f>
        <v>0.06</v>
      </c>
      <c r="J77" s="15">
        <f t="shared" si="4"/>
        <v>275.23199999999997</v>
      </c>
      <c r="K77" s="27" t="str">
        <f t="shared" si="5"/>
        <v>August</v>
      </c>
      <c r="L77" s="15" t="str">
        <f>VLOOKUP(OrderLines!$A77,Orders!$A$1:$H$361,MATCH(OrderLines!$L$1,Orders!$A$1:$H$1,0),0)</f>
        <v>Lunch</v>
      </c>
      <c r="M77" t="str">
        <f>VLOOKUP($A77,Orders!$A$1:$H$361,MATCH(OrderLines!$M$1,Orders!$A$1:$H$1,0),0)</f>
        <v>UPI</v>
      </c>
      <c r="N77" t="str">
        <f t="shared" si="3"/>
        <v>Single</v>
      </c>
      <c r="O77" t="str" cm="1">
        <f t="array" ref="O77">IF((SUMPRODUCT((OrderID=OrderLines!$A77)*Qty*UnitPrice*DiscountPct))&gt;40,"HighDisc","OK")</f>
        <v>OK</v>
      </c>
      <c r="P77">
        <f>(orderlinesTABLE[[#This Row],[UnitCost]]*orderlinesTABLE[[#This Row],[Qty]])</f>
        <v>161.84</v>
      </c>
      <c r="Q77">
        <f>(orderlinesTABLE[[#This Row],[LineNetAmount]]-orderlinesTABLE[[#This Row],[totalCOST]])</f>
        <v>113.39199999999997</v>
      </c>
      <c r="R77" t="str">
        <f>VLOOKUP($B77,Menu!$A$1:$F$20,MATCH(OrderLines!R$1,Menu!$A$1:$F$1,0),0)</f>
        <v>Rajma Chawal</v>
      </c>
      <c r="S77" t="str" cm="1">
        <f t="array" ref="S77">_xlfn.TEXTJOIN("+",TRUE,_xlfn._xlws.FILTER(orderlinesTABLE[ItemName],OrderID=orderlinesTABLE[[#This Row],[OrderID]]))</f>
        <v>Kheer Cup+Rajma Chawal+Brownie</v>
      </c>
      <c r="T77" s="54">
        <f>orderlinesTABLE[[#This Row],[Profit]]/orderlinesTABLE[[#This Row],[LineNetAmount]]</f>
        <v>0.41198697825834196</v>
      </c>
      <c r="U77" s="70">
        <f>(orderlinesTABLE[[#This Row],[Qty]]*orderlinesTABLE[[#This Row],[UnitCost]])</f>
        <v>161.84</v>
      </c>
      <c r="Y77" t="str">
        <v>Hot Meal</v>
      </c>
    </row>
    <row r="78" spans="1:25" x14ac:dyDescent="0.3">
      <c r="A78" s="14" t="s">
        <v>63</v>
      </c>
      <c r="B78" s="14" t="s">
        <v>414</v>
      </c>
      <c r="C78" s="14">
        <v>1</v>
      </c>
      <c r="D78" s="37">
        <f>VLOOKUP($B78,Menu!$A$1:$F$20,MATCH($D$1,Menu!$A$1:$F$1,0),0)</f>
        <v>116.8</v>
      </c>
      <c r="E78" s="14" t="str">
        <f>VLOOKUP($B78,Menu!$A$1:$F$20,MATCH(OrderLines!E$1,Menu!$A$1:$F$1,0),0)</f>
        <v>Dessert</v>
      </c>
      <c r="F78" s="37">
        <f>VLOOKUP($B78,Menu!$A$1:$F$20,MATCH(OrderLines!F$1,Menu!$A$1:$F$1,0),0)</f>
        <v>48.97</v>
      </c>
      <c r="G78" s="28">
        <f>VLOOKUP($A78,Orders!$A$1:$H$361,MATCH($G$1,Orders!$A$1:$H$1,0),0)</f>
        <v>45872</v>
      </c>
      <c r="H78" s="14" t="str">
        <f>VLOOKUP($A78,Orders!$A$1:$H$361,MATCH(OrderLines!$H$1,Orders!$A$1:$H$1,0),0)</f>
        <v>Plant 1 Canteen</v>
      </c>
      <c r="I78" s="14">
        <f>VLOOKUP($A78,Orders!$A$1:$H$361,MATCH(OrderLines!$I$1,Orders!$A$1:$H$1,0),0)</f>
        <v>0.06</v>
      </c>
      <c r="J78" s="14">
        <f t="shared" si="4"/>
        <v>109.79199999999999</v>
      </c>
      <c r="K78" s="28" t="str">
        <f t="shared" si="5"/>
        <v>August</v>
      </c>
      <c r="L78" s="14" t="str">
        <f>VLOOKUP(OrderLines!$A78,Orders!$A$1:$H$361,MATCH(OrderLines!$L$1,Orders!$A$1:$H$1,0),0)</f>
        <v>Lunch</v>
      </c>
      <c r="M78" t="str">
        <f>VLOOKUP($A78,Orders!$A$1:$H$361,MATCH(OrderLines!$M$1,Orders!$A$1:$H$1,0),0)</f>
        <v>UPI</v>
      </c>
      <c r="N78" t="str">
        <f t="shared" si="3"/>
        <v>Single</v>
      </c>
      <c r="O78" t="str" cm="1">
        <f t="array" ref="O78">IF((SUMPRODUCT((OrderID=OrderLines!$A78)*Qty*UnitPrice*DiscountPct))&gt;40,"HighDisc","OK")</f>
        <v>OK</v>
      </c>
      <c r="P78">
        <f>(orderlinesTABLE[[#This Row],[UnitCost]]*orderlinesTABLE[[#This Row],[Qty]])</f>
        <v>48.97</v>
      </c>
      <c r="Q78">
        <f>(orderlinesTABLE[[#This Row],[LineNetAmount]]-orderlinesTABLE[[#This Row],[totalCOST]])</f>
        <v>60.821999999999989</v>
      </c>
      <c r="R78" t="str">
        <f>VLOOKUP($B78,Menu!$A$1:$F$20,MATCH(OrderLines!R$1,Menu!$A$1:$F$1,0),0)</f>
        <v>Brownie</v>
      </c>
      <c r="S78" t="str" cm="1">
        <f t="array" ref="S78">_xlfn.TEXTJOIN("+",TRUE,_xlfn._xlws.FILTER(orderlinesTABLE[ItemName],OrderID=orderlinesTABLE[[#This Row],[OrderID]]))</f>
        <v>Kheer Cup+Rajma Chawal+Brownie</v>
      </c>
      <c r="T78" s="54">
        <f>orderlinesTABLE[[#This Row],[Profit]]/orderlinesTABLE[[#This Row],[LineNetAmount]]</f>
        <v>0.55397478869134364</v>
      </c>
      <c r="U78" s="70">
        <f>(orderlinesTABLE[[#This Row],[Qty]]*orderlinesTABLE[[#This Row],[UnitCost]])</f>
        <v>48.97</v>
      </c>
      <c r="Y78" t="str">
        <v>Snack</v>
      </c>
    </row>
    <row r="79" spans="1:25" x14ac:dyDescent="0.3">
      <c r="A79" s="15" t="s">
        <v>65</v>
      </c>
      <c r="B79" s="15" t="s">
        <v>413</v>
      </c>
      <c r="C79" s="15">
        <v>1</v>
      </c>
      <c r="D79" s="36">
        <f>VLOOKUP($B79,Menu!$A$1:$F$20,MATCH($D$1,Menu!$A$1:$F$1,0),0)</f>
        <v>54.2</v>
      </c>
      <c r="E79" s="15" t="str">
        <f>VLOOKUP($B79,Menu!$A$1:$F$20,MATCH(OrderLines!E$1,Menu!$A$1:$F$1,0),0)</f>
        <v>Dessert</v>
      </c>
      <c r="F79" s="36">
        <f>VLOOKUP($B79,Menu!$A$1:$F$20,MATCH(OrderLines!F$1,Menu!$A$1:$F$1,0),0)</f>
        <v>21.95</v>
      </c>
      <c r="G79" s="27">
        <f>VLOOKUP($A79,Orders!$A$1:$H$361,MATCH($G$1,Orders!$A$1:$H$1,0),0)</f>
        <v>45888</v>
      </c>
      <c r="H79" s="15" t="str">
        <f>VLOOKUP($A79,Orders!$A$1:$H$361,MATCH(OrderLines!$H$1,Orders!$A$1:$H$1,0),0)</f>
        <v>Plant 2 Canteen</v>
      </c>
      <c r="I79" s="15">
        <f>VLOOKUP($A79,Orders!$A$1:$H$361,MATCH(OrderLines!$I$1,Orders!$A$1:$H$1,0),0)</f>
        <v>0.12</v>
      </c>
      <c r="J79" s="15">
        <f t="shared" si="4"/>
        <v>47.696000000000005</v>
      </c>
      <c r="K79" s="27" t="str">
        <f t="shared" si="5"/>
        <v>August</v>
      </c>
      <c r="L79" s="15" t="str">
        <f>VLOOKUP(OrderLines!$A79,Orders!$A$1:$H$361,MATCH(OrderLines!$L$1,Orders!$A$1:$H$1,0),0)</f>
        <v>Breakfast</v>
      </c>
      <c r="M79" t="str">
        <f>VLOOKUP($A79,Orders!$A$1:$H$361,MATCH(OrderLines!$M$1,Orders!$A$1:$H$1,0),0)</f>
        <v>Cash</v>
      </c>
      <c r="N79" t="str">
        <f t="shared" si="3"/>
        <v>Combo</v>
      </c>
      <c r="O79" t="str" cm="1">
        <f t="array" ref="O79">IF((SUMPRODUCT((OrderID=OrderLines!$A79)*Qty*UnitPrice*DiscountPct))&gt;40,"HighDisc","OK")</f>
        <v>HighDisc</v>
      </c>
      <c r="P79">
        <f>(orderlinesTABLE[[#This Row],[UnitCost]]*orderlinesTABLE[[#This Row],[Qty]])</f>
        <v>21.95</v>
      </c>
      <c r="Q79">
        <f>(orderlinesTABLE[[#This Row],[LineNetAmount]]-orderlinesTABLE[[#This Row],[totalCOST]])</f>
        <v>25.746000000000006</v>
      </c>
      <c r="R79" t="str">
        <f>VLOOKUP($B79,Menu!$A$1:$F$20,MATCH(OrderLines!R$1,Menu!$A$1:$F$1,0),0)</f>
        <v>Kheer Cup</v>
      </c>
      <c r="S79" t="str" cm="1">
        <f t="array" ref="S79">_xlfn.TEXTJOIN("+",TRUE,_xlfn._xlws.FILTER(orderlinesTABLE[ItemName],OrderID=orderlinesTABLE[[#This Row],[OrderID]]))</f>
        <v>Kheer Cup+Brownie+Masala Chaas+Rajma Chawal</v>
      </c>
      <c r="T79" s="54">
        <f>orderlinesTABLE[[#This Row],[Profit]]/orderlinesTABLE[[#This Row],[LineNetAmount]]</f>
        <v>0.53979369339147942</v>
      </c>
      <c r="U79" s="70">
        <f>(orderlinesTABLE[[#This Row],[Qty]]*orderlinesTABLE[[#This Row],[UnitCost]])</f>
        <v>21.95</v>
      </c>
    </row>
    <row r="80" spans="1:25" x14ac:dyDescent="0.3">
      <c r="A80" s="14" t="s">
        <v>65</v>
      </c>
      <c r="B80" s="14" t="s">
        <v>414</v>
      </c>
      <c r="C80" s="14">
        <v>1</v>
      </c>
      <c r="D80" s="37">
        <f>VLOOKUP($B80,Menu!$A$1:$F$20,MATCH($D$1,Menu!$A$1:$F$1,0),0)</f>
        <v>116.8</v>
      </c>
      <c r="E80" s="14" t="str">
        <f>VLOOKUP($B80,Menu!$A$1:$F$20,MATCH(OrderLines!E$1,Menu!$A$1:$F$1,0),0)</f>
        <v>Dessert</v>
      </c>
      <c r="F80" s="37">
        <f>VLOOKUP($B80,Menu!$A$1:$F$20,MATCH(OrderLines!F$1,Menu!$A$1:$F$1,0),0)</f>
        <v>48.97</v>
      </c>
      <c r="G80" s="28">
        <f>VLOOKUP($A80,Orders!$A$1:$H$361,MATCH($G$1,Orders!$A$1:$H$1,0),0)</f>
        <v>45888</v>
      </c>
      <c r="H80" s="14" t="str">
        <f>VLOOKUP($A80,Orders!$A$1:$H$361,MATCH(OrderLines!$H$1,Orders!$A$1:$H$1,0),0)</f>
        <v>Plant 2 Canteen</v>
      </c>
      <c r="I80" s="14">
        <f>VLOOKUP($A80,Orders!$A$1:$H$361,MATCH(OrderLines!$I$1,Orders!$A$1:$H$1,0),0)</f>
        <v>0.12</v>
      </c>
      <c r="J80" s="14">
        <f t="shared" si="4"/>
        <v>102.78399999999999</v>
      </c>
      <c r="K80" s="28" t="str">
        <f t="shared" si="5"/>
        <v>August</v>
      </c>
      <c r="L80" s="14" t="str">
        <f>VLOOKUP(OrderLines!$A80,Orders!$A$1:$H$361,MATCH(OrderLines!$L$1,Orders!$A$1:$H$1,0),0)</f>
        <v>Breakfast</v>
      </c>
      <c r="M80" t="str">
        <f>VLOOKUP($A80,Orders!$A$1:$H$361,MATCH(OrderLines!$M$1,Orders!$A$1:$H$1,0),0)</f>
        <v>Cash</v>
      </c>
      <c r="N80" t="str">
        <f t="shared" si="3"/>
        <v>Combo</v>
      </c>
      <c r="O80" t="str" cm="1">
        <f t="array" ref="O80">IF((SUMPRODUCT((OrderID=OrderLines!$A80)*Qty*UnitPrice*DiscountPct))&gt;40,"HighDisc","OK")</f>
        <v>HighDisc</v>
      </c>
      <c r="P80">
        <f>(orderlinesTABLE[[#This Row],[UnitCost]]*orderlinesTABLE[[#This Row],[Qty]])</f>
        <v>48.97</v>
      </c>
      <c r="Q80">
        <f>(orderlinesTABLE[[#This Row],[LineNetAmount]]-orderlinesTABLE[[#This Row],[totalCOST]])</f>
        <v>53.813999999999993</v>
      </c>
      <c r="R80" t="str">
        <f>VLOOKUP($B80,Menu!$A$1:$F$20,MATCH(OrderLines!R$1,Menu!$A$1:$F$1,0),0)</f>
        <v>Brownie</v>
      </c>
      <c r="S80" t="str" cm="1">
        <f t="array" ref="S80">_xlfn.TEXTJOIN("+",TRUE,_xlfn._xlws.FILTER(orderlinesTABLE[ItemName],OrderID=orderlinesTABLE[[#This Row],[OrderID]]))</f>
        <v>Kheer Cup+Brownie+Masala Chaas+Rajma Chawal</v>
      </c>
      <c r="T80" s="54">
        <f>orderlinesTABLE[[#This Row],[Profit]]/orderlinesTABLE[[#This Row],[LineNetAmount]]</f>
        <v>0.52356397882938976</v>
      </c>
      <c r="U80" s="70">
        <f>(orderlinesTABLE[[#This Row],[Qty]]*orderlinesTABLE[[#This Row],[UnitCost]])</f>
        <v>48.97</v>
      </c>
    </row>
    <row r="81" spans="1:21" x14ac:dyDescent="0.3">
      <c r="A81" s="15" t="s">
        <v>65</v>
      </c>
      <c r="B81" s="15" t="s">
        <v>404</v>
      </c>
      <c r="C81" s="15">
        <v>2</v>
      </c>
      <c r="D81" s="36">
        <f>VLOOKUP($B81,Menu!$A$1:$F$20,MATCH($D$1,Menu!$A$1:$F$1,0),0)</f>
        <v>32.979999999999997</v>
      </c>
      <c r="E81" s="15" t="str">
        <f>VLOOKUP($B81,Menu!$A$1:$F$20,MATCH(OrderLines!E$1,Menu!$A$1:$F$1,0),0)</f>
        <v>Beverage</v>
      </c>
      <c r="F81" s="36">
        <f>VLOOKUP($B81,Menu!$A$1:$F$20,MATCH(OrderLines!F$1,Menu!$A$1:$F$1,0),0)</f>
        <v>11.84</v>
      </c>
      <c r="G81" s="27">
        <f>VLOOKUP($A81,Orders!$A$1:$H$361,MATCH($G$1,Orders!$A$1:$H$1,0),0)</f>
        <v>45888</v>
      </c>
      <c r="H81" s="15" t="str">
        <f>VLOOKUP($A81,Orders!$A$1:$H$361,MATCH(OrderLines!$H$1,Orders!$A$1:$H$1,0),0)</f>
        <v>Plant 2 Canteen</v>
      </c>
      <c r="I81" s="15">
        <f>VLOOKUP($A81,Orders!$A$1:$H$361,MATCH(OrderLines!$I$1,Orders!$A$1:$H$1,0),0)</f>
        <v>0.12</v>
      </c>
      <c r="J81" s="15">
        <f t="shared" si="4"/>
        <v>58.044799999999995</v>
      </c>
      <c r="K81" s="27" t="str">
        <f t="shared" si="5"/>
        <v>August</v>
      </c>
      <c r="L81" s="15" t="str">
        <f>VLOOKUP(OrderLines!$A81,Orders!$A$1:$H$361,MATCH(OrderLines!$L$1,Orders!$A$1:$H$1,0),0)</f>
        <v>Breakfast</v>
      </c>
      <c r="M81" t="str">
        <f>VLOOKUP($A81,Orders!$A$1:$H$361,MATCH(OrderLines!$M$1,Orders!$A$1:$H$1,0),0)</f>
        <v>Cash</v>
      </c>
      <c r="N81" t="str">
        <f t="shared" si="3"/>
        <v>Combo</v>
      </c>
      <c r="O81" t="str" cm="1">
        <f t="array" ref="O81">IF((SUMPRODUCT((OrderID=OrderLines!$A81)*Qty*UnitPrice*DiscountPct))&gt;40,"HighDisc","OK")</f>
        <v>HighDisc</v>
      </c>
      <c r="P81">
        <f>(orderlinesTABLE[[#This Row],[UnitCost]]*orderlinesTABLE[[#This Row],[Qty]])</f>
        <v>23.68</v>
      </c>
      <c r="Q81">
        <f>(orderlinesTABLE[[#This Row],[LineNetAmount]]-orderlinesTABLE[[#This Row],[totalCOST]])</f>
        <v>34.364799999999995</v>
      </c>
      <c r="R81" t="str">
        <f>VLOOKUP($B81,Menu!$A$1:$F$20,MATCH(OrderLines!R$1,Menu!$A$1:$F$1,0),0)</f>
        <v>Masala Chaas</v>
      </c>
      <c r="S81" t="str" cm="1">
        <f t="array" ref="S81">_xlfn.TEXTJOIN("+",TRUE,_xlfn._xlws.FILTER(orderlinesTABLE[ItemName],OrderID=orderlinesTABLE[[#This Row],[OrderID]]))</f>
        <v>Kheer Cup+Brownie+Masala Chaas+Rajma Chawal</v>
      </c>
      <c r="T81" s="54">
        <f>orderlinesTABLE[[#This Row],[Profit]]/orderlinesTABLE[[#This Row],[LineNetAmount]]</f>
        <v>0.59203925243949496</v>
      </c>
      <c r="U81" s="70">
        <f>(orderlinesTABLE[[#This Row],[Qty]]*orderlinesTABLE[[#This Row],[UnitCost]])</f>
        <v>23.68</v>
      </c>
    </row>
    <row r="82" spans="1:21" x14ac:dyDescent="0.3">
      <c r="A82" s="14" t="s">
        <v>65</v>
      </c>
      <c r="B82" s="14" t="s">
        <v>417</v>
      </c>
      <c r="C82" s="14">
        <v>2</v>
      </c>
      <c r="D82" s="37">
        <f>VLOOKUP($B82,Menu!$A$1:$F$20,MATCH($D$1,Menu!$A$1:$F$1,0),0)</f>
        <v>146.4</v>
      </c>
      <c r="E82" s="14" t="str">
        <f>VLOOKUP($B82,Menu!$A$1:$F$20,MATCH(OrderLines!E$1,Menu!$A$1:$F$1,0),0)</f>
        <v>Hot Meal</v>
      </c>
      <c r="F82" s="37">
        <f>VLOOKUP($B82,Menu!$A$1:$F$20,MATCH(OrderLines!F$1,Menu!$A$1:$F$1,0),0)</f>
        <v>80.92</v>
      </c>
      <c r="G82" s="28">
        <f>VLOOKUP($A82,Orders!$A$1:$H$361,MATCH($G$1,Orders!$A$1:$H$1,0),0)</f>
        <v>45888</v>
      </c>
      <c r="H82" s="14" t="str">
        <f>VLOOKUP($A82,Orders!$A$1:$H$361,MATCH(OrderLines!$H$1,Orders!$A$1:$H$1,0),0)</f>
        <v>Plant 2 Canteen</v>
      </c>
      <c r="I82" s="14">
        <f>VLOOKUP($A82,Orders!$A$1:$H$361,MATCH(OrderLines!$I$1,Orders!$A$1:$H$1,0),0)</f>
        <v>0.12</v>
      </c>
      <c r="J82" s="14">
        <f t="shared" si="4"/>
        <v>257.66399999999999</v>
      </c>
      <c r="K82" s="28" t="str">
        <f t="shared" si="5"/>
        <v>August</v>
      </c>
      <c r="L82" s="14" t="str">
        <f>VLOOKUP(OrderLines!$A82,Orders!$A$1:$H$361,MATCH(OrderLines!$L$1,Orders!$A$1:$H$1,0),0)</f>
        <v>Breakfast</v>
      </c>
      <c r="M82" t="str">
        <f>VLOOKUP($A82,Orders!$A$1:$H$361,MATCH(OrderLines!$M$1,Orders!$A$1:$H$1,0),0)</f>
        <v>Cash</v>
      </c>
      <c r="N82" t="str">
        <f t="shared" si="3"/>
        <v>Combo</v>
      </c>
      <c r="O82" t="str" cm="1">
        <f t="array" ref="O82">IF((SUMPRODUCT((OrderID=OrderLines!$A82)*Qty*UnitPrice*DiscountPct))&gt;40,"HighDisc","OK")</f>
        <v>HighDisc</v>
      </c>
      <c r="P82">
        <f>(orderlinesTABLE[[#This Row],[UnitCost]]*orderlinesTABLE[[#This Row],[Qty]])</f>
        <v>161.84</v>
      </c>
      <c r="Q82">
        <f>(orderlinesTABLE[[#This Row],[LineNetAmount]]-orderlinesTABLE[[#This Row],[totalCOST]])</f>
        <v>95.823999999999984</v>
      </c>
      <c r="R82" t="str">
        <f>VLOOKUP($B82,Menu!$A$1:$F$20,MATCH(OrderLines!R$1,Menu!$A$1:$F$1,0),0)</f>
        <v>Rajma Chawal</v>
      </c>
      <c r="S82" t="str" cm="1">
        <f t="array" ref="S82">_xlfn.TEXTJOIN("+",TRUE,_xlfn._xlws.FILTER(orderlinesTABLE[ItemName],OrderID=orderlinesTABLE[[#This Row],[OrderID]]))</f>
        <v>Kheer Cup+Brownie+Masala Chaas+Rajma Chawal</v>
      </c>
      <c r="T82" s="54">
        <f>orderlinesTABLE[[#This Row],[Profit]]/orderlinesTABLE[[#This Row],[LineNetAmount]]</f>
        <v>0.37189518132141081</v>
      </c>
      <c r="U82" s="70">
        <f>(orderlinesTABLE[[#This Row],[Qty]]*orderlinesTABLE[[#This Row],[UnitCost]])</f>
        <v>161.84</v>
      </c>
    </row>
    <row r="83" spans="1:21" x14ac:dyDescent="0.3">
      <c r="A83" s="15" t="s">
        <v>66</v>
      </c>
      <c r="B83" s="15" t="s">
        <v>418</v>
      </c>
      <c r="C83" s="15">
        <v>1</v>
      </c>
      <c r="D83" s="36">
        <f>VLOOKUP($B83,Menu!$A$1:$F$20,MATCH($D$1,Menu!$A$1:$F$1,0),0)</f>
        <v>39.950000000000003</v>
      </c>
      <c r="E83" s="15" t="str">
        <f>VLOOKUP($B83,Menu!$A$1:$F$20,MATCH(OrderLines!E$1,Menu!$A$1:$F$1,0),0)</f>
        <v>Snack</v>
      </c>
      <c r="F83" s="36">
        <f>VLOOKUP($B83,Menu!$A$1:$F$20,MATCH(OrderLines!F$1,Menu!$A$1:$F$1,0),0)</f>
        <v>15.51</v>
      </c>
      <c r="G83" s="27">
        <f>VLOOKUP($A83,Orders!$A$1:$H$361,MATCH($G$1,Orders!$A$1:$H$1,0),0)</f>
        <v>45880</v>
      </c>
      <c r="H83" s="15" t="str">
        <f>VLOOKUP($A83,Orders!$A$1:$H$361,MATCH(OrderLines!$H$1,Orders!$A$1:$H$1,0),0)</f>
        <v>Plant 2 Canteen</v>
      </c>
      <c r="I83" s="15">
        <f>VLOOKUP($A83,Orders!$A$1:$H$361,MATCH(OrderLines!$I$1,Orders!$A$1:$H$1,0),0)</f>
        <v>0</v>
      </c>
      <c r="J83" s="15">
        <f t="shared" si="4"/>
        <v>39.950000000000003</v>
      </c>
      <c r="K83" s="27" t="str">
        <f t="shared" si="5"/>
        <v>August</v>
      </c>
      <c r="L83" s="15" t="str">
        <f>VLOOKUP(OrderLines!$A83,Orders!$A$1:$H$361,MATCH(OrderLines!$L$1,Orders!$A$1:$H$1,0),0)</f>
        <v>Breakfast</v>
      </c>
      <c r="M83" t="str">
        <f>VLOOKUP($A83,Orders!$A$1:$H$361,MATCH(OrderLines!$M$1,Orders!$A$1:$H$1,0),0)</f>
        <v>Cash</v>
      </c>
      <c r="N83" t="str">
        <f t="shared" si="3"/>
        <v>Single</v>
      </c>
      <c r="O83" t="str" cm="1">
        <f t="array" ref="O83">IF((SUMPRODUCT((OrderID=OrderLines!$A83)*Qty*UnitPrice*DiscountPct))&gt;40,"HighDisc","OK")</f>
        <v>OK</v>
      </c>
      <c r="P83">
        <f>(orderlinesTABLE[[#This Row],[UnitCost]]*orderlinesTABLE[[#This Row],[Qty]])</f>
        <v>15.51</v>
      </c>
      <c r="Q83">
        <f>(orderlinesTABLE[[#This Row],[LineNetAmount]]-orderlinesTABLE[[#This Row],[totalCOST]])</f>
        <v>24.440000000000005</v>
      </c>
      <c r="R83" t="str">
        <f>VLOOKUP($B83,Menu!$A$1:$F$20,MATCH(OrderLines!R$1,Menu!$A$1:$F$1,0),0)</f>
        <v>Samosa</v>
      </c>
      <c r="S83" t="str" cm="1">
        <f t="array" ref="S83">_xlfn.TEXTJOIN("+",TRUE,_xlfn._xlws.FILTER(orderlinesTABLE[ItemName],OrderID=orderlinesTABLE[[#This Row],[OrderID]]))</f>
        <v>Samosa+Brownie</v>
      </c>
      <c r="T83" s="54">
        <f>orderlinesTABLE[[#This Row],[Profit]]/orderlinesTABLE[[#This Row],[LineNetAmount]]</f>
        <v>0.61176470588235299</v>
      </c>
      <c r="U83" s="70">
        <f>(orderlinesTABLE[[#This Row],[Qty]]*orderlinesTABLE[[#This Row],[UnitCost]])</f>
        <v>15.51</v>
      </c>
    </row>
    <row r="84" spans="1:21" x14ac:dyDescent="0.3">
      <c r="A84" s="14" t="s">
        <v>66</v>
      </c>
      <c r="B84" s="14" t="s">
        <v>414</v>
      </c>
      <c r="C84" s="14">
        <v>3</v>
      </c>
      <c r="D84" s="37">
        <f>VLOOKUP($B84,Menu!$A$1:$F$20,MATCH($D$1,Menu!$A$1:$F$1,0),0)</f>
        <v>116.8</v>
      </c>
      <c r="E84" s="14" t="str">
        <f>VLOOKUP($B84,Menu!$A$1:$F$20,MATCH(OrderLines!E$1,Menu!$A$1:$F$1,0),0)</f>
        <v>Dessert</v>
      </c>
      <c r="F84" s="37">
        <f>VLOOKUP($B84,Menu!$A$1:$F$20,MATCH(OrderLines!F$1,Menu!$A$1:$F$1,0),0)</f>
        <v>48.97</v>
      </c>
      <c r="G84" s="28">
        <f>VLOOKUP($A84,Orders!$A$1:$H$361,MATCH($G$1,Orders!$A$1:$H$1,0),0)</f>
        <v>45880</v>
      </c>
      <c r="H84" s="14" t="str">
        <f>VLOOKUP($A84,Orders!$A$1:$H$361,MATCH(OrderLines!$H$1,Orders!$A$1:$H$1,0),0)</f>
        <v>Plant 2 Canteen</v>
      </c>
      <c r="I84" s="14">
        <f>VLOOKUP($A84,Orders!$A$1:$H$361,MATCH(OrderLines!$I$1,Orders!$A$1:$H$1,0),0)</f>
        <v>0</v>
      </c>
      <c r="J84" s="14">
        <f t="shared" si="4"/>
        <v>350.4</v>
      </c>
      <c r="K84" s="28" t="str">
        <f t="shared" si="5"/>
        <v>August</v>
      </c>
      <c r="L84" s="14" t="str">
        <f>VLOOKUP(OrderLines!$A84,Orders!$A$1:$H$361,MATCH(OrderLines!$L$1,Orders!$A$1:$H$1,0),0)</f>
        <v>Breakfast</v>
      </c>
      <c r="M84" t="str">
        <f>VLOOKUP($A84,Orders!$A$1:$H$361,MATCH(OrderLines!$M$1,Orders!$A$1:$H$1,0),0)</f>
        <v>Cash</v>
      </c>
      <c r="N84" t="str">
        <f t="shared" si="3"/>
        <v>Single</v>
      </c>
      <c r="O84" t="str" cm="1">
        <f t="array" ref="O84">IF((SUMPRODUCT((OrderID=OrderLines!$A84)*Qty*UnitPrice*DiscountPct))&gt;40,"HighDisc","OK")</f>
        <v>OK</v>
      </c>
      <c r="P84">
        <f>(orderlinesTABLE[[#This Row],[UnitCost]]*orderlinesTABLE[[#This Row],[Qty]])</f>
        <v>146.91</v>
      </c>
      <c r="Q84">
        <f>(orderlinesTABLE[[#This Row],[LineNetAmount]]-orderlinesTABLE[[#This Row],[totalCOST]])</f>
        <v>203.48999999999998</v>
      </c>
      <c r="R84" t="str">
        <f>VLOOKUP($B84,Menu!$A$1:$F$20,MATCH(OrderLines!R$1,Menu!$A$1:$F$1,0),0)</f>
        <v>Brownie</v>
      </c>
      <c r="S84" t="str" cm="1">
        <f t="array" ref="S84">_xlfn.TEXTJOIN("+",TRUE,_xlfn._xlws.FILTER(orderlinesTABLE[ItemName],OrderID=orderlinesTABLE[[#This Row],[OrderID]]))</f>
        <v>Samosa+Brownie</v>
      </c>
      <c r="T84" s="54">
        <f>orderlinesTABLE[[#This Row],[Profit]]/orderlinesTABLE[[#This Row],[LineNetAmount]]</f>
        <v>0.58073630136986298</v>
      </c>
      <c r="U84" s="70">
        <f>(orderlinesTABLE[[#This Row],[Qty]]*orderlinesTABLE[[#This Row],[UnitCost]])</f>
        <v>146.91</v>
      </c>
    </row>
    <row r="85" spans="1:21" x14ac:dyDescent="0.3">
      <c r="A85" s="15" t="s">
        <v>67</v>
      </c>
      <c r="B85" s="15" t="s">
        <v>404</v>
      </c>
      <c r="C85" s="15">
        <v>1</v>
      </c>
      <c r="D85" s="36">
        <f>VLOOKUP($B85,Menu!$A$1:$F$20,MATCH($D$1,Menu!$A$1:$F$1,0),0)</f>
        <v>32.979999999999997</v>
      </c>
      <c r="E85" s="15" t="str">
        <f>VLOOKUP($B85,Menu!$A$1:$F$20,MATCH(OrderLines!E$1,Menu!$A$1:$F$1,0),0)</f>
        <v>Beverage</v>
      </c>
      <c r="F85" s="36">
        <f>VLOOKUP($B85,Menu!$A$1:$F$20,MATCH(OrderLines!F$1,Menu!$A$1:$F$1,0),0)</f>
        <v>11.84</v>
      </c>
      <c r="G85" s="27">
        <f>VLOOKUP($A85,Orders!$A$1:$H$361,MATCH($G$1,Orders!$A$1:$H$1,0),0)</f>
        <v>45851</v>
      </c>
      <c r="H85" s="15" t="str">
        <f>VLOOKUP($A85,Orders!$A$1:$H$361,MATCH(OrderLines!$H$1,Orders!$A$1:$H$1,0),0)</f>
        <v>Head Office Café</v>
      </c>
      <c r="I85" s="15">
        <f>VLOOKUP($A85,Orders!$A$1:$H$361,MATCH(OrderLines!$I$1,Orders!$A$1:$H$1,0),0)</f>
        <v>0.09</v>
      </c>
      <c r="J85" s="15">
        <f t="shared" si="4"/>
        <v>30.011799999999997</v>
      </c>
      <c r="K85" s="27" t="str">
        <f t="shared" si="5"/>
        <v>July</v>
      </c>
      <c r="L85" s="15" t="str">
        <f>VLOOKUP(OrderLines!$A85,Orders!$A$1:$H$361,MATCH(OrderLines!$L$1,Orders!$A$1:$H$1,0),0)</f>
        <v>Dinner</v>
      </c>
      <c r="M85" t="str">
        <f>VLOOKUP($A85,Orders!$A$1:$H$361,MATCH(OrderLines!$M$1,Orders!$A$1:$H$1,0),0)</f>
        <v>Cash</v>
      </c>
      <c r="N85" t="str">
        <f t="shared" si="3"/>
        <v>Single</v>
      </c>
      <c r="O85" t="str" cm="1">
        <f t="array" ref="O85">IF((SUMPRODUCT((OrderID=OrderLines!$A85)*Qty*UnitPrice*DiscountPct))&gt;40,"HighDisc","OK")</f>
        <v>OK</v>
      </c>
      <c r="P85">
        <f>(orderlinesTABLE[[#This Row],[UnitCost]]*orderlinesTABLE[[#This Row],[Qty]])</f>
        <v>11.84</v>
      </c>
      <c r="Q85">
        <f>(orderlinesTABLE[[#This Row],[LineNetAmount]]-orderlinesTABLE[[#This Row],[totalCOST]])</f>
        <v>18.171799999999998</v>
      </c>
      <c r="R85" t="str">
        <f>VLOOKUP($B85,Menu!$A$1:$F$20,MATCH(OrderLines!R$1,Menu!$A$1:$F$1,0),0)</f>
        <v>Masala Chaas</v>
      </c>
      <c r="S85" t="str" cm="1">
        <f t="array" ref="S85">_xlfn.TEXTJOIN("+",TRUE,_xlfn._xlws.FILTER(orderlinesTABLE[ItemName],OrderID=orderlinesTABLE[[#This Row],[OrderID]]))</f>
        <v>Masala Chaas+Samosa+Coffee</v>
      </c>
      <c r="T85" s="54">
        <f>orderlinesTABLE[[#This Row],[Profit]]/orderlinesTABLE[[#This Row],[LineNetAmount]]</f>
        <v>0.60548850785357755</v>
      </c>
      <c r="U85" s="70">
        <f>(orderlinesTABLE[[#This Row],[Qty]]*orderlinesTABLE[[#This Row],[UnitCost]])</f>
        <v>11.84</v>
      </c>
    </row>
    <row r="86" spans="1:21" x14ac:dyDescent="0.3">
      <c r="A86" s="14" t="s">
        <v>67</v>
      </c>
      <c r="B86" s="14" t="s">
        <v>418</v>
      </c>
      <c r="C86" s="14">
        <v>1</v>
      </c>
      <c r="D86" s="37">
        <f>VLOOKUP($B86,Menu!$A$1:$F$20,MATCH($D$1,Menu!$A$1:$F$1,0),0)</f>
        <v>39.950000000000003</v>
      </c>
      <c r="E86" s="14" t="str">
        <f>VLOOKUP($B86,Menu!$A$1:$F$20,MATCH(OrderLines!E$1,Menu!$A$1:$F$1,0),0)</f>
        <v>Snack</v>
      </c>
      <c r="F86" s="37">
        <f>VLOOKUP($B86,Menu!$A$1:$F$20,MATCH(OrderLines!F$1,Menu!$A$1:$F$1,0),0)</f>
        <v>15.51</v>
      </c>
      <c r="G86" s="28">
        <f>VLOOKUP($A86,Orders!$A$1:$H$361,MATCH($G$1,Orders!$A$1:$H$1,0),0)</f>
        <v>45851</v>
      </c>
      <c r="H86" s="14" t="str">
        <f>VLOOKUP($A86,Orders!$A$1:$H$361,MATCH(OrderLines!$H$1,Orders!$A$1:$H$1,0),0)</f>
        <v>Head Office Café</v>
      </c>
      <c r="I86" s="14">
        <f>VLOOKUP($A86,Orders!$A$1:$H$361,MATCH(OrderLines!$I$1,Orders!$A$1:$H$1,0),0)</f>
        <v>0.09</v>
      </c>
      <c r="J86" s="14">
        <f t="shared" si="4"/>
        <v>36.354500000000002</v>
      </c>
      <c r="K86" s="28" t="str">
        <f t="shared" si="5"/>
        <v>July</v>
      </c>
      <c r="L86" s="14" t="str">
        <f>VLOOKUP(OrderLines!$A86,Orders!$A$1:$H$361,MATCH(OrderLines!$L$1,Orders!$A$1:$H$1,0),0)</f>
        <v>Dinner</v>
      </c>
      <c r="M86" t="str">
        <f>VLOOKUP($A86,Orders!$A$1:$H$361,MATCH(OrderLines!$M$1,Orders!$A$1:$H$1,0),0)</f>
        <v>Cash</v>
      </c>
      <c r="N86" t="str">
        <f t="shared" si="3"/>
        <v>Single</v>
      </c>
      <c r="O86" t="str" cm="1">
        <f t="array" ref="O86">IF((SUMPRODUCT((OrderID=OrderLines!$A86)*Qty*UnitPrice*DiscountPct))&gt;40,"HighDisc","OK")</f>
        <v>OK</v>
      </c>
      <c r="P86">
        <f>(orderlinesTABLE[[#This Row],[UnitCost]]*orderlinesTABLE[[#This Row],[Qty]])</f>
        <v>15.51</v>
      </c>
      <c r="Q86">
        <f>(orderlinesTABLE[[#This Row],[LineNetAmount]]-orderlinesTABLE[[#This Row],[totalCOST]])</f>
        <v>20.844500000000004</v>
      </c>
      <c r="R86" t="str">
        <f>VLOOKUP($B86,Menu!$A$1:$F$20,MATCH(OrderLines!R$1,Menu!$A$1:$F$1,0),0)</f>
        <v>Samosa</v>
      </c>
      <c r="S86" t="str" cm="1">
        <f t="array" ref="S86">_xlfn.TEXTJOIN("+",TRUE,_xlfn._xlws.FILTER(orderlinesTABLE[ItemName],OrderID=orderlinesTABLE[[#This Row],[OrderID]]))</f>
        <v>Masala Chaas+Samosa+Coffee</v>
      </c>
      <c r="T86" s="54">
        <f>orderlinesTABLE[[#This Row],[Profit]]/orderlinesTABLE[[#This Row],[LineNetAmount]]</f>
        <v>0.57336780866192638</v>
      </c>
      <c r="U86" s="70">
        <f>(orderlinesTABLE[[#This Row],[Qty]]*orderlinesTABLE[[#This Row],[UnitCost]])</f>
        <v>15.51</v>
      </c>
    </row>
    <row r="87" spans="1:21" x14ac:dyDescent="0.3">
      <c r="A87" s="15" t="s">
        <v>67</v>
      </c>
      <c r="B87" s="15" t="s">
        <v>411</v>
      </c>
      <c r="C87" s="15">
        <v>1</v>
      </c>
      <c r="D87" s="36">
        <f>VLOOKUP($B87,Menu!$A$1:$F$20,MATCH($D$1,Menu!$A$1:$F$1,0),0)</f>
        <v>22.2</v>
      </c>
      <c r="E87" s="15" t="str">
        <f>VLOOKUP($B87,Menu!$A$1:$F$20,MATCH(OrderLines!E$1,Menu!$A$1:$F$1,0),0)</f>
        <v>Beverage</v>
      </c>
      <c r="F87" s="36">
        <f>VLOOKUP($B87,Menu!$A$1:$F$20,MATCH(OrderLines!F$1,Menu!$A$1:$F$1,0),0)</f>
        <v>9.3800000000000008</v>
      </c>
      <c r="G87" s="27">
        <f>VLOOKUP($A87,Orders!$A$1:$H$361,MATCH($G$1,Orders!$A$1:$H$1,0),0)</f>
        <v>45851</v>
      </c>
      <c r="H87" s="15" t="str">
        <f>VLOOKUP($A87,Orders!$A$1:$H$361,MATCH(OrderLines!$H$1,Orders!$A$1:$H$1,0),0)</f>
        <v>Head Office Café</v>
      </c>
      <c r="I87" s="15">
        <f>VLOOKUP($A87,Orders!$A$1:$H$361,MATCH(OrderLines!$I$1,Orders!$A$1:$H$1,0),0)</f>
        <v>0.09</v>
      </c>
      <c r="J87" s="15">
        <f t="shared" si="4"/>
        <v>20.202000000000002</v>
      </c>
      <c r="K87" s="27" t="str">
        <f t="shared" si="5"/>
        <v>July</v>
      </c>
      <c r="L87" s="15" t="str">
        <f>VLOOKUP(OrderLines!$A87,Orders!$A$1:$H$361,MATCH(OrderLines!$L$1,Orders!$A$1:$H$1,0),0)</f>
        <v>Dinner</v>
      </c>
      <c r="M87" t="str">
        <f>VLOOKUP($A87,Orders!$A$1:$H$361,MATCH(OrderLines!$M$1,Orders!$A$1:$H$1,0),0)</f>
        <v>Cash</v>
      </c>
      <c r="N87" t="str">
        <f t="shared" si="3"/>
        <v>Single</v>
      </c>
      <c r="O87" t="str" cm="1">
        <f t="array" ref="O87">IF((SUMPRODUCT((OrderID=OrderLines!$A87)*Qty*UnitPrice*DiscountPct))&gt;40,"HighDisc","OK")</f>
        <v>OK</v>
      </c>
      <c r="P87">
        <f>(orderlinesTABLE[[#This Row],[UnitCost]]*orderlinesTABLE[[#This Row],[Qty]])</f>
        <v>9.3800000000000008</v>
      </c>
      <c r="Q87">
        <f>(orderlinesTABLE[[#This Row],[LineNetAmount]]-orderlinesTABLE[[#This Row],[totalCOST]])</f>
        <v>10.822000000000001</v>
      </c>
      <c r="R87" t="str">
        <f>VLOOKUP($B87,Menu!$A$1:$F$20,MATCH(OrderLines!R$1,Menu!$A$1:$F$1,0),0)</f>
        <v>Coffee</v>
      </c>
      <c r="S87" t="str" cm="1">
        <f t="array" ref="S87">_xlfn.TEXTJOIN("+",TRUE,_xlfn._xlws.FILTER(orderlinesTABLE[ItemName],OrderID=orderlinesTABLE[[#This Row],[OrderID]]))</f>
        <v>Masala Chaas+Samosa+Coffee</v>
      </c>
      <c r="T87" s="54">
        <f>orderlinesTABLE[[#This Row],[Profit]]/orderlinesTABLE[[#This Row],[LineNetAmount]]</f>
        <v>0.5356895356895357</v>
      </c>
      <c r="U87" s="70">
        <f>(orderlinesTABLE[[#This Row],[Qty]]*orderlinesTABLE[[#This Row],[UnitCost]])</f>
        <v>9.3800000000000008</v>
      </c>
    </row>
    <row r="88" spans="1:21" x14ac:dyDescent="0.3">
      <c r="A88" s="14" t="s">
        <v>68</v>
      </c>
      <c r="B88" s="14" t="s">
        <v>414</v>
      </c>
      <c r="C88" s="14">
        <v>1</v>
      </c>
      <c r="D88" s="37">
        <f>VLOOKUP($B88,Menu!$A$1:$F$20,MATCH($D$1,Menu!$A$1:$F$1,0),0)</f>
        <v>116.8</v>
      </c>
      <c r="E88" s="14" t="str">
        <f>VLOOKUP($B88,Menu!$A$1:$F$20,MATCH(OrderLines!E$1,Menu!$A$1:$F$1,0),0)</f>
        <v>Dessert</v>
      </c>
      <c r="F88" s="37">
        <f>VLOOKUP($B88,Menu!$A$1:$F$20,MATCH(OrderLines!F$1,Menu!$A$1:$F$1,0),0)</f>
        <v>48.97</v>
      </c>
      <c r="G88" s="28">
        <f>VLOOKUP($A88,Orders!$A$1:$H$361,MATCH($G$1,Orders!$A$1:$H$1,0),0)</f>
        <v>45892</v>
      </c>
      <c r="H88" s="14" t="str">
        <f>VLOOKUP($A88,Orders!$A$1:$H$361,MATCH(OrderLines!$H$1,Orders!$A$1:$H$1,0),0)</f>
        <v>Head Office Café</v>
      </c>
      <c r="I88" s="14">
        <f>VLOOKUP($A88,Orders!$A$1:$H$361,MATCH(OrderLines!$I$1,Orders!$A$1:$H$1,0),0)</f>
        <v>0.06</v>
      </c>
      <c r="J88" s="14">
        <f t="shared" si="4"/>
        <v>109.79199999999999</v>
      </c>
      <c r="K88" s="28" t="str">
        <f t="shared" si="5"/>
        <v>August</v>
      </c>
      <c r="L88" s="14" t="str">
        <f>VLOOKUP(OrderLines!$A88,Orders!$A$1:$H$361,MATCH(OrderLines!$L$1,Orders!$A$1:$H$1,0),0)</f>
        <v>Dinner</v>
      </c>
      <c r="M88" t="str">
        <f>VLOOKUP($A88,Orders!$A$1:$H$361,MATCH(OrderLines!$M$1,Orders!$A$1:$H$1,0),0)</f>
        <v>UPI</v>
      </c>
      <c r="N88" t="str">
        <f t="shared" si="3"/>
        <v>Combo</v>
      </c>
      <c r="O88" t="str" cm="1">
        <f t="array" ref="O88">IF((SUMPRODUCT((OrderID=OrderLines!$A88)*Qty*UnitPrice*DiscountPct))&gt;40,"HighDisc","OK")</f>
        <v>HighDisc</v>
      </c>
      <c r="P88">
        <f>(orderlinesTABLE[[#This Row],[UnitCost]]*orderlinesTABLE[[#This Row],[Qty]])</f>
        <v>48.97</v>
      </c>
      <c r="Q88">
        <f>(orderlinesTABLE[[#This Row],[LineNetAmount]]-orderlinesTABLE[[#This Row],[totalCOST]])</f>
        <v>60.821999999999989</v>
      </c>
      <c r="R88" t="str">
        <f>VLOOKUP($B88,Menu!$A$1:$F$20,MATCH(OrderLines!R$1,Menu!$A$1:$F$1,0),0)</f>
        <v>Brownie</v>
      </c>
      <c r="S88" t="str" cm="1">
        <f t="array" ref="S88">_xlfn.TEXTJOIN("+",TRUE,_xlfn._xlws.FILTER(orderlinesTABLE[ItemName],OrderID=orderlinesTABLE[[#This Row],[OrderID]]))</f>
        <v>Brownie+Veg Thali+Gulab Jamun (2 pc)+Bottled Water</v>
      </c>
      <c r="T88" s="54">
        <f>orderlinesTABLE[[#This Row],[Profit]]/orderlinesTABLE[[#This Row],[LineNetAmount]]</f>
        <v>0.55397478869134364</v>
      </c>
      <c r="U88" s="70">
        <f>(orderlinesTABLE[[#This Row],[Qty]]*orderlinesTABLE[[#This Row],[UnitCost]])</f>
        <v>48.97</v>
      </c>
    </row>
    <row r="89" spans="1:21" x14ac:dyDescent="0.3">
      <c r="A89" s="15" t="s">
        <v>68</v>
      </c>
      <c r="B89" s="15" t="s">
        <v>416</v>
      </c>
      <c r="C89" s="15">
        <v>2</v>
      </c>
      <c r="D89" s="36">
        <f>VLOOKUP($B89,Menu!$A$1:$F$20,MATCH($D$1,Menu!$A$1:$F$1,0),0)</f>
        <v>227.61</v>
      </c>
      <c r="E89" s="15" t="str">
        <f>VLOOKUP($B89,Menu!$A$1:$F$20,MATCH(OrderLines!E$1,Menu!$A$1:$F$1,0),0)</f>
        <v>Hot Meal</v>
      </c>
      <c r="F89" s="36">
        <f>VLOOKUP($B89,Menu!$A$1:$F$20,MATCH(OrderLines!F$1,Menu!$A$1:$F$1,0),0)</f>
        <v>96.22</v>
      </c>
      <c r="G89" s="27">
        <f>VLOOKUP($A89,Orders!$A$1:$H$361,MATCH($G$1,Orders!$A$1:$H$1,0),0)</f>
        <v>45892</v>
      </c>
      <c r="H89" s="15" t="str">
        <f>VLOOKUP($A89,Orders!$A$1:$H$361,MATCH(OrderLines!$H$1,Orders!$A$1:$H$1,0),0)</f>
        <v>Head Office Café</v>
      </c>
      <c r="I89" s="15">
        <f>VLOOKUP($A89,Orders!$A$1:$H$361,MATCH(OrderLines!$I$1,Orders!$A$1:$H$1,0),0)</f>
        <v>0.06</v>
      </c>
      <c r="J89" s="15">
        <f t="shared" si="4"/>
        <v>427.90679999999998</v>
      </c>
      <c r="K89" s="27" t="str">
        <f t="shared" si="5"/>
        <v>August</v>
      </c>
      <c r="L89" s="15" t="str">
        <f>VLOOKUP(OrderLines!$A89,Orders!$A$1:$H$361,MATCH(OrderLines!$L$1,Orders!$A$1:$H$1,0),0)</f>
        <v>Dinner</v>
      </c>
      <c r="M89" t="str">
        <f>VLOOKUP($A89,Orders!$A$1:$H$361,MATCH(OrderLines!$M$1,Orders!$A$1:$H$1,0),0)</f>
        <v>UPI</v>
      </c>
      <c r="N89" t="str">
        <f t="shared" si="3"/>
        <v>Combo</v>
      </c>
      <c r="O89" t="str" cm="1">
        <f t="array" ref="O89">IF((SUMPRODUCT((OrderID=OrderLines!$A89)*Qty*UnitPrice*DiscountPct))&gt;40,"HighDisc","OK")</f>
        <v>HighDisc</v>
      </c>
      <c r="P89">
        <f>(orderlinesTABLE[[#This Row],[UnitCost]]*orderlinesTABLE[[#This Row],[Qty]])</f>
        <v>192.44</v>
      </c>
      <c r="Q89">
        <f>(orderlinesTABLE[[#This Row],[LineNetAmount]]-orderlinesTABLE[[#This Row],[totalCOST]])</f>
        <v>235.46679999999998</v>
      </c>
      <c r="R89" t="str">
        <f>VLOOKUP($B89,Menu!$A$1:$F$20,MATCH(OrderLines!R$1,Menu!$A$1:$F$1,0),0)</f>
        <v>Veg Thali</v>
      </c>
      <c r="S89" t="str" cm="1">
        <f t="array" ref="S89">_xlfn.TEXTJOIN("+",TRUE,_xlfn._xlws.FILTER(orderlinesTABLE[ItemName],OrderID=orderlinesTABLE[[#This Row],[OrderID]]))</f>
        <v>Brownie+Veg Thali+Gulab Jamun (2 pc)+Bottled Water</v>
      </c>
      <c r="T89" s="54">
        <f>orderlinesTABLE[[#This Row],[Profit]]/orderlinesTABLE[[#This Row],[LineNetAmount]]</f>
        <v>0.55027590120091574</v>
      </c>
      <c r="U89" s="70">
        <f>(orderlinesTABLE[[#This Row],[Qty]]*orderlinesTABLE[[#This Row],[UnitCost]])</f>
        <v>192.44</v>
      </c>
    </row>
    <row r="90" spans="1:21" x14ac:dyDescent="0.3">
      <c r="A90" s="14" t="s">
        <v>68</v>
      </c>
      <c r="B90" s="14" t="s">
        <v>403</v>
      </c>
      <c r="C90" s="14">
        <v>1</v>
      </c>
      <c r="D90" s="37">
        <f>VLOOKUP($B90,Menu!$A$1:$F$20,MATCH($D$1,Menu!$A$1:$F$1,0),0)</f>
        <v>76.55</v>
      </c>
      <c r="E90" s="14" t="str">
        <f>VLOOKUP($B90,Menu!$A$1:$F$20,MATCH(OrderLines!E$1,Menu!$A$1:$F$1,0),0)</f>
        <v>Dessert</v>
      </c>
      <c r="F90" s="37">
        <f>VLOOKUP($B90,Menu!$A$1:$F$20,MATCH(OrderLines!F$1,Menu!$A$1:$F$1,0),0)</f>
        <v>38.229999999999997</v>
      </c>
      <c r="G90" s="28">
        <f>VLOOKUP($A90,Orders!$A$1:$H$361,MATCH($G$1,Orders!$A$1:$H$1,0),0)</f>
        <v>45892</v>
      </c>
      <c r="H90" s="14" t="str">
        <f>VLOOKUP($A90,Orders!$A$1:$H$361,MATCH(OrderLines!$H$1,Orders!$A$1:$H$1,0),0)</f>
        <v>Head Office Café</v>
      </c>
      <c r="I90" s="14">
        <f>VLOOKUP($A90,Orders!$A$1:$H$361,MATCH(OrderLines!$I$1,Orders!$A$1:$H$1,0),0)</f>
        <v>0.06</v>
      </c>
      <c r="J90" s="14">
        <f t="shared" si="4"/>
        <v>71.956999999999994</v>
      </c>
      <c r="K90" s="28" t="str">
        <f t="shared" si="5"/>
        <v>August</v>
      </c>
      <c r="L90" s="14" t="str">
        <f>VLOOKUP(OrderLines!$A90,Orders!$A$1:$H$361,MATCH(OrderLines!$L$1,Orders!$A$1:$H$1,0),0)</f>
        <v>Dinner</v>
      </c>
      <c r="M90" t="str">
        <f>VLOOKUP($A90,Orders!$A$1:$H$361,MATCH(OrderLines!$M$1,Orders!$A$1:$H$1,0),0)</f>
        <v>UPI</v>
      </c>
      <c r="N90" t="str">
        <f t="shared" si="3"/>
        <v>Combo</v>
      </c>
      <c r="O90" t="str" cm="1">
        <f t="array" ref="O90">IF((SUMPRODUCT((OrderID=OrderLines!$A90)*Qty*UnitPrice*DiscountPct))&gt;40,"HighDisc","OK")</f>
        <v>HighDisc</v>
      </c>
      <c r="P90">
        <f>(orderlinesTABLE[[#This Row],[UnitCost]]*orderlinesTABLE[[#This Row],[Qty]])</f>
        <v>38.229999999999997</v>
      </c>
      <c r="Q90">
        <f>(orderlinesTABLE[[#This Row],[LineNetAmount]]-orderlinesTABLE[[#This Row],[totalCOST]])</f>
        <v>33.726999999999997</v>
      </c>
      <c r="R90" t="str">
        <f>VLOOKUP($B90,Menu!$A$1:$F$20,MATCH(OrderLines!R$1,Menu!$A$1:$F$1,0),0)</f>
        <v>Gulab Jamun (2 pc)</v>
      </c>
      <c r="S90" t="str" cm="1">
        <f t="array" ref="S90">_xlfn.TEXTJOIN("+",TRUE,_xlfn._xlws.FILTER(orderlinesTABLE[ItemName],OrderID=orderlinesTABLE[[#This Row],[OrderID]]))</f>
        <v>Brownie+Veg Thali+Gulab Jamun (2 pc)+Bottled Water</v>
      </c>
      <c r="T90" s="54">
        <f>orderlinesTABLE[[#This Row],[Profit]]/orderlinesTABLE[[#This Row],[LineNetAmount]]</f>
        <v>0.46871047986992231</v>
      </c>
      <c r="U90" s="70">
        <f>(orderlinesTABLE[[#This Row],[Qty]]*orderlinesTABLE[[#This Row],[UnitCost]])</f>
        <v>38.229999999999997</v>
      </c>
    </row>
    <row r="91" spans="1:21" x14ac:dyDescent="0.3">
      <c r="A91" s="15" t="s">
        <v>68</v>
      </c>
      <c r="B91" s="15" t="s">
        <v>409</v>
      </c>
      <c r="C91" s="15">
        <v>1</v>
      </c>
      <c r="D91" s="36">
        <f>VLOOKUP($B91,Menu!$A$1:$F$20,MATCH($D$1,Menu!$A$1:$F$1,0),0)</f>
        <v>28.43</v>
      </c>
      <c r="E91" s="15" t="str">
        <f>VLOOKUP($B91,Menu!$A$1:$F$20,MATCH(OrderLines!E$1,Menu!$A$1:$F$1,0),0)</f>
        <v>Beverage</v>
      </c>
      <c r="F91" s="36">
        <f>VLOOKUP($B91,Menu!$A$1:$F$20,MATCH(OrderLines!F$1,Menu!$A$1:$F$1,0),0)</f>
        <v>13.89</v>
      </c>
      <c r="G91" s="27">
        <f>VLOOKUP($A91,Orders!$A$1:$H$361,MATCH($G$1,Orders!$A$1:$H$1,0),0)</f>
        <v>45892</v>
      </c>
      <c r="H91" s="15" t="str">
        <f>VLOOKUP($A91,Orders!$A$1:$H$361,MATCH(OrderLines!$H$1,Orders!$A$1:$H$1,0),0)</f>
        <v>Head Office Café</v>
      </c>
      <c r="I91" s="15">
        <f>VLOOKUP($A91,Orders!$A$1:$H$361,MATCH(OrderLines!$I$1,Orders!$A$1:$H$1,0),0)</f>
        <v>0.06</v>
      </c>
      <c r="J91" s="15">
        <f t="shared" si="4"/>
        <v>26.7242</v>
      </c>
      <c r="K91" s="27" t="str">
        <f t="shared" si="5"/>
        <v>August</v>
      </c>
      <c r="L91" s="15" t="str">
        <f>VLOOKUP(OrderLines!$A91,Orders!$A$1:$H$361,MATCH(OrderLines!$L$1,Orders!$A$1:$H$1,0),0)</f>
        <v>Dinner</v>
      </c>
      <c r="M91" t="str">
        <f>VLOOKUP($A91,Orders!$A$1:$H$361,MATCH(OrderLines!$M$1,Orders!$A$1:$H$1,0),0)</f>
        <v>UPI</v>
      </c>
      <c r="N91" t="str">
        <f t="shared" si="3"/>
        <v>Combo</v>
      </c>
      <c r="O91" t="str" cm="1">
        <f t="array" ref="O91">IF((SUMPRODUCT((OrderID=OrderLines!$A91)*Qty*UnitPrice*DiscountPct))&gt;40,"HighDisc","OK")</f>
        <v>HighDisc</v>
      </c>
      <c r="P91">
        <f>(orderlinesTABLE[[#This Row],[UnitCost]]*orderlinesTABLE[[#This Row],[Qty]])</f>
        <v>13.89</v>
      </c>
      <c r="Q91">
        <f>(orderlinesTABLE[[#This Row],[LineNetAmount]]-orderlinesTABLE[[#This Row],[totalCOST]])</f>
        <v>12.834199999999999</v>
      </c>
      <c r="R91" t="str">
        <f>VLOOKUP($B91,Menu!$A$1:$F$20,MATCH(OrderLines!R$1,Menu!$A$1:$F$1,0),0)</f>
        <v>Bottled Water</v>
      </c>
      <c r="S91" t="str" cm="1">
        <f t="array" ref="S91">_xlfn.TEXTJOIN("+",TRUE,_xlfn._xlws.FILTER(orderlinesTABLE[ItemName],OrderID=orderlinesTABLE[[#This Row],[OrderID]]))</f>
        <v>Brownie+Veg Thali+Gulab Jamun (2 pc)+Bottled Water</v>
      </c>
      <c r="T91" s="54">
        <f>orderlinesTABLE[[#This Row],[Profit]]/orderlinesTABLE[[#This Row],[LineNetAmount]]</f>
        <v>0.48024636846004742</v>
      </c>
      <c r="U91" s="70">
        <f>(orderlinesTABLE[[#This Row],[Qty]]*orderlinesTABLE[[#This Row],[UnitCost]])</f>
        <v>13.89</v>
      </c>
    </row>
    <row r="92" spans="1:21" x14ac:dyDescent="0.3">
      <c r="A92" s="14" t="s">
        <v>70</v>
      </c>
      <c r="B92" s="14" t="s">
        <v>419</v>
      </c>
      <c r="C92" s="14">
        <v>1</v>
      </c>
      <c r="D92" s="37">
        <f>VLOOKUP($B92,Menu!$A$1:$F$20,MATCH($D$1,Menu!$A$1:$F$1,0),0)</f>
        <v>50.19</v>
      </c>
      <c r="E92" s="14" t="str">
        <f>VLOOKUP($B92,Menu!$A$1:$F$20,MATCH(OrderLines!E$1,Menu!$A$1:$F$1,0),0)</f>
        <v>Snack</v>
      </c>
      <c r="F92" s="37">
        <f>VLOOKUP($B92,Menu!$A$1:$F$20,MATCH(OrderLines!F$1,Menu!$A$1:$F$1,0),0)</f>
        <v>22.61</v>
      </c>
      <c r="G92" s="28">
        <f>VLOOKUP($A92,Orders!$A$1:$H$361,MATCH($G$1,Orders!$A$1:$H$1,0),0)</f>
        <v>45850</v>
      </c>
      <c r="H92" s="14" t="str">
        <f>VLOOKUP($A92,Orders!$A$1:$H$361,MATCH(OrderLines!$H$1,Orders!$A$1:$H$1,0),0)</f>
        <v>Plant 1 Canteen</v>
      </c>
      <c r="I92" s="14">
        <f>VLOOKUP($A92,Orders!$A$1:$H$361,MATCH(OrderLines!$I$1,Orders!$A$1:$H$1,0),0)</f>
        <v>0.05</v>
      </c>
      <c r="J92" s="14">
        <f t="shared" si="4"/>
        <v>47.680499999999995</v>
      </c>
      <c r="K92" s="28" t="str">
        <f t="shared" si="5"/>
        <v>July</v>
      </c>
      <c r="L92" s="14" t="str">
        <f>VLOOKUP(OrderLines!$A92,Orders!$A$1:$H$361,MATCH(OrderLines!$L$1,Orders!$A$1:$H$1,0),0)</f>
        <v>Breakfast</v>
      </c>
      <c r="M92" t="str">
        <f>VLOOKUP($A92,Orders!$A$1:$H$361,MATCH(OrderLines!$M$1,Orders!$A$1:$H$1,0),0)</f>
        <v>Cash</v>
      </c>
      <c r="N92" t="str">
        <f t="shared" si="3"/>
        <v>Single</v>
      </c>
      <c r="O92" t="str" cm="1">
        <f t="array" ref="O92">IF((SUMPRODUCT((OrderID=OrderLines!$A92)*Qty*UnitPrice*DiscountPct))&gt;40,"HighDisc","OK")</f>
        <v>OK</v>
      </c>
      <c r="P92">
        <f>(orderlinesTABLE[[#This Row],[UnitCost]]*orderlinesTABLE[[#This Row],[Qty]])</f>
        <v>22.61</v>
      </c>
      <c r="Q92">
        <f>(orderlinesTABLE[[#This Row],[LineNetAmount]]-orderlinesTABLE[[#This Row],[totalCOST]])</f>
        <v>25.070499999999996</v>
      </c>
      <c r="R92" t="str">
        <f>VLOOKUP($B92,Menu!$A$1:$F$20,MATCH(OrderLines!R$1,Menu!$A$1:$F$1,0),0)</f>
        <v>Masala Puff</v>
      </c>
      <c r="S92" t="str" cm="1">
        <f t="array" ref="S92">_xlfn.TEXTJOIN("+",TRUE,_xlfn._xlws.FILTER(orderlinesTABLE[ItemName],OrderID=orderlinesTABLE[[#This Row],[OrderID]]))</f>
        <v>Masala Puff+Paneer Butter Masala + Naan</v>
      </c>
      <c r="T92" s="54">
        <f>orderlinesTABLE[[#This Row],[Profit]]/orderlinesTABLE[[#This Row],[LineNetAmount]]</f>
        <v>0.52580195258019524</v>
      </c>
      <c r="U92" s="70">
        <f>(orderlinesTABLE[[#This Row],[Qty]]*orderlinesTABLE[[#This Row],[UnitCost]])</f>
        <v>22.61</v>
      </c>
    </row>
    <row r="93" spans="1:21" x14ac:dyDescent="0.3">
      <c r="A93" s="15" t="s">
        <v>70</v>
      </c>
      <c r="B93" s="15" t="s">
        <v>405</v>
      </c>
      <c r="C93" s="15">
        <v>1</v>
      </c>
      <c r="D93" s="36">
        <f>VLOOKUP($B93,Menu!$A$1:$F$20,MATCH($D$1,Menu!$A$1:$F$1,0),0)</f>
        <v>170.83</v>
      </c>
      <c r="E93" s="15" t="str">
        <f>VLOOKUP($B93,Menu!$A$1:$F$20,MATCH(OrderLines!E$1,Menu!$A$1:$F$1,0),0)</f>
        <v>Hot Meal</v>
      </c>
      <c r="F93" s="36">
        <f>VLOOKUP($B93,Menu!$A$1:$F$20,MATCH(OrderLines!F$1,Menu!$A$1:$F$1,0),0)</f>
        <v>74.069999999999993</v>
      </c>
      <c r="G93" s="27">
        <f>VLOOKUP($A93,Orders!$A$1:$H$361,MATCH($G$1,Orders!$A$1:$H$1,0),0)</f>
        <v>45850</v>
      </c>
      <c r="H93" s="15" t="str">
        <f>VLOOKUP($A93,Orders!$A$1:$H$361,MATCH(OrderLines!$H$1,Orders!$A$1:$H$1,0),0)</f>
        <v>Plant 1 Canteen</v>
      </c>
      <c r="I93" s="15">
        <f>VLOOKUP($A93,Orders!$A$1:$H$361,MATCH(OrderLines!$I$1,Orders!$A$1:$H$1,0),0)</f>
        <v>0.05</v>
      </c>
      <c r="J93" s="15">
        <f t="shared" si="4"/>
        <v>162.2885</v>
      </c>
      <c r="K93" s="27" t="str">
        <f t="shared" si="5"/>
        <v>July</v>
      </c>
      <c r="L93" s="15" t="str">
        <f>VLOOKUP(OrderLines!$A93,Orders!$A$1:$H$361,MATCH(OrderLines!$L$1,Orders!$A$1:$H$1,0),0)</f>
        <v>Breakfast</v>
      </c>
      <c r="M93" t="str">
        <f>VLOOKUP($A93,Orders!$A$1:$H$361,MATCH(OrderLines!$M$1,Orders!$A$1:$H$1,0),0)</f>
        <v>Cash</v>
      </c>
      <c r="N93" t="str">
        <f t="shared" si="3"/>
        <v>Single</v>
      </c>
      <c r="O93" t="str" cm="1">
        <f t="array" ref="O93">IF((SUMPRODUCT((OrderID=OrderLines!$A93)*Qty*UnitPrice*DiscountPct))&gt;40,"HighDisc","OK")</f>
        <v>OK</v>
      </c>
      <c r="P93">
        <f>(orderlinesTABLE[[#This Row],[UnitCost]]*orderlinesTABLE[[#This Row],[Qty]])</f>
        <v>74.069999999999993</v>
      </c>
      <c r="Q93">
        <f>(orderlinesTABLE[[#This Row],[LineNetAmount]]-orderlinesTABLE[[#This Row],[totalCOST]])</f>
        <v>88.218500000000006</v>
      </c>
      <c r="R93" t="str">
        <f>VLOOKUP($B93,Menu!$A$1:$F$20,MATCH(OrderLines!R$1,Menu!$A$1:$F$1,0),0)</f>
        <v>Paneer Butter Masala + Naan</v>
      </c>
      <c r="S93" t="str" cm="1">
        <f t="array" ref="S93">_xlfn.TEXTJOIN("+",TRUE,_xlfn._xlws.FILTER(orderlinesTABLE[ItemName],OrderID=orderlinesTABLE[[#This Row],[OrderID]]))</f>
        <v>Masala Puff+Paneer Butter Masala + Naan</v>
      </c>
      <c r="T93" s="54">
        <f>orderlinesTABLE[[#This Row],[Profit]]/orderlinesTABLE[[#This Row],[LineNetAmount]]</f>
        <v>0.54359058097154145</v>
      </c>
      <c r="U93" s="70">
        <f>(orderlinesTABLE[[#This Row],[Qty]]*orderlinesTABLE[[#This Row],[UnitCost]])</f>
        <v>74.069999999999993</v>
      </c>
    </row>
    <row r="94" spans="1:21" x14ac:dyDescent="0.3">
      <c r="A94" s="14" t="s">
        <v>71</v>
      </c>
      <c r="B94" s="14" t="s">
        <v>405</v>
      </c>
      <c r="C94" s="14">
        <v>2</v>
      </c>
      <c r="D94" s="37">
        <f>VLOOKUP($B94,Menu!$A$1:$F$20,MATCH($D$1,Menu!$A$1:$F$1,0),0)</f>
        <v>170.83</v>
      </c>
      <c r="E94" s="14" t="str">
        <f>VLOOKUP($B94,Menu!$A$1:$F$20,MATCH(OrderLines!E$1,Menu!$A$1:$F$1,0),0)</f>
        <v>Hot Meal</v>
      </c>
      <c r="F94" s="37">
        <f>VLOOKUP($B94,Menu!$A$1:$F$20,MATCH(OrderLines!F$1,Menu!$A$1:$F$1,0),0)</f>
        <v>74.069999999999993</v>
      </c>
      <c r="G94" s="28">
        <f>VLOOKUP($A94,Orders!$A$1:$H$361,MATCH($G$1,Orders!$A$1:$H$1,0),0)</f>
        <v>45842</v>
      </c>
      <c r="H94" s="14" t="str">
        <f>VLOOKUP($A94,Orders!$A$1:$H$361,MATCH(OrderLines!$H$1,Orders!$A$1:$H$1,0),0)</f>
        <v>Plant 2 Canteen</v>
      </c>
      <c r="I94" s="14">
        <f>VLOOKUP($A94,Orders!$A$1:$H$361,MATCH(OrderLines!$I$1,Orders!$A$1:$H$1,0),0)</f>
        <v>0.06</v>
      </c>
      <c r="J94" s="14">
        <f t="shared" si="4"/>
        <v>321.16039999999998</v>
      </c>
      <c r="K94" s="28" t="str">
        <f t="shared" si="5"/>
        <v>July</v>
      </c>
      <c r="L94" s="14" t="str">
        <f>VLOOKUP(OrderLines!$A94,Orders!$A$1:$H$361,MATCH(OrderLines!$L$1,Orders!$A$1:$H$1,0),0)</f>
        <v>Dinner</v>
      </c>
      <c r="M94" t="str">
        <f>VLOOKUP($A94,Orders!$A$1:$H$361,MATCH(OrderLines!$M$1,Orders!$A$1:$H$1,0),0)</f>
        <v>UPI</v>
      </c>
      <c r="N94" t="str">
        <f t="shared" si="3"/>
        <v>Single</v>
      </c>
      <c r="O94" t="str" cm="1">
        <f t="array" ref="O94">IF((SUMPRODUCT((OrderID=OrderLines!$A94)*Qty*UnitPrice*DiscountPct))&gt;40,"HighDisc","OK")</f>
        <v>OK</v>
      </c>
      <c r="P94">
        <f>(orderlinesTABLE[[#This Row],[UnitCost]]*orderlinesTABLE[[#This Row],[Qty]])</f>
        <v>148.13999999999999</v>
      </c>
      <c r="Q94">
        <f>(orderlinesTABLE[[#This Row],[LineNetAmount]]-orderlinesTABLE[[#This Row],[totalCOST]])</f>
        <v>173.0204</v>
      </c>
      <c r="R94" t="str">
        <f>VLOOKUP($B94,Menu!$A$1:$F$20,MATCH(OrderLines!R$1,Menu!$A$1:$F$1,0),0)</f>
        <v>Paneer Butter Masala + Naan</v>
      </c>
      <c r="S94" t="str" cm="1">
        <f t="array" ref="S94">_xlfn.TEXTJOIN("+",TRUE,_xlfn._xlws.FILTER(orderlinesTABLE[ItemName],OrderID=orderlinesTABLE[[#This Row],[OrderID]]))</f>
        <v>Paneer Butter Masala + Naan</v>
      </c>
      <c r="T94" s="54">
        <f>orderlinesTABLE[[#This Row],[Profit]]/orderlinesTABLE[[#This Row],[LineNetAmount]]</f>
        <v>0.53873516162017487</v>
      </c>
      <c r="U94" s="70">
        <f>(orderlinesTABLE[[#This Row],[Qty]]*orderlinesTABLE[[#This Row],[UnitCost]])</f>
        <v>148.13999999999999</v>
      </c>
    </row>
    <row r="95" spans="1:21" x14ac:dyDescent="0.3">
      <c r="A95" s="15" t="s">
        <v>73</v>
      </c>
      <c r="B95" s="15" t="s">
        <v>411</v>
      </c>
      <c r="C95" s="15">
        <v>1</v>
      </c>
      <c r="D95" s="36">
        <f>VLOOKUP($B95,Menu!$A$1:$F$20,MATCH($D$1,Menu!$A$1:$F$1,0),0)</f>
        <v>22.2</v>
      </c>
      <c r="E95" s="15" t="str">
        <f>VLOOKUP($B95,Menu!$A$1:$F$20,MATCH(OrderLines!E$1,Menu!$A$1:$F$1,0),0)</f>
        <v>Beverage</v>
      </c>
      <c r="F95" s="36">
        <f>VLOOKUP($B95,Menu!$A$1:$F$20,MATCH(OrderLines!F$1,Menu!$A$1:$F$1,0),0)</f>
        <v>9.3800000000000008</v>
      </c>
      <c r="G95" s="27">
        <f>VLOOKUP($A95,Orders!$A$1:$H$361,MATCH($G$1,Orders!$A$1:$H$1,0),0)</f>
        <v>45880</v>
      </c>
      <c r="H95" s="15" t="str">
        <f>VLOOKUP($A95,Orders!$A$1:$H$361,MATCH(OrderLines!$H$1,Orders!$A$1:$H$1,0),0)</f>
        <v>Plant 1 Canteen</v>
      </c>
      <c r="I95" s="15">
        <f>VLOOKUP($A95,Orders!$A$1:$H$361,MATCH(OrderLines!$I$1,Orders!$A$1:$H$1,0),0)</f>
        <v>0</v>
      </c>
      <c r="J95" s="15">
        <f t="shared" si="4"/>
        <v>22.2</v>
      </c>
      <c r="K95" s="27" t="str">
        <f t="shared" si="5"/>
        <v>August</v>
      </c>
      <c r="L95" s="15" t="str">
        <f>VLOOKUP(OrderLines!$A95,Orders!$A$1:$H$361,MATCH(OrderLines!$L$1,Orders!$A$1:$H$1,0),0)</f>
        <v>Dinner</v>
      </c>
      <c r="M95" t="str">
        <f>VLOOKUP($A95,Orders!$A$1:$H$361,MATCH(OrderLines!$M$1,Orders!$A$1:$H$1,0),0)</f>
        <v>Card</v>
      </c>
      <c r="N95" t="str">
        <f t="shared" si="3"/>
        <v>Single</v>
      </c>
      <c r="O95" t="str" cm="1">
        <f t="array" ref="O95">IF((SUMPRODUCT((OrderID=OrderLines!$A95)*Qty*UnitPrice*DiscountPct))&gt;40,"HighDisc","OK")</f>
        <v>OK</v>
      </c>
      <c r="P95">
        <f>(orderlinesTABLE[[#This Row],[UnitCost]]*orderlinesTABLE[[#This Row],[Qty]])</f>
        <v>9.3800000000000008</v>
      </c>
      <c r="Q95">
        <f>(orderlinesTABLE[[#This Row],[LineNetAmount]]-orderlinesTABLE[[#This Row],[totalCOST]])</f>
        <v>12.819999999999999</v>
      </c>
      <c r="R95" t="str">
        <f>VLOOKUP($B95,Menu!$A$1:$F$20,MATCH(OrderLines!R$1,Menu!$A$1:$F$1,0),0)</f>
        <v>Coffee</v>
      </c>
      <c r="S95" t="str" cm="1">
        <f t="array" ref="S95">_xlfn.TEXTJOIN("+",TRUE,_xlfn._xlws.FILTER(orderlinesTABLE[ItemName],OrderID=orderlinesTABLE[[#This Row],[OrderID]]))</f>
        <v>Coffee+Masala Chaas</v>
      </c>
      <c r="T95" s="54">
        <f>orderlinesTABLE[[#This Row],[Profit]]/orderlinesTABLE[[#This Row],[LineNetAmount]]</f>
        <v>0.57747747747747746</v>
      </c>
      <c r="U95" s="70">
        <f>(orderlinesTABLE[[#This Row],[Qty]]*orderlinesTABLE[[#This Row],[UnitCost]])</f>
        <v>9.3800000000000008</v>
      </c>
    </row>
    <row r="96" spans="1:21" x14ac:dyDescent="0.3">
      <c r="A96" s="14" t="s">
        <v>73</v>
      </c>
      <c r="B96" s="14" t="s">
        <v>404</v>
      </c>
      <c r="C96" s="14">
        <v>2</v>
      </c>
      <c r="D96" s="37">
        <f>VLOOKUP($B96,Menu!$A$1:$F$20,MATCH($D$1,Menu!$A$1:$F$1,0),0)</f>
        <v>32.979999999999997</v>
      </c>
      <c r="E96" s="14" t="str">
        <f>VLOOKUP($B96,Menu!$A$1:$F$20,MATCH(OrderLines!E$1,Menu!$A$1:$F$1,0),0)</f>
        <v>Beverage</v>
      </c>
      <c r="F96" s="37">
        <f>VLOOKUP($B96,Menu!$A$1:$F$20,MATCH(OrderLines!F$1,Menu!$A$1:$F$1,0),0)</f>
        <v>11.84</v>
      </c>
      <c r="G96" s="28">
        <f>VLOOKUP($A96,Orders!$A$1:$H$361,MATCH($G$1,Orders!$A$1:$H$1,0),0)</f>
        <v>45880</v>
      </c>
      <c r="H96" s="14" t="str">
        <f>VLOOKUP($A96,Orders!$A$1:$H$361,MATCH(OrderLines!$H$1,Orders!$A$1:$H$1,0),0)</f>
        <v>Plant 1 Canteen</v>
      </c>
      <c r="I96" s="14">
        <f>VLOOKUP($A96,Orders!$A$1:$H$361,MATCH(OrderLines!$I$1,Orders!$A$1:$H$1,0),0)</f>
        <v>0</v>
      </c>
      <c r="J96" s="14">
        <f t="shared" si="4"/>
        <v>65.959999999999994</v>
      </c>
      <c r="K96" s="28" t="str">
        <f t="shared" si="5"/>
        <v>August</v>
      </c>
      <c r="L96" s="14" t="str">
        <f>VLOOKUP(OrderLines!$A96,Orders!$A$1:$H$361,MATCH(OrderLines!$L$1,Orders!$A$1:$H$1,0),0)</f>
        <v>Dinner</v>
      </c>
      <c r="M96" t="str">
        <f>VLOOKUP($A96,Orders!$A$1:$H$361,MATCH(OrderLines!$M$1,Orders!$A$1:$H$1,0),0)</f>
        <v>Card</v>
      </c>
      <c r="N96" t="str">
        <f t="shared" si="3"/>
        <v>Single</v>
      </c>
      <c r="O96" t="str" cm="1">
        <f t="array" ref="O96">IF((SUMPRODUCT((OrderID=OrderLines!$A96)*Qty*UnitPrice*DiscountPct))&gt;40,"HighDisc","OK")</f>
        <v>OK</v>
      </c>
      <c r="P96">
        <f>(orderlinesTABLE[[#This Row],[UnitCost]]*orderlinesTABLE[[#This Row],[Qty]])</f>
        <v>23.68</v>
      </c>
      <c r="Q96">
        <f>(orderlinesTABLE[[#This Row],[LineNetAmount]]-orderlinesTABLE[[#This Row],[totalCOST]])</f>
        <v>42.279999999999994</v>
      </c>
      <c r="R96" t="str">
        <f>VLOOKUP($B96,Menu!$A$1:$F$20,MATCH(OrderLines!R$1,Menu!$A$1:$F$1,0),0)</f>
        <v>Masala Chaas</v>
      </c>
      <c r="S96" t="str" cm="1">
        <f t="array" ref="S96">_xlfn.TEXTJOIN("+",TRUE,_xlfn._xlws.FILTER(orderlinesTABLE[ItemName],OrderID=orderlinesTABLE[[#This Row],[OrderID]]))</f>
        <v>Coffee+Masala Chaas</v>
      </c>
      <c r="T96" s="54">
        <f>orderlinesTABLE[[#This Row],[Profit]]/orderlinesTABLE[[#This Row],[LineNetAmount]]</f>
        <v>0.64099454214675555</v>
      </c>
      <c r="U96" s="70">
        <f>(orderlinesTABLE[[#This Row],[Qty]]*orderlinesTABLE[[#This Row],[UnitCost]])</f>
        <v>23.68</v>
      </c>
    </row>
    <row r="97" spans="1:21" x14ac:dyDescent="0.3">
      <c r="A97" s="15" t="s">
        <v>75</v>
      </c>
      <c r="B97" s="15" t="s">
        <v>405</v>
      </c>
      <c r="C97" s="15">
        <v>3</v>
      </c>
      <c r="D97" s="36">
        <f>VLOOKUP($B97,Menu!$A$1:$F$20,MATCH($D$1,Menu!$A$1:$F$1,0),0)</f>
        <v>170.83</v>
      </c>
      <c r="E97" s="15" t="str">
        <f>VLOOKUP($B97,Menu!$A$1:$F$20,MATCH(OrderLines!E$1,Menu!$A$1:$F$1,0),0)</f>
        <v>Hot Meal</v>
      </c>
      <c r="F97" s="36">
        <f>VLOOKUP($B97,Menu!$A$1:$F$20,MATCH(OrderLines!F$1,Menu!$A$1:$F$1,0),0)</f>
        <v>74.069999999999993</v>
      </c>
      <c r="G97" s="27">
        <f>VLOOKUP($A97,Orders!$A$1:$H$361,MATCH($G$1,Orders!$A$1:$H$1,0),0)</f>
        <v>45843</v>
      </c>
      <c r="H97" s="15" t="str">
        <f>VLOOKUP($A97,Orders!$A$1:$H$361,MATCH(OrderLines!$H$1,Orders!$A$1:$H$1,0),0)</f>
        <v>Plant 2 Canteen</v>
      </c>
      <c r="I97" s="15">
        <f>VLOOKUP($A97,Orders!$A$1:$H$361,MATCH(OrderLines!$I$1,Orders!$A$1:$H$1,0),0)</f>
        <v>0.05</v>
      </c>
      <c r="J97" s="15">
        <f t="shared" si="4"/>
        <v>486.8655</v>
      </c>
      <c r="K97" s="27" t="str">
        <f t="shared" si="5"/>
        <v>July</v>
      </c>
      <c r="L97" s="15" t="str">
        <f>VLOOKUP(OrderLines!$A97,Orders!$A$1:$H$361,MATCH(OrderLines!$L$1,Orders!$A$1:$H$1,0),0)</f>
        <v>Breakfast</v>
      </c>
      <c r="M97" t="str">
        <f>VLOOKUP($A97,Orders!$A$1:$H$361,MATCH(OrderLines!$M$1,Orders!$A$1:$H$1,0),0)</f>
        <v>UPI</v>
      </c>
      <c r="N97" t="str">
        <f t="shared" si="3"/>
        <v>Single</v>
      </c>
      <c r="O97" t="str" cm="1">
        <f t="array" ref="O97">IF((SUMPRODUCT((OrderID=OrderLines!$A97)*Qty*UnitPrice*DiscountPct))&gt;40,"HighDisc","OK")</f>
        <v>OK</v>
      </c>
      <c r="P97">
        <f>(orderlinesTABLE[[#This Row],[UnitCost]]*orderlinesTABLE[[#This Row],[Qty]])</f>
        <v>222.20999999999998</v>
      </c>
      <c r="Q97">
        <f>(orderlinesTABLE[[#This Row],[LineNetAmount]]-orderlinesTABLE[[#This Row],[totalCOST]])</f>
        <v>264.65550000000002</v>
      </c>
      <c r="R97" t="str">
        <f>VLOOKUP($B97,Menu!$A$1:$F$20,MATCH(OrderLines!R$1,Menu!$A$1:$F$1,0),0)</f>
        <v>Paneer Butter Masala + Naan</v>
      </c>
      <c r="S97" t="str" cm="1">
        <f t="array" ref="S97">_xlfn.TEXTJOIN("+",TRUE,_xlfn._xlws.FILTER(orderlinesTABLE[ItemName],OrderID=orderlinesTABLE[[#This Row],[OrderID]]))</f>
        <v>Paneer Butter Masala + Naan</v>
      </c>
      <c r="T97" s="54">
        <f>orderlinesTABLE[[#This Row],[Profit]]/orderlinesTABLE[[#This Row],[LineNetAmount]]</f>
        <v>0.54359058097154145</v>
      </c>
      <c r="U97" s="70">
        <f>(orderlinesTABLE[[#This Row],[Qty]]*orderlinesTABLE[[#This Row],[UnitCost]])</f>
        <v>222.20999999999998</v>
      </c>
    </row>
    <row r="98" spans="1:21" x14ac:dyDescent="0.3">
      <c r="A98" s="14" t="s">
        <v>76</v>
      </c>
      <c r="B98" s="14" t="s">
        <v>404</v>
      </c>
      <c r="C98" s="14">
        <v>3</v>
      </c>
      <c r="D98" s="37">
        <f>VLOOKUP($B98,Menu!$A$1:$F$20,MATCH($D$1,Menu!$A$1:$F$1,0),0)</f>
        <v>32.979999999999997</v>
      </c>
      <c r="E98" s="14" t="str">
        <f>VLOOKUP($B98,Menu!$A$1:$F$20,MATCH(OrderLines!E$1,Menu!$A$1:$F$1,0),0)</f>
        <v>Beverage</v>
      </c>
      <c r="F98" s="37">
        <f>VLOOKUP($B98,Menu!$A$1:$F$20,MATCH(OrderLines!F$1,Menu!$A$1:$F$1,0),0)</f>
        <v>11.84</v>
      </c>
      <c r="G98" s="28">
        <f>VLOOKUP($A98,Orders!$A$1:$H$361,MATCH($G$1,Orders!$A$1:$H$1,0),0)</f>
        <v>45849</v>
      </c>
      <c r="H98" s="14" t="str">
        <f>VLOOKUP($A98,Orders!$A$1:$H$361,MATCH(OrderLines!$H$1,Orders!$A$1:$H$1,0),0)</f>
        <v>Plant 2 Canteen</v>
      </c>
      <c r="I98" s="14">
        <f>VLOOKUP($A98,Orders!$A$1:$H$361,MATCH(OrderLines!$I$1,Orders!$A$1:$H$1,0),0)</f>
        <v>7.0000000000000007E-2</v>
      </c>
      <c r="J98" s="14">
        <f t="shared" si="4"/>
        <v>92.014199999999988</v>
      </c>
      <c r="K98" s="28" t="str">
        <f t="shared" si="5"/>
        <v>July</v>
      </c>
      <c r="L98" s="14" t="str">
        <f>VLOOKUP(OrderLines!$A98,Orders!$A$1:$H$361,MATCH(OrderLines!$L$1,Orders!$A$1:$H$1,0),0)</f>
        <v>Breakfast</v>
      </c>
      <c r="M98" t="str">
        <f>VLOOKUP($A98,Orders!$A$1:$H$361,MATCH(OrderLines!$M$1,Orders!$A$1:$H$1,0),0)</f>
        <v>Card</v>
      </c>
      <c r="N98" t="str">
        <f t="shared" si="3"/>
        <v>Combo</v>
      </c>
      <c r="O98" t="str" cm="1">
        <f t="array" ref="O98">IF((SUMPRODUCT((OrderID=OrderLines!$A98)*Qty*UnitPrice*DiscountPct))&gt;40,"HighDisc","OK")</f>
        <v>HighDisc</v>
      </c>
      <c r="P98">
        <f>(orderlinesTABLE[[#This Row],[UnitCost]]*orderlinesTABLE[[#This Row],[Qty]])</f>
        <v>35.519999999999996</v>
      </c>
      <c r="Q98">
        <f>(orderlinesTABLE[[#This Row],[LineNetAmount]]-orderlinesTABLE[[#This Row],[totalCOST]])</f>
        <v>56.494199999999992</v>
      </c>
      <c r="R98" t="str">
        <f>VLOOKUP($B98,Menu!$A$1:$F$20,MATCH(OrderLines!R$1,Menu!$A$1:$F$1,0),0)</f>
        <v>Masala Chaas</v>
      </c>
      <c r="S98" t="str" cm="1">
        <f t="array" ref="S98">_xlfn.TEXTJOIN("+",TRUE,_xlfn._xlws.FILTER(orderlinesTABLE[ItemName],OrderID=orderlinesTABLE[[#This Row],[OrderID]]))</f>
        <v>Masala Chaas+Bottled Water+Chicken Thali+Tea</v>
      </c>
      <c r="T98" s="54">
        <f>orderlinesTABLE[[#This Row],[Profit]]/orderlinesTABLE[[#This Row],[LineNetAmount]]</f>
        <v>0.61397262596425328</v>
      </c>
      <c r="U98" s="70">
        <f>(orderlinesTABLE[[#This Row],[Qty]]*orderlinesTABLE[[#This Row],[UnitCost]])</f>
        <v>35.519999999999996</v>
      </c>
    </row>
    <row r="99" spans="1:21" x14ac:dyDescent="0.3">
      <c r="A99" s="15" t="s">
        <v>76</v>
      </c>
      <c r="B99" s="15" t="s">
        <v>409</v>
      </c>
      <c r="C99" s="15">
        <v>1</v>
      </c>
      <c r="D99" s="36">
        <f>VLOOKUP($B99,Menu!$A$1:$F$20,MATCH($D$1,Menu!$A$1:$F$1,0),0)</f>
        <v>28.43</v>
      </c>
      <c r="E99" s="15" t="str">
        <f>VLOOKUP($B99,Menu!$A$1:$F$20,MATCH(OrderLines!E$1,Menu!$A$1:$F$1,0),0)</f>
        <v>Beverage</v>
      </c>
      <c r="F99" s="36">
        <f>VLOOKUP($B99,Menu!$A$1:$F$20,MATCH(OrderLines!F$1,Menu!$A$1:$F$1,0),0)</f>
        <v>13.89</v>
      </c>
      <c r="G99" s="27">
        <f>VLOOKUP($A99,Orders!$A$1:$H$361,MATCH($G$1,Orders!$A$1:$H$1,0),0)</f>
        <v>45849</v>
      </c>
      <c r="H99" s="15" t="str">
        <f>VLOOKUP($A99,Orders!$A$1:$H$361,MATCH(OrderLines!$H$1,Orders!$A$1:$H$1,0),0)</f>
        <v>Plant 2 Canteen</v>
      </c>
      <c r="I99" s="15">
        <f>VLOOKUP($A99,Orders!$A$1:$H$361,MATCH(OrderLines!$I$1,Orders!$A$1:$H$1,0),0)</f>
        <v>7.0000000000000007E-2</v>
      </c>
      <c r="J99" s="15">
        <f t="shared" si="4"/>
        <v>26.439899999999998</v>
      </c>
      <c r="K99" s="27" t="str">
        <f t="shared" si="5"/>
        <v>July</v>
      </c>
      <c r="L99" s="15" t="str">
        <f>VLOOKUP(OrderLines!$A99,Orders!$A$1:$H$361,MATCH(OrderLines!$L$1,Orders!$A$1:$H$1,0),0)</f>
        <v>Breakfast</v>
      </c>
      <c r="M99" t="str">
        <f>VLOOKUP($A99,Orders!$A$1:$H$361,MATCH(OrderLines!$M$1,Orders!$A$1:$H$1,0),0)</f>
        <v>Card</v>
      </c>
      <c r="N99" t="str">
        <f t="shared" si="3"/>
        <v>Combo</v>
      </c>
      <c r="O99" t="str" cm="1">
        <f t="array" ref="O99">IF((SUMPRODUCT((OrderID=OrderLines!$A99)*Qty*UnitPrice*DiscountPct))&gt;40,"HighDisc","OK")</f>
        <v>HighDisc</v>
      </c>
      <c r="P99">
        <f>(orderlinesTABLE[[#This Row],[UnitCost]]*orderlinesTABLE[[#This Row],[Qty]])</f>
        <v>13.89</v>
      </c>
      <c r="Q99">
        <f>(orderlinesTABLE[[#This Row],[LineNetAmount]]-orderlinesTABLE[[#This Row],[totalCOST]])</f>
        <v>12.549899999999997</v>
      </c>
      <c r="R99" t="str">
        <f>VLOOKUP($B99,Menu!$A$1:$F$20,MATCH(OrderLines!R$1,Menu!$A$1:$F$1,0),0)</f>
        <v>Bottled Water</v>
      </c>
      <c r="S99" t="str" cm="1">
        <f t="array" ref="S99">_xlfn.TEXTJOIN("+",TRUE,_xlfn._xlws.FILTER(orderlinesTABLE[ItemName],OrderID=orderlinesTABLE[[#This Row],[OrderID]]))</f>
        <v>Masala Chaas+Bottled Water+Chicken Thali+Tea</v>
      </c>
      <c r="T99" s="54">
        <f>orderlinesTABLE[[#This Row],[Profit]]/orderlinesTABLE[[#This Row],[LineNetAmount]]</f>
        <v>0.47465761973381132</v>
      </c>
      <c r="U99" s="70">
        <f>(orderlinesTABLE[[#This Row],[Qty]]*orderlinesTABLE[[#This Row],[UnitCost]])</f>
        <v>13.89</v>
      </c>
    </row>
    <row r="100" spans="1:21" x14ac:dyDescent="0.3">
      <c r="A100" s="14" t="s">
        <v>76</v>
      </c>
      <c r="B100" s="14" t="s">
        <v>415</v>
      </c>
      <c r="C100" s="14">
        <v>2</v>
      </c>
      <c r="D100" s="37">
        <f>VLOOKUP($B100,Menu!$A$1:$F$20,MATCH($D$1,Menu!$A$1:$F$1,0),0)</f>
        <v>256.91000000000003</v>
      </c>
      <c r="E100" s="14" t="str">
        <f>VLOOKUP($B100,Menu!$A$1:$F$20,MATCH(OrderLines!E$1,Menu!$A$1:$F$1,0),0)</f>
        <v>Hot Meal</v>
      </c>
      <c r="F100" s="37">
        <f>VLOOKUP($B100,Menu!$A$1:$F$20,MATCH(OrderLines!F$1,Menu!$A$1:$F$1,0),0)</f>
        <v>121.24</v>
      </c>
      <c r="G100" s="28">
        <f>VLOOKUP($A100,Orders!$A$1:$H$361,MATCH($G$1,Orders!$A$1:$H$1,0),0)</f>
        <v>45849</v>
      </c>
      <c r="H100" s="14" t="str">
        <f>VLOOKUP($A100,Orders!$A$1:$H$361,MATCH(OrderLines!$H$1,Orders!$A$1:$H$1,0),0)</f>
        <v>Plant 2 Canteen</v>
      </c>
      <c r="I100" s="14">
        <f>VLOOKUP($A100,Orders!$A$1:$H$361,MATCH(OrderLines!$I$1,Orders!$A$1:$H$1,0),0)</f>
        <v>7.0000000000000007E-2</v>
      </c>
      <c r="J100" s="14">
        <f t="shared" si="4"/>
        <v>477.8526</v>
      </c>
      <c r="K100" s="28" t="str">
        <f t="shared" si="5"/>
        <v>July</v>
      </c>
      <c r="L100" s="14" t="str">
        <f>VLOOKUP(OrderLines!$A100,Orders!$A$1:$H$361,MATCH(OrderLines!$L$1,Orders!$A$1:$H$1,0),0)</f>
        <v>Breakfast</v>
      </c>
      <c r="M100" t="str">
        <f>VLOOKUP($A100,Orders!$A$1:$H$361,MATCH(OrderLines!$M$1,Orders!$A$1:$H$1,0),0)</f>
        <v>Card</v>
      </c>
      <c r="N100" t="str">
        <f t="shared" si="3"/>
        <v>Combo</v>
      </c>
      <c r="O100" t="str" cm="1">
        <f t="array" ref="O100">IF((SUMPRODUCT((OrderID=OrderLines!$A100)*Qty*UnitPrice*DiscountPct))&gt;40,"HighDisc","OK")</f>
        <v>HighDisc</v>
      </c>
      <c r="P100">
        <f>(orderlinesTABLE[[#This Row],[UnitCost]]*orderlinesTABLE[[#This Row],[Qty]])</f>
        <v>242.48</v>
      </c>
      <c r="Q100">
        <f>(orderlinesTABLE[[#This Row],[LineNetAmount]]-orderlinesTABLE[[#This Row],[totalCOST]])</f>
        <v>235.37260000000001</v>
      </c>
      <c r="R100" t="str">
        <f>VLOOKUP($B100,Menu!$A$1:$F$20,MATCH(OrderLines!R$1,Menu!$A$1:$F$1,0),0)</f>
        <v>Chicken Thali</v>
      </c>
      <c r="S100" t="str" cm="1">
        <f t="array" ref="S100">_xlfn.TEXTJOIN("+",TRUE,_xlfn._xlws.FILTER(orderlinesTABLE[ItemName],OrderID=orderlinesTABLE[[#This Row],[OrderID]]))</f>
        <v>Masala Chaas+Bottled Water+Chicken Thali+Tea</v>
      </c>
      <c r="T100" s="54">
        <f>orderlinesTABLE[[#This Row],[Profit]]/orderlinesTABLE[[#This Row],[LineNetAmount]]</f>
        <v>0.49256318789517939</v>
      </c>
      <c r="U100" s="70">
        <f>(orderlinesTABLE[[#This Row],[Qty]]*orderlinesTABLE[[#This Row],[UnitCost]])</f>
        <v>242.48</v>
      </c>
    </row>
    <row r="101" spans="1:21" x14ac:dyDescent="0.3">
      <c r="A101" s="15" t="s">
        <v>76</v>
      </c>
      <c r="B101" s="15" t="s">
        <v>402</v>
      </c>
      <c r="C101" s="15">
        <v>1</v>
      </c>
      <c r="D101" s="36">
        <f>VLOOKUP($B101,Menu!$A$1:$F$20,MATCH($D$1,Menu!$A$1:$F$1,0),0)</f>
        <v>30.34</v>
      </c>
      <c r="E101" s="15" t="str">
        <f>VLOOKUP($B101,Menu!$A$1:$F$20,MATCH(OrderLines!E$1,Menu!$A$1:$F$1,0),0)</f>
        <v>Beverage</v>
      </c>
      <c r="F101" s="36">
        <f>VLOOKUP($B101,Menu!$A$1:$F$20,MATCH(OrderLines!F$1,Menu!$A$1:$F$1,0),0)</f>
        <v>14.18</v>
      </c>
      <c r="G101" s="27">
        <f>VLOOKUP($A101,Orders!$A$1:$H$361,MATCH($G$1,Orders!$A$1:$H$1,0),0)</f>
        <v>45849</v>
      </c>
      <c r="H101" s="15" t="str">
        <f>VLOOKUP($A101,Orders!$A$1:$H$361,MATCH(OrderLines!$H$1,Orders!$A$1:$H$1,0),0)</f>
        <v>Plant 2 Canteen</v>
      </c>
      <c r="I101" s="15">
        <f>VLOOKUP($A101,Orders!$A$1:$H$361,MATCH(OrderLines!$I$1,Orders!$A$1:$H$1,0),0)</f>
        <v>7.0000000000000007E-2</v>
      </c>
      <c r="J101" s="15">
        <f t="shared" si="4"/>
        <v>28.216199999999997</v>
      </c>
      <c r="K101" s="27" t="str">
        <f t="shared" si="5"/>
        <v>July</v>
      </c>
      <c r="L101" s="15" t="str">
        <f>VLOOKUP(OrderLines!$A101,Orders!$A$1:$H$361,MATCH(OrderLines!$L$1,Orders!$A$1:$H$1,0),0)</f>
        <v>Breakfast</v>
      </c>
      <c r="M101" t="str">
        <f>VLOOKUP($A101,Orders!$A$1:$H$361,MATCH(OrderLines!$M$1,Orders!$A$1:$H$1,0),0)</f>
        <v>Card</v>
      </c>
      <c r="N101" t="str">
        <f t="shared" si="3"/>
        <v>Combo</v>
      </c>
      <c r="O101" t="str" cm="1">
        <f t="array" ref="O101">IF((SUMPRODUCT((OrderID=OrderLines!$A101)*Qty*UnitPrice*DiscountPct))&gt;40,"HighDisc","OK")</f>
        <v>HighDisc</v>
      </c>
      <c r="P101">
        <f>(orderlinesTABLE[[#This Row],[UnitCost]]*orderlinesTABLE[[#This Row],[Qty]])</f>
        <v>14.18</v>
      </c>
      <c r="Q101">
        <f>(orderlinesTABLE[[#This Row],[LineNetAmount]]-orderlinesTABLE[[#This Row],[totalCOST]])</f>
        <v>14.036199999999997</v>
      </c>
      <c r="R101" t="str">
        <f>VLOOKUP($B101,Menu!$A$1:$F$20,MATCH(OrderLines!R$1,Menu!$A$1:$F$1,0),0)</f>
        <v>Tea</v>
      </c>
      <c r="S101" t="str" cm="1">
        <f t="array" ref="S101">_xlfn.TEXTJOIN("+",TRUE,_xlfn._xlws.FILTER(orderlinesTABLE[ItemName],OrderID=orderlinesTABLE[[#This Row],[OrderID]]))</f>
        <v>Masala Chaas+Bottled Water+Chicken Thali+Tea</v>
      </c>
      <c r="T101" s="54">
        <f>orderlinesTABLE[[#This Row],[Profit]]/orderlinesTABLE[[#This Row],[LineNetAmount]]</f>
        <v>0.49745181845889946</v>
      </c>
      <c r="U101" s="70">
        <f>(orderlinesTABLE[[#This Row],[Qty]]*orderlinesTABLE[[#This Row],[UnitCost]])</f>
        <v>14.18</v>
      </c>
    </row>
    <row r="102" spans="1:21" x14ac:dyDescent="0.3">
      <c r="A102" s="14" t="s">
        <v>77</v>
      </c>
      <c r="B102" s="14" t="s">
        <v>404</v>
      </c>
      <c r="C102" s="14">
        <v>3</v>
      </c>
      <c r="D102" s="37">
        <f>VLOOKUP($B102,Menu!$A$1:$F$20,MATCH($D$1,Menu!$A$1:$F$1,0),0)</f>
        <v>32.979999999999997</v>
      </c>
      <c r="E102" s="14" t="str">
        <f>VLOOKUP($B102,Menu!$A$1:$F$20,MATCH(OrderLines!E$1,Menu!$A$1:$F$1,0),0)</f>
        <v>Beverage</v>
      </c>
      <c r="F102" s="37">
        <f>VLOOKUP($B102,Menu!$A$1:$F$20,MATCH(OrderLines!F$1,Menu!$A$1:$F$1,0),0)</f>
        <v>11.84</v>
      </c>
      <c r="G102" s="28">
        <f>VLOOKUP($A102,Orders!$A$1:$H$361,MATCH($G$1,Orders!$A$1:$H$1,0),0)</f>
        <v>45862</v>
      </c>
      <c r="H102" s="14" t="str">
        <f>VLOOKUP($A102,Orders!$A$1:$H$361,MATCH(OrderLines!$H$1,Orders!$A$1:$H$1,0),0)</f>
        <v>Plant 1 Canteen</v>
      </c>
      <c r="I102" s="14">
        <f>VLOOKUP($A102,Orders!$A$1:$H$361,MATCH(OrderLines!$I$1,Orders!$A$1:$H$1,0),0)</f>
        <v>0.12</v>
      </c>
      <c r="J102" s="14">
        <f t="shared" si="4"/>
        <v>87.0672</v>
      </c>
      <c r="K102" s="28" t="str">
        <f t="shared" si="5"/>
        <v>July</v>
      </c>
      <c r="L102" s="14" t="str">
        <f>VLOOKUP(OrderLines!$A102,Orders!$A$1:$H$361,MATCH(OrderLines!$L$1,Orders!$A$1:$H$1,0),0)</f>
        <v>Breakfast</v>
      </c>
      <c r="M102" t="str">
        <f>VLOOKUP($A102,Orders!$A$1:$H$361,MATCH(OrderLines!$M$1,Orders!$A$1:$H$1,0),0)</f>
        <v>Card</v>
      </c>
      <c r="N102" t="str">
        <f t="shared" si="3"/>
        <v>Single</v>
      </c>
      <c r="O102" t="str" cm="1">
        <f t="array" ref="O102">IF((SUMPRODUCT((OrderID=OrderLines!$A102)*Qty*UnitPrice*DiscountPct))&gt;40,"HighDisc","OK")</f>
        <v>OK</v>
      </c>
      <c r="P102">
        <f>(orderlinesTABLE[[#This Row],[UnitCost]]*orderlinesTABLE[[#This Row],[Qty]])</f>
        <v>35.519999999999996</v>
      </c>
      <c r="Q102">
        <f>(orderlinesTABLE[[#This Row],[LineNetAmount]]-orderlinesTABLE[[#This Row],[totalCOST]])</f>
        <v>51.547200000000004</v>
      </c>
      <c r="R102" t="str">
        <f>VLOOKUP($B102,Menu!$A$1:$F$20,MATCH(OrderLines!R$1,Menu!$A$1:$F$1,0),0)</f>
        <v>Masala Chaas</v>
      </c>
      <c r="S102" t="str" cm="1">
        <f t="array" ref="S102">_xlfn.TEXTJOIN("+",TRUE,_xlfn._xlws.FILTER(orderlinesTABLE[ItemName],OrderID=orderlinesTABLE[[#This Row],[OrderID]]))</f>
        <v>Masala Chaas+Veg Sandwich</v>
      </c>
      <c r="T102" s="54">
        <f>orderlinesTABLE[[#This Row],[Profit]]/orderlinesTABLE[[#This Row],[LineNetAmount]]</f>
        <v>0.59203925243949507</v>
      </c>
      <c r="U102" s="70">
        <f>(orderlinesTABLE[[#This Row],[Qty]]*orderlinesTABLE[[#This Row],[UnitCost]])</f>
        <v>35.519999999999996</v>
      </c>
    </row>
    <row r="103" spans="1:21" x14ac:dyDescent="0.3">
      <c r="A103" s="15" t="s">
        <v>77</v>
      </c>
      <c r="B103" s="15" t="s">
        <v>408</v>
      </c>
      <c r="C103" s="15">
        <v>1</v>
      </c>
      <c r="D103" s="36">
        <f>VLOOKUP($B103,Menu!$A$1:$F$20,MATCH($D$1,Menu!$A$1:$F$1,0),0)</f>
        <v>70.540000000000006</v>
      </c>
      <c r="E103" s="15" t="str">
        <f>VLOOKUP($B103,Menu!$A$1:$F$20,MATCH(OrderLines!E$1,Menu!$A$1:$F$1,0),0)</f>
        <v>Snack</v>
      </c>
      <c r="F103" s="36">
        <f>VLOOKUP($B103,Menu!$A$1:$F$20,MATCH(OrderLines!F$1,Menu!$A$1:$F$1,0),0)</f>
        <v>35.81</v>
      </c>
      <c r="G103" s="27">
        <f>VLOOKUP($A103,Orders!$A$1:$H$361,MATCH($G$1,Orders!$A$1:$H$1,0),0)</f>
        <v>45862</v>
      </c>
      <c r="H103" s="15" t="str">
        <f>VLOOKUP($A103,Orders!$A$1:$H$361,MATCH(OrderLines!$H$1,Orders!$A$1:$H$1,0),0)</f>
        <v>Plant 1 Canteen</v>
      </c>
      <c r="I103" s="15">
        <f>VLOOKUP($A103,Orders!$A$1:$H$361,MATCH(OrderLines!$I$1,Orders!$A$1:$H$1,0),0)</f>
        <v>0.12</v>
      </c>
      <c r="J103" s="15">
        <f t="shared" si="4"/>
        <v>62.075200000000002</v>
      </c>
      <c r="K103" s="27" t="str">
        <f t="shared" si="5"/>
        <v>July</v>
      </c>
      <c r="L103" s="15" t="str">
        <f>VLOOKUP(OrderLines!$A103,Orders!$A$1:$H$361,MATCH(OrderLines!$L$1,Orders!$A$1:$H$1,0),0)</f>
        <v>Breakfast</v>
      </c>
      <c r="M103" t="str">
        <f>VLOOKUP($A103,Orders!$A$1:$H$361,MATCH(OrderLines!$M$1,Orders!$A$1:$H$1,0),0)</f>
        <v>Card</v>
      </c>
      <c r="N103" t="str">
        <f t="shared" si="3"/>
        <v>Single</v>
      </c>
      <c r="O103" t="str" cm="1">
        <f t="array" ref="O103">IF((SUMPRODUCT((OrderID=OrderLines!$A103)*Qty*UnitPrice*DiscountPct))&gt;40,"HighDisc","OK")</f>
        <v>OK</v>
      </c>
      <c r="P103">
        <f>(orderlinesTABLE[[#This Row],[UnitCost]]*orderlinesTABLE[[#This Row],[Qty]])</f>
        <v>35.81</v>
      </c>
      <c r="Q103">
        <f>(orderlinesTABLE[[#This Row],[LineNetAmount]]-orderlinesTABLE[[#This Row],[totalCOST]])</f>
        <v>26.2652</v>
      </c>
      <c r="R103" t="str">
        <f>VLOOKUP($B103,Menu!$A$1:$F$20,MATCH(OrderLines!R$1,Menu!$A$1:$F$1,0),0)</f>
        <v>Veg Sandwich</v>
      </c>
      <c r="S103" t="str" cm="1">
        <f t="array" ref="S103">_xlfn.TEXTJOIN("+",TRUE,_xlfn._xlws.FILTER(orderlinesTABLE[ItemName],OrderID=orderlinesTABLE[[#This Row],[OrderID]]))</f>
        <v>Masala Chaas+Veg Sandwich</v>
      </c>
      <c r="T103" s="54">
        <f>orderlinesTABLE[[#This Row],[Profit]]/orderlinesTABLE[[#This Row],[LineNetAmount]]</f>
        <v>0.42311905559708224</v>
      </c>
      <c r="U103" s="70">
        <f>(orderlinesTABLE[[#This Row],[Qty]]*orderlinesTABLE[[#This Row],[UnitCost]])</f>
        <v>35.81</v>
      </c>
    </row>
    <row r="104" spans="1:21" x14ac:dyDescent="0.3">
      <c r="A104" s="14" t="s">
        <v>78</v>
      </c>
      <c r="B104" s="14" t="s">
        <v>412</v>
      </c>
      <c r="C104" s="14">
        <v>1</v>
      </c>
      <c r="D104" s="37">
        <f>VLOOKUP($B104,Menu!$A$1:$F$20,MATCH($D$1,Menu!$A$1:$F$1,0),0)</f>
        <v>57.07</v>
      </c>
      <c r="E104" s="14" t="str">
        <f>VLOOKUP($B104,Menu!$A$1:$F$20,MATCH(OrderLines!E$1,Menu!$A$1:$F$1,0),0)</f>
        <v>Dessert</v>
      </c>
      <c r="F104" s="37">
        <f>VLOOKUP($B104,Menu!$A$1:$F$20,MATCH(OrderLines!F$1,Menu!$A$1:$F$1,0),0)</f>
        <v>29.14</v>
      </c>
      <c r="G104" s="28">
        <f>VLOOKUP($A104,Orders!$A$1:$H$361,MATCH($G$1,Orders!$A$1:$H$1,0),0)</f>
        <v>45856</v>
      </c>
      <c r="H104" s="14" t="str">
        <f>VLOOKUP($A104,Orders!$A$1:$H$361,MATCH(OrderLines!$H$1,Orders!$A$1:$H$1,0),0)</f>
        <v>Head Office Café</v>
      </c>
      <c r="I104" s="14">
        <f>VLOOKUP($A104,Orders!$A$1:$H$361,MATCH(OrderLines!$I$1,Orders!$A$1:$H$1,0),0)</f>
        <v>0.04</v>
      </c>
      <c r="J104" s="14">
        <f t="shared" si="4"/>
        <v>54.787199999999999</v>
      </c>
      <c r="K104" s="28" t="str">
        <f t="shared" si="5"/>
        <v>July</v>
      </c>
      <c r="L104" s="14" t="str">
        <f>VLOOKUP(OrderLines!$A104,Orders!$A$1:$H$361,MATCH(OrderLines!$L$1,Orders!$A$1:$H$1,0),0)</f>
        <v>Lunch</v>
      </c>
      <c r="M104" t="str">
        <f>VLOOKUP($A104,Orders!$A$1:$H$361,MATCH(OrderLines!$M$1,Orders!$A$1:$H$1,0),0)</f>
        <v>Card</v>
      </c>
      <c r="N104" t="str">
        <f t="shared" si="3"/>
        <v>Combo</v>
      </c>
      <c r="O104" t="str" cm="1">
        <f t="array" ref="O104">IF((SUMPRODUCT((OrderID=OrderLines!$A104)*Qty*UnitPrice*DiscountPct))&gt;40,"HighDisc","OK")</f>
        <v>OK</v>
      </c>
      <c r="P104">
        <f>(orderlinesTABLE[[#This Row],[UnitCost]]*orderlinesTABLE[[#This Row],[Qty]])</f>
        <v>29.14</v>
      </c>
      <c r="Q104">
        <f>(orderlinesTABLE[[#This Row],[LineNetAmount]]-orderlinesTABLE[[#This Row],[totalCOST]])</f>
        <v>25.647199999999998</v>
      </c>
      <c r="R104" t="str">
        <f>VLOOKUP($B104,Menu!$A$1:$F$20,MATCH(OrderLines!R$1,Menu!$A$1:$F$1,0),0)</f>
        <v>Fruit Cup</v>
      </c>
      <c r="S104" t="str" cm="1">
        <f t="array" ref="S104">_xlfn.TEXTJOIN("+",TRUE,_xlfn._xlws.FILTER(orderlinesTABLE[ItemName],OrderID=orderlinesTABLE[[#This Row],[OrderID]]))</f>
        <v>Fruit Cup+Coffee+Veg Thali+Kheer Cup</v>
      </c>
      <c r="T104" s="54">
        <f>orderlinesTABLE[[#This Row],[Profit]]/orderlinesTABLE[[#This Row],[LineNetAmount]]</f>
        <v>0.4681239413585655</v>
      </c>
      <c r="U104" s="70">
        <f>(orderlinesTABLE[[#This Row],[Qty]]*orderlinesTABLE[[#This Row],[UnitCost]])</f>
        <v>29.14</v>
      </c>
    </row>
    <row r="105" spans="1:21" x14ac:dyDescent="0.3">
      <c r="A105" s="15" t="s">
        <v>78</v>
      </c>
      <c r="B105" s="15" t="s">
        <v>411</v>
      </c>
      <c r="C105" s="15">
        <v>1</v>
      </c>
      <c r="D105" s="36">
        <f>VLOOKUP($B105,Menu!$A$1:$F$20,MATCH($D$1,Menu!$A$1:$F$1,0),0)</f>
        <v>22.2</v>
      </c>
      <c r="E105" s="15" t="str">
        <f>VLOOKUP($B105,Menu!$A$1:$F$20,MATCH(OrderLines!E$1,Menu!$A$1:$F$1,0),0)</f>
        <v>Beverage</v>
      </c>
      <c r="F105" s="36">
        <f>VLOOKUP($B105,Menu!$A$1:$F$20,MATCH(OrderLines!F$1,Menu!$A$1:$F$1,0),0)</f>
        <v>9.3800000000000008</v>
      </c>
      <c r="G105" s="27">
        <f>VLOOKUP($A105,Orders!$A$1:$H$361,MATCH($G$1,Orders!$A$1:$H$1,0),0)</f>
        <v>45856</v>
      </c>
      <c r="H105" s="15" t="str">
        <f>VLOOKUP($A105,Orders!$A$1:$H$361,MATCH(OrderLines!$H$1,Orders!$A$1:$H$1,0),0)</f>
        <v>Head Office Café</v>
      </c>
      <c r="I105" s="15">
        <f>VLOOKUP($A105,Orders!$A$1:$H$361,MATCH(OrderLines!$I$1,Orders!$A$1:$H$1,0),0)</f>
        <v>0.04</v>
      </c>
      <c r="J105" s="15">
        <f t="shared" si="4"/>
        <v>21.311999999999998</v>
      </c>
      <c r="K105" s="27" t="str">
        <f t="shared" si="5"/>
        <v>July</v>
      </c>
      <c r="L105" s="15" t="str">
        <f>VLOOKUP(OrderLines!$A105,Orders!$A$1:$H$361,MATCH(OrderLines!$L$1,Orders!$A$1:$H$1,0),0)</f>
        <v>Lunch</v>
      </c>
      <c r="M105" t="str">
        <f>VLOOKUP($A105,Orders!$A$1:$H$361,MATCH(OrderLines!$M$1,Orders!$A$1:$H$1,0),0)</f>
        <v>Card</v>
      </c>
      <c r="N105" t="str">
        <f t="shared" si="3"/>
        <v>Combo</v>
      </c>
      <c r="O105" t="str" cm="1">
        <f t="array" ref="O105">IF((SUMPRODUCT((OrderID=OrderLines!$A105)*Qty*UnitPrice*DiscountPct))&gt;40,"HighDisc","OK")</f>
        <v>OK</v>
      </c>
      <c r="P105">
        <f>(orderlinesTABLE[[#This Row],[UnitCost]]*orderlinesTABLE[[#This Row],[Qty]])</f>
        <v>9.3800000000000008</v>
      </c>
      <c r="Q105">
        <f>(orderlinesTABLE[[#This Row],[LineNetAmount]]-orderlinesTABLE[[#This Row],[totalCOST]])</f>
        <v>11.931999999999997</v>
      </c>
      <c r="R105" t="str">
        <f>VLOOKUP($B105,Menu!$A$1:$F$20,MATCH(OrderLines!R$1,Menu!$A$1:$F$1,0),0)</f>
        <v>Coffee</v>
      </c>
      <c r="S105" t="str" cm="1">
        <f t="array" ref="S105">_xlfn.TEXTJOIN("+",TRUE,_xlfn._xlws.FILTER(orderlinesTABLE[ItemName],OrderID=orderlinesTABLE[[#This Row],[OrderID]]))</f>
        <v>Fruit Cup+Coffee+Veg Thali+Kheer Cup</v>
      </c>
      <c r="T105" s="54">
        <f>orderlinesTABLE[[#This Row],[Profit]]/orderlinesTABLE[[#This Row],[LineNetAmount]]</f>
        <v>0.55987237237237231</v>
      </c>
      <c r="U105" s="70">
        <f>(orderlinesTABLE[[#This Row],[Qty]]*orderlinesTABLE[[#This Row],[UnitCost]])</f>
        <v>9.3800000000000008</v>
      </c>
    </row>
    <row r="106" spans="1:21" x14ac:dyDescent="0.3">
      <c r="A106" s="14" t="s">
        <v>78</v>
      </c>
      <c r="B106" s="14" t="s">
        <v>416</v>
      </c>
      <c r="C106" s="14">
        <v>1</v>
      </c>
      <c r="D106" s="37">
        <f>VLOOKUP($B106,Menu!$A$1:$F$20,MATCH($D$1,Menu!$A$1:$F$1,0),0)</f>
        <v>227.61</v>
      </c>
      <c r="E106" s="14" t="str">
        <f>VLOOKUP($B106,Menu!$A$1:$F$20,MATCH(OrderLines!E$1,Menu!$A$1:$F$1,0),0)</f>
        <v>Hot Meal</v>
      </c>
      <c r="F106" s="37">
        <f>VLOOKUP($B106,Menu!$A$1:$F$20,MATCH(OrderLines!F$1,Menu!$A$1:$F$1,0),0)</f>
        <v>96.22</v>
      </c>
      <c r="G106" s="28">
        <f>VLOOKUP($A106,Orders!$A$1:$H$361,MATCH($G$1,Orders!$A$1:$H$1,0),0)</f>
        <v>45856</v>
      </c>
      <c r="H106" s="14" t="str">
        <f>VLOOKUP($A106,Orders!$A$1:$H$361,MATCH(OrderLines!$H$1,Orders!$A$1:$H$1,0),0)</f>
        <v>Head Office Café</v>
      </c>
      <c r="I106" s="14">
        <f>VLOOKUP($A106,Orders!$A$1:$H$361,MATCH(OrderLines!$I$1,Orders!$A$1:$H$1,0),0)</f>
        <v>0.04</v>
      </c>
      <c r="J106" s="14">
        <f t="shared" si="4"/>
        <v>218.50560000000002</v>
      </c>
      <c r="K106" s="28" t="str">
        <f t="shared" si="5"/>
        <v>July</v>
      </c>
      <c r="L106" s="14" t="str">
        <f>VLOOKUP(OrderLines!$A106,Orders!$A$1:$H$361,MATCH(OrderLines!$L$1,Orders!$A$1:$H$1,0),0)</f>
        <v>Lunch</v>
      </c>
      <c r="M106" t="str">
        <f>VLOOKUP($A106,Orders!$A$1:$H$361,MATCH(OrderLines!$M$1,Orders!$A$1:$H$1,0),0)</f>
        <v>Card</v>
      </c>
      <c r="N106" t="str">
        <f t="shared" si="3"/>
        <v>Combo</v>
      </c>
      <c r="O106" t="str" cm="1">
        <f t="array" ref="O106">IF((SUMPRODUCT((OrderID=OrderLines!$A106)*Qty*UnitPrice*DiscountPct))&gt;40,"HighDisc","OK")</f>
        <v>OK</v>
      </c>
      <c r="P106">
        <f>(orderlinesTABLE[[#This Row],[UnitCost]]*orderlinesTABLE[[#This Row],[Qty]])</f>
        <v>96.22</v>
      </c>
      <c r="Q106">
        <f>(orderlinesTABLE[[#This Row],[LineNetAmount]]-orderlinesTABLE[[#This Row],[totalCOST]])</f>
        <v>122.28560000000002</v>
      </c>
      <c r="R106" t="str">
        <f>VLOOKUP($B106,Menu!$A$1:$F$20,MATCH(OrderLines!R$1,Menu!$A$1:$F$1,0),0)</f>
        <v>Veg Thali</v>
      </c>
      <c r="S106" t="str" cm="1">
        <f t="array" ref="S106">_xlfn.TEXTJOIN("+",TRUE,_xlfn._xlws.FILTER(orderlinesTABLE[ItemName],OrderID=orderlinesTABLE[[#This Row],[OrderID]]))</f>
        <v>Fruit Cup+Coffee+Veg Thali+Kheer Cup</v>
      </c>
      <c r="T106" s="54">
        <f>orderlinesTABLE[[#This Row],[Profit]]/orderlinesTABLE[[#This Row],[LineNetAmount]]</f>
        <v>0.55964515325923003</v>
      </c>
      <c r="U106" s="70">
        <f>(orderlinesTABLE[[#This Row],[Qty]]*orderlinesTABLE[[#This Row],[UnitCost]])</f>
        <v>96.22</v>
      </c>
    </row>
    <row r="107" spans="1:21" x14ac:dyDescent="0.3">
      <c r="A107" s="15" t="s">
        <v>78</v>
      </c>
      <c r="B107" s="15" t="s">
        <v>413</v>
      </c>
      <c r="C107" s="15">
        <v>1</v>
      </c>
      <c r="D107" s="36">
        <f>VLOOKUP($B107,Menu!$A$1:$F$20,MATCH($D$1,Menu!$A$1:$F$1,0),0)</f>
        <v>54.2</v>
      </c>
      <c r="E107" s="15" t="str">
        <f>VLOOKUP($B107,Menu!$A$1:$F$20,MATCH(OrderLines!E$1,Menu!$A$1:$F$1,0),0)</f>
        <v>Dessert</v>
      </c>
      <c r="F107" s="36">
        <f>VLOOKUP($B107,Menu!$A$1:$F$20,MATCH(OrderLines!F$1,Menu!$A$1:$F$1,0),0)</f>
        <v>21.95</v>
      </c>
      <c r="G107" s="27">
        <f>VLOOKUP($A107,Orders!$A$1:$H$361,MATCH($G$1,Orders!$A$1:$H$1,0),0)</f>
        <v>45856</v>
      </c>
      <c r="H107" s="15" t="str">
        <f>VLOOKUP($A107,Orders!$A$1:$H$361,MATCH(OrderLines!$H$1,Orders!$A$1:$H$1,0),0)</f>
        <v>Head Office Café</v>
      </c>
      <c r="I107" s="15">
        <f>VLOOKUP($A107,Orders!$A$1:$H$361,MATCH(OrderLines!$I$1,Orders!$A$1:$H$1,0),0)</f>
        <v>0.04</v>
      </c>
      <c r="J107" s="15">
        <f t="shared" si="4"/>
        <v>52.032000000000004</v>
      </c>
      <c r="K107" s="27" t="str">
        <f t="shared" si="5"/>
        <v>July</v>
      </c>
      <c r="L107" s="15" t="str">
        <f>VLOOKUP(OrderLines!$A107,Orders!$A$1:$H$361,MATCH(OrderLines!$L$1,Orders!$A$1:$H$1,0),0)</f>
        <v>Lunch</v>
      </c>
      <c r="M107" t="str">
        <f>VLOOKUP($A107,Orders!$A$1:$H$361,MATCH(OrderLines!$M$1,Orders!$A$1:$H$1,0),0)</f>
        <v>Card</v>
      </c>
      <c r="N107" t="str">
        <f t="shared" si="3"/>
        <v>Combo</v>
      </c>
      <c r="O107" t="str" cm="1">
        <f t="array" ref="O107">IF((SUMPRODUCT((OrderID=OrderLines!$A107)*Qty*UnitPrice*DiscountPct))&gt;40,"HighDisc","OK")</f>
        <v>OK</v>
      </c>
      <c r="P107">
        <f>(orderlinesTABLE[[#This Row],[UnitCost]]*orderlinesTABLE[[#This Row],[Qty]])</f>
        <v>21.95</v>
      </c>
      <c r="Q107">
        <f>(orderlinesTABLE[[#This Row],[LineNetAmount]]-orderlinesTABLE[[#This Row],[totalCOST]])</f>
        <v>30.082000000000004</v>
      </c>
      <c r="R107" t="str">
        <f>VLOOKUP($B107,Menu!$A$1:$F$20,MATCH(OrderLines!R$1,Menu!$A$1:$F$1,0),0)</f>
        <v>Kheer Cup</v>
      </c>
      <c r="S107" t="str" cm="1">
        <f t="array" ref="S107">_xlfn.TEXTJOIN("+",TRUE,_xlfn._xlws.FILTER(orderlinesTABLE[ItemName],OrderID=orderlinesTABLE[[#This Row],[OrderID]]))</f>
        <v>Fruit Cup+Coffee+Veg Thali+Kheer Cup</v>
      </c>
      <c r="T107" s="54">
        <f>orderlinesTABLE[[#This Row],[Profit]]/orderlinesTABLE[[#This Row],[LineNetAmount]]</f>
        <v>0.57814421894218948</v>
      </c>
      <c r="U107" s="70">
        <f>(orderlinesTABLE[[#This Row],[Qty]]*orderlinesTABLE[[#This Row],[UnitCost]])</f>
        <v>21.95</v>
      </c>
    </row>
    <row r="108" spans="1:21" x14ac:dyDescent="0.3">
      <c r="A108" s="14" t="s">
        <v>79</v>
      </c>
      <c r="B108" s="14" t="s">
        <v>411</v>
      </c>
      <c r="C108" s="14">
        <v>1</v>
      </c>
      <c r="D108" s="37">
        <f>VLOOKUP($B108,Menu!$A$1:$F$20,MATCH($D$1,Menu!$A$1:$F$1,0),0)</f>
        <v>22.2</v>
      </c>
      <c r="E108" s="14" t="str">
        <f>VLOOKUP($B108,Menu!$A$1:$F$20,MATCH(OrderLines!E$1,Menu!$A$1:$F$1,0),0)</f>
        <v>Beverage</v>
      </c>
      <c r="F108" s="37">
        <f>VLOOKUP($B108,Menu!$A$1:$F$20,MATCH(OrderLines!F$1,Menu!$A$1:$F$1,0),0)</f>
        <v>9.3800000000000008</v>
      </c>
      <c r="G108" s="28">
        <f>VLOOKUP($A108,Orders!$A$1:$H$361,MATCH($G$1,Orders!$A$1:$H$1,0),0)</f>
        <v>45865</v>
      </c>
      <c r="H108" s="14" t="str">
        <f>VLOOKUP($A108,Orders!$A$1:$H$361,MATCH(OrderLines!$H$1,Orders!$A$1:$H$1,0),0)</f>
        <v>Plant 1 Canteen</v>
      </c>
      <c r="I108" s="14">
        <f>VLOOKUP($A108,Orders!$A$1:$H$361,MATCH(OrderLines!$I$1,Orders!$A$1:$H$1,0),0)</f>
        <v>0.03</v>
      </c>
      <c r="J108" s="14">
        <f t="shared" si="4"/>
        <v>21.533999999999999</v>
      </c>
      <c r="K108" s="28" t="str">
        <f t="shared" si="5"/>
        <v>July</v>
      </c>
      <c r="L108" s="14" t="str">
        <f>VLOOKUP(OrderLines!$A108,Orders!$A$1:$H$361,MATCH(OrderLines!$L$1,Orders!$A$1:$H$1,0),0)</f>
        <v>Breakfast</v>
      </c>
      <c r="M108" t="str">
        <f>VLOOKUP($A108,Orders!$A$1:$H$361,MATCH(OrderLines!$M$1,Orders!$A$1:$H$1,0),0)</f>
        <v>Cash</v>
      </c>
      <c r="N108" t="str">
        <f t="shared" si="3"/>
        <v>Single</v>
      </c>
      <c r="O108" t="str" cm="1">
        <f t="array" ref="O108">IF((SUMPRODUCT((OrderID=OrderLines!$A108)*Qty*UnitPrice*DiscountPct))&gt;40,"HighDisc","OK")</f>
        <v>OK</v>
      </c>
      <c r="P108">
        <f>(orderlinesTABLE[[#This Row],[UnitCost]]*orderlinesTABLE[[#This Row],[Qty]])</f>
        <v>9.3800000000000008</v>
      </c>
      <c r="Q108">
        <f>(orderlinesTABLE[[#This Row],[LineNetAmount]]-orderlinesTABLE[[#This Row],[totalCOST]])</f>
        <v>12.153999999999998</v>
      </c>
      <c r="R108" t="str">
        <f>VLOOKUP($B108,Menu!$A$1:$F$20,MATCH(OrderLines!R$1,Menu!$A$1:$F$1,0),0)</f>
        <v>Coffee</v>
      </c>
      <c r="S108" t="str" cm="1">
        <f t="array" ref="S108">_xlfn.TEXTJOIN("+",TRUE,_xlfn._xlws.FILTER(orderlinesTABLE[ItemName],OrderID=orderlinesTABLE[[#This Row],[OrderID]]))</f>
        <v>Coffee</v>
      </c>
      <c r="T108" s="54">
        <f>orderlinesTABLE[[#This Row],[Profit]]/orderlinesTABLE[[#This Row],[LineNetAmount]]</f>
        <v>0.56440977059533759</v>
      </c>
      <c r="U108" s="70">
        <f>(orderlinesTABLE[[#This Row],[Qty]]*orderlinesTABLE[[#This Row],[UnitCost]])</f>
        <v>9.3800000000000008</v>
      </c>
    </row>
    <row r="109" spans="1:21" x14ac:dyDescent="0.3">
      <c r="A109" s="15" t="s">
        <v>80</v>
      </c>
      <c r="B109" s="15" t="s">
        <v>411</v>
      </c>
      <c r="C109" s="15">
        <v>1</v>
      </c>
      <c r="D109" s="36">
        <f>VLOOKUP($B109,Menu!$A$1:$F$20,MATCH($D$1,Menu!$A$1:$F$1,0),0)</f>
        <v>22.2</v>
      </c>
      <c r="E109" s="15" t="str">
        <f>VLOOKUP($B109,Menu!$A$1:$F$20,MATCH(OrderLines!E$1,Menu!$A$1:$F$1,0),0)</f>
        <v>Beverage</v>
      </c>
      <c r="F109" s="36">
        <f>VLOOKUP($B109,Menu!$A$1:$F$20,MATCH(OrderLines!F$1,Menu!$A$1:$F$1,0),0)</f>
        <v>9.3800000000000008</v>
      </c>
      <c r="G109" s="27">
        <f>VLOOKUP($A109,Orders!$A$1:$H$361,MATCH($G$1,Orders!$A$1:$H$1,0),0)</f>
        <v>45843</v>
      </c>
      <c r="H109" s="15" t="str">
        <f>VLOOKUP($A109,Orders!$A$1:$H$361,MATCH(OrderLines!$H$1,Orders!$A$1:$H$1,0),0)</f>
        <v>Plant 2 Canteen</v>
      </c>
      <c r="I109" s="15">
        <f>VLOOKUP($A109,Orders!$A$1:$H$361,MATCH(OrderLines!$I$1,Orders!$A$1:$H$1,0),0)</f>
        <v>0.04</v>
      </c>
      <c r="J109" s="15">
        <f t="shared" si="4"/>
        <v>21.311999999999998</v>
      </c>
      <c r="K109" s="27" t="str">
        <f t="shared" si="5"/>
        <v>July</v>
      </c>
      <c r="L109" s="15" t="str">
        <f>VLOOKUP(OrderLines!$A109,Orders!$A$1:$H$361,MATCH(OrderLines!$L$1,Orders!$A$1:$H$1,0),0)</f>
        <v>Breakfast</v>
      </c>
      <c r="M109" t="str">
        <f>VLOOKUP($A109,Orders!$A$1:$H$361,MATCH(OrderLines!$M$1,Orders!$A$1:$H$1,0),0)</f>
        <v>Cash</v>
      </c>
      <c r="N109" t="str">
        <f t="shared" si="3"/>
        <v>Single</v>
      </c>
      <c r="O109" t="str" cm="1">
        <f t="array" ref="O109">IF((SUMPRODUCT((OrderID=OrderLines!$A109)*Qty*UnitPrice*DiscountPct))&gt;40,"HighDisc","OK")</f>
        <v>OK</v>
      </c>
      <c r="P109">
        <f>(orderlinesTABLE[[#This Row],[UnitCost]]*orderlinesTABLE[[#This Row],[Qty]])</f>
        <v>9.3800000000000008</v>
      </c>
      <c r="Q109">
        <f>(orderlinesTABLE[[#This Row],[LineNetAmount]]-orderlinesTABLE[[#This Row],[totalCOST]])</f>
        <v>11.931999999999997</v>
      </c>
      <c r="R109" t="str">
        <f>VLOOKUP($B109,Menu!$A$1:$F$20,MATCH(OrderLines!R$1,Menu!$A$1:$F$1,0),0)</f>
        <v>Coffee</v>
      </c>
      <c r="S109" t="str" cm="1">
        <f t="array" ref="S109">_xlfn.TEXTJOIN("+",TRUE,_xlfn._xlws.FILTER(orderlinesTABLE[ItemName],OrderID=orderlinesTABLE[[#This Row],[OrderID]]))</f>
        <v>Coffee+Poha+Veg Sandwich</v>
      </c>
      <c r="T109" s="54">
        <f>orderlinesTABLE[[#This Row],[Profit]]/orderlinesTABLE[[#This Row],[LineNetAmount]]</f>
        <v>0.55987237237237231</v>
      </c>
      <c r="U109" s="70">
        <f>(orderlinesTABLE[[#This Row],[Qty]]*orderlinesTABLE[[#This Row],[UnitCost]])</f>
        <v>9.3800000000000008</v>
      </c>
    </row>
    <row r="110" spans="1:21" x14ac:dyDescent="0.3">
      <c r="A110" s="14" t="s">
        <v>80</v>
      </c>
      <c r="B110" s="14" t="s">
        <v>401</v>
      </c>
      <c r="C110" s="14">
        <v>1</v>
      </c>
      <c r="D110" s="37">
        <f>VLOOKUP($B110,Menu!$A$1:$F$20,MATCH($D$1,Menu!$A$1:$F$1,0),0)</f>
        <v>52.45</v>
      </c>
      <c r="E110" s="14" t="str">
        <f>VLOOKUP($B110,Menu!$A$1:$F$20,MATCH(OrderLines!E$1,Menu!$A$1:$F$1,0),0)</f>
        <v>Snack</v>
      </c>
      <c r="F110" s="37">
        <f>VLOOKUP($B110,Menu!$A$1:$F$20,MATCH(OrderLines!F$1,Menu!$A$1:$F$1,0),0)</f>
        <v>25.8</v>
      </c>
      <c r="G110" s="28">
        <f>VLOOKUP($A110,Orders!$A$1:$H$361,MATCH($G$1,Orders!$A$1:$H$1,0),0)</f>
        <v>45843</v>
      </c>
      <c r="H110" s="14" t="str">
        <f>VLOOKUP($A110,Orders!$A$1:$H$361,MATCH(OrderLines!$H$1,Orders!$A$1:$H$1,0),0)</f>
        <v>Plant 2 Canteen</v>
      </c>
      <c r="I110" s="14">
        <f>VLOOKUP($A110,Orders!$A$1:$H$361,MATCH(OrderLines!$I$1,Orders!$A$1:$H$1,0),0)</f>
        <v>0.04</v>
      </c>
      <c r="J110" s="14">
        <f t="shared" si="4"/>
        <v>50.352000000000004</v>
      </c>
      <c r="K110" s="28" t="str">
        <f t="shared" si="5"/>
        <v>July</v>
      </c>
      <c r="L110" s="14" t="str">
        <f>VLOOKUP(OrderLines!$A110,Orders!$A$1:$H$361,MATCH(OrderLines!$L$1,Orders!$A$1:$H$1,0),0)</f>
        <v>Breakfast</v>
      </c>
      <c r="M110" t="str">
        <f>VLOOKUP($A110,Orders!$A$1:$H$361,MATCH(OrderLines!$M$1,Orders!$A$1:$H$1,0),0)</f>
        <v>Cash</v>
      </c>
      <c r="N110" t="str">
        <f t="shared" si="3"/>
        <v>Single</v>
      </c>
      <c r="O110" t="str" cm="1">
        <f t="array" ref="O110">IF((SUMPRODUCT((OrderID=OrderLines!$A110)*Qty*UnitPrice*DiscountPct))&gt;40,"HighDisc","OK")</f>
        <v>OK</v>
      </c>
      <c r="P110">
        <f>(orderlinesTABLE[[#This Row],[UnitCost]]*orderlinesTABLE[[#This Row],[Qty]])</f>
        <v>25.8</v>
      </c>
      <c r="Q110">
        <f>(orderlinesTABLE[[#This Row],[LineNetAmount]]-orderlinesTABLE[[#This Row],[totalCOST]])</f>
        <v>24.552000000000003</v>
      </c>
      <c r="R110" t="str">
        <f>VLOOKUP($B110,Menu!$A$1:$F$20,MATCH(OrderLines!R$1,Menu!$A$1:$F$1,0),0)</f>
        <v>Poha</v>
      </c>
      <c r="S110" t="str" cm="1">
        <f t="array" ref="S110">_xlfn.TEXTJOIN("+",TRUE,_xlfn._xlws.FILTER(orderlinesTABLE[ItemName],OrderID=orderlinesTABLE[[#This Row],[OrderID]]))</f>
        <v>Coffee+Poha+Veg Sandwich</v>
      </c>
      <c r="T110" s="54">
        <f>orderlinesTABLE[[#This Row],[Profit]]/orderlinesTABLE[[#This Row],[LineNetAmount]]</f>
        <v>0.48760724499523356</v>
      </c>
      <c r="U110" s="70">
        <f>(orderlinesTABLE[[#This Row],[Qty]]*orderlinesTABLE[[#This Row],[UnitCost]])</f>
        <v>25.8</v>
      </c>
    </row>
    <row r="111" spans="1:21" x14ac:dyDescent="0.3">
      <c r="A111" s="15" t="s">
        <v>80</v>
      </c>
      <c r="B111" s="15" t="s">
        <v>408</v>
      </c>
      <c r="C111" s="15">
        <v>1</v>
      </c>
      <c r="D111" s="36">
        <f>VLOOKUP($B111,Menu!$A$1:$F$20,MATCH($D$1,Menu!$A$1:$F$1,0),0)</f>
        <v>70.540000000000006</v>
      </c>
      <c r="E111" s="15" t="str">
        <f>VLOOKUP($B111,Menu!$A$1:$F$20,MATCH(OrderLines!E$1,Menu!$A$1:$F$1,0),0)</f>
        <v>Snack</v>
      </c>
      <c r="F111" s="36">
        <f>VLOOKUP($B111,Menu!$A$1:$F$20,MATCH(OrderLines!F$1,Menu!$A$1:$F$1,0),0)</f>
        <v>35.81</v>
      </c>
      <c r="G111" s="27">
        <f>VLOOKUP($A111,Orders!$A$1:$H$361,MATCH($G$1,Orders!$A$1:$H$1,0),0)</f>
        <v>45843</v>
      </c>
      <c r="H111" s="15" t="str">
        <f>VLOOKUP($A111,Orders!$A$1:$H$361,MATCH(OrderLines!$H$1,Orders!$A$1:$H$1,0),0)</f>
        <v>Plant 2 Canteen</v>
      </c>
      <c r="I111" s="15">
        <f>VLOOKUP($A111,Orders!$A$1:$H$361,MATCH(OrderLines!$I$1,Orders!$A$1:$H$1,0),0)</f>
        <v>0.04</v>
      </c>
      <c r="J111" s="15">
        <f t="shared" si="4"/>
        <v>67.718400000000003</v>
      </c>
      <c r="K111" s="27" t="str">
        <f t="shared" si="5"/>
        <v>July</v>
      </c>
      <c r="L111" s="15" t="str">
        <f>VLOOKUP(OrderLines!$A111,Orders!$A$1:$H$361,MATCH(OrderLines!$L$1,Orders!$A$1:$H$1,0),0)</f>
        <v>Breakfast</v>
      </c>
      <c r="M111" t="str">
        <f>VLOOKUP($A111,Orders!$A$1:$H$361,MATCH(OrderLines!$M$1,Orders!$A$1:$H$1,0),0)</f>
        <v>Cash</v>
      </c>
      <c r="N111" t="str">
        <f t="shared" si="3"/>
        <v>Single</v>
      </c>
      <c r="O111" t="str" cm="1">
        <f t="array" ref="O111">IF((SUMPRODUCT((OrderID=OrderLines!$A111)*Qty*UnitPrice*DiscountPct))&gt;40,"HighDisc","OK")</f>
        <v>OK</v>
      </c>
      <c r="P111">
        <f>(orderlinesTABLE[[#This Row],[UnitCost]]*orderlinesTABLE[[#This Row],[Qty]])</f>
        <v>35.81</v>
      </c>
      <c r="Q111">
        <f>(orderlinesTABLE[[#This Row],[LineNetAmount]]-orderlinesTABLE[[#This Row],[totalCOST]])</f>
        <v>31.9084</v>
      </c>
      <c r="R111" t="str">
        <f>VLOOKUP($B111,Menu!$A$1:$F$20,MATCH(OrderLines!R$1,Menu!$A$1:$F$1,0),0)</f>
        <v>Veg Sandwich</v>
      </c>
      <c r="S111" t="str" cm="1">
        <f t="array" ref="S111">_xlfn.TEXTJOIN("+",TRUE,_xlfn._xlws.FILTER(orderlinesTABLE[ItemName],OrderID=orderlinesTABLE[[#This Row],[OrderID]]))</f>
        <v>Coffee+Poha+Veg Sandwich</v>
      </c>
      <c r="T111" s="54">
        <f>orderlinesTABLE[[#This Row],[Profit]]/orderlinesTABLE[[#This Row],[LineNetAmount]]</f>
        <v>0.4711924676306587</v>
      </c>
      <c r="U111" s="70">
        <f>(orderlinesTABLE[[#This Row],[Qty]]*orderlinesTABLE[[#This Row],[UnitCost]])</f>
        <v>35.81</v>
      </c>
    </row>
    <row r="112" spans="1:21" x14ac:dyDescent="0.3">
      <c r="A112" s="14" t="s">
        <v>81</v>
      </c>
      <c r="B112" s="14" t="s">
        <v>410</v>
      </c>
      <c r="C112" s="14">
        <v>3</v>
      </c>
      <c r="D112" s="37">
        <f>VLOOKUP($B112,Menu!$A$1:$F$20,MATCH($D$1,Menu!$A$1:$F$1,0),0)</f>
        <v>20.11</v>
      </c>
      <c r="E112" s="14" t="str">
        <f>VLOOKUP($B112,Menu!$A$1:$F$20,MATCH(OrderLines!E$1,Menu!$A$1:$F$1,0),0)</f>
        <v>Beverage</v>
      </c>
      <c r="F112" s="37">
        <f>VLOOKUP($B112,Menu!$A$1:$F$20,MATCH(OrderLines!F$1,Menu!$A$1:$F$1,0),0)</f>
        <v>8</v>
      </c>
      <c r="G112" s="28">
        <f>VLOOKUP($A112,Orders!$A$1:$H$361,MATCH($G$1,Orders!$A$1:$H$1,0),0)</f>
        <v>45873</v>
      </c>
      <c r="H112" s="14" t="str">
        <f>VLOOKUP($A112,Orders!$A$1:$H$361,MATCH(OrderLines!$H$1,Orders!$A$1:$H$1,0),0)</f>
        <v>Plant 2 Canteen</v>
      </c>
      <c r="I112" s="14">
        <f>VLOOKUP($A112,Orders!$A$1:$H$361,MATCH(OrderLines!$I$1,Orders!$A$1:$H$1,0),0)</f>
        <v>0.1</v>
      </c>
      <c r="J112" s="14">
        <f t="shared" si="4"/>
        <v>54.296999999999997</v>
      </c>
      <c r="K112" s="28" t="str">
        <f t="shared" si="5"/>
        <v>August</v>
      </c>
      <c r="L112" s="14" t="str">
        <f>VLOOKUP(OrderLines!$A112,Orders!$A$1:$H$361,MATCH(OrderLines!$L$1,Orders!$A$1:$H$1,0),0)</f>
        <v>Breakfast</v>
      </c>
      <c r="M112" t="str">
        <f>VLOOKUP($A112,Orders!$A$1:$H$361,MATCH(OrderLines!$M$1,Orders!$A$1:$H$1,0),0)</f>
        <v>Cash</v>
      </c>
      <c r="N112" t="str">
        <f t="shared" si="3"/>
        <v>Single</v>
      </c>
      <c r="O112" t="str" cm="1">
        <f t="array" ref="O112">IF((SUMPRODUCT((OrderID=OrderLines!$A112)*Qty*UnitPrice*DiscountPct))&gt;40,"HighDisc","OK")</f>
        <v>OK</v>
      </c>
      <c r="P112">
        <f>(orderlinesTABLE[[#This Row],[UnitCost]]*orderlinesTABLE[[#This Row],[Qty]])</f>
        <v>24</v>
      </c>
      <c r="Q112">
        <f>(orderlinesTABLE[[#This Row],[LineNetAmount]]-orderlinesTABLE[[#This Row],[totalCOST]])</f>
        <v>30.296999999999997</v>
      </c>
      <c r="R112" t="str">
        <f>VLOOKUP($B112,Menu!$A$1:$F$20,MATCH(OrderLines!R$1,Menu!$A$1:$F$1,0),0)</f>
        <v>Nimbu Pani</v>
      </c>
      <c r="S112" t="str" cm="1">
        <f t="array" ref="S112">_xlfn.TEXTJOIN("+",TRUE,_xlfn._xlws.FILTER(orderlinesTABLE[ItemName],OrderID=orderlinesTABLE[[#This Row],[OrderID]]))</f>
        <v>Nimbu Pani+Masala Chaas+Brownie</v>
      </c>
      <c r="T112" s="54">
        <f>orderlinesTABLE[[#This Row],[Profit]]/orderlinesTABLE[[#This Row],[LineNetAmount]]</f>
        <v>0.5579866290955301</v>
      </c>
      <c r="U112" s="70">
        <f>(orderlinesTABLE[[#This Row],[Qty]]*orderlinesTABLE[[#This Row],[UnitCost]])</f>
        <v>24</v>
      </c>
    </row>
    <row r="113" spans="1:21" x14ac:dyDescent="0.3">
      <c r="A113" s="15" t="s">
        <v>81</v>
      </c>
      <c r="B113" s="15" t="s">
        <v>404</v>
      </c>
      <c r="C113" s="15">
        <v>2</v>
      </c>
      <c r="D113" s="36">
        <f>VLOOKUP($B113,Menu!$A$1:$F$20,MATCH($D$1,Menu!$A$1:$F$1,0),0)</f>
        <v>32.979999999999997</v>
      </c>
      <c r="E113" s="15" t="str">
        <f>VLOOKUP($B113,Menu!$A$1:$F$20,MATCH(OrderLines!E$1,Menu!$A$1:$F$1,0),0)</f>
        <v>Beverage</v>
      </c>
      <c r="F113" s="36">
        <f>VLOOKUP($B113,Menu!$A$1:$F$20,MATCH(OrderLines!F$1,Menu!$A$1:$F$1,0),0)</f>
        <v>11.84</v>
      </c>
      <c r="G113" s="27">
        <f>VLOOKUP($A113,Orders!$A$1:$H$361,MATCH($G$1,Orders!$A$1:$H$1,0),0)</f>
        <v>45873</v>
      </c>
      <c r="H113" s="15" t="str">
        <f>VLOOKUP($A113,Orders!$A$1:$H$361,MATCH(OrderLines!$H$1,Orders!$A$1:$H$1,0),0)</f>
        <v>Plant 2 Canteen</v>
      </c>
      <c r="I113" s="15">
        <f>VLOOKUP($A113,Orders!$A$1:$H$361,MATCH(OrderLines!$I$1,Orders!$A$1:$H$1,0),0)</f>
        <v>0.1</v>
      </c>
      <c r="J113" s="15">
        <f t="shared" si="4"/>
        <v>59.363999999999997</v>
      </c>
      <c r="K113" s="27" t="str">
        <f t="shared" si="5"/>
        <v>August</v>
      </c>
      <c r="L113" s="15" t="str">
        <f>VLOOKUP(OrderLines!$A113,Orders!$A$1:$H$361,MATCH(OrderLines!$L$1,Orders!$A$1:$H$1,0),0)</f>
        <v>Breakfast</v>
      </c>
      <c r="M113" t="str">
        <f>VLOOKUP($A113,Orders!$A$1:$H$361,MATCH(OrderLines!$M$1,Orders!$A$1:$H$1,0),0)</f>
        <v>Cash</v>
      </c>
      <c r="N113" t="str">
        <f t="shared" si="3"/>
        <v>Single</v>
      </c>
      <c r="O113" t="str" cm="1">
        <f t="array" ref="O113">IF((SUMPRODUCT((OrderID=OrderLines!$A113)*Qty*UnitPrice*DiscountPct))&gt;40,"HighDisc","OK")</f>
        <v>OK</v>
      </c>
      <c r="P113">
        <f>(orderlinesTABLE[[#This Row],[UnitCost]]*orderlinesTABLE[[#This Row],[Qty]])</f>
        <v>23.68</v>
      </c>
      <c r="Q113">
        <f>(orderlinesTABLE[[#This Row],[LineNetAmount]]-orderlinesTABLE[[#This Row],[totalCOST]])</f>
        <v>35.683999999999997</v>
      </c>
      <c r="R113" t="str">
        <f>VLOOKUP($B113,Menu!$A$1:$F$20,MATCH(OrderLines!R$1,Menu!$A$1:$F$1,0),0)</f>
        <v>Masala Chaas</v>
      </c>
      <c r="S113" t="str" cm="1">
        <f t="array" ref="S113">_xlfn.TEXTJOIN("+",TRUE,_xlfn._xlws.FILTER(orderlinesTABLE[ItemName],OrderID=orderlinesTABLE[[#This Row],[OrderID]]))</f>
        <v>Nimbu Pani+Masala Chaas+Brownie</v>
      </c>
      <c r="T113" s="54">
        <f>orderlinesTABLE[[#This Row],[Profit]]/orderlinesTABLE[[#This Row],[LineNetAmount]]</f>
        <v>0.60110504682972843</v>
      </c>
      <c r="U113" s="70">
        <f>(orderlinesTABLE[[#This Row],[Qty]]*orderlinesTABLE[[#This Row],[UnitCost]])</f>
        <v>23.68</v>
      </c>
    </row>
    <row r="114" spans="1:21" x14ac:dyDescent="0.3">
      <c r="A114" s="14" t="s">
        <v>81</v>
      </c>
      <c r="B114" s="14" t="s">
        <v>414</v>
      </c>
      <c r="C114" s="14">
        <v>2</v>
      </c>
      <c r="D114" s="37">
        <f>VLOOKUP($B114,Menu!$A$1:$F$20,MATCH($D$1,Menu!$A$1:$F$1,0),0)</f>
        <v>116.8</v>
      </c>
      <c r="E114" s="14" t="str">
        <f>VLOOKUP($B114,Menu!$A$1:$F$20,MATCH(OrderLines!E$1,Menu!$A$1:$F$1,0),0)</f>
        <v>Dessert</v>
      </c>
      <c r="F114" s="37">
        <f>VLOOKUP($B114,Menu!$A$1:$F$20,MATCH(OrderLines!F$1,Menu!$A$1:$F$1,0),0)</f>
        <v>48.97</v>
      </c>
      <c r="G114" s="28">
        <f>VLOOKUP($A114,Orders!$A$1:$H$361,MATCH($G$1,Orders!$A$1:$H$1,0),0)</f>
        <v>45873</v>
      </c>
      <c r="H114" s="14" t="str">
        <f>VLOOKUP($A114,Orders!$A$1:$H$361,MATCH(OrderLines!$H$1,Orders!$A$1:$H$1,0),0)</f>
        <v>Plant 2 Canteen</v>
      </c>
      <c r="I114" s="14">
        <f>VLOOKUP($A114,Orders!$A$1:$H$361,MATCH(OrderLines!$I$1,Orders!$A$1:$H$1,0),0)</f>
        <v>0.1</v>
      </c>
      <c r="J114" s="14">
        <f t="shared" si="4"/>
        <v>210.24</v>
      </c>
      <c r="K114" s="28" t="str">
        <f t="shared" si="5"/>
        <v>August</v>
      </c>
      <c r="L114" s="14" t="str">
        <f>VLOOKUP(OrderLines!$A114,Orders!$A$1:$H$361,MATCH(OrderLines!$L$1,Orders!$A$1:$H$1,0),0)</f>
        <v>Breakfast</v>
      </c>
      <c r="M114" t="str">
        <f>VLOOKUP($A114,Orders!$A$1:$H$361,MATCH(OrderLines!$M$1,Orders!$A$1:$H$1,0),0)</f>
        <v>Cash</v>
      </c>
      <c r="N114" t="str">
        <f t="shared" si="3"/>
        <v>Single</v>
      </c>
      <c r="O114" t="str" cm="1">
        <f t="array" ref="O114">IF((SUMPRODUCT((OrderID=OrderLines!$A114)*Qty*UnitPrice*DiscountPct))&gt;40,"HighDisc","OK")</f>
        <v>OK</v>
      </c>
      <c r="P114">
        <f>(orderlinesTABLE[[#This Row],[UnitCost]]*orderlinesTABLE[[#This Row],[Qty]])</f>
        <v>97.94</v>
      </c>
      <c r="Q114">
        <f>(orderlinesTABLE[[#This Row],[LineNetAmount]]-orderlinesTABLE[[#This Row],[totalCOST]])</f>
        <v>112.30000000000001</v>
      </c>
      <c r="R114" t="str">
        <f>VLOOKUP($B114,Menu!$A$1:$F$20,MATCH(OrderLines!R$1,Menu!$A$1:$F$1,0),0)</f>
        <v>Brownie</v>
      </c>
      <c r="S114" t="str" cm="1">
        <f t="array" ref="S114">_xlfn.TEXTJOIN("+",TRUE,_xlfn._xlws.FILTER(orderlinesTABLE[ItemName],OrderID=orderlinesTABLE[[#This Row],[OrderID]]))</f>
        <v>Nimbu Pani+Masala Chaas+Brownie</v>
      </c>
      <c r="T114" s="54">
        <f>orderlinesTABLE[[#This Row],[Profit]]/orderlinesTABLE[[#This Row],[LineNetAmount]]</f>
        <v>0.53415144596651454</v>
      </c>
      <c r="U114" s="70">
        <f>(orderlinesTABLE[[#This Row],[Qty]]*orderlinesTABLE[[#This Row],[UnitCost]])</f>
        <v>97.94</v>
      </c>
    </row>
    <row r="115" spans="1:21" x14ac:dyDescent="0.3">
      <c r="A115" s="15" t="s">
        <v>82</v>
      </c>
      <c r="B115" s="15" t="s">
        <v>418</v>
      </c>
      <c r="C115" s="15">
        <v>1</v>
      </c>
      <c r="D115" s="36">
        <f>VLOOKUP($B115,Menu!$A$1:$F$20,MATCH($D$1,Menu!$A$1:$F$1,0),0)</f>
        <v>39.950000000000003</v>
      </c>
      <c r="E115" s="15" t="str">
        <f>VLOOKUP($B115,Menu!$A$1:$F$20,MATCH(OrderLines!E$1,Menu!$A$1:$F$1,0),0)</f>
        <v>Snack</v>
      </c>
      <c r="F115" s="36">
        <f>VLOOKUP($B115,Menu!$A$1:$F$20,MATCH(OrderLines!F$1,Menu!$A$1:$F$1,0),0)</f>
        <v>15.51</v>
      </c>
      <c r="G115" s="27">
        <f>VLOOKUP($A115,Orders!$A$1:$H$361,MATCH($G$1,Orders!$A$1:$H$1,0),0)</f>
        <v>45858</v>
      </c>
      <c r="H115" s="15" t="str">
        <f>VLOOKUP($A115,Orders!$A$1:$H$361,MATCH(OrderLines!$H$1,Orders!$A$1:$H$1,0),0)</f>
        <v>Plant 2 Canteen</v>
      </c>
      <c r="I115" s="15">
        <f>VLOOKUP($A115,Orders!$A$1:$H$361,MATCH(OrderLines!$I$1,Orders!$A$1:$H$1,0),0)</f>
        <v>7.0000000000000007E-2</v>
      </c>
      <c r="J115" s="15">
        <f t="shared" si="4"/>
        <v>37.153500000000001</v>
      </c>
      <c r="K115" s="27" t="str">
        <f t="shared" si="5"/>
        <v>July</v>
      </c>
      <c r="L115" s="15" t="str">
        <f>VLOOKUP(OrderLines!$A115,Orders!$A$1:$H$361,MATCH(OrderLines!$L$1,Orders!$A$1:$H$1,0),0)</f>
        <v>Breakfast</v>
      </c>
      <c r="M115" t="str">
        <f>VLOOKUP($A115,Orders!$A$1:$H$361,MATCH(OrderLines!$M$1,Orders!$A$1:$H$1,0),0)</f>
        <v>Card</v>
      </c>
      <c r="N115" t="str">
        <f t="shared" si="3"/>
        <v>Single</v>
      </c>
      <c r="O115" t="str" cm="1">
        <f t="array" ref="O115">IF((SUMPRODUCT((OrderID=OrderLines!$A115)*Qty*UnitPrice*DiscountPct))&gt;40,"HighDisc","OK")</f>
        <v>OK</v>
      </c>
      <c r="P115">
        <f>(orderlinesTABLE[[#This Row],[UnitCost]]*orderlinesTABLE[[#This Row],[Qty]])</f>
        <v>15.51</v>
      </c>
      <c r="Q115">
        <f>(orderlinesTABLE[[#This Row],[LineNetAmount]]-orderlinesTABLE[[#This Row],[totalCOST]])</f>
        <v>21.643500000000003</v>
      </c>
      <c r="R115" t="str">
        <f>VLOOKUP($B115,Menu!$A$1:$F$20,MATCH(OrderLines!R$1,Menu!$A$1:$F$1,0),0)</f>
        <v>Samosa</v>
      </c>
      <c r="S115" t="str" cm="1">
        <f t="array" ref="S115">_xlfn.TEXTJOIN("+",TRUE,_xlfn._xlws.FILTER(orderlinesTABLE[ItemName],OrderID=orderlinesTABLE[[#This Row],[OrderID]]))</f>
        <v>Samosa</v>
      </c>
      <c r="T115" s="54">
        <f>orderlinesTABLE[[#This Row],[Profit]]/orderlinesTABLE[[#This Row],[LineNetAmount]]</f>
        <v>0.58254269449715379</v>
      </c>
      <c r="U115" s="70">
        <f>(orderlinesTABLE[[#This Row],[Qty]]*orderlinesTABLE[[#This Row],[UnitCost]])</f>
        <v>15.51</v>
      </c>
    </row>
    <row r="116" spans="1:21" x14ac:dyDescent="0.3">
      <c r="A116" s="14" t="s">
        <v>83</v>
      </c>
      <c r="B116" s="14" t="s">
        <v>415</v>
      </c>
      <c r="C116" s="14">
        <v>2</v>
      </c>
      <c r="D116" s="37">
        <f>VLOOKUP($B116,Menu!$A$1:$F$20,MATCH($D$1,Menu!$A$1:$F$1,0),0)</f>
        <v>256.91000000000003</v>
      </c>
      <c r="E116" s="14" t="str">
        <f>VLOOKUP($B116,Menu!$A$1:$F$20,MATCH(OrderLines!E$1,Menu!$A$1:$F$1,0),0)</f>
        <v>Hot Meal</v>
      </c>
      <c r="F116" s="37">
        <f>VLOOKUP($B116,Menu!$A$1:$F$20,MATCH(OrderLines!F$1,Menu!$A$1:$F$1,0),0)</f>
        <v>121.24</v>
      </c>
      <c r="G116" s="28">
        <f>VLOOKUP($A116,Orders!$A$1:$H$361,MATCH($G$1,Orders!$A$1:$H$1,0),0)</f>
        <v>45866</v>
      </c>
      <c r="H116" s="14" t="str">
        <f>VLOOKUP($A116,Orders!$A$1:$H$361,MATCH(OrderLines!$H$1,Orders!$A$1:$H$1,0),0)</f>
        <v>Plant 2 Canteen</v>
      </c>
      <c r="I116" s="14">
        <f>VLOOKUP($A116,Orders!$A$1:$H$361,MATCH(OrderLines!$I$1,Orders!$A$1:$H$1,0),0)</f>
        <v>0.04</v>
      </c>
      <c r="J116" s="14">
        <f t="shared" si="4"/>
        <v>493.2672</v>
      </c>
      <c r="K116" s="28" t="str">
        <f t="shared" si="5"/>
        <v>July</v>
      </c>
      <c r="L116" s="14" t="str">
        <f>VLOOKUP(OrderLines!$A116,Orders!$A$1:$H$361,MATCH(OrderLines!$L$1,Orders!$A$1:$H$1,0),0)</f>
        <v>Breakfast</v>
      </c>
      <c r="M116" t="str">
        <f>VLOOKUP($A116,Orders!$A$1:$H$361,MATCH(OrderLines!$M$1,Orders!$A$1:$H$1,0),0)</f>
        <v>UPI</v>
      </c>
      <c r="N116" t="str">
        <f t="shared" si="3"/>
        <v>Single</v>
      </c>
      <c r="O116" t="str" cm="1">
        <f t="array" ref="O116">IF((SUMPRODUCT((OrderID=OrderLines!$A116)*Qty*UnitPrice*DiscountPct))&gt;40,"HighDisc","OK")</f>
        <v>OK</v>
      </c>
      <c r="P116">
        <f>(orderlinesTABLE[[#This Row],[UnitCost]]*orderlinesTABLE[[#This Row],[Qty]])</f>
        <v>242.48</v>
      </c>
      <c r="Q116">
        <f>(orderlinesTABLE[[#This Row],[LineNetAmount]]-orderlinesTABLE[[#This Row],[totalCOST]])</f>
        <v>250.78720000000001</v>
      </c>
      <c r="R116" t="str">
        <f>VLOOKUP($B116,Menu!$A$1:$F$20,MATCH(OrderLines!R$1,Menu!$A$1:$F$1,0),0)</f>
        <v>Chicken Thali</v>
      </c>
      <c r="S116" t="str" cm="1">
        <f t="array" ref="S116">_xlfn.TEXTJOIN("+",TRUE,_xlfn._xlws.FILTER(orderlinesTABLE[ItemName],OrderID=orderlinesTABLE[[#This Row],[OrderID]]))</f>
        <v>Chicken Thali+Poha+Kheer Cup</v>
      </c>
      <c r="T116" s="54">
        <f>orderlinesTABLE[[#This Row],[Profit]]/orderlinesTABLE[[#This Row],[LineNetAmount]]</f>
        <v>0.50842058827345504</v>
      </c>
      <c r="U116" s="70">
        <f>(orderlinesTABLE[[#This Row],[Qty]]*orderlinesTABLE[[#This Row],[UnitCost]])</f>
        <v>242.48</v>
      </c>
    </row>
    <row r="117" spans="1:21" x14ac:dyDescent="0.3">
      <c r="A117" s="15" t="s">
        <v>83</v>
      </c>
      <c r="B117" s="15" t="s">
        <v>401</v>
      </c>
      <c r="C117" s="15">
        <v>1</v>
      </c>
      <c r="D117" s="36">
        <f>VLOOKUP($B117,Menu!$A$1:$F$20,MATCH($D$1,Menu!$A$1:$F$1,0),0)</f>
        <v>52.45</v>
      </c>
      <c r="E117" s="15" t="str">
        <f>VLOOKUP($B117,Menu!$A$1:$F$20,MATCH(OrderLines!E$1,Menu!$A$1:$F$1,0),0)</f>
        <v>Snack</v>
      </c>
      <c r="F117" s="36">
        <f>VLOOKUP($B117,Menu!$A$1:$F$20,MATCH(OrderLines!F$1,Menu!$A$1:$F$1,0),0)</f>
        <v>25.8</v>
      </c>
      <c r="G117" s="27">
        <f>VLOOKUP($A117,Orders!$A$1:$H$361,MATCH($G$1,Orders!$A$1:$H$1,0),0)</f>
        <v>45866</v>
      </c>
      <c r="H117" s="15" t="str">
        <f>VLOOKUP($A117,Orders!$A$1:$H$361,MATCH(OrderLines!$H$1,Orders!$A$1:$H$1,0),0)</f>
        <v>Plant 2 Canteen</v>
      </c>
      <c r="I117" s="15">
        <f>VLOOKUP($A117,Orders!$A$1:$H$361,MATCH(OrderLines!$I$1,Orders!$A$1:$H$1,0),0)</f>
        <v>0.04</v>
      </c>
      <c r="J117" s="15">
        <f t="shared" si="4"/>
        <v>50.352000000000004</v>
      </c>
      <c r="K117" s="27" t="str">
        <f t="shared" si="5"/>
        <v>July</v>
      </c>
      <c r="L117" s="15" t="str">
        <f>VLOOKUP(OrderLines!$A117,Orders!$A$1:$H$361,MATCH(OrderLines!$L$1,Orders!$A$1:$H$1,0),0)</f>
        <v>Breakfast</v>
      </c>
      <c r="M117" t="str">
        <f>VLOOKUP($A117,Orders!$A$1:$H$361,MATCH(OrderLines!$M$1,Orders!$A$1:$H$1,0),0)</f>
        <v>UPI</v>
      </c>
      <c r="N117" t="str">
        <f t="shared" si="3"/>
        <v>Single</v>
      </c>
      <c r="O117" t="str" cm="1">
        <f t="array" ref="O117">IF((SUMPRODUCT((OrderID=OrderLines!$A117)*Qty*UnitPrice*DiscountPct))&gt;40,"HighDisc","OK")</f>
        <v>OK</v>
      </c>
      <c r="P117">
        <f>(orderlinesTABLE[[#This Row],[UnitCost]]*orderlinesTABLE[[#This Row],[Qty]])</f>
        <v>25.8</v>
      </c>
      <c r="Q117">
        <f>(orderlinesTABLE[[#This Row],[LineNetAmount]]-orderlinesTABLE[[#This Row],[totalCOST]])</f>
        <v>24.552000000000003</v>
      </c>
      <c r="R117" t="str">
        <f>VLOOKUP($B117,Menu!$A$1:$F$20,MATCH(OrderLines!R$1,Menu!$A$1:$F$1,0),0)</f>
        <v>Poha</v>
      </c>
      <c r="S117" t="str" cm="1">
        <f t="array" ref="S117">_xlfn.TEXTJOIN("+",TRUE,_xlfn._xlws.FILTER(orderlinesTABLE[ItemName],OrderID=orderlinesTABLE[[#This Row],[OrderID]]))</f>
        <v>Chicken Thali+Poha+Kheer Cup</v>
      </c>
      <c r="T117" s="54">
        <f>orderlinesTABLE[[#This Row],[Profit]]/orderlinesTABLE[[#This Row],[LineNetAmount]]</f>
        <v>0.48760724499523356</v>
      </c>
      <c r="U117" s="70">
        <f>(orderlinesTABLE[[#This Row],[Qty]]*orderlinesTABLE[[#This Row],[UnitCost]])</f>
        <v>25.8</v>
      </c>
    </row>
    <row r="118" spans="1:21" x14ac:dyDescent="0.3">
      <c r="A118" s="14" t="s">
        <v>83</v>
      </c>
      <c r="B118" s="14" t="s">
        <v>413</v>
      </c>
      <c r="C118" s="14">
        <v>1</v>
      </c>
      <c r="D118" s="37">
        <f>VLOOKUP($B118,Menu!$A$1:$F$20,MATCH($D$1,Menu!$A$1:$F$1,0),0)</f>
        <v>54.2</v>
      </c>
      <c r="E118" s="14" t="str">
        <f>VLOOKUP($B118,Menu!$A$1:$F$20,MATCH(OrderLines!E$1,Menu!$A$1:$F$1,0),0)</f>
        <v>Dessert</v>
      </c>
      <c r="F118" s="37">
        <f>VLOOKUP($B118,Menu!$A$1:$F$20,MATCH(OrderLines!F$1,Menu!$A$1:$F$1,0),0)</f>
        <v>21.95</v>
      </c>
      <c r="G118" s="28">
        <f>VLOOKUP($A118,Orders!$A$1:$H$361,MATCH($G$1,Orders!$A$1:$H$1,0),0)</f>
        <v>45866</v>
      </c>
      <c r="H118" s="14" t="str">
        <f>VLOOKUP($A118,Orders!$A$1:$H$361,MATCH(OrderLines!$H$1,Orders!$A$1:$H$1,0),0)</f>
        <v>Plant 2 Canteen</v>
      </c>
      <c r="I118" s="14">
        <f>VLOOKUP($A118,Orders!$A$1:$H$361,MATCH(OrderLines!$I$1,Orders!$A$1:$H$1,0),0)</f>
        <v>0.04</v>
      </c>
      <c r="J118" s="14">
        <f t="shared" si="4"/>
        <v>52.032000000000004</v>
      </c>
      <c r="K118" s="28" t="str">
        <f t="shared" si="5"/>
        <v>July</v>
      </c>
      <c r="L118" s="14" t="str">
        <f>VLOOKUP(OrderLines!$A118,Orders!$A$1:$H$361,MATCH(OrderLines!$L$1,Orders!$A$1:$H$1,0),0)</f>
        <v>Breakfast</v>
      </c>
      <c r="M118" t="str">
        <f>VLOOKUP($A118,Orders!$A$1:$H$361,MATCH(OrderLines!$M$1,Orders!$A$1:$H$1,0),0)</f>
        <v>UPI</v>
      </c>
      <c r="N118" t="str">
        <f t="shared" si="3"/>
        <v>Single</v>
      </c>
      <c r="O118" t="str" cm="1">
        <f t="array" ref="O118">IF((SUMPRODUCT((OrderID=OrderLines!$A118)*Qty*UnitPrice*DiscountPct))&gt;40,"HighDisc","OK")</f>
        <v>OK</v>
      </c>
      <c r="P118">
        <f>(orderlinesTABLE[[#This Row],[UnitCost]]*orderlinesTABLE[[#This Row],[Qty]])</f>
        <v>21.95</v>
      </c>
      <c r="Q118">
        <f>(orderlinesTABLE[[#This Row],[LineNetAmount]]-orderlinesTABLE[[#This Row],[totalCOST]])</f>
        <v>30.082000000000004</v>
      </c>
      <c r="R118" t="str">
        <f>VLOOKUP($B118,Menu!$A$1:$F$20,MATCH(OrderLines!R$1,Menu!$A$1:$F$1,0),0)</f>
        <v>Kheer Cup</v>
      </c>
      <c r="S118" t="str" cm="1">
        <f t="array" ref="S118">_xlfn.TEXTJOIN("+",TRUE,_xlfn._xlws.FILTER(orderlinesTABLE[ItemName],OrderID=orderlinesTABLE[[#This Row],[OrderID]]))</f>
        <v>Chicken Thali+Poha+Kheer Cup</v>
      </c>
      <c r="T118" s="54">
        <f>orderlinesTABLE[[#This Row],[Profit]]/orderlinesTABLE[[#This Row],[LineNetAmount]]</f>
        <v>0.57814421894218948</v>
      </c>
      <c r="U118" s="70">
        <f>(orderlinesTABLE[[#This Row],[Qty]]*orderlinesTABLE[[#This Row],[UnitCost]])</f>
        <v>21.95</v>
      </c>
    </row>
    <row r="119" spans="1:21" x14ac:dyDescent="0.3">
      <c r="A119" s="15" t="s">
        <v>84</v>
      </c>
      <c r="B119" s="15" t="s">
        <v>406</v>
      </c>
      <c r="C119" s="15">
        <v>1</v>
      </c>
      <c r="D119" s="36">
        <f>VLOOKUP($B119,Menu!$A$1:$F$20,MATCH($D$1,Menu!$A$1:$F$1,0),0)</f>
        <v>38.06</v>
      </c>
      <c r="E119" s="15" t="str">
        <f>VLOOKUP($B119,Menu!$A$1:$F$20,MATCH(OrderLines!E$1,Menu!$A$1:$F$1,0),0)</f>
        <v>Snack</v>
      </c>
      <c r="F119" s="36">
        <f>VLOOKUP($B119,Menu!$A$1:$F$20,MATCH(OrderLines!F$1,Menu!$A$1:$F$1,0),0)</f>
        <v>19.55</v>
      </c>
      <c r="G119" s="27">
        <f>VLOOKUP($A119,Orders!$A$1:$H$361,MATCH($G$1,Orders!$A$1:$H$1,0),0)</f>
        <v>45891</v>
      </c>
      <c r="H119" s="15" t="str">
        <f>VLOOKUP($A119,Orders!$A$1:$H$361,MATCH(OrderLines!$H$1,Orders!$A$1:$H$1,0),0)</f>
        <v>Plant 2 Canteen</v>
      </c>
      <c r="I119" s="15">
        <f>VLOOKUP($A119,Orders!$A$1:$H$361,MATCH(OrderLines!$I$1,Orders!$A$1:$H$1,0),0)</f>
        <v>0.08</v>
      </c>
      <c r="J119" s="15">
        <f t="shared" si="4"/>
        <v>35.0152</v>
      </c>
      <c r="K119" s="27" t="str">
        <f t="shared" si="5"/>
        <v>August</v>
      </c>
      <c r="L119" s="15" t="str">
        <f>VLOOKUP(OrderLines!$A119,Orders!$A$1:$H$361,MATCH(OrderLines!$L$1,Orders!$A$1:$H$1,0),0)</f>
        <v>Breakfast</v>
      </c>
      <c r="M119" t="str">
        <f>VLOOKUP($A119,Orders!$A$1:$H$361,MATCH(OrderLines!$M$1,Orders!$A$1:$H$1,0),0)</f>
        <v>Cash</v>
      </c>
      <c r="N119" t="str">
        <f t="shared" si="3"/>
        <v>Single</v>
      </c>
      <c r="O119" t="str" cm="1">
        <f t="array" ref="O119">IF((SUMPRODUCT((OrderID=OrderLines!$A119)*Qty*UnitPrice*DiscountPct))&gt;40,"HighDisc","OK")</f>
        <v>OK</v>
      </c>
      <c r="P119">
        <f>(orderlinesTABLE[[#This Row],[UnitCost]]*orderlinesTABLE[[#This Row],[Qty]])</f>
        <v>19.55</v>
      </c>
      <c r="Q119">
        <f>(orderlinesTABLE[[#This Row],[LineNetAmount]]-orderlinesTABLE[[#This Row],[totalCOST]])</f>
        <v>15.465199999999999</v>
      </c>
      <c r="R119" t="str">
        <f>VLOOKUP($B119,Menu!$A$1:$F$20,MATCH(OrderLines!R$1,Menu!$A$1:$F$1,0),0)</f>
        <v>Paneer Roll</v>
      </c>
      <c r="S119" t="str" cm="1">
        <f t="array" ref="S119">_xlfn.TEXTJOIN("+",TRUE,_xlfn._xlws.FILTER(orderlinesTABLE[ItemName],OrderID=orderlinesTABLE[[#This Row],[OrderID]]))</f>
        <v>Paneer Roll+Masala Puff+Bottled Water</v>
      </c>
      <c r="T119" s="54">
        <f>orderlinesTABLE[[#This Row],[Profit]]/orderlinesTABLE[[#This Row],[LineNetAmount]]</f>
        <v>0.44167104571728849</v>
      </c>
      <c r="U119" s="70">
        <f>(orderlinesTABLE[[#This Row],[Qty]]*orderlinesTABLE[[#This Row],[UnitCost]])</f>
        <v>19.55</v>
      </c>
    </row>
    <row r="120" spans="1:21" x14ac:dyDescent="0.3">
      <c r="A120" s="14" t="s">
        <v>84</v>
      </c>
      <c r="B120" s="14" t="s">
        <v>419</v>
      </c>
      <c r="C120" s="14">
        <v>2</v>
      </c>
      <c r="D120" s="37">
        <f>VLOOKUP($B120,Menu!$A$1:$F$20,MATCH($D$1,Menu!$A$1:$F$1,0),0)</f>
        <v>50.19</v>
      </c>
      <c r="E120" s="14" t="str">
        <f>VLOOKUP($B120,Menu!$A$1:$F$20,MATCH(OrderLines!E$1,Menu!$A$1:$F$1,0),0)</f>
        <v>Snack</v>
      </c>
      <c r="F120" s="37">
        <f>VLOOKUP($B120,Menu!$A$1:$F$20,MATCH(OrderLines!F$1,Menu!$A$1:$F$1,0),0)</f>
        <v>22.61</v>
      </c>
      <c r="G120" s="28">
        <f>VLOOKUP($A120,Orders!$A$1:$H$361,MATCH($G$1,Orders!$A$1:$H$1,0),0)</f>
        <v>45891</v>
      </c>
      <c r="H120" s="14" t="str">
        <f>VLOOKUP($A120,Orders!$A$1:$H$361,MATCH(OrderLines!$H$1,Orders!$A$1:$H$1,0),0)</f>
        <v>Plant 2 Canteen</v>
      </c>
      <c r="I120" s="14">
        <f>VLOOKUP($A120,Orders!$A$1:$H$361,MATCH(OrderLines!$I$1,Orders!$A$1:$H$1,0),0)</f>
        <v>0.08</v>
      </c>
      <c r="J120" s="14">
        <f t="shared" si="4"/>
        <v>92.349599999999995</v>
      </c>
      <c r="K120" s="28" t="str">
        <f t="shared" si="5"/>
        <v>August</v>
      </c>
      <c r="L120" s="14" t="str">
        <f>VLOOKUP(OrderLines!$A120,Orders!$A$1:$H$361,MATCH(OrderLines!$L$1,Orders!$A$1:$H$1,0),0)</f>
        <v>Breakfast</v>
      </c>
      <c r="M120" t="str">
        <f>VLOOKUP($A120,Orders!$A$1:$H$361,MATCH(OrderLines!$M$1,Orders!$A$1:$H$1,0),0)</f>
        <v>Cash</v>
      </c>
      <c r="N120" t="str">
        <f t="shared" si="3"/>
        <v>Single</v>
      </c>
      <c r="O120" t="str" cm="1">
        <f t="array" ref="O120">IF((SUMPRODUCT((OrderID=OrderLines!$A120)*Qty*UnitPrice*DiscountPct))&gt;40,"HighDisc","OK")</f>
        <v>OK</v>
      </c>
      <c r="P120">
        <f>(orderlinesTABLE[[#This Row],[UnitCost]]*orderlinesTABLE[[#This Row],[Qty]])</f>
        <v>45.22</v>
      </c>
      <c r="Q120">
        <f>(orderlinesTABLE[[#This Row],[LineNetAmount]]-orderlinesTABLE[[#This Row],[totalCOST]])</f>
        <v>47.129599999999996</v>
      </c>
      <c r="R120" t="str">
        <f>VLOOKUP($B120,Menu!$A$1:$F$20,MATCH(OrderLines!R$1,Menu!$A$1:$F$1,0),0)</f>
        <v>Masala Puff</v>
      </c>
      <c r="S120" t="str" cm="1">
        <f t="array" ref="S120">_xlfn.TEXTJOIN("+",TRUE,_xlfn._xlws.FILTER(orderlinesTABLE[ItemName],OrderID=orderlinesTABLE[[#This Row],[OrderID]]))</f>
        <v>Paneer Roll+Masala Puff+Bottled Water</v>
      </c>
      <c r="T120" s="54">
        <f>orderlinesTABLE[[#This Row],[Profit]]/orderlinesTABLE[[#This Row],[LineNetAmount]]</f>
        <v>0.51033897277302764</v>
      </c>
      <c r="U120" s="70">
        <f>(orderlinesTABLE[[#This Row],[Qty]]*orderlinesTABLE[[#This Row],[UnitCost]])</f>
        <v>45.22</v>
      </c>
    </row>
    <row r="121" spans="1:21" x14ac:dyDescent="0.3">
      <c r="A121" s="15" t="s">
        <v>84</v>
      </c>
      <c r="B121" s="15" t="s">
        <v>409</v>
      </c>
      <c r="C121" s="15">
        <v>2</v>
      </c>
      <c r="D121" s="36">
        <f>VLOOKUP($B121,Menu!$A$1:$F$20,MATCH($D$1,Menu!$A$1:$F$1,0),0)</f>
        <v>28.43</v>
      </c>
      <c r="E121" s="15" t="str">
        <f>VLOOKUP($B121,Menu!$A$1:$F$20,MATCH(OrderLines!E$1,Menu!$A$1:$F$1,0),0)</f>
        <v>Beverage</v>
      </c>
      <c r="F121" s="36">
        <f>VLOOKUP($B121,Menu!$A$1:$F$20,MATCH(OrderLines!F$1,Menu!$A$1:$F$1,0),0)</f>
        <v>13.89</v>
      </c>
      <c r="G121" s="27">
        <f>VLOOKUP($A121,Orders!$A$1:$H$361,MATCH($G$1,Orders!$A$1:$H$1,0),0)</f>
        <v>45891</v>
      </c>
      <c r="H121" s="15" t="str">
        <f>VLOOKUP($A121,Orders!$A$1:$H$361,MATCH(OrderLines!$H$1,Orders!$A$1:$H$1,0),0)</f>
        <v>Plant 2 Canteen</v>
      </c>
      <c r="I121" s="15">
        <f>VLOOKUP($A121,Orders!$A$1:$H$361,MATCH(OrderLines!$I$1,Orders!$A$1:$H$1,0),0)</f>
        <v>0.08</v>
      </c>
      <c r="J121" s="15">
        <f t="shared" si="4"/>
        <v>52.311199999999999</v>
      </c>
      <c r="K121" s="27" t="str">
        <f t="shared" si="5"/>
        <v>August</v>
      </c>
      <c r="L121" s="15" t="str">
        <f>VLOOKUP(OrderLines!$A121,Orders!$A$1:$H$361,MATCH(OrderLines!$L$1,Orders!$A$1:$H$1,0),0)</f>
        <v>Breakfast</v>
      </c>
      <c r="M121" t="str">
        <f>VLOOKUP($A121,Orders!$A$1:$H$361,MATCH(OrderLines!$M$1,Orders!$A$1:$H$1,0),0)</f>
        <v>Cash</v>
      </c>
      <c r="N121" t="str">
        <f t="shared" si="3"/>
        <v>Single</v>
      </c>
      <c r="O121" t="str" cm="1">
        <f t="array" ref="O121">IF((SUMPRODUCT((OrderID=OrderLines!$A121)*Qty*UnitPrice*DiscountPct))&gt;40,"HighDisc","OK")</f>
        <v>OK</v>
      </c>
      <c r="P121">
        <f>(orderlinesTABLE[[#This Row],[UnitCost]]*orderlinesTABLE[[#This Row],[Qty]])</f>
        <v>27.78</v>
      </c>
      <c r="Q121">
        <f>(orderlinesTABLE[[#This Row],[LineNetAmount]]-orderlinesTABLE[[#This Row],[totalCOST]])</f>
        <v>24.531199999999998</v>
      </c>
      <c r="R121" t="str">
        <f>VLOOKUP($B121,Menu!$A$1:$F$20,MATCH(OrderLines!R$1,Menu!$A$1:$F$1,0),0)</f>
        <v>Bottled Water</v>
      </c>
      <c r="S121" t="str" cm="1">
        <f t="array" ref="S121">_xlfn.TEXTJOIN("+",TRUE,_xlfn._xlws.FILTER(orderlinesTABLE[ItemName],OrderID=orderlinesTABLE[[#This Row],[OrderID]]))</f>
        <v>Paneer Roll+Masala Puff+Bottled Water</v>
      </c>
      <c r="T121" s="54">
        <f>orderlinesTABLE[[#This Row],[Profit]]/orderlinesTABLE[[#This Row],[LineNetAmount]]</f>
        <v>0.46894737647004847</v>
      </c>
      <c r="U121" s="70">
        <f>(orderlinesTABLE[[#This Row],[Qty]]*orderlinesTABLE[[#This Row],[UnitCost]])</f>
        <v>27.78</v>
      </c>
    </row>
    <row r="122" spans="1:21" x14ac:dyDescent="0.3">
      <c r="A122" s="14" t="s">
        <v>85</v>
      </c>
      <c r="B122" s="14" t="s">
        <v>416</v>
      </c>
      <c r="C122" s="14">
        <v>1</v>
      </c>
      <c r="D122" s="37">
        <f>VLOOKUP($B122,Menu!$A$1:$F$20,MATCH($D$1,Menu!$A$1:$F$1,0),0)</f>
        <v>227.61</v>
      </c>
      <c r="E122" s="14" t="str">
        <f>VLOOKUP($B122,Menu!$A$1:$F$20,MATCH(OrderLines!E$1,Menu!$A$1:$F$1,0),0)</f>
        <v>Hot Meal</v>
      </c>
      <c r="F122" s="37">
        <f>VLOOKUP($B122,Menu!$A$1:$F$20,MATCH(OrderLines!F$1,Menu!$A$1:$F$1,0),0)</f>
        <v>96.22</v>
      </c>
      <c r="G122" s="28">
        <f>VLOOKUP($A122,Orders!$A$1:$H$361,MATCH($G$1,Orders!$A$1:$H$1,0),0)</f>
        <v>45856</v>
      </c>
      <c r="H122" s="14" t="str">
        <f>VLOOKUP($A122,Orders!$A$1:$H$361,MATCH(OrderLines!$H$1,Orders!$A$1:$H$1,0),0)</f>
        <v>Head Office Café</v>
      </c>
      <c r="I122" s="14">
        <f>VLOOKUP($A122,Orders!$A$1:$H$361,MATCH(OrderLines!$I$1,Orders!$A$1:$H$1,0),0)</f>
        <v>0.06</v>
      </c>
      <c r="J122" s="14">
        <f t="shared" si="4"/>
        <v>213.95339999999999</v>
      </c>
      <c r="K122" s="28" t="str">
        <f t="shared" si="5"/>
        <v>July</v>
      </c>
      <c r="L122" s="14" t="str">
        <f>VLOOKUP(OrderLines!$A122,Orders!$A$1:$H$361,MATCH(OrderLines!$L$1,Orders!$A$1:$H$1,0),0)</f>
        <v>Lunch</v>
      </c>
      <c r="M122" t="str">
        <f>VLOOKUP($A122,Orders!$A$1:$H$361,MATCH(OrderLines!$M$1,Orders!$A$1:$H$1,0),0)</f>
        <v>Cash</v>
      </c>
      <c r="N122" t="str">
        <f t="shared" si="3"/>
        <v>Combo</v>
      </c>
      <c r="O122" t="str" cm="1">
        <f t="array" ref="O122">IF((SUMPRODUCT((OrderID=OrderLines!$A122)*Qty*UnitPrice*DiscountPct))&gt;40,"HighDisc","OK")</f>
        <v>OK</v>
      </c>
      <c r="P122">
        <f>(orderlinesTABLE[[#This Row],[UnitCost]]*orderlinesTABLE[[#This Row],[Qty]])</f>
        <v>96.22</v>
      </c>
      <c r="Q122">
        <f>(orderlinesTABLE[[#This Row],[LineNetAmount]]-orderlinesTABLE[[#This Row],[totalCOST]])</f>
        <v>117.73339999999999</v>
      </c>
      <c r="R122" t="str">
        <f>VLOOKUP($B122,Menu!$A$1:$F$20,MATCH(OrderLines!R$1,Menu!$A$1:$F$1,0),0)</f>
        <v>Veg Thali</v>
      </c>
      <c r="S122" t="str" cm="1">
        <f t="array" ref="S122">_xlfn.TEXTJOIN("+",TRUE,_xlfn._xlws.FILTER(orderlinesTABLE[ItemName],OrderID=orderlinesTABLE[[#This Row],[OrderID]]))</f>
        <v>Veg Thali+Masala Chaas</v>
      </c>
      <c r="T122" s="54">
        <f>orderlinesTABLE[[#This Row],[Profit]]/orderlinesTABLE[[#This Row],[LineNetAmount]]</f>
        <v>0.55027590120091574</v>
      </c>
      <c r="U122" s="70">
        <f>(orderlinesTABLE[[#This Row],[Qty]]*orderlinesTABLE[[#This Row],[UnitCost]])</f>
        <v>96.22</v>
      </c>
    </row>
    <row r="123" spans="1:21" x14ac:dyDescent="0.3">
      <c r="A123" s="15" t="s">
        <v>85</v>
      </c>
      <c r="B123" s="15" t="s">
        <v>404</v>
      </c>
      <c r="C123" s="15">
        <v>2</v>
      </c>
      <c r="D123" s="36">
        <f>VLOOKUP($B123,Menu!$A$1:$F$20,MATCH($D$1,Menu!$A$1:$F$1,0),0)</f>
        <v>32.979999999999997</v>
      </c>
      <c r="E123" s="15" t="str">
        <f>VLOOKUP($B123,Menu!$A$1:$F$20,MATCH(OrderLines!E$1,Menu!$A$1:$F$1,0),0)</f>
        <v>Beverage</v>
      </c>
      <c r="F123" s="36">
        <f>VLOOKUP($B123,Menu!$A$1:$F$20,MATCH(OrderLines!F$1,Menu!$A$1:$F$1,0),0)</f>
        <v>11.84</v>
      </c>
      <c r="G123" s="27">
        <f>VLOOKUP($A123,Orders!$A$1:$H$361,MATCH($G$1,Orders!$A$1:$H$1,0),0)</f>
        <v>45856</v>
      </c>
      <c r="H123" s="15" t="str">
        <f>VLOOKUP($A123,Orders!$A$1:$H$361,MATCH(OrderLines!$H$1,Orders!$A$1:$H$1,0),0)</f>
        <v>Head Office Café</v>
      </c>
      <c r="I123" s="15">
        <f>VLOOKUP($A123,Orders!$A$1:$H$361,MATCH(OrderLines!$I$1,Orders!$A$1:$H$1,0),0)</f>
        <v>0.06</v>
      </c>
      <c r="J123" s="15">
        <f t="shared" si="4"/>
        <v>62.002399999999987</v>
      </c>
      <c r="K123" s="27" t="str">
        <f t="shared" si="5"/>
        <v>July</v>
      </c>
      <c r="L123" s="15" t="str">
        <f>VLOOKUP(OrderLines!$A123,Orders!$A$1:$H$361,MATCH(OrderLines!$L$1,Orders!$A$1:$H$1,0),0)</f>
        <v>Lunch</v>
      </c>
      <c r="M123" t="str">
        <f>VLOOKUP($A123,Orders!$A$1:$H$361,MATCH(OrderLines!$M$1,Orders!$A$1:$H$1,0),0)</f>
        <v>Cash</v>
      </c>
      <c r="N123" t="str">
        <f t="shared" si="3"/>
        <v>Combo</v>
      </c>
      <c r="O123" t="str" cm="1">
        <f t="array" ref="O123">IF((SUMPRODUCT((OrderID=OrderLines!$A123)*Qty*UnitPrice*DiscountPct))&gt;40,"HighDisc","OK")</f>
        <v>OK</v>
      </c>
      <c r="P123">
        <f>(orderlinesTABLE[[#This Row],[UnitCost]]*orderlinesTABLE[[#This Row],[Qty]])</f>
        <v>23.68</v>
      </c>
      <c r="Q123">
        <f>(orderlinesTABLE[[#This Row],[LineNetAmount]]-orderlinesTABLE[[#This Row],[totalCOST]])</f>
        <v>38.322399999999988</v>
      </c>
      <c r="R123" t="str">
        <f>VLOOKUP($B123,Menu!$A$1:$F$20,MATCH(OrderLines!R$1,Menu!$A$1:$F$1,0),0)</f>
        <v>Masala Chaas</v>
      </c>
      <c r="S123" t="str" cm="1">
        <f t="array" ref="S123">_xlfn.TEXTJOIN("+",TRUE,_xlfn._xlws.FILTER(orderlinesTABLE[ItemName],OrderID=orderlinesTABLE[[#This Row],[OrderID]]))</f>
        <v>Veg Thali+Masala Chaas</v>
      </c>
      <c r="T123" s="54">
        <f>orderlinesTABLE[[#This Row],[Profit]]/orderlinesTABLE[[#This Row],[LineNetAmount]]</f>
        <v>0.61807930015612289</v>
      </c>
      <c r="U123" s="70">
        <f>(orderlinesTABLE[[#This Row],[Qty]]*orderlinesTABLE[[#This Row],[UnitCost]])</f>
        <v>23.68</v>
      </c>
    </row>
    <row r="124" spans="1:21" x14ac:dyDescent="0.3">
      <c r="A124" s="14" t="s">
        <v>86</v>
      </c>
      <c r="B124" s="14" t="s">
        <v>403</v>
      </c>
      <c r="C124" s="14">
        <v>1</v>
      </c>
      <c r="D124" s="37">
        <f>VLOOKUP($B124,Menu!$A$1:$F$20,MATCH($D$1,Menu!$A$1:$F$1,0),0)</f>
        <v>76.55</v>
      </c>
      <c r="E124" s="14" t="str">
        <f>VLOOKUP($B124,Menu!$A$1:$F$20,MATCH(OrderLines!E$1,Menu!$A$1:$F$1,0),0)</f>
        <v>Dessert</v>
      </c>
      <c r="F124" s="37">
        <f>VLOOKUP($B124,Menu!$A$1:$F$20,MATCH(OrderLines!F$1,Menu!$A$1:$F$1,0),0)</f>
        <v>38.229999999999997</v>
      </c>
      <c r="G124" s="28">
        <f>VLOOKUP($A124,Orders!$A$1:$H$361,MATCH($G$1,Orders!$A$1:$H$1,0),0)</f>
        <v>45897</v>
      </c>
      <c r="H124" s="14" t="str">
        <f>VLOOKUP($A124,Orders!$A$1:$H$361,MATCH(OrderLines!$H$1,Orders!$A$1:$H$1,0),0)</f>
        <v>Plant 2 Canteen</v>
      </c>
      <c r="I124" s="14">
        <f>VLOOKUP($A124,Orders!$A$1:$H$361,MATCH(OrderLines!$I$1,Orders!$A$1:$H$1,0),0)</f>
        <v>0.1</v>
      </c>
      <c r="J124" s="14">
        <f t="shared" si="4"/>
        <v>68.894999999999996</v>
      </c>
      <c r="K124" s="28" t="str">
        <f t="shared" si="5"/>
        <v>August</v>
      </c>
      <c r="L124" s="14" t="str">
        <f>VLOOKUP(OrderLines!$A124,Orders!$A$1:$H$361,MATCH(OrderLines!$L$1,Orders!$A$1:$H$1,0),0)</f>
        <v>Breakfast</v>
      </c>
      <c r="M124" t="str">
        <f>VLOOKUP($A124,Orders!$A$1:$H$361,MATCH(OrderLines!$M$1,Orders!$A$1:$H$1,0),0)</f>
        <v>UPI</v>
      </c>
      <c r="N124" t="str">
        <f t="shared" si="3"/>
        <v>Single</v>
      </c>
      <c r="O124" t="str" cm="1">
        <f t="array" ref="O124">IF((SUMPRODUCT((OrderID=OrderLines!$A124)*Qty*UnitPrice*DiscountPct))&gt;40,"HighDisc","OK")</f>
        <v>OK</v>
      </c>
      <c r="P124">
        <f>(orderlinesTABLE[[#This Row],[UnitCost]]*orderlinesTABLE[[#This Row],[Qty]])</f>
        <v>38.229999999999997</v>
      </c>
      <c r="Q124">
        <f>(orderlinesTABLE[[#This Row],[LineNetAmount]]-orderlinesTABLE[[#This Row],[totalCOST]])</f>
        <v>30.664999999999999</v>
      </c>
      <c r="R124" t="str">
        <f>VLOOKUP($B124,Menu!$A$1:$F$20,MATCH(OrderLines!R$1,Menu!$A$1:$F$1,0),0)</f>
        <v>Gulab Jamun (2 pc)</v>
      </c>
      <c r="S124" t="str" cm="1">
        <f t="array" ref="S124">_xlfn.TEXTJOIN("+",TRUE,_xlfn._xlws.FILTER(orderlinesTABLE[ItemName],OrderID=orderlinesTABLE[[#This Row],[OrderID]]))</f>
        <v>Gulab Jamun (2 pc)+Masala Chaas</v>
      </c>
      <c r="T124" s="54">
        <f>orderlinesTABLE[[#This Row],[Profit]]/orderlinesTABLE[[#This Row],[LineNetAmount]]</f>
        <v>0.44509761230858552</v>
      </c>
      <c r="U124" s="70">
        <f>(orderlinesTABLE[[#This Row],[Qty]]*orderlinesTABLE[[#This Row],[UnitCost]])</f>
        <v>38.229999999999997</v>
      </c>
    </row>
    <row r="125" spans="1:21" x14ac:dyDescent="0.3">
      <c r="A125" s="15" t="s">
        <v>86</v>
      </c>
      <c r="B125" s="15" t="s">
        <v>404</v>
      </c>
      <c r="C125" s="15">
        <v>1</v>
      </c>
      <c r="D125" s="36">
        <f>VLOOKUP($B125,Menu!$A$1:$F$20,MATCH($D$1,Menu!$A$1:$F$1,0),0)</f>
        <v>32.979999999999997</v>
      </c>
      <c r="E125" s="15" t="str">
        <f>VLOOKUP($B125,Menu!$A$1:$F$20,MATCH(OrderLines!E$1,Menu!$A$1:$F$1,0),0)</f>
        <v>Beverage</v>
      </c>
      <c r="F125" s="36">
        <f>VLOOKUP($B125,Menu!$A$1:$F$20,MATCH(OrderLines!F$1,Menu!$A$1:$F$1,0),0)</f>
        <v>11.84</v>
      </c>
      <c r="G125" s="27">
        <f>VLOOKUP($A125,Orders!$A$1:$H$361,MATCH($G$1,Orders!$A$1:$H$1,0),0)</f>
        <v>45897</v>
      </c>
      <c r="H125" s="15" t="str">
        <f>VLOOKUP($A125,Orders!$A$1:$H$361,MATCH(OrderLines!$H$1,Orders!$A$1:$H$1,0),0)</f>
        <v>Plant 2 Canteen</v>
      </c>
      <c r="I125" s="15">
        <f>VLOOKUP($A125,Orders!$A$1:$H$361,MATCH(OrderLines!$I$1,Orders!$A$1:$H$1,0),0)</f>
        <v>0.1</v>
      </c>
      <c r="J125" s="15">
        <f t="shared" si="4"/>
        <v>29.681999999999999</v>
      </c>
      <c r="K125" s="27" t="str">
        <f t="shared" si="5"/>
        <v>August</v>
      </c>
      <c r="L125" s="15" t="str">
        <f>VLOOKUP(OrderLines!$A125,Orders!$A$1:$H$361,MATCH(OrderLines!$L$1,Orders!$A$1:$H$1,0),0)</f>
        <v>Breakfast</v>
      </c>
      <c r="M125" t="str">
        <f>VLOOKUP($A125,Orders!$A$1:$H$361,MATCH(OrderLines!$M$1,Orders!$A$1:$H$1,0),0)</f>
        <v>UPI</v>
      </c>
      <c r="N125" t="str">
        <f t="shared" si="3"/>
        <v>Single</v>
      </c>
      <c r="O125" t="str" cm="1">
        <f t="array" ref="O125">IF((SUMPRODUCT((OrderID=OrderLines!$A125)*Qty*UnitPrice*DiscountPct))&gt;40,"HighDisc","OK")</f>
        <v>OK</v>
      </c>
      <c r="P125">
        <f>(orderlinesTABLE[[#This Row],[UnitCost]]*orderlinesTABLE[[#This Row],[Qty]])</f>
        <v>11.84</v>
      </c>
      <c r="Q125">
        <f>(orderlinesTABLE[[#This Row],[LineNetAmount]]-orderlinesTABLE[[#This Row],[totalCOST]])</f>
        <v>17.841999999999999</v>
      </c>
      <c r="R125" t="str">
        <f>VLOOKUP($B125,Menu!$A$1:$F$20,MATCH(OrderLines!R$1,Menu!$A$1:$F$1,0),0)</f>
        <v>Masala Chaas</v>
      </c>
      <c r="S125" t="str" cm="1">
        <f t="array" ref="S125">_xlfn.TEXTJOIN("+",TRUE,_xlfn._xlws.FILTER(orderlinesTABLE[ItemName],OrderID=orderlinesTABLE[[#This Row],[OrderID]]))</f>
        <v>Gulab Jamun (2 pc)+Masala Chaas</v>
      </c>
      <c r="T125" s="54">
        <f>orderlinesTABLE[[#This Row],[Profit]]/orderlinesTABLE[[#This Row],[LineNetAmount]]</f>
        <v>0.60110504682972843</v>
      </c>
      <c r="U125" s="70">
        <f>(orderlinesTABLE[[#This Row],[Qty]]*orderlinesTABLE[[#This Row],[UnitCost]])</f>
        <v>11.84</v>
      </c>
    </row>
    <row r="126" spans="1:21" x14ac:dyDescent="0.3">
      <c r="A126" s="14" t="s">
        <v>87</v>
      </c>
      <c r="B126" s="14" t="s">
        <v>407</v>
      </c>
      <c r="C126" s="14">
        <v>1</v>
      </c>
      <c r="D126" s="37">
        <f>VLOOKUP($B126,Menu!$A$1:$F$20,MATCH($D$1,Menu!$A$1:$F$1,0),0)</f>
        <v>246.09</v>
      </c>
      <c r="E126" s="14" t="str">
        <f>VLOOKUP($B126,Menu!$A$1:$F$20,MATCH(OrderLines!E$1,Menu!$A$1:$F$1,0),0)</f>
        <v>Hot Meal</v>
      </c>
      <c r="F126" s="37">
        <f>VLOOKUP($B126,Menu!$A$1:$F$20,MATCH(OrderLines!F$1,Menu!$A$1:$F$1,0),0)</f>
        <v>112.08</v>
      </c>
      <c r="G126" s="28">
        <f>VLOOKUP($A126,Orders!$A$1:$H$361,MATCH($G$1,Orders!$A$1:$H$1,0),0)</f>
        <v>45881</v>
      </c>
      <c r="H126" s="14" t="str">
        <f>VLOOKUP($A126,Orders!$A$1:$H$361,MATCH(OrderLines!$H$1,Orders!$A$1:$H$1,0),0)</f>
        <v>Head Office Café</v>
      </c>
      <c r="I126" s="14">
        <f>VLOOKUP($A126,Orders!$A$1:$H$361,MATCH(OrderLines!$I$1,Orders!$A$1:$H$1,0),0)</f>
        <v>0.03</v>
      </c>
      <c r="J126" s="14">
        <f t="shared" si="4"/>
        <v>238.7073</v>
      </c>
      <c r="K126" s="28" t="str">
        <f t="shared" si="5"/>
        <v>August</v>
      </c>
      <c r="L126" s="14" t="str">
        <f>VLOOKUP(OrderLines!$A126,Orders!$A$1:$H$361,MATCH(OrderLines!$L$1,Orders!$A$1:$H$1,0),0)</f>
        <v>Lunch</v>
      </c>
      <c r="M126" t="str">
        <f>VLOOKUP($A126,Orders!$A$1:$H$361,MATCH(OrderLines!$M$1,Orders!$A$1:$H$1,0),0)</f>
        <v>Cash</v>
      </c>
      <c r="N126" t="str">
        <f t="shared" si="3"/>
        <v>Single</v>
      </c>
      <c r="O126" t="str" cm="1">
        <f t="array" ref="O126">IF((SUMPRODUCT((OrderID=OrderLines!$A126)*Qty*UnitPrice*DiscountPct))&gt;40,"HighDisc","OK")</f>
        <v>OK</v>
      </c>
      <c r="P126">
        <f>(orderlinesTABLE[[#This Row],[UnitCost]]*orderlinesTABLE[[#This Row],[Qty]])</f>
        <v>112.08</v>
      </c>
      <c r="Q126">
        <f>(orderlinesTABLE[[#This Row],[LineNetAmount]]-orderlinesTABLE[[#This Row],[totalCOST]])</f>
        <v>126.62730000000001</v>
      </c>
      <c r="R126" t="str">
        <f>VLOOKUP($B126,Menu!$A$1:$F$20,MATCH(OrderLines!R$1,Menu!$A$1:$F$1,0),0)</f>
        <v>Egg Curry + Rice</v>
      </c>
      <c r="S126" t="str" cm="1">
        <f t="array" ref="S126">_xlfn.TEXTJOIN("+",TRUE,_xlfn._xlws.FILTER(orderlinesTABLE[ItemName],OrderID=orderlinesTABLE[[#This Row],[OrderID]]))</f>
        <v>Egg Curry + Rice+Brownie+Gulab Jamun (2 pc)</v>
      </c>
      <c r="T126" s="54">
        <f>orderlinesTABLE[[#This Row],[Profit]]/orderlinesTABLE[[#This Row],[LineNetAmount]]</f>
        <v>0.53047099942062936</v>
      </c>
      <c r="U126" s="70">
        <f>(orderlinesTABLE[[#This Row],[Qty]]*orderlinesTABLE[[#This Row],[UnitCost]])</f>
        <v>112.08</v>
      </c>
    </row>
    <row r="127" spans="1:21" x14ac:dyDescent="0.3">
      <c r="A127" s="15" t="s">
        <v>87</v>
      </c>
      <c r="B127" s="15" t="s">
        <v>414</v>
      </c>
      <c r="C127" s="15">
        <v>1</v>
      </c>
      <c r="D127" s="36">
        <f>VLOOKUP($B127,Menu!$A$1:$F$20,MATCH($D$1,Menu!$A$1:$F$1,0),0)</f>
        <v>116.8</v>
      </c>
      <c r="E127" s="15" t="str">
        <f>VLOOKUP($B127,Menu!$A$1:$F$20,MATCH(OrderLines!E$1,Menu!$A$1:$F$1,0),0)</f>
        <v>Dessert</v>
      </c>
      <c r="F127" s="36">
        <f>VLOOKUP($B127,Menu!$A$1:$F$20,MATCH(OrderLines!F$1,Menu!$A$1:$F$1,0),0)</f>
        <v>48.97</v>
      </c>
      <c r="G127" s="27">
        <f>VLOOKUP($A127,Orders!$A$1:$H$361,MATCH($G$1,Orders!$A$1:$H$1,0),0)</f>
        <v>45881</v>
      </c>
      <c r="H127" s="15" t="str">
        <f>VLOOKUP($A127,Orders!$A$1:$H$361,MATCH(OrderLines!$H$1,Orders!$A$1:$H$1,0),0)</f>
        <v>Head Office Café</v>
      </c>
      <c r="I127" s="15">
        <f>VLOOKUP($A127,Orders!$A$1:$H$361,MATCH(OrderLines!$I$1,Orders!$A$1:$H$1,0),0)</f>
        <v>0.03</v>
      </c>
      <c r="J127" s="15">
        <f t="shared" si="4"/>
        <v>113.29599999999999</v>
      </c>
      <c r="K127" s="27" t="str">
        <f t="shared" si="5"/>
        <v>August</v>
      </c>
      <c r="L127" s="15" t="str">
        <f>VLOOKUP(OrderLines!$A127,Orders!$A$1:$H$361,MATCH(OrderLines!$L$1,Orders!$A$1:$H$1,0),0)</f>
        <v>Lunch</v>
      </c>
      <c r="M127" t="str">
        <f>VLOOKUP($A127,Orders!$A$1:$H$361,MATCH(OrderLines!$M$1,Orders!$A$1:$H$1,0),0)</f>
        <v>Cash</v>
      </c>
      <c r="N127" t="str">
        <f t="shared" si="3"/>
        <v>Single</v>
      </c>
      <c r="O127" t="str" cm="1">
        <f t="array" ref="O127">IF((SUMPRODUCT((OrderID=OrderLines!$A127)*Qty*UnitPrice*DiscountPct))&gt;40,"HighDisc","OK")</f>
        <v>OK</v>
      </c>
      <c r="P127">
        <f>(orderlinesTABLE[[#This Row],[UnitCost]]*orderlinesTABLE[[#This Row],[Qty]])</f>
        <v>48.97</v>
      </c>
      <c r="Q127">
        <f>(orderlinesTABLE[[#This Row],[LineNetAmount]]-orderlinesTABLE[[#This Row],[totalCOST]])</f>
        <v>64.325999999999993</v>
      </c>
      <c r="R127" t="str">
        <f>VLOOKUP($B127,Menu!$A$1:$F$20,MATCH(OrderLines!R$1,Menu!$A$1:$F$1,0),0)</f>
        <v>Brownie</v>
      </c>
      <c r="S127" t="str" cm="1">
        <f t="array" ref="S127">_xlfn.TEXTJOIN("+",TRUE,_xlfn._xlws.FILTER(orderlinesTABLE[ItemName],OrderID=orderlinesTABLE[[#This Row],[OrderID]]))</f>
        <v>Egg Curry + Rice+Brownie+Gulab Jamun (2 pc)</v>
      </c>
      <c r="T127" s="54">
        <f>orderlinesTABLE[[#This Row],[Profit]]/orderlinesTABLE[[#This Row],[LineNetAmount]]</f>
        <v>0.56776938285552891</v>
      </c>
      <c r="U127" s="70">
        <f>(orderlinesTABLE[[#This Row],[Qty]]*orderlinesTABLE[[#This Row],[UnitCost]])</f>
        <v>48.97</v>
      </c>
    </row>
    <row r="128" spans="1:21" x14ac:dyDescent="0.3">
      <c r="A128" s="14" t="s">
        <v>87</v>
      </c>
      <c r="B128" s="14" t="s">
        <v>403</v>
      </c>
      <c r="C128" s="14">
        <v>3</v>
      </c>
      <c r="D128" s="37">
        <f>VLOOKUP($B128,Menu!$A$1:$F$20,MATCH($D$1,Menu!$A$1:$F$1,0),0)</f>
        <v>76.55</v>
      </c>
      <c r="E128" s="14" t="str">
        <f>VLOOKUP($B128,Menu!$A$1:$F$20,MATCH(OrderLines!E$1,Menu!$A$1:$F$1,0),0)</f>
        <v>Dessert</v>
      </c>
      <c r="F128" s="37">
        <f>VLOOKUP($B128,Menu!$A$1:$F$20,MATCH(OrderLines!F$1,Menu!$A$1:$F$1,0),0)</f>
        <v>38.229999999999997</v>
      </c>
      <c r="G128" s="28">
        <f>VLOOKUP($A128,Orders!$A$1:$H$361,MATCH($G$1,Orders!$A$1:$H$1,0),0)</f>
        <v>45881</v>
      </c>
      <c r="H128" s="14" t="str">
        <f>VLOOKUP($A128,Orders!$A$1:$H$361,MATCH(OrderLines!$H$1,Orders!$A$1:$H$1,0),0)</f>
        <v>Head Office Café</v>
      </c>
      <c r="I128" s="14">
        <f>VLOOKUP($A128,Orders!$A$1:$H$361,MATCH(OrderLines!$I$1,Orders!$A$1:$H$1,0),0)</f>
        <v>0.03</v>
      </c>
      <c r="J128" s="14">
        <f t="shared" si="4"/>
        <v>222.76049999999998</v>
      </c>
      <c r="K128" s="28" t="str">
        <f t="shared" si="5"/>
        <v>August</v>
      </c>
      <c r="L128" s="14" t="str">
        <f>VLOOKUP(OrderLines!$A128,Orders!$A$1:$H$361,MATCH(OrderLines!$L$1,Orders!$A$1:$H$1,0),0)</f>
        <v>Lunch</v>
      </c>
      <c r="M128" t="str">
        <f>VLOOKUP($A128,Orders!$A$1:$H$361,MATCH(OrderLines!$M$1,Orders!$A$1:$H$1,0),0)</f>
        <v>Cash</v>
      </c>
      <c r="N128" t="str">
        <f t="shared" si="3"/>
        <v>Single</v>
      </c>
      <c r="O128" t="str" cm="1">
        <f t="array" ref="O128">IF((SUMPRODUCT((OrderID=OrderLines!$A128)*Qty*UnitPrice*DiscountPct))&gt;40,"HighDisc","OK")</f>
        <v>OK</v>
      </c>
      <c r="P128">
        <f>(orderlinesTABLE[[#This Row],[UnitCost]]*orderlinesTABLE[[#This Row],[Qty]])</f>
        <v>114.69</v>
      </c>
      <c r="Q128">
        <f>(orderlinesTABLE[[#This Row],[LineNetAmount]]-orderlinesTABLE[[#This Row],[totalCOST]])</f>
        <v>108.07049999999998</v>
      </c>
      <c r="R128" t="str">
        <f>VLOOKUP($B128,Menu!$A$1:$F$20,MATCH(OrderLines!R$1,Menu!$A$1:$F$1,0),0)</f>
        <v>Gulab Jamun (2 pc)</v>
      </c>
      <c r="S128" t="str" cm="1">
        <f t="array" ref="S128">_xlfn.TEXTJOIN("+",TRUE,_xlfn._xlws.FILTER(orderlinesTABLE[ItemName],OrderID=orderlinesTABLE[[#This Row],[OrderID]]))</f>
        <v>Egg Curry + Rice+Brownie+Gulab Jamun (2 pc)</v>
      </c>
      <c r="T128" s="54">
        <f>orderlinesTABLE[[#This Row],[Profit]]/orderlinesTABLE[[#This Row],[LineNetAmount]]</f>
        <v>0.48514211451312056</v>
      </c>
      <c r="U128" s="70">
        <f>(orderlinesTABLE[[#This Row],[Qty]]*orderlinesTABLE[[#This Row],[UnitCost]])</f>
        <v>114.69</v>
      </c>
    </row>
    <row r="129" spans="1:21" x14ac:dyDescent="0.3">
      <c r="A129" s="15" t="s">
        <v>88</v>
      </c>
      <c r="B129" s="15" t="s">
        <v>408</v>
      </c>
      <c r="C129" s="15">
        <v>2</v>
      </c>
      <c r="D129" s="36">
        <f>VLOOKUP($B129,Menu!$A$1:$F$20,MATCH($D$1,Menu!$A$1:$F$1,0),0)</f>
        <v>70.540000000000006</v>
      </c>
      <c r="E129" s="15" t="str">
        <f>VLOOKUP($B129,Menu!$A$1:$F$20,MATCH(OrderLines!E$1,Menu!$A$1:$F$1,0),0)</f>
        <v>Snack</v>
      </c>
      <c r="F129" s="36">
        <f>VLOOKUP($B129,Menu!$A$1:$F$20,MATCH(OrderLines!F$1,Menu!$A$1:$F$1,0),0)</f>
        <v>35.81</v>
      </c>
      <c r="G129" s="27">
        <f>VLOOKUP($A129,Orders!$A$1:$H$361,MATCH($G$1,Orders!$A$1:$H$1,0),0)</f>
        <v>45895</v>
      </c>
      <c r="H129" s="15" t="str">
        <f>VLOOKUP($A129,Orders!$A$1:$H$361,MATCH(OrderLines!$H$1,Orders!$A$1:$H$1,0),0)</f>
        <v>Plant 1 Canteen</v>
      </c>
      <c r="I129" s="15">
        <f>VLOOKUP($A129,Orders!$A$1:$H$361,MATCH(OrderLines!$I$1,Orders!$A$1:$H$1,0),0)</f>
        <v>0.05</v>
      </c>
      <c r="J129" s="15">
        <f t="shared" si="4"/>
        <v>134.02600000000001</v>
      </c>
      <c r="K129" s="27" t="str">
        <f t="shared" si="5"/>
        <v>August</v>
      </c>
      <c r="L129" s="15" t="str">
        <f>VLOOKUP(OrderLines!$A129,Orders!$A$1:$H$361,MATCH(OrderLines!$L$1,Orders!$A$1:$H$1,0),0)</f>
        <v>Breakfast</v>
      </c>
      <c r="M129" t="str">
        <f>VLOOKUP($A129,Orders!$A$1:$H$361,MATCH(OrderLines!$M$1,Orders!$A$1:$H$1,0),0)</f>
        <v>Cash</v>
      </c>
      <c r="N129" t="str">
        <f t="shared" si="3"/>
        <v>Single</v>
      </c>
      <c r="O129" t="str" cm="1">
        <f t="array" ref="O129">IF((SUMPRODUCT((OrderID=OrderLines!$A129)*Qty*UnitPrice*DiscountPct))&gt;40,"HighDisc","OK")</f>
        <v>OK</v>
      </c>
      <c r="P129">
        <f>(orderlinesTABLE[[#This Row],[UnitCost]]*orderlinesTABLE[[#This Row],[Qty]])</f>
        <v>71.62</v>
      </c>
      <c r="Q129">
        <f>(orderlinesTABLE[[#This Row],[LineNetAmount]]-orderlinesTABLE[[#This Row],[totalCOST]])</f>
        <v>62.406000000000006</v>
      </c>
      <c r="R129" t="str">
        <f>VLOOKUP($B129,Menu!$A$1:$F$20,MATCH(OrderLines!R$1,Menu!$A$1:$F$1,0),0)</f>
        <v>Veg Sandwich</v>
      </c>
      <c r="S129" t="str" cm="1">
        <f t="array" ref="S129">_xlfn.TEXTJOIN("+",TRUE,_xlfn._xlws.FILTER(orderlinesTABLE[ItemName],OrderID=orderlinesTABLE[[#This Row],[OrderID]]))</f>
        <v>Veg Sandwich+Poha</v>
      </c>
      <c r="T129" s="54">
        <f>orderlinesTABLE[[#This Row],[Profit]]/orderlinesTABLE[[#This Row],[LineNetAmount]]</f>
        <v>0.46562607255308675</v>
      </c>
      <c r="U129" s="70">
        <f>(orderlinesTABLE[[#This Row],[Qty]]*orderlinesTABLE[[#This Row],[UnitCost]])</f>
        <v>71.62</v>
      </c>
    </row>
    <row r="130" spans="1:21" x14ac:dyDescent="0.3">
      <c r="A130" s="14" t="s">
        <v>88</v>
      </c>
      <c r="B130" s="14" t="s">
        <v>401</v>
      </c>
      <c r="C130" s="14">
        <v>1</v>
      </c>
      <c r="D130" s="37">
        <f>VLOOKUP($B130,Menu!$A$1:$F$20,MATCH($D$1,Menu!$A$1:$F$1,0),0)</f>
        <v>52.45</v>
      </c>
      <c r="E130" s="14" t="str">
        <f>VLOOKUP($B130,Menu!$A$1:$F$20,MATCH(OrderLines!E$1,Menu!$A$1:$F$1,0),0)</f>
        <v>Snack</v>
      </c>
      <c r="F130" s="37">
        <f>VLOOKUP($B130,Menu!$A$1:$F$20,MATCH(OrderLines!F$1,Menu!$A$1:$F$1,0),0)</f>
        <v>25.8</v>
      </c>
      <c r="G130" s="28">
        <f>VLOOKUP($A130,Orders!$A$1:$H$361,MATCH($G$1,Orders!$A$1:$H$1,0),0)</f>
        <v>45895</v>
      </c>
      <c r="H130" s="14" t="str">
        <f>VLOOKUP($A130,Orders!$A$1:$H$361,MATCH(OrderLines!$H$1,Orders!$A$1:$H$1,0),0)</f>
        <v>Plant 1 Canteen</v>
      </c>
      <c r="I130" s="14">
        <f>VLOOKUP($A130,Orders!$A$1:$H$361,MATCH(OrderLines!$I$1,Orders!$A$1:$H$1,0),0)</f>
        <v>0.05</v>
      </c>
      <c r="J130" s="14">
        <f t="shared" si="4"/>
        <v>49.827500000000001</v>
      </c>
      <c r="K130" s="28" t="str">
        <f t="shared" si="5"/>
        <v>August</v>
      </c>
      <c r="L130" s="14" t="str">
        <f>VLOOKUP(OrderLines!$A130,Orders!$A$1:$H$361,MATCH(OrderLines!$L$1,Orders!$A$1:$H$1,0),0)</f>
        <v>Breakfast</v>
      </c>
      <c r="M130" t="str">
        <f>VLOOKUP($A130,Orders!$A$1:$H$361,MATCH(OrderLines!$M$1,Orders!$A$1:$H$1,0),0)</f>
        <v>Cash</v>
      </c>
      <c r="N130" t="str">
        <f t="shared" ref="N130:N193" si="6">IF(AND(COUNTIFS(OrderID,$A130,Category,"hot meal")&gt;=1,COUNTIFS(OrderID,$A130,Category,"beverage")&gt;=1),"Combo","Single")</f>
        <v>Single</v>
      </c>
      <c r="O130" t="str" cm="1">
        <f t="array" ref="O130">IF((SUMPRODUCT((OrderID=OrderLines!$A130)*Qty*UnitPrice*DiscountPct))&gt;40,"HighDisc","OK")</f>
        <v>OK</v>
      </c>
      <c r="P130">
        <f>(orderlinesTABLE[[#This Row],[UnitCost]]*orderlinesTABLE[[#This Row],[Qty]])</f>
        <v>25.8</v>
      </c>
      <c r="Q130">
        <f>(orderlinesTABLE[[#This Row],[LineNetAmount]]-orderlinesTABLE[[#This Row],[totalCOST]])</f>
        <v>24.0275</v>
      </c>
      <c r="R130" t="str">
        <f>VLOOKUP($B130,Menu!$A$1:$F$20,MATCH(OrderLines!R$1,Menu!$A$1:$F$1,0),0)</f>
        <v>Poha</v>
      </c>
      <c r="S130" t="str" cm="1">
        <f t="array" ref="S130">_xlfn.TEXTJOIN("+",TRUE,_xlfn._xlws.FILTER(orderlinesTABLE[ItemName],OrderID=orderlinesTABLE[[#This Row],[OrderID]]))</f>
        <v>Veg Sandwich+Poha</v>
      </c>
      <c r="T130" s="54">
        <f>orderlinesTABLE[[#This Row],[Profit]]/orderlinesTABLE[[#This Row],[LineNetAmount]]</f>
        <v>0.48221363704781495</v>
      </c>
      <c r="U130" s="70">
        <f>(orderlinesTABLE[[#This Row],[Qty]]*orderlinesTABLE[[#This Row],[UnitCost]])</f>
        <v>25.8</v>
      </c>
    </row>
    <row r="131" spans="1:21" x14ac:dyDescent="0.3">
      <c r="A131" s="15" t="s">
        <v>89</v>
      </c>
      <c r="B131" s="15" t="s">
        <v>401</v>
      </c>
      <c r="C131" s="15">
        <v>2</v>
      </c>
      <c r="D131" s="36">
        <f>VLOOKUP($B131,Menu!$A$1:$F$20,MATCH($D$1,Menu!$A$1:$F$1,0),0)</f>
        <v>52.45</v>
      </c>
      <c r="E131" s="15" t="str">
        <f>VLOOKUP($B131,Menu!$A$1:$F$20,MATCH(OrderLines!E$1,Menu!$A$1:$F$1,0),0)</f>
        <v>Snack</v>
      </c>
      <c r="F131" s="36">
        <f>VLOOKUP($B131,Menu!$A$1:$F$20,MATCH(OrderLines!F$1,Menu!$A$1:$F$1,0),0)</f>
        <v>25.8</v>
      </c>
      <c r="G131" s="27">
        <f>VLOOKUP($A131,Orders!$A$1:$H$361,MATCH($G$1,Orders!$A$1:$H$1,0),0)</f>
        <v>45839</v>
      </c>
      <c r="H131" s="15" t="str">
        <f>VLOOKUP($A131,Orders!$A$1:$H$361,MATCH(OrderLines!$H$1,Orders!$A$1:$H$1,0),0)</f>
        <v>Head Office Café</v>
      </c>
      <c r="I131" s="15">
        <f>VLOOKUP($A131,Orders!$A$1:$H$361,MATCH(OrderLines!$I$1,Orders!$A$1:$H$1,0),0)</f>
        <v>0.04</v>
      </c>
      <c r="J131" s="15">
        <f t="shared" ref="J131:J194" si="7">$C131*$D131*(1-$I131)</f>
        <v>100.70400000000001</v>
      </c>
      <c r="K131" s="27" t="str">
        <f t="shared" ref="K131:K194" si="8">TEXT($G131,"mmmm")</f>
        <v>July</v>
      </c>
      <c r="L131" s="15" t="str">
        <f>VLOOKUP(OrderLines!$A131,Orders!$A$1:$H$361,MATCH(OrderLines!$L$1,Orders!$A$1:$H$1,0),0)</f>
        <v>Breakfast</v>
      </c>
      <c r="M131" t="str">
        <f>VLOOKUP($A131,Orders!$A$1:$H$361,MATCH(OrderLines!$M$1,Orders!$A$1:$H$1,0),0)</f>
        <v>UPI</v>
      </c>
      <c r="N131" t="str">
        <f t="shared" si="6"/>
        <v>Single</v>
      </c>
      <c r="O131" t="str" cm="1">
        <f t="array" ref="O131">IF((SUMPRODUCT((OrderID=OrderLines!$A131)*Qty*UnitPrice*DiscountPct))&gt;40,"HighDisc","OK")</f>
        <v>OK</v>
      </c>
      <c r="P131">
        <f>(orderlinesTABLE[[#This Row],[UnitCost]]*orderlinesTABLE[[#This Row],[Qty]])</f>
        <v>51.6</v>
      </c>
      <c r="Q131">
        <f>(orderlinesTABLE[[#This Row],[LineNetAmount]]-orderlinesTABLE[[#This Row],[totalCOST]])</f>
        <v>49.104000000000006</v>
      </c>
      <c r="R131" t="str">
        <f>VLOOKUP($B131,Menu!$A$1:$F$20,MATCH(OrderLines!R$1,Menu!$A$1:$F$1,0),0)</f>
        <v>Poha</v>
      </c>
      <c r="S131" t="str" cm="1">
        <f t="array" ref="S131">_xlfn.TEXTJOIN("+",TRUE,_xlfn._xlws.FILTER(orderlinesTABLE[ItemName],OrderID=orderlinesTABLE[[#This Row],[OrderID]]))</f>
        <v>Poha</v>
      </c>
      <c r="T131" s="54">
        <f>orderlinesTABLE[[#This Row],[Profit]]/orderlinesTABLE[[#This Row],[LineNetAmount]]</f>
        <v>0.48760724499523356</v>
      </c>
      <c r="U131" s="70">
        <f>(orderlinesTABLE[[#This Row],[Qty]]*orderlinesTABLE[[#This Row],[UnitCost]])</f>
        <v>51.6</v>
      </c>
    </row>
    <row r="132" spans="1:21" x14ac:dyDescent="0.3">
      <c r="A132" s="14" t="s">
        <v>90</v>
      </c>
      <c r="B132" s="14" t="s">
        <v>406</v>
      </c>
      <c r="C132" s="14">
        <v>1</v>
      </c>
      <c r="D132" s="37">
        <f>VLOOKUP($B132,Menu!$A$1:$F$20,MATCH($D$1,Menu!$A$1:$F$1,0),0)</f>
        <v>38.06</v>
      </c>
      <c r="E132" s="14" t="str">
        <f>VLOOKUP($B132,Menu!$A$1:$F$20,MATCH(OrderLines!E$1,Menu!$A$1:$F$1,0),0)</f>
        <v>Snack</v>
      </c>
      <c r="F132" s="37">
        <f>VLOOKUP($B132,Menu!$A$1:$F$20,MATCH(OrderLines!F$1,Menu!$A$1:$F$1,0),0)</f>
        <v>19.55</v>
      </c>
      <c r="G132" s="28">
        <f>VLOOKUP($A132,Orders!$A$1:$H$361,MATCH($G$1,Orders!$A$1:$H$1,0),0)</f>
        <v>45874</v>
      </c>
      <c r="H132" s="14" t="str">
        <f>VLOOKUP($A132,Orders!$A$1:$H$361,MATCH(OrderLines!$H$1,Orders!$A$1:$H$1,0),0)</f>
        <v>Plant 2 Canteen</v>
      </c>
      <c r="I132" s="14">
        <f>VLOOKUP($A132,Orders!$A$1:$H$361,MATCH(OrderLines!$I$1,Orders!$A$1:$H$1,0),0)</f>
        <v>0</v>
      </c>
      <c r="J132" s="14">
        <f t="shared" si="7"/>
        <v>38.06</v>
      </c>
      <c r="K132" s="28" t="str">
        <f t="shared" si="8"/>
        <v>August</v>
      </c>
      <c r="L132" s="14" t="str">
        <f>VLOOKUP(OrderLines!$A132,Orders!$A$1:$H$361,MATCH(OrderLines!$L$1,Orders!$A$1:$H$1,0),0)</f>
        <v>Lunch</v>
      </c>
      <c r="M132" t="str">
        <f>VLOOKUP($A132,Orders!$A$1:$H$361,MATCH(OrderLines!$M$1,Orders!$A$1:$H$1,0),0)</f>
        <v>UPI</v>
      </c>
      <c r="N132" t="str">
        <f t="shared" si="6"/>
        <v>Single</v>
      </c>
      <c r="O132" t="str" cm="1">
        <f t="array" ref="O132">IF((SUMPRODUCT((OrderID=OrderLines!$A132)*Qty*UnitPrice*DiscountPct))&gt;40,"HighDisc","OK")</f>
        <v>OK</v>
      </c>
      <c r="P132">
        <f>(orderlinesTABLE[[#This Row],[UnitCost]]*orderlinesTABLE[[#This Row],[Qty]])</f>
        <v>19.55</v>
      </c>
      <c r="Q132">
        <f>(orderlinesTABLE[[#This Row],[LineNetAmount]]-orderlinesTABLE[[#This Row],[totalCOST]])</f>
        <v>18.510000000000002</v>
      </c>
      <c r="R132" t="str">
        <f>VLOOKUP($B132,Menu!$A$1:$F$20,MATCH(OrderLines!R$1,Menu!$A$1:$F$1,0),0)</f>
        <v>Paneer Roll</v>
      </c>
      <c r="S132" t="str" cm="1">
        <f t="array" ref="S132">_xlfn.TEXTJOIN("+",TRUE,_xlfn._xlws.FILTER(orderlinesTABLE[ItemName],OrderID=orderlinesTABLE[[#This Row],[OrderID]]))</f>
        <v>Paneer Roll+Brownie</v>
      </c>
      <c r="T132" s="54">
        <f>orderlinesTABLE[[#This Row],[Profit]]/orderlinesTABLE[[#This Row],[LineNetAmount]]</f>
        <v>0.48633736205990541</v>
      </c>
      <c r="U132" s="70">
        <f>(orderlinesTABLE[[#This Row],[Qty]]*orderlinesTABLE[[#This Row],[UnitCost]])</f>
        <v>19.55</v>
      </c>
    </row>
    <row r="133" spans="1:21" x14ac:dyDescent="0.3">
      <c r="A133" s="15" t="s">
        <v>90</v>
      </c>
      <c r="B133" s="15" t="s">
        <v>414</v>
      </c>
      <c r="C133" s="15">
        <v>2</v>
      </c>
      <c r="D133" s="36">
        <f>VLOOKUP($B133,Menu!$A$1:$F$20,MATCH($D$1,Menu!$A$1:$F$1,0),0)</f>
        <v>116.8</v>
      </c>
      <c r="E133" s="15" t="str">
        <f>VLOOKUP($B133,Menu!$A$1:$F$20,MATCH(OrderLines!E$1,Menu!$A$1:$F$1,0),0)</f>
        <v>Dessert</v>
      </c>
      <c r="F133" s="36">
        <f>VLOOKUP($B133,Menu!$A$1:$F$20,MATCH(OrderLines!F$1,Menu!$A$1:$F$1,0),0)</f>
        <v>48.97</v>
      </c>
      <c r="G133" s="27">
        <f>VLOOKUP($A133,Orders!$A$1:$H$361,MATCH($G$1,Orders!$A$1:$H$1,0),0)</f>
        <v>45874</v>
      </c>
      <c r="H133" s="15" t="str">
        <f>VLOOKUP($A133,Orders!$A$1:$H$361,MATCH(OrderLines!$H$1,Orders!$A$1:$H$1,0),0)</f>
        <v>Plant 2 Canteen</v>
      </c>
      <c r="I133" s="15">
        <f>VLOOKUP($A133,Orders!$A$1:$H$361,MATCH(OrderLines!$I$1,Orders!$A$1:$H$1,0),0)</f>
        <v>0</v>
      </c>
      <c r="J133" s="15">
        <f t="shared" si="7"/>
        <v>233.6</v>
      </c>
      <c r="K133" s="27" t="str">
        <f t="shared" si="8"/>
        <v>August</v>
      </c>
      <c r="L133" s="15" t="str">
        <f>VLOOKUP(OrderLines!$A133,Orders!$A$1:$H$361,MATCH(OrderLines!$L$1,Orders!$A$1:$H$1,0),0)</f>
        <v>Lunch</v>
      </c>
      <c r="M133" t="str">
        <f>VLOOKUP($A133,Orders!$A$1:$H$361,MATCH(OrderLines!$M$1,Orders!$A$1:$H$1,0),0)</f>
        <v>UPI</v>
      </c>
      <c r="N133" t="str">
        <f t="shared" si="6"/>
        <v>Single</v>
      </c>
      <c r="O133" t="str" cm="1">
        <f t="array" ref="O133">IF((SUMPRODUCT((OrderID=OrderLines!$A133)*Qty*UnitPrice*DiscountPct))&gt;40,"HighDisc","OK")</f>
        <v>OK</v>
      </c>
      <c r="P133">
        <f>(orderlinesTABLE[[#This Row],[UnitCost]]*orderlinesTABLE[[#This Row],[Qty]])</f>
        <v>97.94</v>
      </c>
      <c r="Q133">
        <f>(orderlinesTABLE[[#This Row],[LineNetAmount]]-orderlinesTABLE[[#This Row],[totalCOST]])</f>
        <v>135.66</v>
      </c>
      <c r="R133" t="str">
        <f>VLOOKUP($B133,Menu!$A$1:$F$20,MATCH(OrderLines!R$1,Menu!$A$1:$F$1,0),0)</f>
        <v>Brownie</v>
      </c>
      <c r="S133" t="str" cm="1">
        <f t="array" ref="S133">_xlfn.TEXTJOIN("+",TRUE,_xlfn._xlws.FILTER(orderlinesTABLE[ItemName],OrderID=orderlinesTABLE[[#This Row],[OrderID]]))</f>
        <v>Paneer Roll+Brownie</v>
      </c>
      <c r="T133" s="54">
        <f>orderlinesTABLE[[#This Row],[Profit]]/orderlinesTABLE[[#This Row],[LineNetAmount]]</f>
        <v>0.58073630136986298</v>
      </c>
      <c r="U133" s="70">
        <f>(orderlinesTABLE[[#This Row],[Qty]]*orderlinesTABLE[[#This Row],[UnitCost]])</f>
        <v>97.94</v>
      </c>
    </row>
    <row r="134" spans="1:21" x14ac:dyDescent="0.3">
      <c r="A134" s="14" t="s">
        <v>91</v>
      </c>
      <c r="B134" s="14" t="s">
        <v>415</v>
      </c>
      <c r="C134" s="14">
        <v>2</v>
      </c>
      <c r="D134" s="37">
        <f>VLOOKUP($B134,Menu!$A$1:$F$20,MATCH($D$1,Menu!$A$1:$F$1,0),0)</f>
        <v>256.91000000000003</v>
      </c>
      <c r="E134" s="14" t="str">
        <f>VLOOKUP($B134,Menu!$A$1:$F$20,MATCH(OrderLines!E$1,Menu!$A$1:$F$1,0),0)</f>
        <v>Hot Meal</v>
      </c>
      <c r="F134" s="37">
        <f>VLOOKUP($B134,Menu!$A$1:$F$20,MATCH(OrderLines!F$1,Menu!$A$1:$F$1,0),0)</f>
        <v>121.24</v>
      </c>
      <c r="G134" s="28">
        <f>VLOOKUP($A134,Orders!$A$1:$H$361,MATCH($G$1,Orders!$A$1:$H$1,0),0)</f>
        <v>45869</v>
      </c>
      <c r="H134" s="14" t="str">
        <f>VLOOKUP($A134,Orders!$A$1:$H$361,MATCH(OrderLines!$H$1,Orders!$A$1:$H$1,0),0)</f>
        <v>Head Office Café</v>
      </c>
      <c r="I134" s="14">
        <f>VLOOKUP($A134,Orders!$A$1:$H$361,MATCH(OrderLines!$I$1,Orders!$A$1:$H$1,0),0)</f>
        <v>7.0000000000000007E-2</v>
      </c>
      <c r="J134" s="14">
        <f t="shared" si="7"/>
        <v>477.8526</v>
      </c>
      <c r="K134" s="28" t="str">
        <f t="shared" si="8"/>
        <v>July</v>
      </c>
      <c r="L134" s="14" t="str">
        <f>VLOOKUP(OrderLines!$A134,Orders!$A$1:$H$361,MATCH(OrderLines!$L$1,Orders!$A$1:$H$1,0),0)</f>
        <v>Dinner</v>
      </c>
      <c r="M134" t="str">
        <f>VLOOKUP($A134,Orders!$A$1:$H$361,MATCH(OrderLines!$M$1,Orders!$A$1:$H$1,0),0)</f>
        <v>UPI</v>
      </c>
      <c r="N134" t="str">
        <f t="shared" si="6"/>
        <v>Single</v>
      </c>
      <c r="O134" t="str" cm="1">
        <f t="array" ref="O134">IF((SUMPRODUCT((OrderID=OrderLines!$A134)*Qty*UnitPrice*DiscountPct))&gt;40,"HighDisc","OK")</f>
        <v>HighDisc</v>
      </c>
      <c r="P134">
        <f>(orderlinesTABLE[[#This Row],[UnitCost]]*orderlinesTABLE[[#This Row],[Qty]])</f>
        <v>242.48</v>
      </c>
      <c r="Q134">
        <f>(orderlinesTABLE[[#This Row],[LineNetAmount]]-orderlinesTABLE[[#This Row],[totalCOST]])</f>
        <v>235.37260000000001</v>
      </c>
      <c r="R134" t="str">
        <f>VLOOKUP($B134,Menu!$A$1:$F$20,MATCH(OrderLines!R$1,Menu!$A$1:$F$1,0),0)</f>
        <v>Chicken Thali</v>
      </c>
      <c r="S134" t="str" cm="1">
        <f t="array" ref="S134">_xlfn.TEXTJOIN("+",TRUE,_xlfn._xlws.FILTER(orderlinesTABLE[ItemName],OrderID=orderlinesTABLE[[#This Row],[OrderID]]))</f>
        <v>Chicken Thali+Egg Curry + Rice</v>
      </c>
      <c r="T134" s="54">
        <f>orderlinesTABLE[[#This Row],[Profit]]/orderlinesTABLE[[#This Row],[LineNetAmount]]</f>
        <v>0.49256318789517939</v>
      </c>
      <c r="U134" s="70">
        <f>(orderlinesTABLE[[#This Row],[Qty]]*orderlinesTABLE[[#This Row],[UnitCost]])</f>
        <v>242.48</v>
      </c>
    </row>
    <row r="135" spans="1:21" x14ac:dyDescent="0.3">
      <c r="A135" s="15" t="s">
        <v>91</v>
      </c>
      <c r="B135" s="15" t="s">
        <v>407</v>
      </c>
      <c r="C135" s="15">
        <v>1</v>
      </c>
      <c r="D135" s="36">
        <f>VLOOKUP($B135,Menu!$A$1:$F$20,MATCH($D$1,Menu!$A$1:$F$1,0),0)</f>
        <v>246.09</v>
      </c>
      <c r="E135" s="15" t="str">
        <f>VLOOKUP($B135,Menu!$A$1:$F$20,MATCH(OrderLines!E$1,Menu!$A$1:$F$1,0),0)</f>
        <v>Hot Meal</v>
      </c>
      <c r="F135" s="36">
        <f>VLOOKUP($B135,Menu!$A$1:$F$20,MATCH(OrderLines!F$1,Menu!$A$1:$F$1,0),0)</f>
        <v>112.08</v>
      </c>
      <c r="G135" s="27">
        <f>VLOOKUP($A135,Orders!$A$1:$H$361,MATCH($G$1,Orders!$A$1:$H$1,0),0)</f>
        <v>45869</v>
      </c>
      <c r="H135" s="15" t="str">
        <f>VLOOKUP($A135,Orders!$A$1:$H$361,MATCH(OrderLines!$H$1,Orders!$A$1:$H$1,0),0)</f>
        <v>Head Office Café</v>
      </c>
      <c r="I135" s="15">
        <f>VLOOKUP($A135,Orders!$A$1:$H$361,MATCH(OrderLines!$I$1,Orders!$A$1:$H$1,0),0)</f>
        <v>7.0000000000000007E-2</v>
      </c>
      <c r="J135" s="15">
        <f t="shared" si="7"/>
        <v>228.86369999999999</v>
      </c>
      <c r="K135" s="27" t="str">
        <f t="shared" si="8"/>
        <v>July</v>
      </c>
      <c r="L135" s="15" t="str">
        <f>VLOOKUP(OrderLines!$A135,Orders!$A$1:$H$361,MATCH(OrderLines!$L$1,Orders!$A$1:$H$1,0),0)</f>
        <v>Dinner</v>
      </c>
      <c r="M135" t="str">
        <f>VLOOKUP($A135,Orders!$A$1:$H$361,MATCH(OrderLines!$M$1,Orders!$A$1:$H$1,0),0)</f>
        <v>UPI</v>
      </c>
      <c r="N135" t="str">
        <f t="shared" si="6"/>
        <v>Single</v>
      </c>
      <c r="O135" t="str" cm="1">
        <f t="array" ref="O135">IF((SUMPRODUCT((OrderID=OrderLines!$A135)*Qty*UnitPrice*DiscountPct))&gt;40,"HighDisc","OK")</f>
        <v>HighDisc</v>
      </c>
      <c r="P135">
        <f>(orderlinesTABLE[[#This Row],[UnitCost]]*orderlinesTABLE[[#This Row],[Qty]])</f>
        <v>112.08</v>
      </c>
      <c r="Q135">
        <f>(orderlinesTABLE[[#This Row],[LineNetAmount]]-orderlinesTABLE[[#This Row],[totalCOST]])</f>
        <v>116.7837</v>
      </c>
      <c r="R135" t="str">
        <f>VLOOKUP($B135,Menu!$A$1:$F$20,MATCH(OrderLines!R$1,Menu!$A$1:$F$1,0),0)</f>
        <v>Egg Curry + Rice</v>
      </c>
      <c r="S135" t="str" cm="1">
        <f t="array" ref="S135">_xlfn.TEXTJOIN("+",TRUE,_xlfn._xlws.FILTER(orderlinesTABLE[ItemName],OrderID=orderlinesTABLE[[#This Row],[OrderID]]))</f>
        <v>Chicken Thali+Egg Curry + Rice</v>
      </c>
      <c r="T135" s="54">
        <f>orderlinesTABLE[[#This Row],[Profit]]/orderlinesTABLE[[#This Row],[LineNetAmount]]</f>
        <v>0.5102762036967855</v>
      </c>
      <c r="U135" s="70">
        <f>(orderlinesTABLE[[#This Row],[Qty]]*orderlinesTABLE[[#This Row],[UnitCost]])</f>
        <v>112.08</v>
      </c>
    </row>
    <row r="136" spans="1:21" x14ac:dyDescent="0.3">
      <c r="A136" s="14" t="s">
        <v>92</v>
      </c>
      <c r="B136" s="14" t="s">
        <v>414</v>
      </c>
      <c r="C136" s="14">
        <v>3</v>
      </c>
      <c r="D136" s="37">
        <f>VLOOKUP($B136,Menu!$A$1:$F$20,MATCH($D$1,Menu!$A$1:$F$1,0),0)</f>
        <v>116.8</v>
      </c>
      <c r="E136" s="14" t="str">
        <f>VLOOKUP($B136,Menu!$A$1:$F$20,MATCH(OrderLines!E$1,Menu!$A$1:$F$1,0),0)</f>
        <v>Dessert</v>
      </c>
      <c r="F136" s="37">
        <f>VLOOKUP($B136,Menu!$A$1:$F$20,MATCH(OrderLines!F$1,Menu!$A$1:$F$1,0),0)</f>
        <v>48.97</v>
      </c>
      <c r="G136" s="28">
        <f>VLOOKUP($A136,Orders!$A$1:$H$361,MATCH($G$1,Orders!$A$1:$H$1,0),0)</f>
        <v>45888</v>
      </c>
      <c r="H136" s="14" t="str">
        <f>VLOOKUP($A136,Orders!$A$1:$H$361,MATCH(OrderLines!$H$1,Orders!$A$1:$H$1,0),0)</f>
        <v>Plant 2 Canteen</v>
      </c>
      <c r="I136" s="14">
        <f>VLOOKUP($A136,Orders!$A$1:$H$361,MATCH(OrderLines!$I$1,Orders!$A$1:$H$1,0),0)</f>
        <v>7.0000000000000007E-2</v>
      </c>
      <c r="J136" s="14">
        <f t="shared" si="7"/>
        <v>325.87199999999996</v>
      </c>
      <c r="K136" s="28" t="str">
        <f t="shared" si="8"/>
        <v>August</v>
      </c>
      <c r="L136" s="14" t="str">
        <f>VLOOKUP(OrderLines!$A136,Orders!$A$1:$H$361,MATCH(OrderLines!$L$1,Orders!$A$1:$H$1,0),0)</f>
        <v>Lunch</v>
      </c>
      <c r="M136" t="str">
        <f>VLOOKUP($A136,Orders!$A$1:$H$361,MATCH(OrderLines!$M$1,Orders!$A$1:$H$1,0),0)</f>
        <v>Card</v>
      </c>
      <c r="N136" t="str">
        <f t="shared" si="6"/>
        <v>Single</v>
      </c>
      <c r="O136" t="str" cm="1">
        <f t="array" ref="O136">IF((SUMPRODUCT((OrderID=OrderLines!$A136)*Qty*UnitPrice*DiscountPct))&gt;40,"HighDisc","OK")</f>
        <v>OK</v>
      </c>
      <c r="P136">
        <f>(orderlinesTABLE[[#This Row],[UnitCost]]*orderlinesTABLE[[#This Row],[Qty]])</f>
        <v>146.91</v>
      </c>
      <c r="Q136">
        <f>(orderlinesTABLE[[#This Row],[LineNetAmount]]-orderlinesTABLE[[#This Row],[totalCOST]])</f>
        <v>178.96199999999996</v>
      </c>
      <c r="R136" t="str">
        <f>VLOOKUP($B136,Menu!$A$1:$F$20,MATCH(OrderLines!R$1,Menu!$A$1:$F$1,0),0)</f>
        <v>Brownie</v>
      </c>
      <c r="S136" t="str" cm="1">
        <f t="array" ref="S136">_xlfn.TEXTJOIN("+",TRUE,_xlfn._xlws.FILTER(orderlinesTABLE[ItemName],OrderID=orderlinesTABLE[[#This Row],[OrderID]]))</f>
        <v>Brownie+Rajma Chawal</v>
      </c>
      <c r="T136" s="54">
        <f>orderlinesTABLE[[#This Row],[Profit]]/orderlinesTABLE[[#This Row],[LineNetAmount]]</f>
        <v>0.54917881867727203</v>
      </c>
      <c r="U136" s="70">
        <f>(orderlinesTABLE[[#This Row],[Qty]]*orderlinesTABLE[[#This Row],[UnitCost]])</f>
        <v>146.91</v>
      </c>
    </row>
    <row r="137" spans="1:21" x14ac:dyDescent="0.3">
      <c r="A137" s="15" t="s">
        <v>92</v>
      </c>
      <c r="B137" s="15" t="s">
        <v>417</v>
      </c>
      <c r="C137" s="15">
        <v>1</v>
      </c>
      <c r="D137" s="36">
        <f>VLOOKUP($B137,Menu!$A$1:$F$20,MATCH($D$1,Menu!$A$1:$F$1,0),0)</f>
        <v>146.4</v>
      </c>
      <c r="E137" s="15" t="str">
        <f>VLOOKUP($B137,Menu!$A$1:$F$20,MATCH(OrderLines!E$1,Menu!$A$1:$F$1,0),0)</f>
        <v>Hot Meal</v>
      </c>
      <c r="F137" s="36">
        <f>VLOOKUP($B137,Menu!$A$1:$F$20,MATCH(OrderLines!F$1,Menu!$A$1:$F$1,0),0)</f>
        <v>80.92</v>
      </c>
      <c r="G137" s="27">
        <f>VLOOKUP($A137,Orders!$A$1:$H$361,MATCH($G$1,Orders!$A$1:$H$1,0),0)</f>
        <v>45888</v>
      </c>
      <c r="H137" s="15" t="str">
        <f>VLOOKUP($A137,Orders!$A$1:$H$361,MATCH(OrderLines!$H$1,Orders!$A$1:$H$1,0),0)</f>
        <v>Plant 2 Canteen</v>
      </c>
      <c r="I137" s="15">
        <f>VLOOKUP($A137,Orders!$A$1:$H$361,MATCH(OrderLines!$I$1,Orders!$A$1:$H$1,0),0)</f>
        <v>7.0000000000000007E-2</v>
      </c>
      <c r="J137" s="15">
        <f t="shared" si="7"/>
        <v>136.15199999999999</v>
      </c>
      <c r="K137" s="27" t="str">
        <f t="shared" si="8"/>
        <v>August</v>
      </c>
      <c r="L137" s="15" t="str">
        <f>VLOOKUP(OrderLines!$A137,Orders!$A$1:$H$361,MATCH(OrderLines!$L$1,Orders!$A$1:$H$1,0),0)</f>
        <v>Lunch</v>
      </c>
      <c r="M137" t="str">
        <f>VLOOKUP($A137,Orders!$A$1:$H$361,MATCH(OrderLines!$M$1,Orders!$A$1:$H$1,0),0)</f>
        <v>Card</v>
      </c>
      <c r="N137" t="str">
        <f t="shared" si="6"/>
        <v>Single</v>
      </c>
      <c r="O137" t="str" cm="1">
        <f t="array" ref="O137">IF((SUMPRODUCT((OrderID=OrderLines!$A137)*Qty*UnitPrice*DiscountPct))&gt;40,"HighDisc","OK")</f>
        <v>OK</v>
      </c>
      <c r="P137">
        <f>(orderlinesTABLE[[#This Row],[UnitCost]]*orderlinesTABLE[[#This Row],[Qty]])</f>
        <v>80.92</v>
      </c>
      <c r="Q137">
        <f>(orderlinesTABLE[[#This Row],[LineNetAmount]]-orderlinesTABLE[[#This Row],[totalCOST]])</f>
        <v>55.231999999999985</v>
      </c>
      <c r="R137" t="str">
        <f>VLOOKUP($B137,Menu!$A$1:$F$20,MATCH(OrderLines!R$1,Menu!$A$1:$F$1,0),0)</f>
        <v>Rajma Chawal</v>
      </c>
      <c r="S137" t="str" cm="1">
        <f t="array" ref="S137">_xlfn.TEXTJOIN("+",TRUE,_xlfn._xlws.FILTER(orderlinesTABLE[ItemName],OrderID=orderlinesTABLE[[#This Row],[OrderID]]))</f>
        <v>Brownie+Rajma Chawal</v>
      </c>
      <c r="T137" s="54">
        <f>orderlinesTABLE[[#This Row],[Profit]]/orderlinesTABLE[[#This Row],[LineNetAmount]]</f>
        <v>0.40566425759445318</v>
      </c>
      <c r="U137" s="70">
        <f>(orderlinesTABLE[[#This Row],[Qty]]*orderlinesTABLE[[#This Row],[UnitCost]])</f>
        <v>80.92</v>
      </c>
    </row>
    <row r="138" spans="1:21" x14ac:dyDescent="0.3">
      <c r="A138" s="14" t="s">
        <v>93</v>
      </c>
      <c r="B138" s="14" t="s">
        <v>419</v>
      </c>
      <c r="C138" s="14">
        <v>1</v>
      </c>
      <c r="D138" s="37">
        <f>VLOOKUP($B138,Menu!$A$1:$F$20,MATCH($D$1,Menu!$A$1:$F$1,0),0)</f>
        <v>50.19</v>
      </c>
      <c r="E138" s="14" t="str">
        <f>VLOOKUP($B138,Menu!$A$1:$F$20,MATCH(OrderLines!E$1,Menu!$A$1:$F$1,0),0)</f>
        <v>Snack</v>
      </c>
      <c r="F138" s="37">
        <f>VLOOKUP($B138,Menu!$A$1:$F$20,MATCH(OrderLines!F$1,Menu!$A$1:$F$1,0),0)</f>
        <v>22.61</v>
      </c>
      <c r="G138" s="28">
        <f>VLOOKUP($A138,Orders!$A$1:$H$361,MATCH($G$1,Orders!$A$1:$H$1,0),0)</f>
        <v>45878</v>
      </c>
      <c r="H138" s="14" t="str">
        <f>VLOOKUP($A138,Orders!$A$1:$H$361,MATCH(OrderLines!$H$1,Orders!$A$1:$H$1,0),0)</f>
        <v>Head Office Café</v>
      </c>
      <c r="I138" s="14">
        <f>VLOOKUP($A138,Orders!$A$1:$H$361,MATCH(OrderLines!$I$1,Orders!$A$1:$H$1,0),0)</f>
        <v>0.06</v>
      </c>
      <c r="J138" s="14">
        <f t="shared" si="7"/>
        <v>47.178599999999996</v>
      </c>
      <c r="K138" s="28" t="str">
        <f t="shared" si="8"/>
        <v>August</v>
      </c>
      <c r="L138" s="14" t="str">
        <f>VLOOKUP(OrderLines!$A138,Orders!$A$1:$H$361,MATCH(OrderLines!$L$1,Orders!$A$1:$H$1,0),0)</f>
        <v>Breakfast</v>
      </c>
      <c r="M138" t="str">
        <f>VLOOKUP($A138,Orders!$A$1:$H$361,MATCH(OrderLines!$M$1,Orders!$A$1:$H$1,0),0)</f>
        <v>UPI</v>
      </c>
      <c r="N138" t="str">
        <f t="shared" si="6"/>
        <v>Single</v>
      </c>
      <c r="O138" t="str" cm="1">
        <f t="array" ref="O138">IF((SUMPRODUCT((OrderID=OrderLines!$A138)*Qty*UnitPrice*DiscountPct))&gt;40,"HighDisc","OK")</f>
        <v>OK</v>
      </c>
      <c r="P138">
        <f>(orderlinesTABLE[[#This Row],[UnitCost]]*orderlinesTABLE[[#This Row],[Qty]])</f>
        <v>22.61</v>
      </c>
      <c r="Q138">
        <f>(orderlinesTABLE[[#This Row],[LineNetAmount]]-orderlinesTABLE[[#This Row],[totalCOST]])</f>
        <v>24.568599999999996</v>
      </c>
      <c r="R138" t="str">
        <f>VLOOKUP($B138,Menu!$A$1:$F$20,MATCH(OrderLines!R$1,Menu!$A$1:$F$1,0),0)</f>
        <v>Masala Puff</v>
      </c>
      <c r="S138" t="str" cm="1">
        <f t="array" ref="S138">_xlfn.TEXTJOIN("+",TRUE,_xlfn._xlws.FILTER(orderlinesTABLE[ItemName],OrderID=orderlinesTABLE[[#This Row],[OrderID]]))</f>
        <v>Masala Puff+Tea+Paneer Roll+Gulab Jamun (2 pc)</v>
      </c>
      <c r="T138" s="54">
        <f>orderlinesTABLE[[#This Row],[Profit]]/orderlinesTABLE[[#This Row],[LineNetAmount]]</f>
        <v>0.52075729250126113</v>
      </c>
      <c r="U138" s="70">
        <f>(orderlinesTABLE[[#This Row],[Qty]]*orderlinesTABLE[[#This Row],[UnitCost]])</f>
        <v>22.61</v>
      </c>
    </row>
    <row r="139" spans="1:21" x14ac:dyDescent="0.3">
      <c r="A139" s="15" t="s">
        <v>93</v>
      </c>
      <c r="B139" s="15" t="s">
        <v>402</v>
      </c>
      <c r="C139" s="15">
        <v>3</v>
      </c>
      <c r="D139" s="36">
        <f>VLOOKUP($B139,Menu!$A$1:$F$20,MATCH($D$1,Menu!$A$1:$F$1,0),0)</f>
        <v>30.34</v>
      </c>
      <c r="E139" s="15" t="str">
        <f>VLOOKUP($B139,Menu!$A$1:$F$20,MATCH(OrderLines!E$1,Menu!$A$1:$F$1,0),0)</f>
        <v>Beverage</v>
      </c>
      <c r="F139" s="36">
        <f>VLOOKUP($B139,Menu!$A$1:$F$20,MATCH(OrderLines!F$1,Menu!$A$1:$F$1,0),0)</f>
        <v>14.18</v>
      </c>
      <c r="G139" s="27">
        <f>VLOOKUP($A139,Orders!$A$1:$H$361,MATCH($G$1,Orders!$A$1:$H$1,0),0)</f>
        <v>45878</v>
      </c>
      <c r="H139" s="15" t="str">
        <f>VLOOKUP($A139,Orders!$A$1:$H$361,MATCH(OrderLines!$H$1,Orders!$A$1:$H$1,0),0)</f>
        <v>Head Office Café</v>
      </c>
      <c r="I139" s="15">
        <f>VLOOKUP($A139,Orders!$A$1:$H$361,MATCH(OrderLines!$I$1,Orders!$A$1:$H$1,0),0)</f>
        <v>0.06</v>
      </c>
      <c r="J139" s="15">
        <f t="shared" si="7"/>
        <v>85.558799999999991</v>
      </c>
      <c r="K139" s="27" t="str">
        <f t="shared" si="8"/>
        <v>August</v>
      </c>
      <c r="L139" s="15" t="str">
        <f>VLOOKUP(OrderLines!$A139,Orders!$A$1:$H$361,MATCH(OrderLines!$L$1,Orders!$A$1:$H$1,0),0)</f>
        <v>Breakfast</v>
      </c>
      <c r="M139" t="str">
        <f>VLOOKUP($A139,Orders!$A$1:$H$361,MATCH(OrderLines!$M$1,Orders!$A$1:$H$1,0),0)</f>
        <v>UPI</v>
      </c>
      <c r="N139" t="str">
        <f t="shared" si="6"/>
        <v>Single</v>
      </c>
      <c r="O139" t="str" cm="1">
        <f t="array" ref="O139">IF((SUMPRODUCT((OrderID=OrderLines!$A139)*Qty*UnitPrice*DiscountPct))&gt;40,"HighDisc","OK")</f>
        <v>OK</v>
      </c>
      <c r="P139">
        <f>(orderlinesTABLE[[#This Row],[UnitCost]]*orderlinesTABLE[[#This Row],[Qty]])</f>
        <v>42.54</v>
      </c>
      <c r="Q139">
        <f>(orderlinesTABLE[[#This Row],[LineNetAmount]]-orderlinesTABLE[[#This Row],[totalCOST]])</f>
        <v>43.018799999999992</v>
      </c>
      <c r="R139" t="str">
        <f>VLOOKUP($B139,Menu!$A$1:$F$20,MATCH(OrderLines!R$1,Menu!$A$1:$F$1,0),0)</f>
        <v>Tea</v>
      </c>
      <c r="S139" t="str" cm="1">
        <f t="array" ref="S139">_xlfn.TEXTJOIN("+",TRUE,_xlfn._xlws.FILTER(orderlinesTABLE[ItemName],OrderID=orderlinesTABLE[[#This Row],[OrderID]]))</f>
        <v>Masala Puff+Tea+Paneer Roll+Gulab Jamun (2 pc)</v>
      </c>
      <c r="T139" s="54">
        <f>orderlinesTABLE[[#This Row],[Profit]]/orderlinesTABLE[[#This Row],[LineNetAmount]]</f>
        <v>0.50279807570933666</v>
      </c>
      <c r="U139" s="70">
        <f>(orderlinesTABLE[[#This Row],[Qty]]*orderlinesTABLE[[#This Row],[UnitCost]])</f>
        <v>42.54</v>
      </c>
    </row>
    <row r="140" spans="1:21" x14ac:dyDescent="0.3">
      <c r="A140" s="14" t="s">
        <v>93</v>
      </c>
      <c r="B140" s="14" t="s">
        <v>406</v>
      </c>
      <c r="C140" s="14">
        <v>1</v>
      </c>
      <c r="D140" s="37">
        <f>VLOOKUP($B140,Menu!$A$1:$F$20,MATCH($D$1,Menu!$A$1:$F$1,0),0)</f>
        <v>38.06</v>
      </c>
      <c r="E140" s="14" t="str">
        <f>VLOOKUP($B140,Menu!$A$1:$F$20,MATCH(OrderLines!E$1,Menu!$A$1:$F$1,0),0)</f>
        <v>Snack</v>
      </c>
      <c r="F140" s="37">
        <f>VLOOKUP($B140,Menu!$A$1:$F$20,MATCH(OrderLines!F$1,Menu!$A$1:$F$1,0),0)</f>
        <v>19.55</v>
      </c>
      <c r="G140" s="28">
        <f>VLOOKUP($A140,Orders!$A$1:$H$361,MATCH($G$1,Orders!$A$1:$H$1,0),0)</f>
        <v>45878</v>
      </c>
      <c r="H140" s="14" t="str">
        <f>VLOOKUP($A140,Orders!$A$1:$H$361,MATCH(OrderLines!$H$1,Orders!$A$1:$H$1,0),0)</f>
        <v>Head Office Café</v>
      </c>
      <c r="I140" s="14">
        <f>VLOOKUP($A140,Orders!$A$1:$H$361,MATCH(OrderLines!$I$1,Orders!$A$1:$H$1,0),0)</f>
        <v>0.06</v>
      </c>
      <c r="J140" s="14">
        <f t="shared" si="7"/>
        <v>35.776400000000002</v>
      </c>
      <c r="K140" s="28" t="str">
        <f t="shared" si="8"/>
        <v>August</v>
      </c>
      <c r="L140" s="14" t="str">
        <f>VLOOKUP(OrderLines!$A140,Orders!$A$1:$H$361,MATCH(OrderLines!$L$1,Orders!$A$1:$H$1,0),0)</f>
        <v>Breakfast</v>
      </c>
      <c r="M140" t="str">
        <f>VLOOKUP($A140,Orders!$A$1:$H$361,MATCH(OrderLines!$M$1,Orders!$A$1:$H$1,0),0)</f>
        <v>UPI</v>
      </c>
      <c r="N140" t="str">
        <f t="shared" si="6"/>
        <v>Single</v>
      </c>
      <c r="O140" t="str" cm="1">
        <f t="array" ref="O140">IF((SUMPRODUCT((OrderID=OrderLines!$A140)*Qty*UnitPrice*DiscountPct))&gt;40,"HighDisc","OK")</f>
        <v>OK</v>
      </c>
      <c r="P140">
        <f>(orderlinesTABLE[[#This Row],[UnitCost]]*orderlinesTABLE[[#This Row],[Qty]])</f>
        <v>19.55</v>
      </c>
      <c r="Q140">
        <f>(orderlinesTABLE[[#This Row],[LineNetAmount]]-orderlinesTABLE[[#This Row],[totalCOST]])</f>
        <v>16.226400000000002</v>
      </c>
      <c r="R140" t="str">
        <f>VLOOKUP($B140,Menu!$A$1:$F$20,MATCH(OrderLines!R$1,Menu!$A$1:$F$1,0),0)</f>
        <v>Paneer Roll</v>
      </c>
      <c r="S140" t="str" cm="1">
        <f t="array" ref="S140">_xlfn.TEXTJOIN("+",TRUE,_xlfn._xlws.FILTER(orderlinesTABLE[ItemName],OrderID=orderlinesTABLE[[#This Row],[OrderID]]))</f>
        <v>Masala Puff+Tea+Paneer Roll+Gulab Jamun (2 pc)</v>
      </c>
      <c r="T140" s="54">
        <f>orderlinesTABLE[[#This Row],[Profit]]/orderlinesTABLE[[#This Row],[LineNetAmount]]</f>
        <v>0.45355038517011215</v>
      </c>
      <c r="U140" s="70">
        <f>(orderlinesTABLE[[#This Row],[Qty]]*orderlinesTABLE[[#This Row],[UnitCost]])</f>
        <v>19.55</v>
      </c>
    </row>
    <row r="141" spans="1:21" x14ac:dyDescent="0.3">
      <c r="A141" s="15" t="s">
        <v>93</v>
      </c>
      <c r="B141" s="15" t="s">
        <v>403</v>
      </c>
      <c r="C141" s="15">
        <v>1</v>
      </c>
      <c r="D141" s="36">
        <f>VLOOKUP($B141,Menu!$A$1:$F$20,MATCH($D$1,Menu!$A$1:$F$1,0),0)</f>
        <v>76.55</v>
      </c>
      <c r="E141" s="15" t="str">
        <f>VLOOKUP($B141,Menu!$A$1:$F$20,MATCH(OrderLines!E$1,Menu!$A$1:$F$1,0),0)</f>
        <v>Dessert</v>
      </c>
      <c r="F141" s="36">
        <f>VLOOKUP($B141,Menu!$A$1:$F$20,MATCH(OrderLines!F$1,Menu!$A$1:$F$1,0),0)</f>
        <v>38.229999999999997</v>
      </c>
      <c r="G141" s="27">
        <f>VLOOKUP($A141,Orders!$A$1:$H$361,MATCH($G$1,Orders!$A$1:$H$1,0),0)</f>
        <v>45878</v>
      </c>
      <c r="H141" s="15" t="str">
        <f>VLOOKUP($A141,Orders!$A$1:$H$361,MATCH(OrderLines!$H$1,Orders!$A$1:$H$1,0),0)</f>
        <v>Head Office Café</v>
      </c>
      <c r="I141" s="15">
        <f>VLOOKUP($A141,Orders!$A$1:$H$361,MATCH(OrderLines!$I$1,Orders!$A$1:$H$1,0),0)</f>
        <v>0.06</v>
      </c>
      <c r="J141" s="15">
        <f t="shared" si="7"/>
        <v>71.956999999999994</v>
      </c>
      <c r="K141" s="27" t="str">
        <f t="shared" si="8"/>
        <v>August</v>
      </c>
      <c r="L141" s="15" t="str">
        <f>VLOOKUP(OrderLines!$A141,Orders!$A$1:$H$361,MATCH(OrderLines!$L$1,Orders!$A$1:$H$1,0),0)</f>
        <v>Breakfast</v>
      </c>
      <c r="M141" t="str">
        <f>VLOOKUP($A141,Orders!$A$1:$H$361,MATCH(OrderLines!$M$1,Orders!$A$1:$H$1,0),0)</f>
        <v>UPI</v>
      </c>
      <c r="N141" t="str">
        <f t="shared" si="6"/>
        <v>Single</v>
      </c>
      <c r="O141" t="str" cm="1">
        <f t="array" ref="O141">IF((SUMPRODUCT((OrderID=OrderLines!$A141)*Qty*UnitPrice*DiscountPct))&gt;40,"HighDisc","OK")</f>
        <v>OK</v>
      </c>
      <c r="P141">
        <f>(orderlinesTABLE[[#This Row],[UnitCost]]*orderlinesTABLE[[#This Row],[Qty]])</f>
        <v>38.229999999999997</v>
      </c>
      <c r="Q141">
        <f>(orderlinesTABLE[[#This Row],[LineNetAmount]]-orderlinesTABLE[[#This Row],[totalCOST]])</f>
        <v>33.726999999999997</v>
      </c>
      <c r="R141" t="str">
        <f>VLOOKUP($B141,Menu!$A$1:$F$20,MATCH(OrderLines!R$1,Menu!$A$1:$F$1,0),0)</f>
        <v>Gulab Jamun (2 pc)</v>
      </c>
      <c r="S141" t="str" cm="1">
        <f t="array" ref="S141">_xlfn.TEXTJOIN("+",TRUE,_xlfn._xlws.FILTER(orderlinesTABLE[ItemName],OrderID=orderlinesTABLE[[#This Row],[OrderID]]))</f>
        <v>Masala Puff+Tea+Paneer Roll+Gulab Jamun (2 pc)</v>
      </c>
      <c r="T141" s="54">
        <f>orderlinesTABLE[[#This Row],[Profit]]/orderlinesTABLE[[#This Row],[LineNetAmount]]</f>
        <v>0.46871047986992231</v>
      </c>
      <c r="U141" s="70">
        <f>(orderlinesTABLE[[#This Row],[Qty]]*orderlinesTABLE[[#This Row],[UnitCost]])</f>
        <v>38.229999999999997</v>
      </c>
    </row>
    <row r="142" spans="1:21" x14ac:dyDescent="0.3">
      <c r="A142" s="14" t="s">
        <v>94</v>
      </c>
      <c r="B142" s="14" t="s">
        <v>407</v>
      </c>
      <c r="C142" s="14">
        <v>1</v>
      </c>
      <c r="D142" s="37">
        <f>VLOOKUP($B142,Menu!$A$1:$F$20,MATCH($D$1,Menu!$A$1:$F$1,0),0)</f>
        <v>246.09</v>
      </c>
      <c r="E142" s="14" t="str">
        <f>VLOOKUP($B142,Menu!$A$1:$F$20,MATCH(OrderLines!E$1,Menu!$A$1:$F$1,0),0)</f>
        <v>Hot Meal</v>
      </c>
      <c r="F142" s="37">
        <f>VLOOKUP($B142,Menu!$A$1:$F$20,MATCH(OrderLines!F$1,Menu!$A$1:$F$1,0),0)</f>
        <v>112.08</v>
      </c>
      <c r="G142" s="28">
        <f>VLOOKUP($A142,Orders!$A$1:$H$361,MATCH($G$1,Orders!$A$1:$H$1,0),0)</f>
        <v>45857</v>
      </c>
      <c r="H142" s="14" t="str">
        <f>VLOOKUP($A142,Orders!$A$1:$H$361,MATCH(OrderLines!$H$1,Orders!$A$1:$H$1,0),0)</f>
        <v>Plant 2 Canteen</v>
      </c>
      <c r="I142" s="14">
        <f>VLOOKUP($A142,Orders!$A$1:$H$361,MATCH(OrderLines!$I$1,Orders!$A$1:$H$1,0),0)</f>
        <v>0.05</v>
      </c>
      <c r="J142" s="14">
        <f t="shared" si="7"/>
        <v>233.78549999999998</v>
      </c>
      <c r="K142" s="28" t="str">
        <f t="shared" si="8"/>
        <v>July</v>
      </c>
      <c r="L142" s="14" t="str">
        <f>VLOOKUP(OrderLines!$A142,Orders!$A$1:$H$361,MATCH(OrderLines!$L$1,Orders!$A$1:$H$1,0),0)</f>
        <v>Dinner</v>
      </c>
      <c r="M142" t="str">
        <f>VLOOKUP($A142,Orders!$A$1:$H$361,MATCH(OrderLines!$M$1,Orders!$A$1:$H$1,0),0)</f>
        <v>Card</v>
      </c>
      <c r="N142" t="str">
        <f t="shared" si="6"/>
        <v>Single</v>
      </c>
      <c r="O142" t="str" cm="1">
        <f t="array" ref="O142">IF((SUMPRODUCT((OrderID=OrderLines!$A142)*Qty*UnitPrice*DiscountPct))&gt;40,"HighDisc","OK")</f>
        <v>OK</v>
      </c>
      <c r="P142">
        <f>(orderlinesTABLE[[#This Row],[UnitCost]]*orderlinesTABLE[[#This Row],[Qty]])</f>
        <v>112.08</v>
      </c>
      <c r="Q142">
        <f>(orderlinesTABLE[[#This Row],[LineNetAmount]]-orderlinesTABLE[[#This Row],[totalCOST]])</f>
        <v>121.70549999999999</v>
      </c>
      <c r="R142" t="str">
        <f>VLOOKUP($B142,Menu!$A$1:$F$20,MATCH(OrderLines!R$1,Menu!$A$1:$F$1,0),0)</f>
        <v>Egg Curry + Rice</v>
      </c>
      <c r="S142" t="str" cm="1">
        <f t="array" ref="S142">_xlfn.TEXTJOIN("+",TRUE,_xlfn._xlws.FILTER(orderlinesTABLE[ItemName],OrderID=orderlinesTABLE[[#This Row],[OrderID]]))</f>
        <v>Egg Curry + Rice</v>
      </c>
      <c r="T142" s="54">
        <f>orderlinesTABLE[[#This Row],[Profit]]/orderlinesTABLE[[#This Row],[LineNetAmount]]</f>
        <v>0.52058617835580046</v>
      </c>
      <c r="U142" s="70">
        <f>(orderlinesTABLE[[#This Row],[Qty]]*orderlinesTABLE[[#This Row],[UnitCost]])</f>
        <v>112.08</v>
      </c>
    </row>
    <row r="143" spans="1:21" x14ac:dyDescent="0.3">
      <c r="A143" s="15" t="s">
        <v>96</v>
      </c>
      <c r="B143" s="15" t="s">
        <v>403</v>
      </c>
      <c r="C143" s="15">
        <v>2</v>
      </c>
      <c r="D143" s="36">
        <f>VLOOKUP($B143,Menu!$A$1:$F$20,MATCH($D$1,Menu!$A$1:$F$1,0),0)</f>
        <v>76.55</v>
      </c>
      <c r="E143" s="15" t="str">
        <f>VLOOKUP($B143,Menu!$A$1:$F$20,MATCH(OrderLines!E$1,Menu!$A$1:$F$1,0),0)</f>
        <v>Dessert</v>
      </c>
      <c r="F143" s="36">
        <f>VLOOKUP($B143,Menu!$A$1:$F$20,MATCH(OrderLines!F$1,Menu!$A$1:$F$1,0),0)</f>
        <v>38.229999999999997</v>
      </c>
      <c r="G143" s="27">
        <f>VLOOKUP($A143,Orders!$A$1:$H$361,MATCH($G$1,Orders!$A$1:$H$1,0),0)</f>
        <v>45894</v>
      </c>
      <c r="H143" s="15" t="str">
        <f>VLOOKUP($A143,Orders!$A$1:$H$361,MATCH(OrderLines!$H$1,Orders!$A$1:$H$1,0),0)</f>
        <v>Plant 2 Canteen</v>
      </c>
      <c r="I143" s="15">
        <f>VLOOKUP($A143,Orders!$A$1:$H$361,MATCH(OrderLines!$I$1,Orders!$A$1:$H$1,0),0)</f>
        <v>0</v>
      </c>
      <c r="J143" s="15">
        <f t="shared" si="7"/>
        <v>153.1</v>
      </c>
      <c r="K143" s="27" t="str">
        <f t="shared" si="8"/>
        <v>August</v>
      </c>
      <c r="L143" s="15" t="str">
        <f>VLOOKUP(OrderLines!$A143,Orders!$A$1:$H$361,MATCH(OrderLines!$L$1,Orders!$A$1:$H$1,0),0)</f>
        <v>Lunch</v>
      </c>
      <c r="M143" t="str">
        <f>VLOOKUP($A143,Orders!$A$1:$H$361,MATCH(OrderLines!$M$1,Orders!$A$1:$H$1,0),0)</f>
        <v>UPI</v>
      </c>
      <c r="N143" t="str">
        <f t="shared" si="6"/>
        <v>Single</v>
      </c>
      <c r="O143" t="str" cm="1">
        <f t="array" ref="O143">IF((SUMPRODUCT((OrderID=OrderLines!$A143)*Qty*UnitPrice*DiscountPct))&gt;40,"HighDisc","OK")</f>
        <v>OK</v>
      </c>
      <c r="P143">
        <f>(orderlinesTABLE[[#This Row],[UnitCost]]*orderlinesTABLE[[#This Row],[Qty]])</f>
        <v>76.459999999999994</v>
      </c>
      <c r="Q143">
        <f>(orderlinesTABLE[[#This Row],[LineNetAmount]]-orderlinesTABLE[[#This Row],[totalCOST]])</f>
        <v>76.64</v>
      </c>
      <c r="R143" t="str">
        <f>VLOOKUP($B143,Menu!$A$1:$F$20,MATCH(OrderLines!R$1,Menu!$A$1:$F$1,0),0)</f>
        <v>Gulab Jamun (2 pc)</v>
      </c>
      <c r="S143" t="str" cm="1">
        <f t="array" ref="S143">_xlfn.TEXTJOIN("+",TRUE,_xlfn._xlws.FILTER(orderlinesTABLE[ItemName],OrderID=orderlinesTABLE[[#This Row],[OrderID]]))</f>
        <v>Gulab Jamun (2 pc)+Kheer Cup+Veg Thali</v>
      </c>
      <c r="T143" s="54">
        <f>orderlinesTABLE[[#This Row],[Profit]]/orderlinesTABLE[[#This Row],[LineNetAmount]]</f>
        <v>0.50058785107772696</v>
      </c>
      <c r="U143" s="70">
        <f>(orderlinesTABLE[[#This Row],[Qty]]*orderlinesTABLE[[#This Row],[UnitCost]])</f>
        <v>76.459999999999994</v>
      </c>
    </row>
    <row r="144" spans="1:21" x14ac:dyDescent="0.3">
      <c r="A144" s="14" t="s">
        <v>96</v>
      </c>
      <c r="B144" s="14" t="s">
        <v>413</v>
      </c>
      <c r="C144" s="14">
        <v>1</v>
      </c>
      <c r="D144" s="37">
        <f>VLOOKUP($B144,Menu!$A$1:$F$20,MATCH($D$1,Menu!$A$1:$F$1,0),0)</f>
        <v>54.2</v>
      </c>
      <c r="E144" s="14" t="str">
        <f>VLOOKUP($B144,Menu!$A$1:$F$20,MATCH(OrderLines!E$1,Menu!$A$1:$F$1,0),0)</f>
        <v>Dessert</v>
      </c>
      <c r="F144" s="37">
        <f>VLOOKUP($B144,Menu!$A$1:$F$20,MATCH(OrderLines!F$1,Menu!$A$1:$F$1,0),0)</f>
        <v>21.95</v>
      </c>
      <c r="G144" s="28">
        <f>VLOOKUP($A144,Orders!$A$1:$H$361,MATCH($G$1,Orders!$A$1:$H$1,0),0)</f>
        <v>45894</v>
      </c>
      <c r="H144" s="14" t="str">
        <f>VLOOKUP($A144,Orders!$A$1:$H$361,MATCH(OrderLines!$H$1,Orders!$A$1:$H$1,0),0)</f>
        <v>Plant 2 Canteen</v>
      </c>
      <c r="I144" s="14">
        <f>VLOOKUP($A144,Orders!$A$1:$H$361,MATCH(OrderLines!$I$1,Orders!$A$1:$H$1,0),0)</f>
        <v>0</v>
      </c>
      <c r="J144" s="14">
        <f t="shared" si="7"/>
        <v>54.2</v>
      </c>
      <c r="K144" s="28" t="str">
        <f t="shared" si="8"/>
        <v>August</v>
      </c>
      <c r="L144" s="14" t="str">
        <f>VLOOKUP(OrderLines!$A144,Orders!$A$1:$H$361,MATCH(OrderLines!$L$1,Orders!$A$1:$H$1,0),0)</f>
        <v>Lunch</v>
      </c>
      <c r="M144" t="str">
        <f>VLOOKUP($A144,Orders!$A$1:$H$361,MATCH(OrderLines!$M$1,Orders!$A$1:$H$1,0),0)</f>
        <v>UPI</v>
      </c>
      <c r="N144" t="str">
        <f t="shared" si="6"/>
        <v>Single</v>
      </c>
      <c r="O144" t="str" cm="1">
        <f t="array" ref="O144">IF((SUMPRODUCT((OrderID=OrderLines!$A144)*Qty*UnitPrice*DiscountPct))&gt;40,"HighDisc","OK")</f>
        <v>OK</v>
      </c>
      <c r="P144">
        <f>(orderlinesTABLE[[#This Row],[UnitCost]]*orderlinesTABLE[[#This Row],[Qty]])</f>
        <v>21.95</v>
      </c>
      <c r="Q144">
        <f>(orderlinesTABLE[[#This Row],[LineNetAmount]]-orderlinesTABLE[[#This Row],[totalCOST]])</f>
        <v>32.25</v>
      </c>
      <c r="R144" t="str">
        <f>VLOOKUP($B144,Menu!$A$1:$F$20,MATCH(OrderLines!R$1,Menu!$A$1:$F$1,0),0)</f>
        <v>Kheer Cup</v>
      </c>
      <c r="S144" t="str" cm="1">
        <f t="array" ref="S144">_xlfn.TEXTJOIN("+",TRUE,_xlfn._xlws.FILTER(orderlinesTABLE[ItemName],OrderID=orderlinesTABLE[[#This Row],[OrderID]]))</f>
        <v>Gulab Jamun (2 pc)+Kheer Cup+Veg Thali</v>
      </c>
      <c r="T144" s="54">
        <f>orderlinesTABLE[[#This Row],[Profit]]/orderlinesTABLE[[#This Row],[LineNetAmount]]</f>
        <v>0.59501845018450183</v>
      </c>
      <c r="U144" s="70">
        <f>(orderlinesTABLE[[#This Row],[Qty]]*orderlinesTABLE[[#This Row],[UnitCost]])</f>
        <v>21.95</v>
      </c>
    </row>
    <row r="145" spans="1:21" x14ac:dyDescent="0.3">
      <c r="A145" s="15" t="s">
        <v>96</v>
      </c>
      <c r="B145" s="15" t="s">
        <v>416</v>
      </c>
      <c r="C145" s="15">
        <v>2</v>
      </c>
      <c r="D145" s="36">
        <f>VLOOKUP($B145,Menu!$A$1:$F$20,MATCH($D$1,Menu!$A$1:$F$1,0),0)</f>
        <v>227.61</v>
      </c>
      <c r="E145" s="15" t="str">
        <f>VLOOKUP($B145,Menu!$A$1:$F$20,MATCH(OrderLines!E$1,Menu!$A$1:$F$1,0),0)</f>
        <v>Hot Meal</v>
      </c>
      <c r="F145" s="36">
        <f>VLOOKUP($B145,Menu!$A$1:$F$20,MATCH(OrderLines!F$1,Menu!$A$1:$F$1,0),0)</f>
        <v>96.22</v>
      </c>
      <c r="G145" s="27">
        <f>VLOOKUP($A145,Orders!$A$1:$H$361,MATCH($G$1,Orders!$A$1:$H$1,0),0)</f>
        <v>45894</v>
      </c>
      <c r="H145" s="15" t="str">
        <f>VLOOKUP($A145,Orders!$A$1:$H$361,MATCH(OrderLines!$H$1,Orders!$A$1:$H$1,0),0)</f>
        <v>Plant 2 Canteen</v>
      </c>
      <c r="I145" s="15">
        <f>VLOOKUP($A145,Orders!$A$1:$H$361,MATCH(OrderLines!$I$1,Orders!$A$1:$H$1,0),0)</f>
        <v>0</v>
      </c>
      <c r="J145" s="15">
        <f t="shared" si="7"/>
        <v>455.22</v>
      </c>
      <c r="K145" s="27" t="str">
        <f t="shared" si="8"/>
        <v>August</v>
      </c>
      <c r="L145" s="15" t="str">
        <f>VLOOKUP(OrderLines!$A145,Orders!$A$1:$H$361,MATCH(OrderLines!$L$1,Orders!$A$1:$H$1,0),0)</f>
        <v>Lunch</v>
      </c>
      <c r="M145" t="str">
        <f>VLOOKUP($A145,Orders!$A$1:$H$361,MATCH(OrderLines!$M$1,Orders!$A$1:$H$1,0),0)</f>
        <v>UPI</v>
      </c>
      <c r="N145" t="str">
        <f t="shared" si="6"/>
        <v>Single</v>
      </c>
      <c r="O145" t="str" cm="1">
        <f t="array" ref="O145">IF((SUMPRODUCT((OrderID=OrderLines!$A145)*Qty*UnitPrice*DiscountPct))&gt;40,"HighDisc","OK")</f>
        <v>OK</v>
      </c>
      <c r="P145">
        <f>(orderlinesTABLE[[#This Row],[UnitCost]]*orderlinesTABLE[[#This Row],[Qty]])</f>
        <v>192.44</v>
      </c>
      <c r="Q145">
        <f>(orderlinesTABLE[[#This Row],[LineNetAmount]]-orderlinesTABLE[[#This Row],[totalCOST]])</f>
        <v>262.78000000000003</v>
      </c>
      <c r="R145" t="str">
        <f>VLOOKUP($B145,Menu!$A$1:$F$20,MATCH(OrderLines!R$1,Menu!$A$1:$F$1,0),0)</f>
        <v>Veg Thali</v>
      </c>
      <c r="S145" t="str" cm="1">
        <f t="array" ref="S145">_xlfn.TEXTJOIN("+",TRUE,_xlfn._xlws.FILTER(orderlinesTABLE[ItemName],OrderID=orderlinesTABLE[[#This Row],[OrderID]]))</f>
        <v>Gulab Jamun (2 pc)+Kheer Cup+Veg Thali</v>
      </c>
      <c r="T145" s="54">
        <f>orderlinesTABLE[[#This Row],[Profit]]/orderlinesTABLE[[#This Row],[LineNetAmount]]</f>
        <v>0.57725934712886084</v>
      </c>
      <c r="U145" s="70">
        <f>(orderlinesTABLE[[#This Row],[Qty]]*orderlinesTABLE[[#This Row],[UnitCost]])</f>
        <v>192.44</v>
      </c>
    </row>
    <row r="146" spans="1:21" x14ac:dyDescent="0.3">
      <c r="A146" s="14" t="s">
        <v>97</v>
      </c>
      <c r="B146" s="14" t="s">
        <v>405</v>
      </c>
      <c r="C146" s="14">
        <v>2</v>
      </c>
      <c r="D146" s="37">
        <f>VLOOKUP($B146,Menu!$A$1:$F$20,MATCH($D$1,Menu!$A$1:$F$1,0),0)</f>
        <v>170.83</v>
      </c>
      <c r="E146" s="14" t="str">
        <f>VLOOKUP($B146,Menu!$A$1:$F$20,MATCH(OrderLines!E$1,Menu!$A$1:$F$1,0),0)</f>
        <v>Hot Meal</v>
      </c>
      <c r="F146" s="37">
        <f>VLOOKUP($B146,Menu!$A$1:$F$20,MATCH(OrderLines!F$1,Menu!$A$1:$F$1,0),0)</f>
        <v>74.069999999999993</v>
      </c>
      <c r="G146" s="28">
        <f>VLOOKUP($A146,Orders!$A$1:$H$361,MATCH($G$1,Orders!$A$1:$H$1,0),0)</f>
        <v>45868</v>
      </c>
      <c r="H146" s="14" t="str">
        <f>VLOOKUP($A146,Orders!$A$1:$H$361,MATCH(OrderLines!$H$1,Orders!$A$1:$H$1,0),0)</f>
        <v>Plant 2 Canteen</v>
      </c>
      <c r="I146" s="14">
        <f>VLOOKUP($A146,Orders!$A$1:$H$361,MATCH(OrderLines!$I$1,Orders!$A$1:$H$1,0),0)</f>
        <v>0.04</v>
      </c>
      <c r="J146" s="14">
        <f t="shared" si="7"/>
        <v>327.99360000000001</v>
      </c>
      <c r="K146" s="28" t="str">
        <f t="shared" si="8"/>
        <v>July</v>
      </c>
      <c r="L146" s="14" t="str">
        <f>VLOOKUP(OrderLines!$A146,Orders!$A$1:$H$361,MATCH(OrderLines!$L$1,Orders!$A$1:$H$1,0),0)</f>
        <v>Dinner</v>
      </c>
      <c r="M146" t="str">
        <f>VLOOKUP($A146,Orders!$A$1:$H$361,MATCH(OrderLines!$M$1,Orders!$A$1:$H$1,0),0)</f>
        <v>Card</v>
      </c>
      <c r="N146" t="str">
        <f t="shared" si="6"/>
        <v>Single</v>
      </c>
      <c r="O146" t="str" cm="1">
        <f t="array" ref="O146">IF((SUMPRODUCT((OrderID=OrderLines!$A146)*Qty*UnitPrice*DiscountPct))&gt;40,"HighDisc","OK")</f>
        <v>OK</v>
      </c>
      <c r="P146">
        <f>(orderlinesTABLE[[#This Row],[UnitCost]]*orderlinesTABLE[[#This Row],[Qty]])</f>
        <v>148.13999999999999</v>
      </c>
      <c r="Q146">
        <f>(orderlinesTABLE[[#This Row],[LineNetAmount]]-orderlinesTABLE[[#This Row],[totalCOST]])</f>
        <v>179.85360000000003</v>
      </c>
      <c r="R146" t="str">
        <f>VLOOKUP($B146,Menu!$A$1:$F$20,MATCH(OrderLines!R$1,Menu!$A$1:$F$1,0),0)</f>
        <v>Paneer Butter Masala + Naan</v>
      </c>
      <c r="S146" t="str" cm="1">
        <f t="array" ref="S146">_xlfn.TEXTJOIN("+",TRUE,_xlfn._xlws.FILTER(orderlinesTABLE[ItemName],OrderID=orderlinesTABLE[[#This Row],[OrderID]]))</f>
        <v>Paneer Butter Masala + Naan+Chicken Thali+Veg Sandwich</v>
      </c>
      <c r="T146" s="54">
        <f>orderlinesTABLE[[#This Row],[Profit]]/orderlinesTABLE[[#This Row],[LineNetAmount]]</f>
        <v>0.54834484575308795</v>
      </c>
      <c r="U146" s="70">
        <f>(orderlinesTABLE[[#This Row],[Qty]]*orderlinesTABLE[[#This Row],[UnitCost]])</f>
        <v>148.13999999999999</v>
      </c>
    </row>
    <row r="147" spans="1:21" x14ac:dyDescent="0.3">
      <c r="A147" s="15" t="s">
        <v>97</v>
      </c>
      <c r="B147" s="15" t="s">
        <v>415</v>
      </c>
      <c r="C147" s="15">
        <v>1</v>
      </c>
      <c r="D147" s="36">
        <f>VLOOKUP($B147,Menu!$A$1:$F$20,MATCH($D$1,Menu!$A$1:$F$1,0),0)</f>
        <v>256.91000000000003</v>
      </c>
      <c r="E147" s="15" t="str">
        <f>VLOOKUP($B147,Menu!$A$1:$F$20,MATCH(OrderLines!E$1,Menu!$A$1:$F$1,0),0)</f>
        <v>Hot Meal</v>
      </c>
      <c r="F147" s="36">
        <f>VLOOKUP($B147,Menu!$A$1:$F$20,MATCH(OrderLines!F$1,Menu!$A$1:$F$1,0),0)</f>
        <v>121.24</v>
      </c>
      <c r="G147" s="27">
        <f>VLOOKUP($A147,Orders!$A$1:$H$361,MATCH($G$1,Orders!$A$1:$H$1,0),0)</f>
        <v>45868</v>
      </c>
      <c r="H147" s="15" t="str">
        <f>VLOOKUP($A147,Orders!$A$1:$H$361,MATCH(OrderLines!$H$1,Orders!$A$1:$H$1,0),0)</f>
        <v>Plant 2 Canteen</v>
      </c>
      <c r="I147" s="15">
        <f>VLOOKUP($A147,Orders!$A$1:$H$361,MATCH(OrderLines!$I$1,Orders!$A$1:$H$1,0),0)</f>
        <v>0.04</v>
      </c>
      <c r="J147" s="15">
        <f t="shared" si="7"/>
        <v>246.6336</v>
      </c>
      <c r="K147" s="27" t="str">
        <f t="shared" si="8"/>
        <v>July</v>
      </c>
      <c r="L147" s="15" t="str">
        <f>VLOOKUP(OrderLines!$A147,Orders!$A$1:$H$361,MATCH(OrderLines!$L$1,Orders!$A$1:$H$1,0),0)</f>
        <v>Dinner</v>
      </c>
      <c r="M147" t="str">
        <f>VLOOKUP($A147,Orders!$A$1:$H$361,MATCH(OrderLines!$M$1,Orders!$A$1:$H$1,0),0)</f>
        <v>Card</v>
      </c>
      <c r="N147" t="str">
        <f t="shared" si="6"/>
        <v>Single</v>
      </c>
      <c r="O147" t="str" cm="1">
        <f t="array" ref="O147">IF((SUMPRODUCT((OrderID=OrderLines!$A147)*Qty*UnitPrice*DiscountPct))&gt;40,"HighDisc","OK")</f>
        <v>OK</v>
      </c>
      <c r="P147">
        <f>(orderlinesTABLE[[#This Row],[UnitCost]]*orderlinesTABLE[[#This Row],[Qty]])</f>
        <v>121.24</v>
      </c>
      <c r="Q147">
        <f>(orderlinesTABLE[[#This Row],[LineNetAmount]]-orderlinesTABLE[[#This Row],[totalCOST]])</f>
        <v>125.39360000000001</v>
      </c>
      <c r="R147" t="str">
        <f>VLOOKUP($B147,Menu!$A$1:$F$20,MATCH(OrderLines!R$1,Menu!$A$1:$F$1,0),0)</f>
        <v>Chicken Thali</v>
      </c>
      <c r="S147" t="str" cm="1">
        <f t="array" ref="S147">_xlfn.TEXTJOIN("+",TRUE,_xlfn._xlws.FILTER(orderlinesTABLE[ItemName],OrderID=orderlinesTABLE[[#This Row],[OrderID]]))</f>
        <v>Paneer Butter Masala + Naan+Chicken Thali+Veg Sandwich</v>
      </c>
      <c r="T147" s="54">
        <f>orderlinesTABLE[[#This Row],[Profit]]/orderlinesTABLE[[#This Row],[LineNetAmount]]</f>
        <v>0.50842058827345504</v>
      </c>
      <c r="U147" s="70">
        <f>(orderlinesTABLE[[#This Row],[Qty]]*orderlinesTABLE[[#This Row],[UnitCost]])</f>
        <v>121.24</v>
      </c>
    </row>
    <row r="148" spans="1:21" x14ac:dyDescent="0.3">
      <c r="A148" s="14" t="s">
        <v>97</v>
      </c>
      <c r="B148" s="14" t="s">
        <v>408</v>
      </c>
      <c r="C148" s="14">
        <v>2</v>
      </c>
      <c r="D148" s="37">
        <f>VLOOKUP($B148,Menu!$A$1:$F$20,MATCH($D$1,Menu!$A$1:$F$1,0),0)</f>
        <v>70.540000000000006</v>
      </c>
      <c r="E148" s="14" t="str">
        <f>VLOOKUP($B148,Menu!$A$1:$F$20,MATCH(OrderLines!E$1,Menu!$A$1:$F$1,0),0)</f>
        <v>Snack</v>
      </c>
      <c r="F148" s="37">
        <f>VLOOKUP($B148,Menu!$A$1:$F$20,MATCH(OrderLines!F$1,Menu!$A$1:$F$1,0),0)</f>
        <v>35.81</v>
      </c>
      <c r="G148" s="28">
        <f>VLOOKUP($A148,Orders!$A$1:$H$361,MATCH($G$1,Orders!$A$1:$H$1,0),0)</f>
        <v>45868</v>
      </c>
      <c r="H148" s="14" t="str">
        <f>VLOOKUP($A148,Orders!$A$1:$H$361,MATCH(OrderLines!$H$1,Orders!$A$1:$H$1,0),0)</f>
        <v>Plant 2 Canteen</v>
      </c>
      <c r="I148" s="14">
        <f>VLOOKUP($A148,Orders!$A$1:$H$361,MATCH(OrderLines!$I$1,Orders!$A$1:$H$1,0),0)</f>
        <v>0.04</v>
      </c>
      <c r="J148" s="14">
        <f t="shared" si="7"/>
        <v>135.43680000000001</v>
      </c>
      <c r="K148" s="28" t="str">
        <f t="shared" si="8"/>
        <v>July</v>
      </c>
      <c r="L148" s="14" t="str">
        <f>VLOOKUP(OrderLines!$A148,Orders!$A$1:$H$361,MATCH(OrderLines!$L$1,Orders!$A$1:$H$1,0),0)</f>
        <v>Dinner</v>
      </c>
      <c r="M148" t="str">
        <f>VLOOKUP($A148,Orders!$A$1:$H$361,MATCH(OrderLines!$M$1,Orders!$A$1:$H$1,0),0)</f>
        <v>Card</v>
      </c>
      <c r="N148" t="str">
        <f t="shared" si="6"/>
        <v>Single</v>
      </c>
      <c r="O148" t="str" cm="1">
        <f t="array" ref="O148">IF((SUMPRODUCT((OrderID=OrderLines!$A148)*Qty*UnitPrice*DiscountPct))&gt;40,"HighDisc","OK")</f>
        <v>OK</v>
      </c>
      <c r="P148">
        <f>(orderlinesTABLE[[#This Row],[UnitCost]]*orderlinesTABLE[[#This Row],[Qty]])</f>
        <v>71.62</v>
      </c>
      <c r="Q148">
        <f>(orderlinesTABLE[[#This Row],[LineNetAmount]]-orderlinesTABLE[[#This Row],[totalCOST]])</f>
        <v>63.816800000000001</v>
      </c>
      <c r="R148" t="str">
        <f>VLOOKUP($B148,Menu!$A$1:$F$20,MATCH(OrderLines!R$1,Menu!$A$1:$F$1,0),0)</f>
        <v>Veg Sandwich</v>
      </c>
      <c r="S148" t="str" cm="1">
        <f t="array" ref="S148">_xlfn.TEXTJOIN("+",TRUE,_xlfn._xlws.FILTER(orderlinesTABLE[ItemName],OrderID=orderlinesTABLE[[#This Row],[OrderID]]))</f>
        <v>Paneer Butter Masala + Naan+Chicken Thali+Veg Sandwich</v>
      </c>
      <c r="T148" s="54">
        <f>orderlinesTABLE[[#This Row],[Profit]]/orderlinesTABLE[[#This Row],[LineNetAmount]]</f>
        <v>0.4711924676306587</v>
      </c>
      <c r="U148" s="70">
        <f>(orderlinesTABLE[[#This Row],[Qty]]*orderlinesTABLE[[#This Row],[UnitCost]])</f>
        <v>71.62</v>
      </c>
    </row>
    <row r="149" spans="1:21" x14ac:dyDescent="0.3">
      <c r="A149" s="15" t="s">
        <v>98</v>
      </c>
      <c r="B149" s="15" t="s">
        <v>401</v>
      </c>
      <c r="C149" s="15">
        <v>1</v>
      </c>
      <c r="D149" s="36">
        <f>VLOOKUP($B149,Menu!$A$1:$F$20,MATCH($D$1,Menu!$A$1:$F$1,0),0)</f>
        <v>52.45</v>
      </c>
      <c r="E149" s="15" t="str">
        <f>VLOOKUP($B149,Menu!$A$1:$F$20,MATCH(OrderLines!E$1,Menu!$A$1:$F$1,0),0)</f>
        <v>Snack</v>
      </c>
      <c r="F149" s="36">
        <f>VLOOKUP($B149,Menu!$A$1:$F$20,MATCH(OrderLines!F$1,Menu!$A$1:$F$1,0),0)</f>
        <v>25.8</v>
      </c>
      <c r="G149" s="27">
        <f>VLOOKUP($A149,Orders!$A$1:$H$361,MATCH($G$1,Orders!$A$1:$H$1,0),0)</f>
        <v>45884</v>
      </c>
      <c r="H149" s="15" t="str">
        <f>VLOOKUP($A149,Orders!$A$1:$H$361,MATCH(OrderLines!$H$1,Orders!$A$1:$H$1,0),0)</f>
        <v>Plant 2 Canteen</v>
      </c>
      <c r="I149" s="15">
        <f>VLOOKUP($A149,Orders!$A$1:$H$361,MATCH(OrderLines!$I$1,Orders!$A$1:$H$1,0),0)</f>
        <v>0.05</v>
      </c>
      <c r="J149" s="15">
        <f t="shared" si="7"/>
        <v>49.827500000000001</v>
      </c>
      <c r="K149" s="27" t="str">
        <f t="shared" si="8"/>
        <v>August</v>
      </c>
      <c r="L149" s="15" t="str">
        <f>VLOOKUP(OrderLines!$A149,Orders!$A$1:$H$361,MATCH(OrderLines!$L$1,Orders!$A$1:$H$1,0),0)</f>
        <v>Breakfast</v>
      </c>
      <c r="M149" t="str">
        <f>VLOOKUP($A149,Orders!$A$1:$H$361,MATCH(OrderLines!$M$1,Orders!$A$1:$H$1,0),0)</f>
        <v>UPI</v>
      </c>
      <c r="N149" t="str">
        <f t="shared" si="6"/>
        <v>Single</v>
      </c>
      <c r="O149" t="str" cm="1">
        <f t="array" ref="O149">IF((SUMPRODUCT((OrderID=OrderLines!$A149)*Qty*UnitPrice*DiscountPct))&gt;40,"HighDisc","OK")</f>
        <v>OK</v>
      </c>
      <c r="P149">
        <f>(orderlinesTABLE[[#This Row],[UnitCost]]*orderlinesTABLE[[#This Row],[Qty]])</f>
        <v>25.8</v>
      </c>
      <c r="Q149">
        <f>(orderlinesTABLE[[#This Row],[LineNetAmount]]-orderlinesTABLE[[#This Row],[totalCOST]])</f>
        <v>24.0275</v>
      </c>
      <c r="R149" t="str">
        <f>VLOOKUP($B149,Menu!$A$1:$F$20,MATCH(OrderLines!R$1,Menu!$A$1:$F$1,0),0)</f>
        <v>Poha</v>
      </c>
      <c r="S149" t="str" cm="1">
        <f t="array" ref="S149">_xlfn.TEXTJOIN("+",TRUE,_xlfn._xlws.FILTER(orderlinesTABLE[ItemName],OrderID=orderlinesTABLE[[#This Row],[OrderID]]))</f>
        <v>Poha+Tea+Samosa+Masala Chaas</v>
      </c>
      <c r="T149" s="54">
        <f>orderlinesTABLE[[#This Row],[Profit]]/orderlinesTABLE[[#This Row],[LineNetAmount]]</f>
        <v>0.48221363704781495</v>
      </c>
      <c r="U149" s="70">
        <f>(orderlinesTABLE[[#This Row],[Qty]]*orderlinesTABLE[[#This Row],[UnitCost]])</f>
        <v>25.8</v>
      </c>
    </row>
    <row r="150" spans="1:21" x14ac:dyDescent="0.3">
      <c r="A150" s="14" t="s">
        <v>98</v>
      </c>
      <c r="B150" s="14" t="s">
        <v>402</v>
      </c>
      <c r="C150" s="14">
        <v>2</v>
      </c>
      <c r="D150" s="37">
        <f>VLOOKUP($B150,Menu!$A$1:$F$20,MATCH($D$1,Menu!$A$1:$F$1,0),0)</f>
        <v>30.34</v>
      </c>
      <c r="E150" s="14" t="str">
        <f>VLOOKUP($B150,Menu!$A$1:$F$20,MATCH(OrderLines!E$1,Menu!$A$1:$F$1,0),0)</f>
        <v>Beverage</v>
      </c>
      <c r="F150" s="37">
        <f>VLOOKUP($B150,Menu!$A$1:$F$20,MATCH(OrderLines!F$1,Menu!$A$1:$F$1,0),0)</f>
        <v>14.18</v>
      </c>
      <c r="G150" s="28">
        <f>VLOOKUP($A150,Orders!$A$1:$H$361,MATCH($G$1,Orders!$A$1:$H$1,0),0)</f>
        <v>45884</v>
      </c>
      <c r="H150" s="14" t="str">
        <f>VLOOKUP($A150,Orders!$A$1:$H$361,MATCH(OrderLines!$H$1,Orders!$A$1:$H$1,0),0)</f>
        <v>Plant 2 Canteen</v>
      </c>
      <c r="I150" s="14">
        <f>VLOOKUP($A150,Orders!$A$1:$H$361,MATCH(OrderLines!$I$1,Orders!$A$1:$H$1,0),0)</f>
        <v>0.05</v>
      </c>
      <c r="J150" s="14">
        <f t="shared" si="7"/>
        <v>57.645999999999994</v>
      </c>
      <c r="K150" s="28" t="str">
        <f t="shared" si="8"/>
        <v>August</v>
      </c>
      <c r="L150" s="14" t="str">
        <f>VLOOKUP(OrderLines!$A150,Orders!$A$1:$H$361,MATCH(OrderLines!$L$1,Orders!$A$1:$H$1,0),0)</f>
        <v>Breakfast</v>
      </c>
      <c r="M150" t="str">
        <f>VLOOKUP($A150,Orders!$A$1:$H$361,MATCH(OrderLines!$M$1,Orders!$A$1:$H$1,0),0)</f>
        <v>UPI</v>
      </c>
      <c r="N150" t="str">
        <f t="shared" si="6"/>
        <v>Single</v>
      </c>
      <c r="O150" t="str" cm="1">
        <f t="array" ref="O150">IF((SUMPRODUCT((OrderID=OrderLines!$A150)*Qty*UnitPrice*DiscountPct))&gt;40,"HighDisc","OK")</f>
        <v>OK</v>
      </c>
      <c r="P150">
        <f>(orderlinesTABLE[[#This Row],[UnitCost]]*orderlinesTABLE[[#This Row],[Qty]])</f>
        <v>28.36</v>
      </c>
      <c r="Q150">
        <f>(orderlinesTABLE[[#This Row],[LineNetAmount]]-orderlinesTABLE[[#This Row],[totalCOST]])</f>
        <v>29.285999999999994</v>
      </c>
      <c r="R150" t="str">
        <f>VLOOKUP($B150,Menu!$A$1:$F$20,MATCH(OrderLines!R$1,Menu!$A$1:$F$1,0),0)</f>
        <v>Tea</v>
      </c>
      <c r="S150" t="str" cm="1">
        <f t="array" ref="S150">_xlfn.TEXTJOIN("+",TRUE,_xlfn._xlws.FILTER(orderlinesTABLE[ItemName],OrderID=orderlinesTABLE[[#This Row],[OrderID]]))</f>
        <v>Poha+Tea+Samosa+Masala Chaas</v>
      </c>
      <c r="T150" s="54">
        <f>orderlinesTABLE[[#This Row],[Profit]]/orderlinesTABLE[[#This Row],[LineNetAmount]]</f>
        <v>0.50803178017555417</v>
      </c>
      <c r="U150" s="70">
        <f>(orderlinesTABLE[[#This Row],[Qty]]*orderlinesTABLE[[#This Row],[UnitCost]])</f>
        <v>28.36</v>
      </c>
    </row>
    <row r="151" spans="1:21" x14ac:dyDescent="0.3">
      <c r="A151" s="15" t="s">
        <v>98</v>
      </c>
      <c r="B151" s="15" t="s">
        <v>418</v>
      </c>
      <c r="C151" s="15">
        <v>3</v>
      </c>
      <c r="D151" s="36">
        <f>VLOOKUP($B151,Menu!$A$1:$F$20,MATCH($D$1,Menu!$A$1:$F$1,0),0)</f>
        <v>39.950000000000003</v>
      </c>
      <c r="E151" s="15" t="str">
        <f>VLOOKUP($B151,Menu!$A$1:$F$20,MATCH(OrderLines!E$1,Menu!$A$1:$F$1,0),0)</f>
        <v>Snack</v>
      </c>
      <c r="F151" s="36">
        <f>VLOOKUP($B151,Menu!$A$1:$F$20,MATCH(OrderLines!F$1,Menu!$A$1:$F$1,0),0)</f>
        <v>15.51</v>
      </c>
      <c r="G151" s="27">
        <f>VLOOKUP($A151,Orders!$A$1:$H$361,MATCH($G$1,Orders!$A$1:$H$1,0),0)</f>
        <v>45884</v>
      </c>
      <c r="H151" s="15" t="str">
        <f>VLOOKUP($A151,Orders!$A$1:$H$361,MATCH(OrderLines!$H$1,Orders!$A$1:$H$1,0),0)</f>
        <v>Plant 2 Canteen</v>
      </c>
      <c r="I151" s="15">
        <f>VLOOKUP($A151,Orders!$A$1:$H$361,MATCH(OrderLines!$I$1,Orders!$A$1:$H$1,0),0)</f>
        <v>0.05</v>
      </c>
      <c r="J151" s="15">
        <f t="shared" si="7"/>
        <v>113.8575</v>
      </c>
      <c r="K151" s="27" t="str">
        <f t="shared" si="8"/>
        <v>August</v>
      </c>
      <c r="L151" s="15" t="str">
        <f>VLOOKUP(OrderLines!$A151,Orders!$A$1:$H$361,MATCH(OrderLines!$L$1,Orders!$A$1:$H$1,0),0)</f>
        <v>Breakfast</v>
      </c>
      <c r="M151" t="str">
        <f>VLOOKUP($A151,Orders!$A$1:$H$361,MATCH(OrderLines!$M$1,Orders!$A$1:$H$1,0),0)</f>
        <v>UPI</v>
      </c>
      <c r="N151" t="str">
        <f t="shared" si="6"/>
        <v>Single</v>
      </c>
      <c r="O151" t="str" cm="1">
        <f t="array" ref="O151">IF((SUMPRODUCT((OrderID=OrderLines!$A151)*Qty*UnitPrice*DiscountPct))&gt;40,"HighDisc","OK")</f>
        <v>OK</v>
      </c>
      <c r="P151">
        <f>(orderlinesTABLE[[#This Row],[UnitCost]]*orderlinesTABLE[[#This Row],[Qty]])</f>
        <v>46.53</v>
      </c>
      <c r="Q151">
        <f>(orderlinesTABLE[[#This Row],[LineNetAmount]]-orderlinesTABLE[[#This Row],[totalCOST]])</f>
        <v>67.327500000000001</v>
      </c>
      <c r="R151" t="str">
        <f>VLOOKUP($B151,Menu!$A$1:$F$20,MATCH(OrderLines!R$1,Menu!$A$1:$F$1,0),0)</f>
        <v>Samosa</v>
      </c>
      <c r="S151" t="str" cm="1">
        <f t="array" ref="S151">_xlfn.TEXTJOIN("+",TRUE,_xlfn._xlws.FILTER(orderlinesTABLE[ItemName],OrderID=orderlinesTABLE[[#This Row],[OrderID]]))</f>
        <v>Poha+Tea+Samosa+Masala Chaas</v>
      </c>
      <c r="T151" s="54">
        <f>orderlinesTABLE[[#This Row],[Profit]]/orderlinesTABLE[[#This Row],[LineNetAmount]]</f>
        <v>0.59133126934984515</v>
      </c>
      <c r="U151" s="70">
        <f>(orderlinesTABLE[[#This Row],[Qty]]*orderlinesTABLE[[#This Row],[UnitCost]])</f>
        <v>46.53</v>
      </c>
    </row>
    <row r="152" spans="1:21" x14ac:dyDescent="0.3">
      <c r="A152" s="14" t="s">
        <v>98</v>
      </c>
      <c r="B152" s="14" t="s">
        <v>404</v>
      </c>
      <c r="C152" s="14">
        <v>1</v>
      </c>
      <c r="D152" s="37">
        <f>VLOOKUP($B152,Menu!$A$1:$F$20,MATCH($D$1,Menu!$A$1:$F$1,0),0)</f>
        <v>32.979999999999997</v>
      </c>
      <c r="E152" s="14" t="str">
        <f>VLOOKUP($B152,Menu!$A$1:$F$20,MATCH(OrderLines!E$1,Menu!$A$1:$F$1,0),0)</f>
        <v>Beverage</v>
      </c>
      <c r="F152" s="37">
        <f>VLOOKUP($B152,Menu!$A$1:$F$20,MATCH(OrderLines!F$1,Menu!$A$1:$F$1,0),0)</f>
        <v>11.84</v>
      </c>
      <c r="G152" s="28">
        <f>VLOOKUP($A152,Orders!$A$1:$H$361,MATCH($G$1,Orders!$A$1:$H$1,0),0)</f>
        <v>45884</v>
      </c>
      <c r="H152" s="14" t="str">
        <f>VLOOKUP($A152,Orders!$A$1:$H$361,MATCH(OrderLines!$H$1,Orders!$A$1:$H$1,0),0)</f>
        <v>Plant 2 Canteen</v>
      </c>
      <c r="I152" s="14">
        <f>VLOOKUP($A152,Orders!$A$1:$H$361,MATCH(OrderLines!$I$1,Orders!$A$1:$H$1,0),0)</f>
        <v>0.05</v>
      </c>
      <c r="J152" s="14">
        <f t="shared" si="7"/>
        <v>31.330999999999996</v>
      </c>
      <c r="K152" s="28" t="str">
        <f t="shared" si="8"/>
        <v>August</v>
      </c>
      <c r="L152" s="14" t="str">
        <f>VLOOKUP(OrderLines!$A152,Orders!$A$1:$H$361,MATCH(OrderLines!$L$1,Orders!$A$1:$H$1,0),0)</f>
        <v>Breakfast</v>
      </c>
      <c r="M152" t="str">
        <f>VLOOKUP($A152,Orders!$A$1:$H$361,MATCH(OrderLines!$M$1,Orders!$A$1:$H$1,0),0)</f>
        <v>UPI</v>
      </c>
      <c r="N152" t="str">
        <f t="shared" si="6"/>
        <v>Single</v>
      </c>
      <c r="O152" t="str" cm="1">
        <f t="array" ref="O152">IF((SUMPRODUCT((OrderID=OrderLines!$A152)*Qty*UnitPrice*DiscountPct))&gt;40,"HighDisc","OK")</f>
        <v>OK</v>
      </c>
      <c r="P152">
        <f>(orderlinesTABLE[[#This Row],[UnitCost]]*orderlinesTABLE[[#This Row],[Qty]])</f>
        <v>11.84</v>
      </c>
      <c r="Q152">
        <f>(orderlinesTABLE[[#This Row],[LineNetAmount]]-orderlinesTABLE[[#This Row],[totalCOST]])</f>
        <v>19.490999999999996</v>
      </c>
      <c r="R152" t="str">
        <f>VLOOKUP($B152,Menu!$A$1:$F$20,MATCH(OrderLines!R$1,Menu!$A$1:$F$1,0),0)</f>
        <v>Masala Chaas</v>
      </c>
      <c r="S152" t="str" cm="1">
        <f t="array" ref="S152">_xlfn.TEXTJOIN("+",TRUE,_xlfn._xlws.FILTER(orderlinesTABLE[ItemName],OrderID=orderlinesTABLE[[#This Row],[OrderID]]))</f>
        <v>Poha+Tea+Samosa+Masala Chaas</v>
      </c>
      <c r="T152" s="54">
        <f>orderlinesTABLE[[#This Row],[Profit]]/orderlinesTABLE[[#This Row],[LineNetAmount]]</f>
        <v>0.62209951804921637</v>
      </c>
      <c r="U152" s="70">
        <f>(orderlinesTABLE[[#This Row],[Qty]]*orderlinesTABLE[[#This Row],[UnitCost]])</f>
        <v>11.84</v>
      </c>
    </row>
    <row r="153" spans="1:21" x14ac:dyDescent="0.3">
      <c r="A153" s="15" t="s">
        <v>99</v>
      </c>
      <c r="B153" s="15" t="s">
        <v>414</v>
      </c>
      <c r="C153" s="15">
        <v>2</v>
      </c>
      <c r="D153" s="36">
        <f>VLOOKUP($B153,Menu!$A$1:$F$20,MATCH($D$1,Menu!$A$1:$F$1,0),0)</f>
        <v>116.8</v>
      </c>
      <c r="E153" s="15" t="str">
        <f>VLOOKUP($B153,Menu!$A$1:$F$20,MATCH(OrderLines!E$1,Menu!$A$1:$F$1,0),0)</f>
        <v>Dessert</v>
      </c>
      <c r="F153" s="36">
        <f>VLOOKUP($B153,Menu!$A$1:$F$20,MATCH(OrderLines!F$1,Menu!$A$1:$F$1,0),0)</f>
        <v>48.97</v>
      </c>
      <c r="G153" s="27">
        <f>VLOOKUP($A153,Orders!$A$1:$H$361,MATCH($G$1,Orders!$A$1:$H$1,0),0)</f>
        <v>45888</v>
      </c>
      <c r="H153" s="15" t="str">
        <f>VLOOKUP($A153,Orders!$A$1:$H$361,MATCH(OrderLines!$H$1,Orders!$A$1:$H$1,0),0)</f>
        <v>Plant 2 Canteen</v>
      </c>
      <c r="I153" s="15">
        <f>VLOOKUP($A153,Orders!$A$1:$H$361,MATCH(OrderLines!$I$1,Orders!$A$1:$H$1,0),0)</f>
        <v>0.03</v>
      </c>
      <c r="J153" s="15">
        <f t="shared" si="7"/>
        <v>226.59199999999998</v>
      </c>
      <c r="K153" s="27" t="str">
        <f t="shared" si="8"/>
        <v>August</v>
      </c>
      <c r="L153" s="15" t="str">
        <f>VLOOKUP(OrderLines!$A153,Orders!$A$1:$H$361,MATCH(OrderLines!$L$1,Orders!$A$1:$H$1,0),0)</f>
        <v>Dinner</v>
      </c>
      <c r="M153" t="str">
        <f>VLOOKUP($A153,Orders!$A$1:$H$361,MATCH(OrderLines!$M$1,Orders!$A$1:$H$1,0),0)</f>
        <v>Cash</v>
      </c>
      <c r="N153" t="str">
        <f t="shared" si="6"/>
        <v>Single</v>
      </c>
      <c r="O153" t="str" cm="1">
        <f t="array" ref="O153">IF((SUMPRODUCT((OrderID=OrderLines!$A153)*Qty*UnitPrice*DiscountPct))&gt;40,"HighDisc","OK")</f>
        <v>OK</v>
      </c>
      <c r="P153">
        <f>(orderlinesTABLE[[#This Row],[UnitCost]]*orderlinesTABLE[[#This Row],[Qty]])</f>
        <v>97.94</v>
      </c>
      <c r="Q153">
        <f>(orderlinesTABLE[[#This Row],[LineNetAmount]]-orderlinesTABLE[[#This Row],[totalCOST]])</f>
        <v>128.65199999999999</v>
      </c>
      <c r="R153" t="str">
        <f>VLOOKUP($B153,Menu!$A$1:$F$20,MATCH(OrderLines!R$1,Menu!$A$1:$F$1,0),0)</f>
        <v>Brownie</v>
      </c>
      <c r="S153" t="str" cm="1">
        <f t="array" ref="S153">_xlfn.TEXTJOIN("+",TRUE,_xlfn._xlws.FILTER(orderlinesTABLE[ItemName],OrderID=orderlinesTABLE[[#This Row],[OrderID]]))</f>
        <v>Brownie+Tea</v>
      </c>
      <c r="T153" s="54">
        <f>orderlinesTABLE[[#This Row],[Profit]]/orderlinesTABLE[[#This Row],[LineNetAmount]]</f>
        <v>0.56776938285552891</v>
      </c>
      <c r="U153" s="70">
        <f>(orderlinesTABLE[[#This Row],[Qty]]*orderlinesTABLE[[#This Row],[UnitCost]])</f>
        <v>97.94</v>
      </c>
    </row>
    <row r="154" spans="1:21" x14ac:dyDescent="0.3">
      <c r="A154" s="14" t="s">
        <v>99</v>
      </c>
      <c r="B154" s="14" t="s">
        <v>402</v>
      </c>
      <c r="C154" s="14">
        <v>2</v>
      </c>
      <c r="D154" s="37">
        <f>VLOOKUP($B154,Menu!$A$1:$F$20,MATCH($D$1,Menu!$A$1:$F$1,0),0)</f>
        <v>30.34</v>
      </c>
      <c r="E154" s="14" t="str">
        <f>VLOOKUP($B154,Menu!$A$1:$F$20,MATCH(OrderLines!E$1,Menu!$A$1:$F$1,0),0)</f>
        <v>Beverage</v>
      </c>
      <c r="F154" s="37">
        <f>VLOOKUP($B154,Menu!$A$1:$F$20,MATCH(OrderLines!F$1,Menu!$A$1:$F$1,0),0)</f>
        <v>14.18</v>
      </c>
      <c r="G154" s="28">
        <f>VLOOKUP($A154,Orders!$A$1:$H$361,MATCH($G$1,Orders!$A$1:$H$1,0),0)</f>
        <v>45888</v>
      </c>
      <c r="H154" s="14" t="str">
        <f>VLOOKUP($A154,Orders!$A$1:$H$361,MATCH(OrderLines!$H$1,Orders!$A$1:$H$1,0),0)</f>
        <v>Plant 2 Canteen</v>
      </c>
      <c r="I154" s="14">
        <f>VLOOKUP($A154,Orders!$A$1:$H$361,MATCH(OrderLines!$I$1,Orders!$A$1:$H$1,0),0)</f>
        <v>0.03</v>
      </c>
      <c r="J154" s="14">
        <f t="shared" si="7"/>
        <v>58.8596</v>
      </c>
      <c r="K154" s="28" t="str">
        <f t="shared" si="8"/>
        <v>August</v>
      </c>
      <c r="L154" s="14" t="str">
        <f>VLOOKUP(OrderLines!$A154,Orders!$A$1:$H$361,MATCH(OrderLines!$L$1,Orders!$A$1:$H$1,0),0)</f>
        <v>Dinner</v>
      </c>
      <c r="M154" t="str">
        <f>VLOOKUP($A154,Orders!$A$1:$H$361,MATCH(OrderLines!$M$1,Orders!$A$1:$H$1,0),0)</f>
        <v>Cash</v>
      </c>
      <c r="N154" t="str">
        <f t="shared" si="6"/>
        <v>Single</v>
      </c>
      <c r="O154" t="str" cm="1">
        <f t="array" ref="O154">IF((SUMPRODUCT((OrderID=OrderLines!$A154)*Qty*UnitPrice*DiscountPct))&gt;40,"HighDisc","OK")</f>
        <v>OK</v>
      </c>
      <c r="P154">
        <f>(orderlinesTABLE[[#This Row],[UnitCost]]*orderlinesTABLE[[#This Row],[Qty]])</f>
        <v>28.36</v>
      </c>
      <c r="Q154">
        <f>(orderlinesTABLE[[#This Row],[LineNetAmount]]-orderlinesTABLE[[#This Row],[totalCOST]])</f>
        <v>30.499600000000001</v>
      </c>
      <c r="R154" t="str">
        <f>VLOOKUP($B154,Menu!$A$1:$F$20,MATCH(OrderLines!R$1,Menu!$A$1:$F$1,0),0)</f>
        <v>Tea</v>
      </c>
      <c r="S154" t="str" cm="1">
        <f t="array" ref="S154">_xlfn.TEXTJOIN("+",TRUE,_xlfn._xlws.FILTER(orderlinesTABLE[ItemName],OrderID=orderlinesTABLE[[#This Row],[OrderID]]))</f>
        <v>Brownie+Tea</v>
      </c>
      <c r="T154" s="54">
        <f>orderlinesTABLE[[#This Row],[Profit]]/orderlinesTABLE[[#This Row],[LineNetAmount]]</f>
        <v>0.51817545481110983</v>
      </c>
      <c r="U154" s="70">
        <f>(orderlinesTABLE[[#This Row],[Qty]]*orderlinesTABLE[[#This Row],[UnitCost]])</f>
        <v>28.36</v>
      </c>
    </row>
    <row r="155" spans="1:21" x14ac:dyDescent="0.3">
      <c r="A155" s="15" t="s">
        <v>100</v>
      </c>
      <c r="B155" s="15" t="s">
        <v>403</v>
      </c>
      <c r="C155" s="15">
        <v>2</v>
      </c>
      <c r="D155" s="36">
        <f>VLOOKUP($B155,Menu!$A$1:$F$20,MATCH($D$1,Menu!$A$1:$F$1,0),0)</f>
        <v>76.55</v>
      </c>
      <c r="E155" s="15" t="str">
        <f>VLOOKUP($B155,Menu!$A$1:$F$20,MATCH(OrderLines!E$1,Menu!$A$1:$F$1,0),0)</f>
        <v>Dessert</v>
      </c>
      <c r="F155" s="36">
        <f>VLOOKUP($B155,Menu!$A$1:$F$20,MATCH(OrderLines!F$1,Menu!$A$1:$F$1,0),0)</f>
        <v>38.229999999999997</v>
      </c>
      <c r="G155" s="27">
        <f>VLOOKUP($A155,Orders!$A$1:$H$361,MATCH($G$1,Orders!$A$1:$H$1,0),0)</f>
        <v>45866</v>
      </c>
      <c r="H155" s="15" t="str">
        <f>VLOOKUP($A155,Orders!$A$1:$H$361,MATCH(OrderLines!$H$1,Orders!$A$1:$H$1,0),0)</f>
        <v>Head Office Café</v>
      </c>
      <c r="I155" s="15">
        <f>VLOOKUP($A155,Orders!$A$1:$H$361,MATCH(OrderLines!$I$1,Orders!$A$1:$H$1,0),0)</f>
        <v>0.05</v>
      </c>
      <c r="J155" s="15">
        <f t="shared" si="7"/>
        <v>145.44499999999999</v>
      </c>
      <c r="K155" s="27" t="str">
        <f t="shared" si="8"/>
        <v>July</v>
      </c>
      <c r="L155" s="15" t="str">
        <f>VLOOKUP(OrderLines!$A155,Orders!$A$1:$H$361,MATCH(OrderLines!$L$1,Orders!$A$1:$H$1,0),0)</f>
        <v>Dinner</v>
      </c>
      <c r="M155" t="str">
        <f>VLOOKUP($A155,Orders!$A$1:$H$361,MATCH(OrderLines!$M$1,Orders!$A$1:$H$1,0),0)</f>
        <v>UPI</v>
      </c>
      <c r="N155" t="str">
        <f t="shared" si="6"/>
        <v>Single</v>
      </c>
      <c r="O155" t="str" cm="1">
        <f t="array" ref="O155">IF((SUMPRODUCT((OrderID=OrderLines!$A155)*Qty*UnitPrice*DiscountPct))&gt;40,"HighDisc","OK")</f>
        <v>OK</v>
      </c>
      <c r="P155">
        <f>(orderlinesTABLE[[#This Row],[UnitCost]]*orderlinesTABLE[[#This Row],[Qty]])</f>
        <v>76.459999999999994</v>
      </c>
      <c r="Q155">
        <f>(orderlinesTABLE[[#This Row],[LineNetAmount]]-orderlinesTABLE[[#This Row],[totalCOST]])</f>
        <v>68.984999999999999</v>
      </c>
      <c r="R155" t="str">
        <f>VLOOKUP($B155,Menu!$A$1:$F$20,MATCH(OrderLines!R$1,Menu!$A$1:$F$1,0),0)</f>
        <v>Gulab Jamun (2 pc)</v>
      </c>
      <c r="S155" t="str" cm="1">
        <f t="array" ref="S155">_xlfn.TEXTJOIN("+",TRUE,_xlfn._xlws.FILTER(orderlinesTABLE[ItemName],OrderID=orderlinesTABLE[[#This Row],[OrderID]]))</f>
        <v>Gulab Jamun (2 pc)</v>
      </c>
      <c r="T155" s="54">
        <f>orderlinesTABLE[[#This Row],[Profit]]/orderlinesTABLE[[#This Row],[LineNetAmount]]</f>
        <v>0.47430300113444945</v>
      </c>
      <c r="U155" s="70">
        <f>(orderlinesTABLE[[#This Row],[Qty]]*orderlinesTABLE[[#This Row],[UnitCost]])</f>
        <v>76.459999999999994</v>
      </c>
    </row>
    <row r="156" spans="1:21" x14ac:dyDescent="0.3">
      <c r="A156" s="14" t="s">
        <v>101</v>
      </c>
      <c r="B156" s="14" t="s">
        <v>410</v>
      </c>
      <c r="C156" s="14">
        <v>1</v>
      </c>
      <c r="D156" s="37">
        <f>VLOOKUP($B156,Menu!$A$1:$F$20,MATCH($D$1,Menu!$A$1:$F$1,0),0)</f>
        <v>20.11</v>
      </c>
      <c r="E156" s="14" t="str">
        <f>VLOOKUP($B156,Menu!$A$1:$F$20,MATCH(OrderLines!E$1,Menu!$A$1:$F$1,0),0)</f>
        <v>Beverage</v>
      </c>
      <c r="F156" s="37">
        <f>VLOOKUP($B156,Menu!$A$1:$F$20,MATCH(OrderLines!F$1,Menu!$A$1:$F$1,0),0)</f>
        <v>8</v>
      </c>
      <c r="G156" s="28">
        <f>VLOOKUP($A156,Orders!$A$1:$H$361,MATCH($G$1,Orders!$A$1:$H$1,0),0)</f>
        <v>45848</v>
      </c>
      <c r="H156" s="14" t="str">
        <f>VLOOKUP($A156,Orders!$A$1:$H$361,MATCH(OrderLines!$H$1,Orders!$A$1:$H$1,0),0)</f>
        <v>Plant 1 Canteen</v>
      </c>
      <c r="I156" s="14">
        <f>VLOOKUP($A156,Orders!$A$1:$H$361,MATCH(OrderLines!$I$1,Orders!$A$1:$H$1,0),0)</f>
        <v>0.08</v>
      </c>
      <c r="J156" s="14">
        <f t="shared" si="7"/>
        <v>18.501200000000001</v>
      </c>
      <c r="K156" s="28" t="str">
        <f t="shared" si="8"/>
        <v>July</v>
      </c>
      <c r="L156" s="14" t="str">
        <f>VLOOKUP(OrderLines!$A156,Orders!$A$1:$H$361,MATCH(OrderLines!$L$1,Orders!$A$1:$H$1,0),0)</f>
        <v>Breakfast</v>
      </c>
      <c r="M156" t="str">
        <f>VLOOKUP($A156,Orders!$A$1:$H$361,MATCH(OrderLines!$M$1,Orders!$A$1:$H$1,0),0)</f>
        <v>Card</v>
      </c>
      <c r="N156" t="str">
        <f t="shared" si="6"/>
        <v>Single</v>
      </c>
      <c r="O156" t="str" cm="1">
        <f t="array" ref="O156">IF((SUMPRODUCT((OrderID=OrderLines!$A156)*Qty*UnitPrice*DiscountPct))&gt;40,"HighDisc","OK")</f>
        <v>OK</v>
      </c>
      <c r="P156">
        <f>(orderlinesTABLE[[#This Row],[UnitCost]]*orderlinesTABLE[[#This Row],[Qty]])</f>
        <v>8</v>
      </c>
      <c r="Q156">
        <f>(orderlinesTABLE[[#This Row],[LineNetAmount]]-orderlinesTABLE[[#This Row],[totalCOST]])</f>
        <v>10.501200000000001</v>
      </c>
      <c r="R156" t="str">
        <f>VLOOKUP($B156,Menu!$A$1:$F$20,MATCH(OrderLines!R$1,Menu!$A$1:$F$1,0),0)</f>
        <v>Nimbu Pani</v>
      </c>
      <c r="S156" t="str" cm="1">
        <f t="array" ref="S156">_xlfn.TEXTJOIN("+",TRUE,_xlfn._xlws.FILTER(orderlinesTABLE[ItemName],OrderID=orderlinesTABLE[[#This Row],[OrderID]]))</f>
        <v>Nimbu Pani</v>
      </c>
      <c r="T156" s="54">
        <f>orderlinesTABLE[[#This Row],[Profit]]/orderlinesTABLE[[#This Row],[LineNetAmount]]</f>
        <v>0.5675956154195404</v>
      </c>
      <c r="U156" s="70">
        <f>(orderlinesTABLE[[#This Row],[Qty]]*orderlinesTABLE[[#This Row],[UnitCost]])</f>
        <v>8</v>
      </c>
    </row>
    <row r="157" spans="1:21" x14ac:dyDescent="0.3">
      <c r="A157" s="15" t="s">
        <v>102</v>
      </c>
      <c r="B157" s="15" t="s">
        <v>415</v>
      </c>
      <c r="C157" s="15">
        <v>2</v>
      </c>
      <c r="D157" s="36">
        <f>VLOOKUP($B157,Menu!$A$1:$F$20,MATCH($D$1,Menu!$A$1:$F$1,0),0)</f>
        <v>256.91000000000003</v>
      </c>
      <c r="E157" s="15" t="str">
        <f>VLOOKUP($B157,Menu!$A$1:$F$20,MATCH(OrderLines!E$1,Menu!$A$1:$F$1,0),0)</f>
        <v>Hot Meal</v>
      </c>
      <c r="F157" s="36">
        <f>VLOOKUP($B157,Menu!$A$1:$F$20,MATCH(OrderLines!F$1,Menu!$A$1:$F$1,0),0)</f>
        <v>121.24</v>
      </c>
      <c r="G157" s="27">
        <f>VLOOKUP($A157,Orders!$A$1:$H$361,MATCH($G$1,Orders!$A$1:$H$1,0),0)</f>
        <v>45858</v>
      </c>
      <c r="H157" s="15" t="str">
        <f>VLOOKUP($A157,Orders!$A$1:$H$361,MATCH(OrderLines!$H$1,Orders!$A$1:$H$1,0),0)</f>
        <v>Plant 1 Canteen</v>
      </c>
      <c r="I157" s="15">
        <f>VLOOKUP($A157,Orders!$A$1:$H$361,MATCH(OrderLines!$I$1,Orders!$A$1:$H$1,0),0)</f>
        <v>0.14000000000000001</v>
      </c>
      <c r="J157" s="15">
        <f t="shared" si="7"/>
        <v>441.88520000000005</v>
      </c>
      <c r="K157" s="27" t="str">
        <f t="shared" si="8"/>
        <v>July</v>
      </c>
      <c r="L157" s="15" t="str">
        <f>VLOOKUP(OrderLines!$A157,Orders!$A$1:$H$361,MATCH(OrderLines!$L$1,Orders!$A$1:$H$1,0),0)</f>
        <v>Lunch</v>
      </c>
      <c r="M157" t="str">
        <f>VLOOKUP($A157,Orders!$A$1:$H$361,MATCH(OrderLines!$M$1,Orders!$A$1:$H$1,0),0)</f>
        <v>Cash</v>
      </c>
      <c r="N157" t="str">
        <f t="shared" si="6"/>
        <v>Combo</v>
      </c>
      <c r="O157" t="str" cm="1">
        <f t="array" ref="O157">IF((SUMPRODUCT((OrderID=OrderLines!$A157)*Qty*UnitPrice*DiscountPct))&gt;40,"HighDisc","OK")</f>
        <v>HighDisc</v>
      </c>
      <c r="P157">
        <f>(orderlinesTABLE[[#This Row],[UnitCost]]*orderlinesTABLE[[#This Row],[Qty]])</f>
        <v>242.48</v>
      </c>
      <c r="Q157">
        <f>(orderlinesTABLE[[#This Row],[LineNetAmount]]-orderlinesTABLE[[#This Row],[totalCOST]])</f>
        <v>199.40520000000006</v>
      </c>
      <c r="R157" t="str">
        <f>VLOOKUP($B157,Menu!$A$1:$F$20,MATCH(OrderLines!R$1,Menu!$A$1:$F$1,0),0)</f>
        <v>Chicken Thali</v>
      </c>
      <c r="S157" t="str" cm="1">
        <f t="array" ref="S157">_xlfn.TEXTJOIN("+",TRUE,_xlfn._xlws.FILTER(orderlinesTABLE[ItemName],OrderID=orderlinesTABLE[[#This Row],[OrderID]]))</f>
        <v>Chicken Thali+Veg Sandwich+Bottled Water</v>
      </c>
      <c r="T157" s="54">
        <f>orderlinesTABLE[[#This Row],[Profit]]/orderlinesTABLE[[#This Row],[LineNetAmount]]</f>
        <v>0.45126019156106617</v>
      </c>
      <c r="U157" s="70">
        <f>(orderlinesTABLE[[#This Row],[Qty]]*orderlinesTABLE[[#This Row],[UnitCost]])</f>
        <v>242.48</v>
      </c>
    </row>
    <row r="158" spans="1:21" x14ac:dyDescent="0.3">
      <c r="A158" s="14" t="s">
        <v>102</v>
      </c>
      <c r="B158" s="14" t="s">
        <v>408</v>
      </c>
      <c r="C158" s="14">
        <v>2</v>
      </c>
      <c r="D158" s="37">
        <f>VLOOKUP($B158,Menu!$A$1:$F$20,MATCH($D$1,Menu!$A$1:$F$1,0),0)</f>
        <v>70.540000000000006</v>
      </c>
      <c r="E158" s="14" t="str">
        <f>VLOOKUP($B158,Menu!$A$1:$F$20,MATCH(OrderLines!E$1,Menu!$A$1:$F$1,0),0)</f>
        <v>Snack</v>
      </c>
      <c r="F158" s="37">
        <f>VLOOKUP($B158,Menu!$A$1:$F$20,MATCH(OrderLines!F$1,Menu!$A$1:$F$1,0),0)</f>
        <v>35.81</v>
      </c>
      <c r="G158" s="28">
        <f>VLOOKUP($A158,Orders!$A$1:$H$361,MATCH($G$1,Orders!$A$1:$H$1,0),0)</f>
        <v>45858</v>
      </c>
      <c r="H158" s="14" t="str">
        <f>VLOOKUP($A158,Orders!$A$1:$H$361,MATCH(OrderLines!$H$1,Orders!$A$1:$H$1,0),0)</f>
        <v>Plant 1 Canteen</v>
      </c>
      <c r="I158" s="14">
        <f>VLOOKUP($A158,Orders!$A$1:$H$361,MATCH(OrderLines!$I$1,Orders!$A$1:$H$1,0),0)</f>
        <v>0.14000000000000001</v>
      </c>
      <c r="J158" s="14">
        <f t="shared" si="7"/>
        <v>121.32880000000002</v>
      </c>
      <c r="K158" s="28" t="str">
        <f t="shared" si="8"/>
        <v>July</v>
      </c>
      <c r="L158" s="14" t="str">
        <f>VLOOKUP(OrderLines!$A158,Orders!$A$1:$H$361,MATCH(OrderLines!$L$1,Orders!$A$1:$H$1,0),0)</f>
        <v>Lunch</v>
      </c>
      <c r="M158" t="str">
        <f>VLOOKUP($A158,Orders!$A$1:$H$361,MATCH(OrderLines!$M$1,Orders!$A$1:$H$1,0),0)</f>
        <v>Cash</v>
      </c>
      <c r="N158" t="str">
        <f t="shared" si="6"/>
        <v>Combo</v>
      </c>
      <c r="O158" t="str" cm="1">
        <f t="array" ref="O158">IF((SUMPRODUCT((OrderID=OrderLines!$A158)*Qty*UnitPrice*DiscountPct))&gt;40,"HighDisc","OK")</f>
        <v>HighDisc</v>
      </c>
      <c r="P158">
        <f>(orderlinesTABLE[[#This Row],[UnitCost]]*orderlinesTABLE[[#This Row],[Qty]])</f>
        <v>71.62</v>
      </c>
      <c r="Q158">
        <f>(orderlinesTABLE[[#This Row],[LineNetAmount]]-orderlinesTABLE[[#This Row],[totalCOST]])</f>
        <v>49.708800000000011</v>
      </c>
      <c r="R158" t="str">
        <f>VLOOKUP($B158,Menu!$A$1:$F$20,MATCH(OrderLines!R$1,Menu!$A$1:$F$1,0),0)</f>
        <v>Veg Sandwich</v>
      </c>
      <c r="S158" t="str" cm="1">
        <f t="array" ref="S158">_xlfn.TEXTJOIN("+",TRUE,_xlfn._xlws.FILTER(orderlinesTABLE[ItemName],OrderID=orderlinesTABLE[[#This Row],[OrderID]]))</f>
        <v>Chicken Thali+Veg Sandwich+Bottled Water</v>
      </c>
      <c r="T158" s="54">
        <f>orderlinesTABLE[[#This Row],[Profit]]/orderlinesTABLE[[#This Row],[LineNetAmount]]</f>
        <v>0.40970321968073536</v>
      </c>
      <c r="U158" s="70">
        <f>(orderlinesTABLE[[#This Row],[Qty]]*orderlinesTABLE[[#This Row],[UnitCost]])</f>
        <v>71.62</v>
      </c>
    </row>
    <row r="159" spans="1:21" x14ac:dyDescent="0.3">
      <c r="A159" s="15" t="s">
        <v>102</v>
      </c>
      <c r="B159" s="15" t="s">
        <v>409</v>
      </c>
      <c r="C159" s="15">
        <v>1</v>
      </c>
      <c r="D159" s="36">
        <f>VLOOKUP($B159,Menu!$A$1:$F$20,MATCH($D$1,Menu!$A$1:$F$1,0),0)</f>
        <v>28.43</v>
      </c>
      <c r="E159" s="15" t="str">
        <f>VLOOKUP($B159,Menu!$A$1:$F$20,MATCH(OrderLines!E$1,Menu!$A$1:$F$1,0),0)</f>
        <v>Beverage</v>
      </c>
      <c r="F159" s="36">
        <f>VLOOKUP($B159,Menu!$A$1:$F$20,MATCH(OrderLines!F$1,Menu!$A$1:$F$1,0),0)</f>
        <v>13.89</v>
      </c>
      <c r="G159" s="27">
        <f>VLOOKUP($A159,Orders!$A$1:$H$361,MATCH($G$1,Orders!$A$1:$H$1,0),0)</f>
        <v>45858</v>
      </c>
      <c r="H159" s="15" t="str">
        <f>VLOOKUP($A159,Orders!$A$1:$H$361,MATCH(OrderLines!$H$1,Orders!$A$1:$H$1,0),0)</f>
        <v>Plant 1 Canteen</v>
      </c>
      <c r="I159" s="15">
        <f>VLOOKUP($A159,Orders!$A$1:$H$361,MATCH(OrderLines!$I$1,Orders!$A$1:$H$1,0),0)</f>
        <v>0.14000000000000001</v>
      </c>
      <c r="J159" s="15">
        <f t="shared" si="7"/>
        <v>24.4498</v>
      </c>
      <c r="K159" s="27" t="str">
        <f t="shared" si="8"/>
        <v>July</v>
      </c>
      <c r="L159" s="15" t="str">
        <f>VLOOKUP(OrderLines!$A159,Orders!$A$1:$H$361,MATCH(OrderLines!$L$1,Orders!$A$1:$H$1,0),0)</f>
        <v>Lunch</v>
      </c>
      <c r="M159" t="str">
        <f>VLOOKUP($A159,Orders!$A$1:$H$361,MATCH(OrderLines!$M$1,Orders!$A$1:$H$1,0),0)</f>
        <v>Cash</v>
      </c>
      <c r="N159" t="str">
        <f t="shared" si="6"/>
        <v>Combo</v>
      </c>
      <c r="O159" t="str" cm="1">
        <f t="array" ref="O159">IF((SUMPRODUCT((OrderID=OrderLines!$A159)*Qty*UnitPrice*DiscountPct))&gt;40,"HighDisc","OK")</f>
        <v>HighDisc</v>
      </c>
      <c r="P159">
        <f>(orderlinesTABLE[[#This Row],[UnitCost]]*orderlinesTABLE[[#This Row],[Qty]])</f>
        <v>13.89</v>
      </c>
      <c r="Q159">
        <f>(orderlinesTABLE[[#This Row],[LineNetAmount]]-orderlinesTABLE[[#This Row],[totalCOST]])</f>
        <v>10.559799999999999</v>
      </c>
      <c r="R159" t="str">
        <f>VLOOKUP($B159,Menu!$A$1:$F$20,MATCH(OrderLines!R$1,Menu!$A$1:$F$1,0),0)</f>
        <v>Bottled Water</v>
      </c>
      <c r="S159" t="str" cm="1">
        <f t="array" ref="S159">_xlfn.TEXTJOIN("+",TRUE,_xlfn._xlws.FILTER(orderlinesTABLE[ItemName],OrderID=orderlinesTABLE[[#This Row],[OrderID]]))</f>
        <v>Chicken Thali+Veg Sandwich+Bottled Water</v>
      </c>
      <c r="T159" s="54">
        <f>orderlinesTABLE[[#This Row],[Profit]]/orderlinesTABLE[[#This Row],[LineNetAmount]]</f>
        <v>0.43189719343307509</v>
      </c>
      <c r="U159" s="70">
        <f>(orderlinesTABLE[[#This Row],[Qty]]*orderlinesTABLE[[#This Row],[UnitCost]])</f>
        <v>13.89</v>
      </c>
    </row>
    <row r="160" spans="1:21" x14ac:dyDescent="0.3">
      <c r="A160" s="14" t="s">
        <v>103</v>
      </c>
      <c r="B160" s="14" t="s">
        <v>406</v>
      </c>
      <c r="C160" s="14">
        <v>1</v>
      </c>
      <c r="D160" s="37">
        <f>VLOOKUP($B160,Menu!$A$1:$F$20,MATCH($D$1,Menu!$A$1:$F$1,0),0)</f>
        <v>38.06</v>
      </c>
      <c r="E160" s="14" t="str">
        <f>VLOOKUP($B160,Menu!$A$1:$F$20,MATCH(OrderLines!E$1,Menu!$A$1:$F$1,0),0)</f>
        <v>Snack</v>
      </c>
      <c r="F160" s="37">
        <f>VLOOKUP($B160,Menu!$A$1:$F$20,MATCH(OrderLines!F$1,Menu!$A$1:$F$1,0),0)</f>
        <v>19.55</v>
      </c>
      <c r="G160" s="28">
        <f>VLOOKUP($A160,Orders!$A$1:$H$361,MATCH($G$1,Orders!$A$1:$H$1,0),0)</f>
        <v>45885</v>
      </c>
      <c r="H160" s="14" t="str">
        <f>VLOOKUP($A160,Orders!$A$1:$H$361,MATCH(OrderLines!$H$1,Orders!$A$1:$H$1,0),0)</f>
        <v>Head Office Café</v>
      </c>
      <c r="I160" s="14">
        <f>VLOOKUP($A160,Orders!$A$1:$H$361,MATCH(OrderLines!$I$1,Orders!$A$1:$H$1,0),0)</f>
        <v>7.0000000000000007E-2</v>
      </c>
      <c r="J160" s="14">
        <f t="shared" si="7"/>
        <v>35.395800000000001</v>
      </c>
      <c r="K160" s="28" t="str">
        <f t="shared" si="8"/>
        <v>August</v>
      </c>
      <c r="L160" s="14" t="str">
        <f>VLOOKUP(OrderLines!$A160,Orders!$A$1:$H$361,MATCH(OrderLines!$L$1,Orders!$A$1:$H$1,0),0)</f>
        <v>Breakfast</v>
      </c>
      <c r="M160" t="str">
        <f>VLOOKUP($A160,Orders!$A$1:$H$361,MATCH(OrderLines!$M$1,Orders!$A$1:$H$1,0),0)</f>
        <v>Card</v>
      </c>
      <c r="N160" t="str">
        <f t="shared" si="6"/>
        <v>Single</v>
      </c>
      <c r="O160" t="str" cm="1">
        <f t="array" ref="O160">IF((SUMPRODUCT((OrderID=OrderLines!$A160)*Qty*UnitPrice*DiscountPct))&gt;40,"HighDisc","OK")</f>
        <v>HighDisc</v>
      </c>
      <c r="P160">
        <f>(orderlinesTABLE[[#This Row],[UnitCost]]*orderlinesTABLE[[#This Row],[Qty]])</f>
        <v>19.55</v>
      </c>
      <c r="Q160">
        <f>(orderlinesTABLE[[#This Row],[LineNetAmount]]-orderlinesTABLE[[#This Row],[totalCOST]])</f>
        <v>15.845800000000001</v>
      </c>
      <c r="R160" t="str">
        <f>VLOOKUP($B160,Menu!$A$1:$F$20,MATCH(OrderLines!R$1,Menu!$A$1:$F$1,0),0)</f>
        <v>Paneer Roll</v>
      </c>
      <c r="S160" t="str" cm="1">
        <f t="array" ref="S160">_xlfn.TEXTJOIN("+",TRUE,_xlfn._xlws.FILTER(orderlinesTABLE[ItemName],OrderID=orderlinesTABLE[[#This Row],[OrderID]]))</f>
        <v>Paneer Roll+Rajma Chawal+Gulab Jamun (2 pc)+Veg Thali</v>
      </c>
      <c r="T160" s="54">
        <f>orderlinesTABLE[[#This Row],[Profit]]/orderlinesTABLE[[#This Row],[LineNetAmount]]</f>
        <v>0.44767458286011336</v>
      </c>
      <c r="U160" s="70">
        <f>(orderlinesTABLE[[#This Row],[Qty]]*orderlinesTABLE[[#This Row],[UnitCost]])</f>
        <v>19.55</v>
      </c>
    </row>
    <row r="161" spans="1:21" x14ac:dyDescent="0.3">
      <c r="A161" s="15" t="s">
        <v>103</v>
      </c>
      <c r="B161" s="15" t="s">
        <v>417</v>
      </c>
      <c r="C161" s="15">
        <v>3</v>
      </c>
      <c r="D161" s="36">
        <f>VLOOKUP($B161,Menu!$A$1:$F$20,MATCH($D$1,Menu!$A$1:$F$1,0),0)</f>
        <v>146.4</v>
      </c>
      <c r="E161" s="15" t="str">
        <f>VLOOKUP($B161,Menu!$A$1:$F$20,MATCH(OrderLines!E$1,Menu!$A$1:$F$1,0),0)</f>
        <v>Hot Meal</v>
      </c>
      <c r="F161" s="36">
        <f>VLOOKUP($B161,Menu!$A$1:$F$20,MATCH(OrderLines!F$1,Menu!$A$1:$F$1,0),0)</f>
        <v>80.92</v>
      </c>
      <c r="G161" s="27">
        <f>VLOOKUP($A161,Orders!$A$1:$H$361,MATCH($G$1,Orders!$A$1:$H$1,0),0)</f>
        <v>45885</v>
      </c>
      <c r="H161" s="15" t="str">
        <f>VLOOKUP($A161,Orders!$A$1:$H$361,MATCH(OrderLines!$H$1,Orders!$A$1:$H$1,0),0)</f>
        <v>Head Office Café</v>
      </c>
      <c r="I161" s="15">
        <f>VLOOKUP($A161,Orders!$A$1:$H$361,MATCH(OrderLines!$I$1,Orders!$A$1:$H$1,0),0)</f>
        <v>7.0000000000000007E-2</v>
      </c>
      <c r="J161" s="15">
        <f t="shared" si="7"/>
        <v>408.45600000000002</v>
      </c>
      <c r="K161" s="27" t="str">
        <f t="shared" si="8"/>
        <v>August</v>
      </c>
      <c r="L161" s="15" t="str">
        <f>VLOOKUP(OrderLines!$A161,Orders!$A$1:$H$361,MATCH(OrderLines!$L$1,Orders!$A$1:$H$1,0),0)</f>
        <v>Breakfast</v>
      </c>
      <c r="M161" t="str">
        <f>VLOOKUP($A161,Orders!$A$1:$H$361,MATCH(OrderLines!$M$1,Orders!$A$1:$H$1,0),0)</f>
        <v>Card</v>
      </c>
      <c r="N161" t="str">
        <f t="shared" si="6"/>
        <v>Single</v>
      </c>
      <c r="O161" t="str" cm="1">
        <f t="array" ref="O161">IF((SUMPRODUCT((OrderID=OrderLines!$A161)*Qty*UnitPrice*DiscountPct))&gt;40,"HighDisc","OK")</f>
        <v>HighDisc</v>
      </c>
      <c r="P161">
        <f>(orderlinesTABLE[[#This Row],[UnitCost]]*orderlinesTABLE[[#This Row],[Qty]])</f>
        <v>242.76</v>
      </c>
      <c r="Q161">
        <f>(orderlinesTABLE[[#This Row],[LineNetAmount]]-orderlinesTABLE[[#This Row],[totalCOST]])</f>
        <v>165.69600000000003</v>
      </c>
      <c r="R161" t="str">
        <f>VLOOKUP($B161,Menu!$A$1:$F$20,MATCH(OrderLines!R$1,Menu!$A$1:$F$1,0),0)</f>
        <v>Rajma Chawal</v>
      </c>
      <c r="S161" t="str" cm="1">
        <f t="array" ref="S161">_xlfn.TEXTJOIN("+",TRUE,_xlfn._xlws.FILTER(orderlinesTABLE[ItemName],OrderID=orderlinesTABLE[[#This Row],[OrderID]]))</f>
        <v>Paneer Roll+Rajma Chawal+Gulab Jamun (2 pc)+Veg Thali</v>
      </c>
      <c r="T161" s="54">
        <f>orderlinesTABLE[[#This Row],[Profit]]/orderlinesTABLE[[#This Row],[LineNetAmount]]</f>
        <v>0.40566425759445329</v>
      </c>
      <c r="U161" s="70">
        <f>(orderlinesTABLE[[#This Row],[Qty]]*orderlinesTABLE[[#This Row],[UnitCost]])</f>
        <v>242.76</v>
      </c>
    </row>
    <row r="162" spans="1:21" x14ac:dyDescent="0.3">
      <c r="A162" s="14" t="s">
        <v>103</v>
      </c>
      <c r="B162" s="14" t="s">
        <v>403</v>
      </c>
      <c r="C162" s="14">
        <v>2</v>
      </c>
      <c r="D162" s="37">
        <f>VLOOKUP($B162,Menu!$A$1:$F$20,MATCH($D$1,Menu!$A$1:$F$1,0),0)</f>
        <v>76.55</v>
      </c>
      <c r="E162" s="14" t="str">
        <f>VLOOKUP($B162,Menu!$A$1:$F$20,MATCH(OrderLines!E$1,Menu!$A$1:$F$1,0),0)</f>
        <v>Dessert</v>
      </c>
      <c r="F162" s="37">
        <f>VLOOKUP($B162,Menu!$A$1:$F$20,MATCH(OrderLines!F$1,Menu!$A$1:$F$1,0),0)</f>
        <v>38.229999999999997</v>
      </c>
      <c r="G162" s="28">
        <f>VLOOKUP($A162,Orders!$A$1:$H$361,MATCH($G$1,Orders!$A$1:$H$1,0),0)</f>
        <v>45885</v>
      </c>
      <c r="H162" s="14" t="str">
        <f>VLOOKUP($A162,Orders!$A$1:$H$361,MATCH(OrderLines!$H$1,Orders!$A$1:$H$1,0),0)</f>
        <v>Head Office Café</v>
      </c>
      <c r="I162" s="14">
        <f>VLOOKUP($A162,Orders!$A$1:$H$361,MATCH(OrderLines!$I$1,Orders!$A$1:$H$1,0),0)</f>
        <v>7.0000000000000007E-2</v>
      </c>
      <c r="J162" s="14">
        <f t="shared" si="7"/>
        <v>142.38299999999998</v>
      </c>
      <c r="K162" s="28" t="str">
        <f t="shared" si="8"/>
        <v>August</v>
      </c>
      <c r="L162" s="14" t="str">
        <f>VLOOKUP(OrderLines!$A162,Orders!$A$1:$H$361,MATCH(OrderLines!$L$1,Orders!$A$1:$H$1,0),0)</f>
        <v>Breakfast</v>
      </c>
      <c r="M162" t="str">
        <f>VLOOKUP($A162,Orders!$A$1:$H$361,MATCH(OrderLines!$M$1,Orders!$A$1:$H$1,0),0)</f>
        <v>Card</v>
      </c>
      <c r="N162" t="str">
        <f t="shared" si="6"/>
        <v>Single</v>
      </c>
      <c r="O162" t="str" cm="1">
        <f t="array" ref="O162">IF((SUMPRODUCT((OrderID=OrderLines!$A162)*Qty*UnitPrice*DiscountPct))&gt;40,"HighDisc","OK")</f>
        <v>HighDisc</v>
      </c>
      <c r="P162">
        <f>(orderlinesTABLE[[#This Row],[UnitCost]]*orderlinesTABLE[[#This Row],[Qty]])</f>
        <v>76.459999999999994</v>
      </c>
      <c r="Q162">
        <f>(orderlinesTABLE[[#This Row],[LineNetAmount]]-orderlinesTABLE[[#This Row],[totalCOST]])</f>
        <v>65.922999999999988</v>
      </c>
      <c r="R162" t="str">
        <f>VLOOKUP($B162,Menu!$A$1:$F$20,MATCH(OrderLines!R$1,Menu!$A$1:$F$1,0),0)</f>
        <v>Gulab Jamun (2 pc)</v>
      </c>
      <c r="S162" t="str" cm="1">
        <f t="array" ref="S162">_xlfn.TEXTJOIN("+",TRUE,_xlfn._xlws.FILTER(orderlinesTABLE[ItemName],OrderID=orderlinesTABLE[[#This Row],[OrderID]]))</f>
        <v>Paneer Roll+Rajma Chawal+Gulab Jamun (2 pc)+Veg Thali</v>
      </c>
      <c r="T162" s="54">
        <f>orderlinesTABLE[[#This Row],[Profit]]/orderlinesTABLE[[#This Row],[LineNetAmount]]</f>
        <v>0.46299768933088919</v>
      </c>
      <c r="U162" s="70">
        <f>(orderlinesTABLE[[#This Row],[Qty]]*orderlinesTABLE[[#This Row],[UnitCost]])</f>
        <v>76.459999999999994</v>
      </c>
    </row>
    <row r="163" spans="1:21" x14ac:dyDescent="0.3">
      <c r="A163" s="15" t="s">
        <v>103</v>
      </c>
      <c r="B163" s="15" t="s">
        <v>416</v>
      </c>
      <c r="C163" s="15">
        <v>2</v>
      </c>
      <c r="D163" s="36">
        <f>VLOOKUP($B163,Menu!$A$1:$F$20,MATCH($D$1,Menu!$A$1:$F$1,0),0)</f>
        <v>227.61</v>
      </c>
      <c r="E163" s="15" t="str">
        <f>VLOOKUP($B163,Menu!$A$1:$F$20,MATCH(OrderLines!E$1,Menu!$A$1:$F$1,0),0)</f>
        <v>Hot Meal</v>
      </c>
      <c r="F163" s="36">
        <f>VLOOKUP($B163,Menu!$A$1:$F$20,MATCH(OrderLines!F$1,Menu!$A$1:$F$1,0),0)</f>
        <v>96.22</v>
      </c>
      <c r="G163" s="27">
        <f>VLOOKUP($A163,Orders!$A$1:$H$361,MATCH($G$1,Orders!$A$1:$H$1,0),0)</f>
        <v>45885</v>
      </c>
      <c r="H163" s="15" t="str">
        <f>VLOOKUP($A163,Orders!$A$1:$H$361,MATCH(OrderLines!$H$1,Orders!$A$1:$H$1,0),0)</f>
        <v>Head Office Café</v>
      </c>
      <c r="I163" s="15">
        <f>VLOOKUP($A163,Orders!$A$1:$H$361,MATCH(OrderLines!$I$1,Orders!$A$1:$H$1,0),0)</f>
        <v>7.0000000000000007E-2</v>
      </c>
      <c r="J163" s="15">
        <f t="shared" si="7"/>
        <v>423.3546</v>
      </c>
      <c r="K163" s="27" t="str">
        <f t="shared" si="8"/>
        <v>August</v>
      </c>
      <c r="L163" s="15" t="str">
        <f>VLOOKUP(OrderLines!$A163,Orders!$A$1:$H$361,MATCH(OrderLines!$L$1,Orders!$A$1:$H$1,0),0)</f>
        <v>Breakfast</v>
      </c>
      <c r="M163" t="str">
        <f>VLOOKUP($A163,Orders!$A$1:$H$361,MATCH(OrderLines!$M$1,Orders!$A$1:$H$1,0),0)</f>
        <v>Card</v>
      </c>
      <c r="N163" t="str">
        <f t="shared" si="6"/>
        <v>Single</v>
      </c>
      <c r="O163" t="str" cm="1">
        <f t="array" ref="O163">IF((SUMPRODUCT((OrderID=OrderLines!$A163)*Qty*UnitPrice*DiscountPct))&gt;40,"HighDisc","OK")</f>
        <v>HighDisc</v>
      </c>
      <c r="P163">
        <f>(orderlinesTABLE[[#This Row],[UnitCost]]*orderlinesTABLE[[#This Row],[Qty]])</f>
        <v>192.44</v>
      </c>
      <c r="Q163">
        <f>(orderlinesTABLE[[#This Row],[LineNetAmount]]-orderlinesTABLE[[#This Row],[totalCOST]])</f>
        <v>230.91460000000001</v>
      </c>
      <c r="R163" t="str">
        <f>VLOOKUP($B163,Menu!$A$1:$F$20,MATCH(OrderLines!R$1,Menu!$A$1:$F$1,0),0)</f>
        <v>Veg Thali</v>
      </c>
      <c r="S163" t="str" cm="1">
        <f t="array" ref="S163">_xlfn.TEXTJOIN("+",TRUE,_xlfn._xlws.FILTER(orderlinesTABLE[ItemName],OrderID=orderlinesTABLE[[#This Row],[OrderID]]))</f>
        <v>Paneer Roll+Rajma Chawal+Gulab Jamun (2 pc)+Veg Thali</v>
      </c>
      <c r="T163" s="54">
        <f>orderlinesTABLE[[#This Row],[Profit]]/orderlinesTABLE[[#This Row],[LineNetAmount]]</f>
        <v>0.54544015820307612</v>
      </c>
      <c r="U163" s="70">
        <f>(orderlinesTABLE[[#This Row],[Qty]]*orderlinesTABLE[[#This Row],[UnitCost]])</f>
        <v>192.44</v>
      </c>
    </row>
    <row r="164" spans="1:21" x14ac:dyDescent="0.3">
      <c r="A164" s="14" t="s">
        <v>104</v>
      </c>
      <c r="B164" s="14" t="s">
        <v>408</v>
      </c>
      <c r="C164" s="14">
        <v>1</v>
      </c>
      <c r="D164" s="37">
        <f>VLOOKUP($B164,Menu!$A$1:$F$20,MATCH($D$1,Menu!$A$1:$F$1,0),0)</f>
        <v>70.540000000000006</v>
      </c>
      <c r="E164" s="14" t="str">
        <f>VLOOKUP($B164,Menu!$A$1:$F$20,MATCH(OrderLines!E$1,Menu!$A$1:$F$1,0),0)</f>
        <v>Snack</v>
      </c>
      <c r="F164" s="37">
        <f>VLOOKUP($B164,Menu!$A$1:$F$20,MATCH(OrderLines!F$1,Menu!$A$1:$F$1,0),0)</f>
        <v>35.81</v>
      </c>
      <c r="G164" s="28">
        <f>VLOOKUP($A164,Orders!$A$1:$H$361,MATCH($G$1,Orders!$A$1:$H$1,0),0)</f>
        <v>45895</v>
      </c>
      <c r="H164" s="14" t="str">
        <f>VLOOKUP($A164,Orders!$A$1:$H$361,MATCH(OrderLines!$H$1,Orders!$A$1:$H$1,0),0)</f>
        <v>Plant 1 Canteen</v>
      </c>
      <c r="I164" s="14">
        <f>VLOOKUP($A164,Orders!$A$1:$H$361,MATCH(OrderLines!$I$1,Orders!$A$1:$H$1,0),0)</f>
        <v>7.0000000000000007E-2</v>
      </c>
      <c r="J164" s="14">
        <f t="shared" si="7"/>
        <v>65.602199999999996</v>
      </c>
      <c r="K164" s="28" t="str">
        <f t="shared" si="8"/>
        <v>August</v>
      </c>
      <c r="L164" s="14" t="str">
        <f>VLOOKUP(OrderLines!$A164,Orders!$A$1:$H$361,MATCH(OrderLines!$L$1,Orders!$A$1:$H$1,0),0)</f>
        <v>Breakfast</v>
      </c>
      <c r="M164" t="str">
        <f>VLOOKUP($A164,Orders!$A$1:$H$361,MATCH(OrderLines!$M$1,Orders!$A$1:$H$1,0),0)</f>
        <v>UPI</v>
      </c>
      <c r="N164" t="str">
        <f t="shared" si="6"/>
        <v>Single</v>
      </c>
      <c r="O164" t="str" cm="1">
        <f t="array" ref="O164">IF((SUMPRODUCT((OrderID=OrderLines!$A164)*Qty*UnitPrice*DiscountPct))&gt;40,"HighDisc","OK")</f>
        <v>OK</v>
      </c>
      <c r="P164">
        <f>(orderlinesTABLE[[#This Row],[UnitCost]]*orderlinesTABLE[[#This Row],[Qty]])</f>
        <v>35.81</v>
      </c>
      <c r="Q164">
        <f>(orderlinesTABLE[[#This Row],[LineNetAmount]]-orderlinesTABLE[[#This Row],[totalCOST]])</f>
        <v>29.792199999999994</v>
      </c>
      <c r="R164" t="str">
        <f>VLOOKUP($B164,Menu!$A$1:$F$20,MATCH(OrderLines!R$1,Menu!$A$1:$F$1,0),0)</f>
        <v>Veg Sandwich</v>
      </c>
      <c r="S164" t="str" cm="1">
        <f t="array" ref="S164">_xlfn.TEXTJOIN("+",TRUE,_xlfn._xlws.FILTER(orderlinesTABLE[ItemName],OrderID=orderlinesTABLE[[#This Row],[OrderID]]))</f>
        <v>Veg Sandwich+Bottled Water+Tea+Brownie</v>
      </c>
      <c r="T164" s="54">
        <f>orderlinesTABLE[[#This Row],[Profit]]/orderlinesTABLE[[#This Row],[LineNetAmount]]</f>
        <v>0.45413416013487345</v>
      </c>
      <c r="U164" s="70">
        <f>(orderlinesTABLE[[#This Row],[Qty]]*orderlinesTABLE[[#This Row],[UnitCost]])</f>
        <v>35.81</v>
      </c>
    </row>
    <row r="165" spans="1:21" x14ac:dyDescent="0.3">
      <c r="A165" s="15" t="s">
        <v>104</v>
      </c>
      <c r="B165" s="15" t="s">
        <v>409</v>
      </c>
      <c r="C165" s="15">
        <v>1</v>
      </c>
      <c r="D165" s="36">
        <f>VLOOKUP($B165,Menu!$A$1:$F$20,MATCH($D$1,Menu!$A$1:$F$1,0),0)</f>
        <v>28.43</v>
      </c>
      <c r="E165" s="15" t="str">
        <f>VLOOKUP($B165,Menu!$A$1:$F$20,MATCH(OrderLines!E$1,Menu!$A$1:$F$1,0),0)</f>
        <v>Beverage</v>
      </c>
      <c r="F165" s="36">
        <f>VLOOKUP($B165,Menu!$A$1:$F$20,MATCH(OrderLines!F$1,Menu!$A$1:$F$1,0),0)</f>
        <v>13.89</v>
      </c>
      <c r="G165" s="27">
        <f>VLOOKUP($A165,Orders!$A$1:$H$361,MATCH($G$1,Orders!$A$1:$H$1,0),0)</f>
        <v>45895</v>
      </c>
      <c r="H165" s="15" t="str">
        <f>VLOOKUP($A165,Orders!$A$1:$H$361,MATCH(OrderLines!$H$1,Orders!$A$1:$H$1,0),0)</f>
        <v>Plant 1 Canteen</v>
      </c>
      <c r="I165" s="15">
        <f>VLOOKUP($A165,Orders!$A$1:$H$361,MATCH(OrderLines!$I$1,Orders!$A$1:$H$1,0),0)</f>
        <v>7.0000000000000007E-2</v>
      </c>
      <c r="J165" s="15">
        <f t="shared" si="7"/>
        <v>26.439899999999998</v>
      </c>
      <c r="K165" s="27" t="str">
        <f t="shared" si="8"/>
        <v>August</v>
      </c>
      <c r="L165" s="15" t="str">
        <f>VLOOKUP(OrderLines!$A165,Orders!$A$1:$H$361,MATCH(OrderLines!$L$1,Orders!$A$1:$H$1,0),0)</f>
        <v>Breakfast</v>
      </c>
      <c r="M165" t="str">
        <f>VLOOKUP($A165,Orders!$A$1:$H$361,MATCH(OrderLines!$M$1,Orders!$A$1:$H$1,0),0)</f>
        <v>UPI</v>
      </c>
      <c r="N165" t="str">
        <f t="shared" si="6"/>
        <v>Single</v>
      </c>
      <c r="O165" t="str" cm="1">
        <f t="array" ref="O165">IF((SUMPRODUCT((OrderID=OrderLines!$A165)*Qty*UnitPrice*DiscountPct))&gt;40,"HighDisc","OK")</f>
        <v>OK</v>
      </c>
      <c r="P165">
        <f>(orderlinesTABLE[[#This Row],[UnitCost]]*orderlinesTABLE[[#This Row],[Qty]])</f>
        <v>13.89</v>
      </c>
      <c r="Q165">
        <f>(orderlinesTABLE[[#This Row],[LineNetAmount]]-orderlinesTABLE[[#This Row],[totalCOST]])</f>
        <v>12.549899999999997</v>
      </c>
      <c r="R165" t="str">
        <f>VLOOKUP($B165,Menu!$A$1:$F$20,MATCH(OrderLines!R$1,Menu!$A$1:$F$1,0),0)</f>
        <v>Bottled Water</v>
      </c>
      <c r="S165" t="str" cm="1">
        <f t="array" ref="S165">_xlfn.TEXTJOIN("+",TRUE,_xlfn._xlws.FILTER(orderlinesTABLE[ItemName],OrderID=orderlinesTABLE[[#This Row],[OrderID]]))</f>
        <v>Veg Sandwich+Bottled Water+Tea+Brownie</v>
      </c>
      <c r="T165" s="54">
        <f>orderlinesTABLE[[#This Row],[Profit]]/orderlinesTABLE[[#This Row],[LineNetAmount]]</f>
        <v>0.47465761973381132</v>
      </c>
      <c r="U165" s="70">
        <f>(orderlinesTABLE[[#This Row],[Qty]]*orderlinesTABLE[[#This Row],[UnitCost]])</f>
        <v>13.89</v>
      </c>
    </row>
    <row r="166" spans="1:21" x14ac:dyDescent="0.3">
      <c r="A166" s="14" t="s">
        <v>104</v>
      </c>
      <c r="B166" s="14" t="s">
        <v>402</v>
      </c>
      <c r="C166" s="14">
        <v>1</v>
      </c>
      <c r="D166" s="37">
        <f>VLOOKUP($B166,Menu!$A$1:$F$20,MATCH($D$1,Menu!$A$1:$F$1,0),0)</f>
        <v>30.34</v>
      </c>
      <c r="E166" s="14" t="str">
        <f>VLOOKUP($B166,Menu!$A$1:$F$20,MATCH(OrderLines!E$1,Menu!$A$1:$F$1,0),0)</f>
        <v>Beverage</v>
      </c>
      <c r="F166" s="37">
        <f>VLOOKUP($B166,Menu!$A$1:$F$20,MATCH(OrderLines!F$1,Menu!$A$1:$F$1,0),0)</f>
        <v>14.18</v>
      </c>
      <c r="G166" s="28">
        <f>VLOOKUP($A166,Orders!$A$1:$H$361,MATCH($G$1,Orders!$A$1:$H$1,0),0)</f>
        <v>45895</v>
      </c>
      <c r="H166" s="14" t="str">
        <f>VLOOKUP($A166,Orders!$A$1:$H$361,MATCH(OrderLines!$H$1,Orders!$A$1:$H$1,0),0)</f>
        <v>Plant 1 Canteen</v>
      </c>
      <c r="I166" s="14">
        <f>VLOOKUP($A166,Orders!$A$1:$H$361,MATCH(OrderLines!$I$1,Orders!$A$1:$H$1,0),0)</f>
        <v>7.0000000000000007E-2</v>
      </c>
      <c r="J166" s="14">
        <f t="shared" si="7"/>
        <v>28.216199999999997</v>
      </c>
      <c r="K166" s="28" t="str">
        <f t="shared" si="8"/>
        <v>August</v>
      </c>
      <c r="L166" s="14" t="str">
        <f>VLOOKUP(OrderLines!$A166,Orders!$A$1:$H$361,MATCH(OrderLines!$L$1,Orders!$A$1:$H$1,0),0)</f>
        <v>Breakfast</v>
      </c>
      <c r="M166" t="str">
        <f>VLOOKUP($A166,Orders!$A$1:$H$361,MATCH(OrderLines!$M$1,Orders!$A$1:$H$1,0),0)</f>
        <v>UPI</v>
      </c>
      <c r="N166" t="str">
        <f t="shared" si="6"/>
        <v>Single</v>
      </c>
      <c r="O166" t="str" cm="1">
        <f t="array" ref="O166">IF((SUMPRODUCT((OrderID=OrderLines!$A166)*Qty*UnitPrice*DiscountPct))&gt;40,"HighDisc","OK")</f>
        <v>OK</v>
      </c>
      <c r="P166">
        <f>(orderlinesTABLE[[#This Row],[UnitCost]]*orderlinesTABLE[[#This Row],[Qty]])</f>
        <v>14.18</v>
      </c>
      <c r="Q166">
        <f>(orderlinesTABLE[[#This Row],[LineNetAmount]]-orderlinesTABLE[[#This Row],[totalCOST]])</f>
        <v>14.036199999999997</v>
      </c>
      <c r="R166" t="str">
        <f>VLOOKUP($B166,Menu!$A$1:$F$20,MATCH(OrderLines!R$1,Menu!$A$1:$F$1,0),0)</f>
        <v>Tea</v>
      </c>
      <c r="S166" t="str" cm="1">
        <f t="array" ref="S166">_xlfn.TEXTJOIN("+",TRUE,_xlfn._xlws.FILTER(orderlinesTABLE[ItemName],OrderID=orderlinesTABLE[[#This Row],[OrderID]]))</f>
        <v>Veg Sandwich+Bottled Water+Tea+Brownie</v>
      </c>
      <c r="T166" s="54">
        <f>orderlinesTABLE[[#This Row],[Profit]]/orderlinesTABLE[[#This Row],[LineNetAmount]]</f>
        <v>0.49745181845889946</v>
      </c>
      <c r="U166" s="70">
        <f>(orderlinesTABLE[[#This Row],[Qty]]*orderlinesTABLE[[#This Row],[UnitCost]])</f>
        <v>14.18</v>
      </c>
    </row>
    <row r="167" spans="1:21" x14ac:dyDescent="0.3">
      <c r="A167" s="15" t="s">
        <v>104</v>
      </c>
      <c r="B167" s="15" t="s">
        <v>414</v>
      </c>
      <c r="C167" s="15">
        <v>2</v>
      </c>
      <c r="D167" s="36">
        <f>VLOOKUP($B167,Menu!$A$1:$F$20,MATCH($D$1,Menu!$A$1:$F$1,0),0)</f>
        <v>116.8</v>
      </c>
      <c r="E167" s="15" t="str">
        <f>VLOOKUP($B167,Menu!$A$1:$F$20,MATCH(OrderLines!E$1,Menu!$A$1:$F$1,0),0)</f>
        <v>Dessert</v>
      </c>
      <c r="F167" s="36">
        <f>VLOOKUP($B167,Menu!$A$1:$F$20,MATCH(OrderLines!F$1,Menu!$A$1:$F$1,0),0)</f>
        <v>48.97</v>
      </c>
      <c r="G167" s="27">
        <f>VLOOKUP($A167,Orders!$A$1:$H$361,MATCH($G$1,Orders!$A$1:$H$1,0),0)</f>
        <v>45895</v>
      </c>
      <c r="H167" s="15" t="str">
        <f>VLOOKUP($A167,Orders!$A$1:$H$361,MATCH(OrderLines!$H$1,Orders!$A$1:$H$1,0),0)</f>
        <v>Plant 1 Canteen</v>
      </c>
      <c r="I167" s="15">
        <f>VLOOKUP($A167,Orders!$A$1:$H$361,MATCH(OrderLines!$I$1,Orders!$A$1:$H$1,0),0)</f>
        <v>7.0000000000000007E-2</v>
      </c>
      <c r="J167" s="15">
        <f t="shared" si="7"/>
        <v>217.24799999999999</v>
      </c>
      <c r="K167" s="27" t="str">
        <f t="shared" si="8"/>
        <v>August</v>
      </c>
      <c r="L167" s="15" t="str">
        <f>VLOOKUP(OrderLines!$A167,Orders!$A$1:$H$361,MATCH(OrderLines!$L$1,Orders!$A$1:$H$1,0),0)</f>
        <v>Breakfast</v>
      </c>
      <c r="M167" t="str">
        <f>VLOOKUP($A167,Orders!$A$1:$H$361,MATCH(OrderLines!$M$1,Orders!$A$1:$H$1,0),0)</f>
        <v>UPI</v>
      </c>
      <c r="N167" t="str">
        <f t="shared" si="6"/>
        <v>Single</v>
      </c>
      <c r="O167" t="str" cm="1">
        <f t="array" ref="O167">IF((SUMPRODUCT((OrderID=OrderLines!$A167)*Qty*UnitPrice*DiscountPct))&gt;40,"HighDisc","OK")</f>
        <v>OK</v>
      </c>
      <c r="P167">
        <f>(orderlinesTABLE[[#This Row],[UnitCost]]*orderlinesTABLE[[#This Row],[Qty]])</f>
        <v>97.94</v>
      </c>
      <c r="Q167">
        <f>(orderlinesTABLE[[#This Row],[LineNetAmount]]-orderlinesTABLE[[#This Row],[totalCOST]])</f>
        <v>119.30799999999999</v>
      </c>
      <c r="R167" t="str">
        <f>VLOOKUP($B167,Menu!$A$1:$F$20,MATCH(OrderLines!R$1,Menu!$A$1:$F$1,0),0)</f>
        <v>Brownie</v>
      </c>
      <c r="S167" t="str" cm="1">
        <f t="array" ref="S167">_xlfn.TEXTJOIN("+",TRUE,_xlfn._xlws.FILTER(orderlinesTABLE[ItemName],OrderID=orderlinesTABLE[[#This Row],[OrderID]]))</f>
        <v>Veg Sandwich+Bottled Water+Tea+Brownie</v>
      </c>
      <c r="T167" s="54">
        <f>orderlinesTABLE[[#This Row],[Profit]]/orderlinesTABLE[[#This Row],[LineNetAmount]]</f>
        <v>0.54917881867727203</v>
      </c>
      <c r="U167" s="70">
        <f>(orderlinesTABLE[[#This Row],[Qty]]*orderlinesTABLE[[#This Row],[UnitCost]])</f>
        <v>97.94</v>
      </c>
    </row>
    <row r="168" spans="1:21" x14ac:dyDescent="0.3">
      <c r="A168" s="14" t="s">
        <v>105</v>
      </c>
      <c r="B168" s="14" t="s">
        <v>405</v>
      </c>
      <c r="C168" s="14">
        <v>1</v>
      </c>
      <c r="D168" s="37">
        <f>VLOOKUP($B168,Menu!$A$1:$F$20,MATCH($D$1,Menu!$A$1:$F$1,0),0)</f>
        <v>170.83</v>
      </c>
      <c r="E168" s="14" t="str">
        <f>VLOOKUP($B168,Menu!$A$1:$F$20,MATCH(OrderLines!E$1,Menu!$A$1:$F$1,0),0)</f>
        <v>Hot Meal</v>
      </c>
      <c r="F168" s="37">
        <f>VLOOKUP($B168,Menu!$A$1:$F$20,MATCH(OrderLines!F$1,Menu!$A$1:$F$1,0),0)</f>
        <v>74.069999999999993</v>
      </c>
      <c r="G168" s="28">
        <f>VLOOKUP($A168,Orders!$A$1:$H$361,MATCH($G$1,Orders!$A$1:$H$1,0),0)</f>
        <v>45887</v>
      </c>
      <c r="H168" s="14" t="str">
        <f>VLOOKUP($A168,Orders!$A$1:$H$361,MATCH(OrderLines!$H$1,Orders!$A$1:$H$1,0),0)</f>
        <v>Plant 2 Canteen</v>
      </c>
      <c r="I168" s="14">
        <f>VLOOKUP($A168,Orders!$A$1:$H$361,MATCH(OrderLines!$I$1,Orders!$A$1:$H$1,0),0)</f>
        <v>0.06</v>
      </c>
      <c r="J168" s="14">
        <f t="shared" si="7"/>
        <v>160.58019999999999</v>
      </c>
      <c r="K168" s="28" t="str">
        <f t="shared" si="8"/>
        <v>August</v>
      </c>
      <c r="L168" s="14" t="str">
        <f>VLOOKUP(OrderLines!$A168,Orders!$A$1:$H$361,MATCH(OrderLines!$L$1,Orders!$A$1:$H$1,0),0)</f>
        <v>Breakfast</v>
      </c>
      <c r="M168" t="str">
        <f>VLOOKUP($A168,Orders!$A$1:$H$361,MATCH(OrderLines!$M$1,Orders!$A$1:$H$1,0),0)</f>
        <v>Cash</v>
      </c>
      <c r="N168" t="str">
        <f t="shared" si="6"/>
        <v>Combo</v>
      </c>
      <c r="O168" t="str" cm="1">
        <f t="array" ref="O168">IF((SUMPRODUCT((OrderID=OrderLines!$A168)*Qty*UnitPrice*DiscountPct))&gt;40,"HighDisc","OK")</f>
        <v>OK</v>
      </c>
      <c r="P168">
        <f>(orderlinesTABLE[[#This Row],[UnitCost]]*orderlinesTABLE[[#This Row],[Qty]])</f>
        <v>74.069999999999993</v>
      </c>
      <c r="Q168">
        <f>(orderlinesTABLE[[#This Row],[LineNetAmount]]-orderlinesTABLE[[#This Row],[totalCOST]])</f>
        <v>86.510199999999998</v>
      </c>
      <c r="R168" t="str">
        <f>VLOOKUP($B168,Menu!$A$1:$F$20,MATCH(OrderLines!R$1,Menu!$A$1:$F$1,0),0)</f>
        <v>Paneer Butter Masala + Naan</v>
      </c>
      <c r="S168" t="str" cm="1">
        <f t="array" ref="S168">_xlfn.TEXTJOIN("+",TRUE,_xlfn._xlws.FILTER(orderlinesTABLE[ItemName],OrderID=orderlinesTABLE[[#This Row],[OrderID]]))</f>
        <v>Paneer Butter Masala + Naan+Masala Puff+Tea+Rajma Chawal</v>
      </c>
      <c r="T168" s="54">
        <f>orderlinesTABLE[[#This Row],[Profit]]/orderlinesTABLE[[#This Row],[LineNetAmount]]</f>
        <v>0.53873516162017487</v>
      </c>
      <c r="U168" s="70">
        <f>(orderlinesTABLE[[#This Row],[Qty]]*orderlinesTABLE[[#This Row],[UnitCost]])</f>
        <v>74.069999999999993</v>
      </c>
    </row>
    <row r="169" spans="1:21" x14ac:dyDescent="0.3">
      <c r="A169" s="15" t="s">
        <v>105</v>
      </c>
      <c r="B169" s="15" t="s">
        <v>419</v>
      </c>
      <c r="C169" s="15">
        <v>1</v>
      </c>
      <c r="D169" s="36">
        <f>VLOOKUP($B169,Menu!$A$1:$F$20,MATCH($D$1,Menu!$A$1:$F$1,0),0)</f>
        <v>50.19</v>
      </c>
      <c r="E169" s="15" t="str">
        <f>VLOOKUP($B169,Menu!$A$1:$F$20,MATCH(OrderLines!E$1,Menu!$A$1:$F$1,0),0)</f>
        <v>Snack</v>
      </c>
      <c r="F169" s="36">
        <f>VLOOKUP($B169,Menu!$A$1:$F$20,MATCH(OrderLines!F$1,Menu!$A$1:$F$1,0),0)</f>
        <v>22.61</v>
      </c>
      <c r="G169" s="27">
        <f>VLOOKUP($A169,Orders!$A$1:$H$361,MATCH($G$1,Orders!$A$1:$H$1,0),0)</f>
        <v>45887</v>
      </c>
      <c r="H169" s="15" t="str">
        <f>VLOOKUP($A169,Orders!$A$1:$H$361,MATCH(OrderLines!$H$1,Orders!$A$1:$H$1,0),0)</f>
        <v>Plant 2 Canteen</v>
      </c>
      <c r="I169" s="15">
        <f>VLOOKUP($A169,Orders!$A$1:$H$361,MATCH(OrderLines!$I$1,Orders!$A$1:$H$1,0),0)</f>
        <v>0.06</v>
      </c>
      <c r="J169" s="15">
        <f t="shared" si="7"/>
        <v>47.178599999999996</v>
      </c>
      <c r="K169" s="27" t="str">
        <f t="shared" si="8"/>
        <v>August</v>
      </c>
      <c r="L169" s="15" t="str">
        <f>VLOOKUP(OrderLines!$A169,Orders!$A$1:$H$361,MATCH(OrderLines!$L$1,Orders!$A$1:$H$1,0),0)</f>
        <v>Breakfast</v>
      </c>
      <c r="M169" t="str">
        <f>VLOOKUP($A169,Orders!$A$1:$H$361,MATCH(OrderLines!$M$1,Orders!$A$1:$H$1,0),0)</f>
        <v>Cash</v>
      </c>
      <c r="N169" t="str">
        <f t="shared" si="6"/>
        <v>Combo</v>
      </c>
      <c r="O169" t="str" cm="1">
        <f t="array" ref="O169">IF((SUMPRODUCT((OrderID=OrderLines!$A169)*Qty*UnitPrice*DiscountPct))&gt;40,"HighDisc","OK")</f>
        <v>OK</v>
      </c>
      <c r="P169">
        <f>(orderlinesTABLE[[#This Row],[UnitCost]]*orderlinesTABLE[[#This Row],[Qty]])</f>
        <v>22.61</v>
      </c>
      <c r="Q169">
        <f>(orderlinesTABLE[[#This Row],[LineNetAmount]]-orderlinesTABLE[[#This Row],[totalCOST]])</f>
        <v>24.568599999999996</v>
      </c>
      <c r="R169" t="str">
        <f>VLOOKUP($B169,Menu!$A$1:$F$20,MATCH(OrderLines!R$1,Menu!$A$1:$F$1,0),0)</f>
        <v>Masala Puff</v>
      </c>
      <c r="S169" t="str" cm="1">
        <f t="array" ref="S169">_xlfn.TEXTJOIN("+",TRUE,_xlfn._xlws.FILTER(orderlinesTABLE[ItemName],OrderID=orderlinesTABLE[[#This Row],[OrderID]]))</f>
        <v>Paneer Butter Masala + Naan+Masala Puff+Tea+Rajma Chawal</v>
      </c>
      <c r="T169" s="54">
        <f>orderlinesTABLE[[#This Row],[Profit]]/orderlinesTABLE[[#This Row],[LineNetAmount]]</f>
        <v>0.52075729250126113</v>
      </c>
      <c r="U169" s="70">
        <f>(orderlinesTABLE[[#This Row],[Qty]]*orderlinesTABLE[[#This Row],[UnitCost]])</f>
        <v>22.61</v>
      </c>
    </row>
    <row r="170" spans="1:21" x14ac:dyDescent="0.3">
      <c r="A170" s="14" t="s">
        <v>105</v>
      </c>
      <c r="B170" s="14" t="s">
        <v>402</v>
      </c>
      <c r="C170" s="14">
        <v>1</v>
      </c>
      <c r="D170" s="37">
        <f>VLOOKUP($B170,Menu!$A$1:$F$20,MATCH($D$1,Menu!$A$1:$F$1,0),0)</f>
        <v>30.34</v>
      </c>
      <c r="E170" s="14" t="str">
        <f>VLOOKUP($B170,Menu!$A$1:$F$20,MATCH(OrderLines!E$1,Menu!$A$1:$F$1,0),0)</f>
        <v>Beverage</v>
      </c>
      <c r="F170" s="37">
        <f>VLOOKUP($B170,Menu!$A$1:$F$20,MATCH(OrderLines!F$1,Menu!$A$1:$F$1,0),0)</f>
        <v>14.18</v>
      </c>
      <c r="G170" s="28">
        <f>VLOOKUP($A170,Orders!$A$1:$H$361,MATCH($G$1,Orders!$A$1:$H$1,0),0)</f>
        <v>45887</v>
      </c>
      <c r="H170" s="14" t="str">
        <f>VLOOKUP($A170,Orders!$A$1:$H$361,MATCH(OrderLines!$H$1,Orders!$A$1:$H$1,0),0)</f>
        <v>Plant 2 Canteen</v>
      </c>
      <c r="I170" s="14">
        <f>VLOOKUP($A170,Orders!$A$1:$H$361,MATCH(OrderLines!$I$1,Orders!$A$1:$H$1,0),0)</f>
        <v>0.06</v>
      </c>
      <c r="J170" s="14">
        <f t="shared" si="7"/>
        <v>28.519599999999997</v>
      </c>
      <c r="K170" s="28" t="str">
        <f t="shared" si="8"/>
        <v>August</v>
      </c>
      <c r="L170" s="14" t="str">
        <f>VLOOKUP(OrderLines!$A170,Orders!$A$1:$H$361,MATCH(OrderLines!$L$1,Orders!$A$1:$H$1,0),0)</f>
        <v>Breakfast</v>
      </c>
      <c r="M170" t="str">
        <f>VLOOKUP($A170,Orders!$A$1:$H$361,MATCH(OrderLines!$M$1,Orders!$A$1:$H$1,0),0)</f>
        <v>Cash</v>
      </c>
      <c r="N170" t="str">
        <f t="shared" si="6"/>
        <v>Combo</v>
      </c>
      <c r="O170" t="str" cm="1">
        <f t="array" ref="O170">IF((SUMPRODUCT((OrderID=OrderLines!$A170)*Qty*UnitPrice*DiscountPct))&gt;40,"HighDisc","OK")</f>
        <v>OK</v>
      </c>
      <c r="P170">
        <f>(orderlinesTABLE[[#This Row],[UnitCost]]*orderlinesTABLE[[#This Row],[Qty]])</f>
        <v>14.18</v>
      </c>
      <c r="Q170">
        <f>(orderlinesTABLE[[#This Row],[LineNetAmount]]-orderlinesTABLE[[#This Row],[totalCOST]])</f>
        <v>14.339599999999997</v>
      </c>
      <c r="R170" t="str">
        <f>VLOOKUP($B170,Menu!$A$1:$F$20,MATCH(OrderLines!R$1,Menu!$A$1:$F$1,0),0)</f>
        <v>Tea</v>
      </c>
      <c r="S170" t="str" cm="1">
        <f t="array" ref="S170">_xlfn.TEXTJOIN("+",TRUE,_xlfn._xlws.FILTER(orderlinesTABLE[ItemName],OrderID=orderlinesTABLE[[#This Row],[OrderID]]))</f>
        <v>Paneer Butter Masala + Naan+Masala Puff+Tea+Rajma Chawal</v>
      </c>
      <c r="T170" s="54">
        <f>orderlinesTABLE[[#This Row],[Profit]]/orderlinesTABLE[[#This Row],[LineNetAmount]]</f>
        <v>0.50279807570933666</v>
      </c>
      <c r="U170" s="70">
        <f>(orderlinesTABLE[[#This Row],[Qty]]*orderlinesTABLE[[#This Row],[UnitCost]])</f>
        <v>14.18</v>
      </c>
    </row>
    <row r="171" spans="1:21" x14ac:dyDescent="0.3">
      <c r="A171" s="15" t="s">
        <v>105</v>
      </c>
      <c r="B171" s="15" t="s">
        <v>417</v>
      </c>
      <c r="C171" s="15">
        <v>1</v>
      </c>
      <c r="D171" s="36">
        <f>VLOOKUP($B171,Menu!$A$1:$F$20,MATCH($D$1,Menu!$A$1:$F$1,0),0)</f>
        <v>146.4</v>
      </c>
      <c r="E171" s="15" t="str">
        <f>VLOOKUP($B171,Menu!$A$1:$F$20,MATCH(OrderLines!E$1,Menu!$A$1:$F$1,0),0)</f>
        <v>Hot Meal</v>
      </c>
      <c r="F171" s="36">
        <f>VLOOKUP($B171,Menu!$A$1:$F$20,MATCH(OrderLines!F$1,Menu!$A$1:$F$1,0),0)</f>
        <v>80.92</v>
      </c>
      <c r="G171" s="27">
        <f>VLOOKUP($A171,Orders!$A$1:$H$361,MATCH($G$1,Orders!$A$1:$H$1,0),0)</f>
        <v>45887</v>
      </c>
      <c r="H171" s="15" t="str">
        <f>VLOOKUP($A171,Orders!$A$1:$H$361,MATCH(OrderLines!$H$1,Orders!$A$1:$H$1,0),0)</f>
        <v>Plant 2 Canteen</v>
      </c>
      <c r="I171" s="15">
        <f>VLOOKUP($A171,Orders!$A$1:$H$361,MATCH(OrderLines!$I$1,Orders!$A$1:$H$1,0),0)</f>
        <v>0.06</v>
      </c>
      <c r="J171" s="15">
        <f t="shared" si="7"/>
        <v>137.61599999999999</v>
      </c>
      <c r="K171" s="27" t="str">
        <f t="shared" si="8"/>
        <v>August</v>
      </c>
      <c r="L171" s="15" t="str">
        <f>VLOOKUP(OrderLines!$A171,Orders!$A$1:$H$361,MATCH(OrderLines!$L$1,Orders!$A$1:$H$1,0),0)</f>
        <v>Breakfast</v>
      </c>
      <c r="M171" t="str">
        <f>VLOOKUP($A171,Orders!$A$1:$H$361,MATCH(OrderLines!$M$1,Orders!$A$1:$H$1,0),0)</f>
        <v>Cash</v>
      </c>
      <c r="N171" t="str">
        <f t="shared" si="6"/>
        <v>Combo</v>
      </c>
      <c r="O171" t="str" cm="1">
        <f t="array" ref="O171">IF((SUMPRODUCT((OrderID=OrderLines!$A171)*Qty*UnitPrice*DiscountPct))&gt;40,"HighDisc","OK")</f>
        <v>OK</v>
      </c>
      <c r="P171">
        <f>(orderlinesTABLE[[#This Row],[UnitCost]]*orderlinesTABLE[[#This Row],[Qty]])</f>
        <v>80.92</v>
      </c>
      <c r="Q171">
        <f>(orderlinesTABLE[[#This Row],[LineNetAmount]]-orderlinesTABLE[[#This Row],[totalCOST]])</f>
        <v>56.695999999999984</v>
      </c>
      <c r="R171" t="str">
        <f>VLOOKUP($B171,Menu!$A$1:$F$20,MATCH(OrderLines!R$1,Menu!$A$1:$F$1,0),0)</f>
        <v>Rajma Chawal</v>
      </c>
      <c r="S171" t="str" cm="1">
        <f t="array" ref="S171">_xlfn.TEXTJOIN("+",TRUE,_xlfn._xlws.FILTER(orderlinesTABLE[ItemName],OrderID=orderlinesTABLE[[#This Row],[OrderID]]))</f>
        <v>Paneer Butter Masala + Naan+Masala Puff+Tea+Rajma Chawal</v>
      </c>
      <c r="T171" s="54">
        <f>orderlinesTABLE[[#This Row],[Profit]]/orderlinesTABLE[[#This Row],[LineNetAmount]]</f>
        <v>0.41198697825834196</v>
      </c>
      <c r="U171" s="70">
        <f>(orderlinesTABLE[[#This Row],[Qty]]*orderlinesTABLE[[#This Row],[UnitCost]])</f>
        <v>80.92</v>
      </c>
    </row>
    <row r="172" spans="1:21" x14ac:dyDescent="0.3">
      <c r="A172" s="14" t="s">
        <v>106</v>
      </c>
      <c r="B172" s="14" t="s">
        <v>407</v>
      </c>
      <c r="C172" s="14">
        <v>3</v>
      </c>
      <c r="D172" s="37">
        <f>VLOOKUP($B172,Menu!$A$1:$F$20,MATCH($D$1,Menu!$A$1:$F$1,0),0)</f>
        <v>246.09</v>
      </c>
      <c r="E172" s="14" t="str">
        <f>VLOOKUP($B172,Menu!$A$1:$F$20,MATCH(OrderLines!E$1,Menu!$A$1:$F$1,0),0)</f>
        <v>Hot Meal</v>
      </c>
      <c r="F172" s="37">
        <f>VLOOKUP($B172,Menu!$A$1:$F$20,MATCH(OrderLines!F$1,Menu!$A$1:$F$1,0),0)</f>
        <v>112.08</v>
      </c>
      <c r="G172" s="28">
        <f>VLOOKUP($A172,Orders!$A$1:$H$361,MATCH($G$1,Orders!$A$1:$H$1,0),0)</f>
        <v>45849</v>
      </c>
      <c r="H172" s="14" t="str">
        <f>VLOOKUP($A172,Orders!$A$1:$H$361,MATCH(OrderLines!$H$1,Orders!$A$1:$H$1,0),0)</f>
        <v>Plant 2 Canteen</v>
      </c>
      <c r="I172" s="14">
        <f>VLOOKUP($A172,Orders!$A$1:$H$361,MATCH(OrderLines!$I$1,Orders!$A$1:$H$1,0),0)</f>
        <v>0</v>
      </c>
      <c r="J172" s="14">
        <f t="shared" si="7"/>
        <v>738.27</v>
      </c>
      <c r="K172" s="28" t="str">
        <f t="shared" si="8"/>
        <v>July</v>
      </c>
      <c r="L172" s="14" t="str">
        <f>VLOOKUP(OrderLines!$A172,Orders!$A$1:$H$361,MATCH(OrderLines!$L$1,Orders!$A$1:$H$1,0),0)</f>
        <v>Lunch</v>
      </c>
      <c r="M172" t="str">
        <f>VLOOKUP($A172,Orders!$A$1:$H$361,MATCH(OrderLines!$M$1,Orders!$A$1:$H$1,0),0)</f>
        <v>Cash</v>
      </c>
      <c r="N172" t="str">
        <f t="shared" si="6"/>
        <v>Single</v>
      </c>
      <c r="O172" t="str" cm="1">
        <f t="array" ref="O172">IF((SUMPRODUCT((OrderID=OrderLines!$A172)*Qty*UnitPrice*DiscountPct))&gt;40,"HighDisc","OK")</f>
        <v>OK</v>
      </c>
      <c r="P172">
        <f>(orderlinesTABLE[[#This Row],[UnitCost]]*orderlinesTABLE[[#This Row],[Qty]])</f>
        <v>336.24</v>
      </c>
      <c r="Q172">
        <f>(orderlinesTABLE[[#This Row],[LineNetAmount]]-orderlinesTABLE[[#This Row],[totalCOST]])</f>
        <v>402.03</v>
      </c>
      <c r="R172" t="str">
        <f>VLOOKUP($B172,Menu!$A$1:$F$20,MATCH(OrderLines!R$1,Menu!$A$1:$F$1,0),0)</f>
        <v>Egg Curry + Rice</v>
      </c>
      <c r="S172" t="str" cm="1">
        <f t="array" ref="S172">_xlfn.TEXTJOIN("+",TRUE,_xlfn._xlws.FILTER(orderlinesTABLE[ItemName],OrderID=orderlinesTABLE[[#This Row],[OrderID]]))</f>
        <v>Egg Curry + Rice+Chicken Thali+Veg Sandwich+Rajma Chawal</v>
      </c>
      <c r="T172" s="54">
        <f>orderlinesTABLE[[#This Row],[Profit]]/orderlinesTABLE[[#This Row],[LineNetAmount]]</f>
        <v>0.54455686943801052</v>
      </c>
      <c r="U172" s="70">
        <f>(orderlinesTABLE[[#This Row],[Qty]]*orderlinesTABLE[[#This Row],[UnitCost]])</f>
        <v>336.24</v>
      </c>
    </row>
    <row r="173" spans="1:21" x14ac:dyDescent="0.3">
      <c r="A173" s="15" t="s">
        <v>106</v>
      </c>
      <c r="B173" s="15" t="s">
        <v>415</v>
      </c>
      <c r="C173" s="15">
        <v>2</v>
      </c>
      <c r="D173" s="36">
        <f>VLOOKUP($B173,Menu!$A$1:$F$20,MATCH($D$1,Menu!$A$1:$F$1,0),0)</f>
        <v>256.91000000000003</v>
      </c>
      <c r="E173" s="15" t="str">
        <f>VLOOKUP($B173,Menu!$A$1:$F$20,MATCH(OrderLines!E$1,Menu!$A$1:$F$1,0),0)</f>
        <v>Hot Meal</v>
      </c>
      <c r="F173" s="36">
        <f>VLOOKUP($B173,Menu!$A$1:$F$20,MATCH(OrderLines!F$1,Menu!$A$1:$F$1,0),0)</f>
        <v>121.24</v>
      </c>
      <c r="G173" s="27">
        <f>VLOOKUP($A173,Orders!$A$1:$H$361,MATCH($G$1,Orders!$A$1:$H$1,0),0)</f>
        <v>45849</v>
      </c>
      <c r="H173" s="15" t="str">
        <f>VLOOKUP($A173,Orders!$A$1:$H$361,MATCH(OrderLines!$H$1,Orders!$A$1:$H$1,0),0)</f>
        <v>Plant 2 Canteen</v>
      </c>
      <c r="I173" s="15">
        <f>VLOOKUP($A173,Orders!$A$1:$H$361,MATCH(OrderLines!$I$1,Orders!$A$1:$H$1,0),0)</f>
        <v>0</v>
      </c>
      <c r="J173" s="15">
        <f t="shared" si="7"/>
        <v>513.82000000000005</v>
      </c>
      <c r="K173" s="27" t="str">
        <f t="shared" si="8"/>
        <v>July</v>
      </c>
      <c r="L173" s="15" t="str">
        <f>VLOOKUP(OrderLines!$A173,Orders!$A$1:$H$361,MATCH(OrderLines!$L$1,Orders!$A$1:$H$1,0),0)</f>
        <v>Lunch</v>
      </c>
      <c r="M173" t="str">
        <f>VLOOKUP($A173,Orders!$A$1:$H$361,MATCH(OrderLines!$M$1,Orders!$A$1:$H$1,0),0)</f>
        <v>Cash</v>
      </c>
      <c r="N173" t="str">
        <f t="shared" si="6"/>
        <v>Single</v>
      </c>
      <c r="O173" t="str" cm="1">
        <f t="array" ref="O173">IF((SUMPRODUCT((OrderID=OrderLines!$A173)*Qty*UnitPrice*DiscountPct))&gt;40,"HighDisc","OK")</f>
        <v>OK</v>
      </c>
      <c r="P173">
        <f>(orderlinesTABLE[[#This Row],[UnitCost]]*orderlinesTABLE[[#This Row],[Qty]])</f>
        <v>242.48</v>
      </c>
      <c r="Q173">
        <f>(orderlinesTABLE[[#This Row],[LineNetAmount]]-orderlinesTABLE[[#This Row],[totalCOST]])</f>
        <v>271.34000000000003</v>
      </c>
      <c r="R173" t="str">
        <f>VLOOKUP($B173,Menu!$A$1:$F$20,MATCH(OrderLines!R$1,Menu!$A$1:$F$1,0),0)</f>
        <v>Chicken Thali</v>
      </c>
      <c r="S173" t="str" cm="1">
        <f t="array" ref="S173">_xlfn.TEXTJOIN("+",TRUE,_xlfn._xlws.FILTER(orderlinesTABLE[ItemName],OrderID=orderlinesTABLE[[#This Row],[OrderID]]))</f>
        <v>Egg Curry + Rice+Chicken Thali+Veg Sandwich+Rajma Chawal</v>
      </c>
      <c r="T173" s="54">
        <f>orderlinesTABLE[[#This Row],[Profit]]/orderlinesTABLE[[#This Row],[LineNetAmount]]</f>
        <v>0.52808376474251684</v>
      </c>
      <c r="U173" s="70">
        <f>(orderlinesTABLE[[#This Row],[Qty]]*orderlinesTABLE[[#This Row],[UnitCost]])</f>
        <v>242.48</v>
      </c>
    </row>
    <row r="174" spans="1:21" x14ac:dyDescent="0.3">
      <c r="A174" s="14" t="s">
        <v>106</v>
      </c>
      <c r="B174" s="14" t="s">
        <v>408</v>
      </c>
      <c r="C174" s="14">
        <v>2</v>
      </c>
      <c r="D174" s="37">
        <f>VLOOKUP($B174,Menu!$A$1:$F$20,MATCH($D$1,Menu!$A$1:$F$1,0),0)</f>
        <v>70.540000000000006</v>
      </c>
      <c r="E174" s="14" t="str">
        <f>VLOOKUP($B174,Menu!$A$1:$F$20,MATCH(OrderLines!E$1,Menu!$A$1:$F$1,0),0)</f>
        <v>Snack</v>
      </c>
      <c r="F174" s="37">
        <f>VLOOKUP($B174,Menu!$A$1:$F$20,MATCH(OrderLines!F$1,Menu!$A$1:$F$1,0),0)</f>
        <v>35.81</v>
      </c>
      <c r="G174" s="28">
        <f>VLOOKUP($A174,Orders!$A$1:$H$361,MATCH($G$1,Orders!$A$1:$H$1,0),0)</f>
        <v>45849</v>
      </c>
      <c r="H174" s="14" t="str">
        <f>VLOOKUP($A174,Orders!$A$1:$H$361,MATCH(OrderLines!$H$1,Orders!$A$1:$H$1,0),0)</f>
        <v>Plant 2 Canteen</v>
      </c>
      <c r="I174" s="14">
        <f>VLOOKUP($A174,Orders!$A$1:$H$361,MATCH(OrderLines!$I$1,Orders!$A$1:$H$1,0),0)</f>
        <v>0</v>
      </c>
      <c r="J174" s="14">
        <f t="shared" si="7"/>
        <v>141.08000000000001</v>
      </c>
      <c r="K174" s="28" t="str">
        <f t="shared" si="8"/>
        <v>July</v>
      </c>
      <c r="L174" s="14" t="str">
        <f>VLOOKUP(OrderLines!$A174,Orders!$A$1:$H$361,MATCH(OrderLines!$L$1,Orders!$A$1:$H$1,0),0)</f>
        <v>Lunch</v>
      </c>
      <c r="M174" t="str">
        <f>VLOOKUP($A174,Orders!$A$1:$H$361,MATCH(OrderLines!$M$1,Orders!$A$1:$H$1,0),0)</f>
        <v>Cash</v>
      </c>
      <c r="N174" t="str">
        <f t="shared" si="6"/>
        <v>Single</v>
      </c>
      <c r="O174" t="str" cm="1">
        <f t="array" ref="O174">IF((SUMPRODUCT((OrderID=OrderLines!$A174)*Qty*UnitPrice*DiscountPct))&gt;40,"HighDisc","OK")</f>
        <v>OK</v>
      </c>
      <c r="P174">
        <f>(orderlinesTABLE[[#This Row],[UnitCost]]*orderlinesTABLE[[#This Row],[Qty]])</f>
        <v>71.62</v>
      </c>
      <c r="Q174">
        <f>(orderlinesTABLE[[#This Row],[LineNetAmount]]-orderlinesTABLE[[#This Row],[totalCOST]])</f>
        <v>69.460000000000008</v>
      </c>
      <c r="R174" t="str">
        <f>VLOOKUP($B174,Menu!$A$1:$F$20,MATCH(OrderLines!R$1,Menu!$A$1:$F$1,0),0)</f>
        <v>Veg Sandwich</v>
      </c>
      <c r="S174" t="str" cm="1">
        <f t="array" ref="S174">_xlfn.TEXTJOIN("+",TRUE,_xlfn._xlws.FILTER(orderlinesTABLE[ItemName],OrderID=orderlinesTABLE[[#This Row],[OrderID]]))</f>
        <v>Egg Curry + Rice+Chicken Thali+Veg Sandwich+Rajma Chawal</v>
      </c>
      <c r="T174" s="54">
        <f>orderlinesTABLE[[#This Row],[Profit]]/orderlinesTABLE[[#This Row],[LineNetAmount]]</f>
        <v>0.49234476892543239</v>
      </c>
      <c r="U174" s="70">
        <f>(orderlinesTABLE[[#This Row],[Qty]]*orderlinesTABLE[[#This Row],[UnitCost]])</f>
        <v>71.62</v>
      </c>
    </row>
    <row r="175" spans="1:21" x14ac:dyDescent="0.3">
      <c r="A175" s="15" t="s">
        <v>106</v>
      </c>
      <c r="B175" s="15" t="s">
        <v>417</v>
      </c>
      <c r="C175" s="15">
        <v>1</v>
      </c>
      <c r="D175" s="36">
        <f>VLOOKUP($B175,Menu!$A$1:$F$20,MATCH($D$1,Menu!$A$1:$F$1,0),0)</f>
        <v>146.4</v>
      </c>
      <c r="E175" s="15" t="str">
        <f>VLOOKUP($B175,Menu!$A$1:$F$20,MATCH(OrderLines!E$1,Menu!$A$1:$F$1,0),0)</f>
        <v>Hot Meal</v>
      </c>
      <c r="F175" s="36">
        <f>VLOOKUP($B175,Menu!$A$1:$F$20,MATCH(OrderLines!F$1,Menu!$A$1:$F$1,0),0)</f>
        <v>80.92</v>
      </c>
      <c r="G175" s="27">
        <f>VLOOKUP($A175,Orders!$A$1:$H$361,MATCH($G$1,Orders!$A$1:$H$1,0),0)</f>
        <v>45849</v>
      </c>
      <c r="H175" s="15" t="str">
        <f>VLOOKUP($A175,Orders!$A$1:$H$361,MATCH(OrderLines!$H$1,Orders!$A$1:$H$1,0),0)</f>
        <v>Plant 2 Canteen</v>
      </c>
      <c r="I175" s="15">
        <f>VLOOKUP($A175,Orders!$A$1:$H$361,MATCH(OrderLines!$I$1,Orders!$A$1:$H$1,0),0)</f>
        <v>0</v>
      </c>
      <c r="J175" s="15">
        <f t="shared" si="7"/>
        <v>146.4</v>
      </c>
      <c r="K175" s="27" t="str">
        <f t="shared" si="8"/>
        <v>July</v>
      </c>
      <c r="L175" s="15" t="str">
        <f>VLOOKUP(OrderLines!$A175,Orders!$A$1:$H$361,MATCH(OrderLines!$L$1,Orders!$A$1:$H$1,0),0)</f>
        <v>Lunch</v>
      </c>
      <c r="M175" t="str">
        <f>VLOOKUP($A175,Orders!$A$1:$H$361,MATCH(OrderLines!$M$1,Orders!$A$1:$H$1,0),0)</f>
        <v>Cash</v>
      </c>
      <c r="N175" t="str">
        <f t="shared" si="6"/>
        <v>Single</v>
      </c>
      <c r="O175" t="str" cm="1">
        <f t="array" ref="O175">IF((SUMPRODUCT((OrderID=OrderLines!$A175)*Qty*UnitPrice*DiscountPct))&gt;40,"HighDisc","OK")</f>
        <v>OK</v>
      </c>
      <c r="P175">
        <f>(orderlinesTABLE[[#This Row],[UnitCost]]*orderlinesTABLE[[#This Row],[Qty]])</f>
        <v>80.92</v>
      </c>
      <c r="Q175">
        <f>(orderlinesTABLE[[#This Row],[LineNetAmount]]-orderlinesTABLE[[#This Row],[totalCOST]])</f>
        <v>65.48</v>
      </c>
      <c r="R175" t="str">
        <f>VLOOKUP($B175,Menu!$A$1:$F$20,MATCH(OrderLines!R$1,Menu!$A$1:$F$1,0),0)</f>
        <v>Rajma Chawal</v>
      </c>
      <c r="S175" t="str" cm="1">
        <f t="array" ref="S175">_xlfn.TEXTJOIN("+",TRUE,_xlfn._xlws.FILTER(orderlinesTABLE[ItemName],OrderID=orderlinesTABLE[[#This Row],[OrderID]]))</f>
        <v>Egg Curry + Rice+Chicken Thali+Veg Sandwich+Rajma Chawal</v>
      </c>
      <c r="T175" s="54">
        <f>orderlinesTABLE[[#This Row],[Profit]]/orderlinesTABLE[[#This Row],[LineNetAmount]]</f>
        <v>0.44726775956284154</v>
      </c>
      <c r="U175" s="70">
        <f>(orderlinesTABLE[[#This Row],[Qty]]*orderlinesTABLE[[#This Row],[UnitCost]])</f>
        <v>80.92</v>
      </c>
    </row>
    <row r="176" spans="1:21" x14ac:dyDescent="0.3">
      <c r="A176" s="14" t="s">
        <v>107</v>
      </c>
      <c r="B176" s="14" t="s">
        <v>410</v>
      </c>
      <c r="C176" s="14">
        <v>3</v>
      </c>
      <c r="D176" s="37">
        <f>VLOOKUP($B176,Menu!$A$1:$F$20,MATCH($D$1,Menu!$A$1:$F$1,0),0)</f>
        <v>20.11</v>
      </c>
      <c r="E176" s="14" t="str">
        <f>VLOOKUP($B176,Menu!$A$1:$F$20,MATCH(OrderLines!E$1,Menu!$A$1:$F$1,0),0)</f>
        <v>Beverage</v>
      </c>
      <c r="F176" s="37">
        <f>VLOOKUP($B176,Menu!$A$1:$F$20,MATCH(OrderLines!F$1,Menu!$A$1:$F$1,0),0)</f>
        <v>8</v>
      </c>
      <c r="G176" s="28">
        <f>VLOOKUP($A176,Orders!$A$1:$H$361,MATCH($G$1,Orders!$A$1:$H$1,0),0)</f>
        <v>45884</v>
      </c>
      <c r="H176" s="14" t="str">
        <f>VLOOKUP($A176,Orders!$A$1:$H$361,MATCH(OrderLines!$H$1,Orders!$A$1:$H$1,0),0)</f>
        <v>Plant 1 Canteen</v>
      </c>
      <c r="I176" s="14">
        <f>VLOOKUP($A176,Orders!$A$1:$H$361,MATCH(OrderLines!$I$1,Orders!$A$1:$H$1,0),0)</f>
        <v>0.06</v>
      </c>
      <c r="J176" s="14">
        <f t="shared" si="7"/>
        <v>56.710199999999993</v>
      </c>
      <c r="K176" s="28" t="str">
        <f t="shared" si="8"/>
        <v>August</v>
      </c>
      <c r="L176" s="14" t="str">
        <f>VLOOKUP(OrderLines!$A176,Orders!$A$1:$H$361,MATCH(OrderLines!$L$1,Orders!$A$1:$H$1,0),0)</f>
        <v>Breakfast</v>
      </c>
      <c r="M176" t="str">
        <f>VLOOKUP($A176,Orders!$A$1:$H$361,MATCH(OrderLines!$M$1,Orders!$A$1:$H$1,0),0)</f>
        <v>Cash</v>
      </c>
      <c r="N176" t="str">
        <f t="shared" si="6"/>
        <v>Single</v>
      </c>
      <c r="O176" t="str" cm="1">
        <f t="array" ref="O176">IF((SUMPRODUCT((OrderID=OrderLines!$A176)*Qty*UnitPrice*DiscountPct))&gt;40,"HighDisc","OK")</f>
        <v>OK</v>
      </c>
      <c r="P176">
        <f>(orderlinesTABLE[[#This Row],[UnitCost]]*orderlinesTABLE[[#This Row],[Qty]])</f>
        <v>24</v>
      </c>
      <c r="Q176">
        <f>(orderlinesTABLE[[#This Row],[LineNetAmount]]-orderlinesTABLE[[#This Row],[totalCOST]])</f>
        <v>32.710199999999993</v>
      </c>
      <c r="R176" t="str">
        <f>VLOOKUP($B176,Menu!$A$1:$F$20,MATCH(OrderLines!R$1,Menu!$A$1:$F$1,0),0)</f>
        <v>Nimbu Pani</v>
      </c>
      <c r="S176" t="str" cm="1">
        <f t="array" ref="S176">_xlfn.TEXTJOIN("+",TRUE,_xlfn._xlws.FILTER(orderlinesTABLE[ItemName],OrderID=orderlinesTABLE[[#This Row],[OrderID]]))</f>
        <v>Nimbu Pani</v>
      </c>
      <c r="T176" s="54">
        <f>orderlinesTABLE[[#This Row],[Profit]]/orderlinesTABLE[[#This Row],[LineNetAmount]]</f>
        <v>0.57679570870848629</v>
      </c>
      <c r="U176" s="70">
        <f>(orderlinesTABLE[[#This Row],[Qty]]*orderlinesTABLE[[#This Row],[UnitCost]])</f>
        <v>24</v>
      </c>
    </row>
    <row r="177" spans="1:21" x14ac:dyDescent="0.3">
      <c r="A177" s="15" t="s">
        <v>108</v>
      </c>
      <c r="B177" s="15" t="s">
        <v>405</v>
      </c>
      <c r="C177" s="15">
        <v>1</v>
      </c>
      <c r="D177" s="36">
        <f>VLOOKUP($B177,Menu!$A$1:$F$20,MATCH($D$1,Menu!$A$1:$F$1,0),0)</f>
        <v>170.83</v>
      </c>
      <c r="E177" s="15" t="str">
        <f>VLOOKUP($B177,Menu!$A$1:$F$20,MATCH(OrderLines!E$1,Menu!$A$1:$F$1,0),0)</f>
        <v>Hot Meal</v>
      </c>
      <c r="F177" s="36">
        <f>VLOOKUP($B177,Menu!$A$1:$F$20,MATCH(OrderLines!F$1,Menu!$A$1:$F$1,0),0)</f>
        <v>74.069999999999993</v>
      </c>
      <c r="G177" s="27">
        <f>VLOOKUP($A177,Orders!$A$1:$H$361,MATCH($G$1,Orders!$A$1:$H$1,0),0)</f>
        <v>45883</v>
      </c>
      <c r="H177" s="15" t="str">
        <f>VLOOKUP($A177,Orders!$A$1:$H$361,MATCH(OrderLines!$H$1,Orders!$A$1:$H$1,0),0)</f>
        <v>Plant 1 Canteen</v>
      </c>
      <c r="I177" s="15">
        <f>VLOOKUP($A177,Orders!$A$1:$H$361,MATCH(OrderLines!$I$1,Orders!$A$1:$H$1,0),0)</f>
        <v>0.06</v>
      </c>
      <c r="J177" s="15">
        <f t="shared" si="7"/>
        <v>160.58019999999999</v>
      </c>
      <c r="K177" s="27" t="str">
        <f t="shared" si="8"/>
        <v>August</v>
      </c>
      <c r="L177" s="15" t="str">
        <f>VLOOKUP(OrderLines!$A177,Orders!$A$1:$H$361,MATCH(OrderLines!$L$1,Orders!$A$1:$H$1,0),0)</f>
        <v>Lunch</v>
      </c>
      <c r="M177" t="str">
        <f>VLOOKUP($A177,Orders!$A$1:$H$361,MATCH(OrderLines!$M$1,Orders!$A$1:$H$1,0),0)</f>
        <v>UPI</v>
      </c>
      <c r="N177" t="str">
        <f t="shared" si="6"/>
        <v>Single</v>
      </c>
      <c r="O177" t="str" cm="1">
        <f t="array" ref="O177">IF((SUMPRODUCT((OrderID=OrderLines!$A177)*Qty*UnitPrice*DiscountPct))&gt;40,"HighDisc","OK")</f>
        <v>OK</v>
      </c>
      <c r="P177">
        <f>(orderlinesTABLE[[#This Row],[UnitCost]]*orderlinesTABLE[[#This Row],[Qty]])</f>
        <v>74.069999999999993</v>
      </c>
      <c r="Q177">
        <f>(orderlinesTABLE[[#This Row],[LineNetAmount]]-orderlinesTABLE[[#This Row],[totalCOST]])</f>
        <v>86.510199999999998</v>
      </c>
      <c r="R177" t="str">
        <f>VLOOKUP($B177,Menu!$A$1:$F$20,MATCH(OrderLines!R$1,Menu!$A$1:$F$1,0),0)</f>
        <v>Paneer Butter Masala + Naan</v>
      </c>
      <c r="S177" t="str" cm="1">
        <f t="array" ref="S177">_xlfn.TEXTJOIN("+",TRUE,_xlfn._xlws.FILTER(orderlinesTABLE[ItemName],OrderID=orderlinesTABLE[[#This Row],[OrderID]]))</f>
        <v>Paneer Butter Masala + Naan+Gulab Jamun (2 pc)</v>
      </c>
      <c r="T177" s="54">
        <f>orderlinesTABLE[[#This Row],[Profit]]/orderlinesTABLE[[#This Row],[LineNetAmount]]</f>
        <v>0.53873516162017487</v>
      </c>
      <c r="U177" s="70">
        <f>(orderlinesTABLE[[#This Row],[Qty]]*orderlinesTABLE[[#This Row],[UnitCost]])</f>
        <v>74.069999999999993</v>
      </c>
    </row>
    <row r="178" spans="1:21" x14ac:dyDescent="0.3">
      <c r="A178" s="14" t="s">
        <v>108</v>
      </c>
      <c r="B178" s="14" t="s">
        <v>403</v>
      </c>
      <c r="C178" s="14">
        <v>2</v>
      </c>
      <c r="D178" s="37">
        <f>VLOOKUP($B178,Menu!$A$1:$F$20,MATCH($D$1,Menu!$A$1:$F$1,0),0)</f>
        <v>76.55</v>
      </c>
      <c r="E178" s="14" t="str">
        <f>VLOOKUP($B178,Menu!$A$1:$F$20,MATCH(OrderLines!E$1,Menu!$A$1:$F$1,0),0)</f>
        <v>Dessert</v>
      </c>
      <c r="F178" s="37">
        <f>VLOOKUP($B178,Menu!$A$1:$F$20,MATCH(OrderLines!F$1,Menu!$A$1:$F$1,0),0)</f>
        <v>38.229999999999997</v>
      </c>
      <c r="G178" s="28">
        <f>VLOOKUP($A178,Orders!$A$1:$H$361,MATCH($G$1,Orders!$A$1:$H$1,0),0)</f>
        <v>45883</v>
      </c>
      <c r="H178" s="14" t="str">
        <f>VLOOKUP($A178,Orders!$A$1:$H$361,MATCH(OrderLines!$H$1,Orders!$A$1:$H$1,0),0)</f>
        <v>Plant 1 Canteen</v>
      </c>
      <c r="I178" s="14">
        <f>VLOOKUP($A178,Orders!$A$1:$H$361,MATCH(OrderLines!$I$1,Orders!$A$1:$H$1,0),0)</f>
        <v>0.06</v>
      </c>
      <c r="J178" s="14">
        <f t="shared" si="7"/>
        <v>143.91399999999999</v>
      </c>
      <c r="K178" s="28" t="str">
        <f t="shared" si="8"/>
        <v>August</v>
      </c>
      <c r="L178" s="14" t="str">
        <f>VLOOKUP(OrderLines!$A178,Orders!$A$1:$H$361,MATCH(OrderLines!$L$1,Orders!$A$1:$H$1,0),0)</f>
        <v>Lunch</v>
      </c>
      <c r="M178" t="str">
        <f>VLOOKUP($A178,Orders!$A$1:$H$361,MATCH(OrderLines!$M$1,Orders!$A$1:$H$1,0),0)</f>
        <v>UPI</v>
      </c>
      <c r="N178" t="str">
        <f t="shared" si="6"/>
        <v>Single</v>
      </c>
      <c r="O178" t="str" cm="1">
        <f t="array" ref="O178">IF((SUMPRODUCT((OrderID=OrderLines!$A178)*Qty*UnitPrice*DiscountPct))&gt;40,"HighDisc","OK")</f>
        <v>OK</v>
      </c>
      <c r="P178">
        <f>(orderlinesTABLE[[#This Row],[UnitCost]]*orderlinesTABLE[[#This Row],[Qty]])</f>
        <v>76.459999999999994</v>
      </c>
      <c r="Q178">
        <f>(orderlinesTABLE[[#This Row],[LineNetAmount]]-orderlinesTABLE[[#This Row],[totalCOST]])</f>
        <v>67.453999999999994</v>
      </c>
      <c r="R178" t="str">
        <f>VLOOKUP($B178,Menu!$A$1:$F$20,MATCH(OrderLines!R$1,Menu!$A$1:$F$1,0),0)</f>
        <v>Gulab Jamun (2 pc)</v>
      </c>
      <c r="S178" t="str" cm="1">
        <f t="array" ref="S178">_xlfn.TEXTJOIN("+",TRUE,_xlfn._xlws.FILTER(orderlinesTABLE[ItemName],OrderID=orderlinesTABLE[[#This Row],[OrderID]]))</f>
        <v>Paneer Butter Masala + Naan+Gulab Jamun (2 pc)</v>
      </c>
      <c r="T178" s="54">
        <f>orderlinesTABLE[[#This Row],[Profit]]/orderlinesTABLE[[#This Row],[LineNetAmount]]</f>
        <v>0.46871047986992231</v>
      </c>
      <c r="U178" s="70">
        <f>(orderlinesTABLE[[#This Row],[Qty]]*orderlinesTABLE[[#This Row],[UnitCost]])</f>
        <v>76.459999999999994</v>
      </c>
    </row>
    <row r="179" spans="1:21" x14ac:dyDescent="0.3">
      <c r="A179" s="15" t="s">
        <v>109</v>
      </c>
      <c r="B179" s="15" t="s">
        <v>405</v>
      </c>
      <c r="C179" s="15">
        <v>2</v>
      </c>
      <c r="D179" s="36">
        <f>VLOOKUP($B179,Menu!$A$1:$F$20,MATCH($D$1,Menu!$A$1:$F$1,0),0)</f>
        <v>170.83</v>
      </c>
      <c r="E179" s="15" t="str">
        <f>VLOOKUP($B179,Menu!$A$1:$F$20,MATCH(OrderLines!E$1,Menu!$A$1:$F$1,0),0)</f>
        <v>Hot Meal</v>
      </c>
      <c r="F179" s="36">
        <f>VLOOKUP($B179,Menu!$A$1:$F$20,MATCH(OrderLines!F$1,Menu!$A$1:$F$1,0),0)</f>
        <v>74.069999999999993</v>
      </c>
      <c r="G179" s="27">
        <f>VLOOKUP($A179,Orders!$A$1:$H$361,MATCH($G$1,Orders!$A$1:$H$1,0),0)</f>
        <v>45893</v>
      </c>
      <c r="H179" s="15" t="str">
        <f>VLOOKUP($A179,Orders!$A$1:$H$361,MATCH(OrderLines!$H$1,Orders!$A$1:$H$1,0),0)</f>
        <v>Head Office Café</v>
      </c>
      <c r="I179" s="15">
        <f>VLOOKUP($A179,Orders!$A$1:$H$361,MATCH(OrderLines!$I$1,Orders!$A$1:$H$1,0),0)</f>
        <v>0.16</v>
      </c>
      <c r="J179" s="15">
        <f t="shared" si="7"/>
        <v>286.99439999999998</v>
      </c>
      <c r="K179" s="27" t="str">
        <f t="shared" si="8"/>
        <v>August</v>
      </c>
      <c r="L179" s="15" t="str">
        <f>VLOOKUP(OrderLines!$A179,Orders!$A$1:$H$361,MATCH(OrderLines!$L$1,Orders!$A$1:$H$1,0),0)</f>
        <v>Lunch</v>
      </c>
      <c r="M179" t="str">
        <f>VLOOKUP($A179,Orders!$A$1:$H$361,MATCH(OrderLines!$M$1,Orders!$A$1:$H$1,0),0)</f>
        <v>Card</v>
      </c>
      <c r="N179" t="str">
        <f t="shared" si="6"/>
        <v>Combo</v>
      </c>
      <c r="O179" t="str" cm="1">
        <f t="array" ref="O179">IF((SUMPRODUCT((OrderID=OrderLines!$A179)*Qty*UnitPrice*DiscountPct))&gt;40,"HighDisc","OK")</f>
        <v>HighDisc</v>
      </c>
      <c r="P179">
        <f>(orderlinesTABLE[[#This Row],[UnitCost]]*orderlinesTABLE[[#This Row],[Qty]])</f>
        <v>148.13999999999999</v>
      </c>
      <c r="Q179">
        <f>(orderlinesTABLE[[#This Row],[LineNetAmount]]-orderlinesTABLE[[#This Row],[totalCOST]])</f>
        <v>138.8544</v>
      </c>
      <c r="R179" t="str">
        <f>VLOOKUP($B179,Menu!$A$1:$F$20,MATCH(OrderLines!R$1,Menu!$A$1:$F$1,0),0)</f>
        <v>Paneer Butter Masala + Naan</v>
      </c>
      <c r="S179" t="str" cm="1">
        <f t="array" ref="S179">_xlfn.TEXTJOIN("+",TRUE,_xlfn._xlws.FILTER(orderlinesTABLE[ItemName],OrderID=orderlinesTABLE[[#This Row],[OrderID]]))</f>
        <v>Paneer Butter Masala + Naan+Tea+Bottled Water</v>
      </c>
      <c r="T179" s="54">
        <f>orderlinesTABLE[[#This Row],[Profit]]/orderlinesTABLE[[#This Row],[LineNetAmount]]</f>
        <v>0.48382268086067187</v>
      </c>
      <c r="U179" s="70">
        <f>(orderlinesTABLE[[#This Row],[Qty]]*orderlinesTABLE[[#This Row],[UnitCost]])</f>
        <v>148.13999999999999</v>
      </c>
    </row>
    <row r="180" spans="1:21" x14ac:dyDescent="0.3">
      <c r="A180" s="14" t="s">
        <v>109</v>
      </c>
      <c r="B180" s="14" t="s">
        <v>402</v>
      </c>
      <c r="C180" s="14">
        <v>1</v>
      </c>
      <c r="D180" s="37">
        <f>VLOOKUP($B180,Menu!$A$1:$F$20,MATCH($D$1,Menu!$A$1:$F$1,0),0)</f>
        <v>30.34</v>
      </c>
      <c r="E180" s="14" t="str">
        <f>VLOOKUP($B180,Menu!$A$1:$F$20,MATCH(OrderLines!E$1,Menu!$A$1:$F$1,0),0)</f>
        <v>Beverage</v>
      </c>
      <c r="F180" s="37">
        <f>VLOOKUP($B180,Menu!$A$1:$F$20,MATCH(OrderLines!F$1,Menu!$A$1:$F$1,0),0)</f>
        <v>14.18</v>
      </c>
      <c r="G180" s="28">
        <f>VLOOKUP($A180,Orders!$A$1:$H$361,MATCH($G$1,Orders!$A$1:$H$1,0),0)</f>
        <v>45893</v>
      </c>
      <c r="H180" s="14" t="str">
        <f>VLOOKUP($A180,Orders!$A$1:$H$361,MATCH(OrderLines!$H$1,Orders!$A$1:$H$1,0),0)</f>
        <v>Head Office Café</v>
      </c>
      <c r="I180" s="14">
        <f>VLOOKUP($A180,Orders!$A$1:$H$361,MATCH(OrderLines!$I$1,Orders!$A$1:$H$1,0),0)</f>
        <v>0.16</v>
      </c>
      <c r="J180" s="14">
        <f t="shared" si="7"/>
        <v>25.485599999999998</v>
      </c>
      <c r="K180" s="28" t="str">
        <f t="shared" si="8"/>
        <v>August</v>
      </c>
      <c r="L180" s="14" t="str">
        <f>VLOOKUP(OrderLines!$A180,Orders!$A$1:$H$361,MATCH(OrderLines!$L$1,Orders!$A$1:$H$1,0),0)</f>
        <v>Lunch</v>
      </c>
      <c r="M180" t="str">
        <f>VLOOKUP($A180,Orders!$A$1:$H$361,MATCH(OrderLines!$M$1,Orders!$A$1:$H$1,0),0)</f>
        <v>Card</v>
      </c>
      <c r="N180" t="str">
        <f t="shared" si="6"/>
        <v>Combo</v>
      </c>
      <c r="O180" t="str" cm="1">
        <f t="array" ref="O180">IF((SUMPRODUCT((OrderID=OrderLines!$A180)*Qty*UnitPrice*DiscountPct))&gt;40,"HighDisc","OK")</f>
        <v>HighDisc</v>
      </c>
      <c r="P180">
        <f>(orderlinesTABLE[[#This Row],[UnitCost]]*orderlinesTABLE[[#This Row],[Qty]])</f>
        <v>14.18</v>
      </c>
      <c r="Q180">
        <f>(orderlinesTABLE[[#This Row],[LineNetAmount]]-orderlinesTABLE[[#This Row],[totalCOST]])</f>
        <v>11.305599999999998</v>
      </c>
      <c r="R180" t="str">
        <f>VLOOKUP($B180,Menu!$A$1:$F$20,MATCH(OrderLines!R$1,Menu!$A$1:$F$1,0),0)</f>
        <v>Tea</v>
      </c>
      <c r="S180" t="str" cm="1">
        <f t="array" ref="S180">_xlfn.TEXTJOIN("+",TRUE,_xlfn._xlws.FILTER(orderlinesTABLE[ItemName],OrderID=orderlinesTABLE[[#This Row],[OrderID]]))</f>
        <v>Paneer Butter Masala + Naan+Tea+Bottled Water</v>
      </c>
      <c r="T180" s="54">
        <f>orderlinesTABLE[[#This Row],[Profit]]/orderlinesTABLE[[#This Row],[LineNetAmount]]</f>
        <v>0.44360737043663867</v>
      </c>
      <c r="U180" s="70">
        <f>(orderlinesTABLE[[#This Row],[Qty]]*orderlinesTABLE[[#This Row],[UnitCost]])</f>
        <v>14.18</v>
      </c>
    </row>
    <row r="181" spans="1:21" x14ac:dyDescent="0.3">
      <c r="A181" s="15" t="s">
        <v>109</v>
      </c>
      <c r="B181" s="15" t="s">
        <v>409</v>
      </c>
      <c r="C181" s="15">
        <v>1</v>
      </c>
      <c r="D181" s="36">
        <f>VLOOKUP($B181,Menu!$A$1:$F$20,MATCH($D$1,Menu!$A$1:$F$1,0),0)</f>
        <v>28.43</v>
      </c>
      <c r="E181" s="15" t="str">
        <f>VLOOKUP($B181,Menu!$A$1:$F$20,MATCH(OrderLines!E$1,Menu!$A$1:$F$1,0),0)</f>
        <v>Beverage</v>
      </c>
      <c r="F181" s="36">
        <f>VLOOKUP($B181,Menu!$A$1:$F$20,MATCH(OrderLines!F$1,Menu!$A$1:$F$1,0),0)</f>
        <v>13.89</v>
      </c>
      <c r="G181" s="27">
        <f>VLOOKUP($A181,Orders!$A$1:$H$361,MATCH($G$1,Orders!$A$1:$H$1,0),0)</f>
        <v>45893</v>
      </c>
      <c r="H181" s="15" t="str">
        <f>VLOOKUP($A181,Orders!$A$1:$H$361,MATCH(OrderLines!$H$1,Orders!$A$1:$H$1,0),0)</f>
        <v>Head Office Café</v>
      </c>
      <c r="I181" s="15">
        <f>VLOOKUP($A181,Orders!$A$1:$H$361,MATCH(OrderLines!$I$1,Orders!$A$1:$H$1,0),0)</f>
        <v>0.16</v>
      </c>
      <c r="J181" s="15">
        <f t="shared" si="7"/>
        <v>23.8812</v>
      </c>
      <c r="K181" s="27" t="str">
        <f t="shared" si="8"/>
        <v>August</v>
      </c>
      <c r="L181" s="15" t="str">
        <f>VLOOKUP(OrderLines!$A181,Orders!$A$1:$H$361,MATCH(OrderLines!$L$1,Orders!$A$1:$H$1,0),0)</f>
        <v>Lunch</v>
      </c>
      <c r="M181" t="str">
        <f>VLOOKUP($A181,Orders!$A$1:$H$361,MATCH(OrderLines!$M$1,Orders!$A$1:$H$1,0),0)</f>
        <v>Card</v>
      </c>
      <c r="N181" t="str">
        <f t="shared" si="6"/>
        <v>Combo</v>
      </c>
      <c r="O181" t="str" cm="1">
        <f t="array" ref="O181">IF((SUMPRODUCT((OrderID=OrderLines!$A181)*Qty*UnitPrice*DiscountPct))&gt;40,"HighDisc","OK")</f>
        <v>HighDisc</v>
      </c>
      <c r="P181">
        <f>(orderlinesTABLE[[#This Row],[UnitCost]]*orderlinesTABLE[[#This Row],[Qty]])</f>
        <v>13.89</v>
      </c>
      <c r="Q181">
        <f>(orderlinesTABLE[[#This Row],[LineNetAmount]]-orderlinesTABLE[[#This Row],[totalCOST]])</f>
        <v>9.9911999999999992</v>
      </c>
      <c r="R181" t="str">
        <f>VLOOKUP($B181,Menu!$A$1:$F$20,MATCH(OrderLines!R$1,Menu!$A$1:$F$1,0),0)</f>
        <v>Bottled Water</v>
      </c>
      <c r="S181" t="str" cm="1">
        <f t="array" ref="S181">_xlfn.TEXTJOIN("+",TRUE,_xlfn._xlws.FILTER(orderlinesTABLE[ItemName],OrderID=orderlinesTABLE[[#This Row],[OrderID]]))</f>
        <v>Paneer Butter Masala + Naan+Tea+Bottled Water</v>
      </c>
      <c r="T181" s="54">
        <f>orderlinesTABLE[[#This Row],[Profit]]/orderlinesTABLE[[#This Row],[LineNetAmount]]</f>
        <v>0.41837093613386261</v>
      </c>
      <c r="U181" s="70">
        <f>(orderlinesTABLE[[#This Row],[Qty]]*orderlinesTABLE[[#This Row],[UnitCost]])</f>
        <v>13.89</v>
      </c>
    </row>
    <row r="182" spans="1:21" x14ac:dyDescent="0.3">
      <c r="A182" s="14" t="s">
        <v>110</v>
      </c>
      <c r="B182" s="14" t="s">
        <v>419</v>
      </c>
      <c r="C182" s="14">
        <v>2</v>
      </c>
      <c r="D182" s="37">
        <f>VLOOKUP($B182,Menu!$A$1:$F$20,MATCH($D$1,Menu!$A$1:$F$1,0),0)</f>
        <v>50.19</v>
      </c>
      <c r="E182" s="14" t="str">
        <f>VLOOKUP($B182,Menu!$A$1:$F$20,MATCH(OrderLines!E$1,Menu!$A$1:$F$1,0),0)</f>
        <v>Snack</v>
      </c>
      <c r="F182" s="37">
        <f>VLOOKUP($B182,Menu!$A$1:$F$20,MATCH(OrderLines!F$1,Menu!$A$1:$F$1,0),0)</f>
        <v>22.61</v>
      </c>
      <c r="G182" s="28">
        <f>VLOOKUP($A182,Orders!$A$1:$H$361,MATCH($G$1,Orders!$A$1:$H$1,0),0)</f>
        <v>45880</v>
      </c>
      <c r="H182" s="14" t="str">
        <f>VLOOKUP($A182,Orders!$A$1:$H$361,MATCH(OrderLines!$H$1,Orders!$A$1:$H$1,0),0)</f>
        <v>Head Office Café</v>
      </c>
      <c r="I182" s="14">
        <f>VLOOKUP($A182,Orders!$A$1:$H$361,MATCH(OrderLines!$I$1,Orders!$A$1:$H$1,0),0)</f>
        <v>0.05</v>
      </c>
      <c r="J182" s="14">
        <f t="shared" si="7"/>
        <v>95.36099999999999</v>
      </c>
      <c r="K182" s="28" t="str">
        <f t="shared" si="8"/>
        <v>August</v>
      </c>
      <c r="L182" s="14" t="str">
        <f>VLOOKUP(OrderLines!$A182,Orders!$A$1:$H$361,MATCH(OrderLines!$L$1,Orders!$A$1:$H$1,0),0)</f>
        <v>Dinner</v>
      </c>
      <c r="M182" t="str">
        <f>VLOOKUP($A182,Orders!$A$1:$H$361,MATCH(OrderLines!$M$1,Orders!$A$1:$H$1,0),0)</f>
        <v>Cash</v>
      </c>
      <c r="N182" t="str">
        <f t="shared" si="6"/>
        <v>Single</v>
      </c>
      <c r="O182" t="str" cm="1">
        <f t="array" ref="O182">IF((SUMPRODUCT((OrderID=OrderLines!$A182)*Qty*UnitPrice*DiscountPct))&gt;40,"HighDisc","OK")</f>
        <v>OK</v>
      </c>
      <c r="P182">
        <f>(orderlinesTABLE[[#This Row],[UnitCost]]*orderlinesTABLE[[#This Row],[Qty]])</f>
        <v>45.22</v>
      </c>
      <c r="Q182">
        <f>(orderlinesTABLE[[#This Row],[LineNetAmount]]-orderlinesTABLE[[#This Row],[totalCOST]])</f>
        <v>50.140999999999991</v>
      </c>
      <c r="R182" t="str">
        <f>VLOOKUP($B182,Menu!$A$1:$F$20,MATCH(OrderLines!R$1,Menu!$A$1:$F$1,0),0)</f>
        <v>Masala Puff</v>
      </c>
      <c r="S182" t="str" cm="1">
        <f t="array" ref="S182">_xlfn.TEXTJOIN("+",TRUE,_xlfn._xlws.FILTER(orderlinesTABLE[ItemName],OrderID=orderlinesTABLE[[#This Row],[OrderID]]))</f>
        <v>Masala Puff</v>
      </c>
      <c r="T182" s="54">
        <f>orderlinesTABLE[[#This Row],[Profit]]/orderlinesTABLE[[#This Row],[LineNetAmount]]</f>
        <v>0.52580195258019524</v>
      </c>
      <c r="U182" s="70">
        <f>(orderlinesTABLE[[#This Row],[Qty]]*orderlinesTABLE[[#This Row],[UnitCost]])</f>
        <v>45.22</v>
      </c>
    </row>
    <row r="183" spans="1:21" x14ac:dyDescent="0.3">
      <c r="A183" s="15" t="s">
        <v>111</v>
      </c>
      <c r="B183" s="15" t="s">
        <v>411</v>
      </c>
      <c r="C183" s="15">
        <v>1</v>
      </c>
      <c r="D183" s="36">
        <f>VLOOKUP($B183,Menu!$A$1:$F$20,MATCH($D$1,Menu!$A$1:$F$1,0),0)</f>
        <v>22.2</v>
      </c>
      <c r="E183" s="15" t="str">
        <f>VLOOKUP($B183,Menu!$A$1:$F$20,MATCH(OrderLines!E$1,Menu!$A$1:$F$1,0),0)</f>
        <v>Beverage</v>
      </c>
      <c r="F183" s="36">
        <f>VLOOKUP($B183,Menu!$A$1:$F$20,MATCH(OrderLines!F$1,Menu!$A$1:$F$1,0),0)</f>
        <v>9.3800000000000008</v>
      </c>
      <c r="G183" s="27">
        <f>VLOOKUP($A183,Orders!$A$1:$H$361,MATCH($G$1,Orders!$A$1:$H$1,0),0)</f>
        <v>45882</v>
      </c>
      <c r="H183" s="15" t="str">
        <f>VLOOKUP($A183,Orders!$A$1:$H$361,MATCH(OrderLines!$H$1,Orders!$A$1:$H$1,0),0)</f>
        <v>Plant 2 Canteen</v>
      </c>
      <c r="I183" s="15">
        <f>VLOOKUP($A183,Orders!$A$1:$H$361,MATCH(OrderLines!$I$1,Orders!$A$1:$H$1,0),0)</f>
        <v>7.0000000000000007E-2</v>
      </c>
      <c r="J183" s="15">
        <f t="shared" si="7"/>
        <v>20.645999999999997</v>
      </c>
      <c r="K183" s="27" t="str">
        <f t="shared" si="8"/>
        <v>August</v>
      </c>
      <c r="L183" s="15" t="str">
        <f>VLOOKUP(OrderLines!$A183,Orders!$A$1:$H$361,MATCH(OrderLines!$L$1,Orders!$A$1:$H$1,0),0)</f>
        <v>Dinner</v>
      </c>
      <c r="M183" t="str">
        <f>VLOOKUP($A183,Orders!$A$1:$H$361,MATCH(OrderLines!$M$1,Orders!$A$1:$H$1,0),0)</f>
        <v>UPI</v>
      </c>
      <c r="N183" t="str">
        <f t="shared" si="6"/>
        <v>Combo</v>
      </c>
      <c r="O183" t="str" cm="1">
        <f t="array" ref="O183">IF((SUMPRODUCT((OrderID=OrderLines!$A183)*Qty*UnitPrice*DiscountPct))&gt;40,"HighDisc","OK")</f>
        <v>HighDisc</v>
      </c>
      <c r="P183">
        <f>(orderlinesTABLE[[#This Row],[UnitCost]]*orderlinesTABLE[[#This Row],[Qty]])</f>
        <v>9.3800000000000008</v>
      </c>
      <c r="Q183">
        <f>(orderlinesTABLE[[#This Row],[LineNetAmount]]-orderlinesTABLE[[#This Row],[totalCOST]])</f>
        <v>11.265999999999996</v>
      </c>
      <c r="R183" t="str">
        <f>VLOOKUP($B183,Menu!$A$1:$F$20,MATCH(OrderLines!R$1,Menu!$A$1:$F$1,0),0)</f>
        <v>Coffee</v>
      </c>
      <c r="S183" t="str" cm="1">
        <f t="array" ref="S183">_xlfn.TEXTJOIN("+",TRUE,_xlfn._xlws.FILTER(orderlinesTABLE[ItemName],OrderID=orderlinesTABLE[[#This Row],[OrderID]]))</f>
        <v>Coffee+Poha+Veg Sandwich+Veg Thali</v>
      </c>
      <c r="T183" s="54">
        <f>orderlinesTABLE[[#This Row],[Profit]]/orderlinesTABLE[[#This Row],[LineNetAmount]]</f>
        <v>0.5456747069650294</v>
      </c>
      <c r="U183" s="70">
        <f>(orderlinesTABLE[[#This Row],[Qty]]*orderlinesTABLE[[#This Row],[UnitCost]])</f>
        <v>9.3800000000000008</v>
      </c>
    </row>
    <row r="184" spans="1:21" x14ac:dyDescent="0.3">
      <c r="A184" s="14" t="s">
        <v>111</v>
      </c>
      <c r="B184" s="14" t="s">
        <v>401</v>
      </c>
      <c r="C184" s="14">
        <v>1</v>
      </c>
      <c r="D184" s="37">
        <f>VLOOKUP($B184,Menu!$A$1:$F$20,MATCH($D$1,Menu!$A$1:$F$1,0),0)</f>
        <v>52.45</v>
      </c>
      <c r="E184" s="14" t="str">
        <f>VLOOKUP($B184,Menu!$A$1:$F$20,MATCH(OrderLines!E$1,Menu!$A$1:$F$1,0),0)</f>
        <v>Snack</v>
      </c>
      <c r="F184" s="37">
        <f>VLOOKUP($B184,Menu!$A$1:$F$20,MATCH(OrderLines!F$1,Menu!$A$1:$F$1,0),0)</f>
        <v>25.8</v>
      </c>
      <c r="G184" s="28">
        <f>VLOOKUP($A184,Orders!$A$1:$H$361,MATCH($G$1,Orders!$A$1:$H$1,0),0)</f>
        <v>45882</v>
      </c>
      <c r="H184" s="14" t="str">
        <f>VLOOKUP($A184,Orders!$A$1:$H$361,MATCH(OrderLines!$H$1,Orders!$A$1:$H$1,0),0)</f>
        <v>Plant 2 Canteen</v>
      </c>
      <c r="I184" s="14">
        <f>VLOOKUP($A184,Orders!$A$1:$H$361,MATCH(OrderLines!$I$1,Orders!$A$1:$H$1,0),0)</f>
        <v>7.0000000000000007E-2</v>
      </c>
      <c r="J184" s="14">
        <f t="shared" si="7"/>
        <v>48.778500000000001</v>
      </c>
      <c r="K184" s="28" t="str">
        <f t="shared" si="8"/>
        <v>August</v>
      </c>
      <c r="L184" s="14" t="str">
        <f>VLOOKUP(OrderLines!$A184,Orders!$A$1:$H$361,MATCH(OrderLines!$L$1,Orders!$A$1:$H$1,0),0)</f>
        <v>Dinner</v>
      </c>
      <c r="M184" t="str">
        <f>VLOOKUP($A184,Orders!$A$1:$H$361,MATCH(OrderLines!$M$1,Orders!$A$1:$H$1,0),0)</f>
        <v>UPI</v>
      </c>
      <c r="N184" t="str">
        <f t="shared" si="6"/>
        <v>Combo</v>
      </c>
      <c r="O184" t="str" cm="1">
        <f t="array" ref="O184">IF((SUMPRODUCT((OrderID=OrderLines!$A184)*Qty*UnitPrice*DiscountPct))&gt;40,"HighDisc","OK")</f>
        <v>HighDisc</v>
      </c>
      <c r="P184">
        <f>(orderlinesTABLE[[#This Row],[UnitCost]]*orderlinesTABLE[[#This Row],[Qty]])</f>
        <v>25.8</v>
      </c>
      <c r="Q184">
        <f>(orderlinesTABLE[[#This Row],[LineNetAmount]]-orderlinesTABLE[[#This Row],[totalCOST]])</f>
        <v>22.9785</v>
      </c>
      <c r="R184" t="str">
        <f>VLOOKUP($B184,Menu!$A$1:$F$20,MATCH(OrderLines!R$1,Menu!$A$1:$F$1,0),0)</f>
        <v>Poha</v>
      </c>
      <c r="S184" t="str" cm="1">
        <f t="array" ref="S184">_xlfn.TEXTJOIN("+",TRUE,_xlfn._xlws.FILTER(orderlinesTABLE[ItemName],OrderID=orderlinesTABLE[[#This Row],[OrderID]]))</f>
        <v>Coffee+Poha+Veg Sandwich+Veg Thali</v>
      </c>
      <c r="T184" s="54">
        <f>orderlinesTABLE[[#This Row],[Profit]]/orderlinesTABLE[[#This Row],[LineNetAmount]]</f>
        <v>0.47107844644669272</v>
      </c>
      <c r="U184" s="70">
        <f>(orderlinesTABLE[[#This Row],[Qty]]*orderlinesTABLE[[#This Row],[UnitCost]])</f>
        <v>25.8</v>
      </c>
    </row>
    <row r="185" spans="1:21" x14ac:dyDescent="0.3">
      <c r="A185" s="15" t="s">
        <v>111</v>
      </c>
      <c r="B185" s="15" t="s">
        <v>408</v>
      </c>
      <c r="C185" s="15">
        <v>2</v>
      </c>
      <c r="D185" s="36">
        <f>VLOOKUP($B185,Menu!$A$1:$F$20,MATCH($D$1,Menu!$A$1:$F$1,0),0)</f>
        <v>70.540000000000006</v>
      </c>
      <c r="E185" s="15" t="str">
        <f>VLOOKUP($B185,Menu!$A$1:$F$20,MATCH(OrderLines!E$1,Menu!$A$1:$F$1,0),0)</f>
        <v>Snack</v>
      </c>
      <c r="F185" s="36">
        <f>VLOOKUP($B185,Menu!$A$1:$F$20,MATCH(OrderLines!F$1,Menu!$A$1:$F$1,0),0)</f>
        <v>35.81</v>
      </c>
      <c r="G185" s="27">
        <f>VLOOKUP($A185,Orders!$A$1:$H$361,MATCH($G$1,Orders!$A$1:$H$1,0),0)</f>
        <v>45882</v>
      </c>
      <c r="H185" s="15" t="str">
        <f>VLOOKUP($A185,Orders!$A$1:$H$361,MATCH(OrderLines!$H$1,Orders!$A$1:$H$1,0),0)</f>
        <v>Plant 2 Canteen</v>
      </c>
      <c r="I185" s="15">
        <f>VLOOKUP($A185,Orders!$A$1:$H$361,MATCH(OrderLines!$I$1,Orders!$A$1:$H$1,0),0)</f>
        <v>7.0000000000000007E-2</v>
      </c>
      <c r="J185" s="15">
        <f t="shared" si="7"/>
        <v>131.20439999999999</v>
      </c>
      <c r="K185" s="27" t="str">
        <f t="shared" si="8"/>
        <v>August</v>
      </c>
      <c r="L185" s="15" t="str">
        <f>VLOOKUP(OrderLines!$A185,Orders!$A$1:$H$361,MATCH(OrderLines!$L$1,Orders!$A$1:$H$1,0),0)</f>
        <v>Dinner</v>
      </c>
      <c r="M185" t="str">
        <f>VLOOKUP($A185,Orders!$A$1:$H$361,MATCH(OrderLines!$M$1,Orders!$A$1:$H$1,0),0)</f>
        <v>UPI</v>
      </c>
      <c r="N185" t="str">
        <f t="shared" si="6"/>
        <v>Combo</v>
      </c>
      <c r="O185" t="str" cm="1">
        <f t="array" ref="O185">IF((SUMPRODUCT((OrderID=OrderLines!$A185)*Qty*UnitPrice*DiscountPct))&gt;40,"HighDisc","OK")</f>
        <v>HighDisc</v>
      </c>
      <c r="P185">
        <f>(orderlinesTABLE[[#This Row],[UnitCost]]*orderlinesTABLE[[#This Row],[Qty]])</f>
        <v>71.62</v>
      </c>
      <c r="Q185">
        <f>(orderlinesTABLE[[#This Row],[LineNetAmount]]-orderlinesTABLE[[#This Row],[totalCOST]])</f>
        <v>59.584399999999988</v>
      </c>
      <c r="R185" t="str">
        <f>VLOOKUP($B185,Menu!$A$1:$F$20,MATCH(OrderLines!R$1,Menu!$A$1:$F$1,0),0)</f>
        <v>Veg Sandwich</v>
      </c>
      <c r="S185" t="str" cm="1">
        <f t="array" ref="S185">_xlfn.TEXTJOIN("+",TRUE,_xlfn._xlws.FILTER(orderlinesTABLE[ItemName],OrderID=orderlinesTABLE[[#This Row],[OrderID]]))</f>
        <v>Coffee+Poha+Veg Sandwich+Veg Thali</v>
      </c>
      <c r="T185" s="54">
        <f>orderlinesTABLE[[#This Row],[Profit]]/orderlinesTABLE[[#This Row],[LineNetAmount]]</f>
        <v>0.45413416013487345</v>
      </c>
      <c r="U185" s="70">
        <f>(orderlinesTABLE[[#This Row],[Qty]]*orderlinesTABLE[[#This Row],[UnitCost]])</f>
        <v>71.62</v>
      </c>
    </row>
    <row r="186" spans="1:21" x14ac:dyDescent="0.3">
      <c r="A186" s="14" t="s">
        <v>111</v>
      </c>
      <c r="B186" s="14" t="s">
        <v>416</v>
      </c>
      <c r="C186" s="14">
        <v>3</v>
      </c>
      <c r="D186" s="37">
        <f>VLOOKUP($B186,Menu!$A$1:$F$20,MATCH($D$1,Menu!$A$1:$F$1,0),0)</f>
        <v>227.61</v>
      </c>
      <c r="E186" s="14" t="str">
        <f>VLOOKUP($B186,Menu!$A$1:$F$20,MATCH(OrderLines!E$1,Menu!$A$1:$F$1,0),0)</f>
        <v>Hot Meal</v>
      </c>
      <c r="F186" s="37">
        <f>VLOOKUP($B186,Menu!$A$1:$F$20,MATCH(OrderLines!F$1,Menu!$A$1:$F$1,0),0)</f>
        <v>96.22</v>
      </c>
      <c r="G186" s="28">
        <f>VLOOKUP($A186,Orders!$A$1:$H$361,MATCH($G$1,Orders!$A$1:$H$1,0),0)</f>
        <v>45882</v>
      </c>
      <c r="H186" s="14" t="str">
        <f>VLOOKUP($A186,Orders!$A$1:$H$361,MATCH(OrderLines!$H$1,Orders!$A$1:$H$1,0),0)</f>
        <v>Plant 2 Canteen</v>
      </c>
      <c r="I186" s="14">
        <f>VLOOKUP($A186,Orders!$A$1:$H$361,MATCH(OrderLines!$I$1,Orders!$A$1:$H$1,0),0)</f>
        <v>7.0000000000000007E-2</v>
      </c>
      <c r="J186" s="14">
        <f t="shared" si="7"/>
        <v>635.03189999999995</v>
      </c>
      <c r="K186" s="28" t="str">
        <f t="shared" si="8"/>
        <v>August</v>
      </c>
      <c r="L186" s="14" t="str">
        <f>VLOOKUP(OrderLines!$A186,Orders!$A$1:$H$361,MATCH(OrderLines!$L$1,Orders!$A$1:$H$1,0),0)</f>
        <v>Dinner</v>
      </c>
      <c r="M186" t="str">
        <f>VLOOKUP($A186,Orders!$A$1:$H$361,MATCH(OrderLines!$M$1,Orders!$A$1:$H$1,0),0)</f>
        <v>UPI</v>
      </c>
      <c r="N186" t="str">
        <f t="shared" si="6"/>
        <v>Combo</v>
      </c>
      <c r="O186" t="str" cm="1">
        <f t="array" ref="O186">IF((SUMPRODUCT((OrderID=OrderLines!$A186)*Qty*UnitPrice*DiscountPct))&gt;40,"HighDisc","OK")</f>
        <v>HighDisc</v>
      </c>
      <c r="P186">
        <f>(orderlinesTABLE[[#This Row],[UnitCost]]*orderlinesTABLE[[#This Row],[Qty]])</f>
        <v>288.65999999999997</v>
      </c>
      <c r="Q186">
        <f>(orderlinesTABLE[[#This Row],[LineNetAmount]]-orderlinesTABLE[[#This Row],[totalCOST]])</f>
        <v>346.37189999999998</v>
      </c>
      <c r="R186" t="str">
        <f>VLOOKUP($B186,Menu!$A$1:$F$20,MATCH(OrderLines!R$1,Menu!$A$1:$F$1,0),0)</f>
        <v>Veg Thali</v>
      </c>
      <c r="S186" t="str" cm="1">
        <f t="array" ref="S186">_xlfn.TEXTJOIN("+",TRUE,_xlfn._xlws.FILTER(orderlinesTABLE[ItemName],OrderID=orderlinesTABLE[[#This Row],[OrderID]]))</f>
        <v>Coffee+Poha+Veg Sandwich+Veg Thali</v>
      </c>
      <c r="T186" s="54">
        <f>orderlinesTABLE[[#This Row],[Profit]]/orderlinesTABLE[[#This Row],[LineNetAmount]]</f>
        <v>0.54544015820307612</v>
      </c>
      <c r="U186" s="70">
        <f>(orderlinesTABLE[[#This Row],[Qty]]*orderlinesTABLE[[#This Row],[UnitCost]])</f>
        <v>288.65999999999997</v>
      </c>
    </row>
    <row r="187" spans="1:21" x14ac:dyDescent="0.3">
      <c r="A187" s="15" t="s">
        <v>112</v>
      </c>
      <c r="B187" s="15" t="s">
        <v>409</v>
      </c>
      <c r="C187" s="15">
        <v>2</v>
      </c>
      <c r="D187" s="36">
        <f>VLOOKUP($B187,Menu!$A$1:$F$20,MATCH($D$1,Menu!$A$1:$F$1,0),0)</f>
        <v>28.43</v>
      </c>
      <c r="E187" s="15" t="str">
        <f>VLOOKUP($B187,Menu!$A$1:$F$20,MATCH(OrderLines!E$1,Menu!$A$1:$F$1,0),0)</f>
        <v>Beverage</v>
      </c>
      <c r="F187" s="36">
        <f>VLOOKUP($B187,Menu!$A$1:$F$20,MATCH(OrderLines!F$1,Menu!$A$1:$F$1,0),0)</f>
        <v>13.89</v>
      </c>
      <c r="G187" s="27">
        <f>VLOOKUP($A187,Orders!$A$1:$H$361,MATCH($G$1,Orders!$A$1:$H$1,0),0)</f>
        <v>45889</v>
      </c>
      <c r="H187" s="15" t="str">
        <f>VLOOKUP($A187,Orders!$A$1:$H$361,MATCH(OrderLines!$H$1,Orders!$A$1:$H$1,0),0)</f>
        <v>Plant 2 Canteen</v>
      </c>
      <c r="I187" s="15">
        <f>VLOOKUP($A187,Orders!$A$1:$H$361,MATCH(OrderLines!$I$1,Orders!$A$1:$H$1,0),0)</f>
        <v>0.06</v>
      </c>
      <c r="J187" s="15">
        <f t="shared" si="7"/>
        <v>53.448399999999999</v>
      </c>
      <c r="K187" s="27" t="str">
        <f t="shared" si="8"/>
        <v>August</v>
      </c>
      <c r="L187" s="15" t="str">
        <f>VLOOKUP(OrderLines!$A187,Orders!$A$1:$H$361,MATCH(OrderLines!$L$1,Orders!$A$1:$H$1,0),0)</f>
        <v>Dinner</v>
      </c>
      <c r="M187" t="str">
        <f>VLOOKUP($A187,Orders!$A$1:$H$361,MATCH(OrderLines!$M$1,Orders!$A$1:$H$1,0),0)</f>
        <v>Cash</v>
      </c>
      <c r="N187" t="str">
        <f t="shared" si="6"/>
        <v>Combo</v>
      </c>
      <c r="O187" t="str" cm="1">
        <f t="array" ref="O187">IF((SUMPRODUCT((OrderID=OrderLines!$A187)*Qty*UnitPrice*DiscountPct))&gt;40,"HighDisc","OK")</f>
        <v>OK</v>
      </c>
      <c r="P187">
        <f>(orderlinesTABLE[[#This Row],[UnitCost]]*orderlinesTABLE[[#This Row],[Qty]])</f>
        <v>27.78</v>
      </c>
      <c r="Q187">
        <f>(orderlinesTABLE[[#This Row],[LineNetAmount]]-orderlinesTABLE[[#This Row],[totalCOST]])</f>
        <v>25.668399999999998</v>
      </c>
      <c r="R187" t="str">
        <f>VLOOKUP($B187,Menu!$A$1:$F$20,MATCH(OrderLines!R$1,Menu!$A$1:$F$1,0),0)</f>
        <v>Bottled Water</v>
      </c>
      <c r="S187" t="str" cm="1">
        <f t="array" ref="S187">_xlfn.TEXTJOIN("+",TRUE,_xlfn._xlws.FILTER(orderlinesTABLE[ItemName],OrderID=orderlinesTABLE[[#This Row],[OrderID]]))</f>
        <v>Bottled Water+Rajma Chawal+Paneer Roll+Samosa</v>
      </c>
      <c r="T187" s="54">
        <f>orderlinesTABLE[[#This Row],[Profit]]/orderlinesTABLE[[#This Row],[LineNetAmount]]</f>
        <v>0.48024636846004742</v>
      </c>
      <c r="U187" s="70">
        <f>(orderlinesTABLE[[#This Row],[Qty]]*orderlinesTABLE[[#This Row],[UnitCost]])</f>
        <v>27.78</v>
      </c>
    </row>
    <row r="188" spans="1:21" x14ac:dyDescent="0.3">
      <c r="A188" s="14" t="s">
        <v>112</v>
      </c>
      <c r="B188" s="14" t="s">
        <v>417</v>
      </c>
      <c r="C188" s="14">
        <v>2</v>
      </c>
      <c r="D188" s="37">
        <f>VLOOKUP($B188,Menu!$A$1:$F$20,MATCH($D$1,Menu!$A$1:$F$1,0),0)</f>
        <v>146.4</v>
      </c>
      <c r="E188" s="14" t="str">
        <f>VLOOKUP($B188,Menu!$A$1:$F$20,MATCH(OrderLines!E$1,Menu!$A$1:$F$1,0),0)</f>
        <v>Hot Meal</v>
      </c>
      <c r="F188" s="37">
        <f>VLOOKUP($B188,Menu!$A$1:$F$20,MATCH(OrderLines!F$1,Menu!$A$1:$F$1,0),0)</f>
        <v>80.92</v>
      </c>
      <c r="G188" s="28">
        <f>VLOOKUP($A188,Orders!$A$1:$H$361,MATCH($G$1,Orders!$A$1:$H$1,0),0)</f>
        <v>45889</v>
      </c>
      <c r="H188" s="14" t="str">
        <f>VLOOKUP($A188,Orders!$A$1:$H$361,MATCH(OrderLines!$H$1,Orders!$A$1:$H$1,0),0)</f>
        <v>Plant 2 Canteen</v>
      </c>
      <c r="I188" s="14">
        <f>VLOOKUP($A188,Orders!$A$1:$H$361,MATCH(OrderLines!$I$1,Orders!$A$1:$H$1,0),0)</f>
        <v>0.06</v>
      </c>
      <c r="J188" s="14">
        <f t="shared" si="7"/>
        <v>275.23199999999997</v>
      </c>
      <c r="K188" s="28" t="str">
        <f t="shared" si="8"/>
        <v>August</v>
      </c>
      <c r="L188" s="14" t="str">
        <f>VLOOKUP(OrderLines!$A188,Orders!$A$1:$H$361,MATCH(OrderLines!$L$1,Orders!$A$1:$H$1,0),0)</f>
        <v>Dinner</v>
      </c>
      <c r="M188" t="str">
        <f>VLOOKUP($A188,Orders!$A$1:$H$361,MATCH(OrderLines!$M$1,Orders!$A$1:$H$1,0),0)</f>
        <v>Cash</v>
      </c>
      <c r="N188" t="str">
        <f t="shared" si="6"/>
        <v>Combo</v>
      </c>
      <c r="O188" t="str" cm="1">
        <f t="array" ref="O188">IF((SUMPRODUCT((OrderID=OrderLines!$A188)*Qty*UnitPrice*DiscountPct))&gt;40,"HighDisc","OK")</f>
        <v>OK</v>
      </c>
      <c r="P188">
        <f>(orderlinesTABLE[[#This Row],[UnitCost]]*orderlinesTABLE[[#This Row],[Qty]])</f>
        <v>161.84</v>
      </c>
      <c r="Q188">
        <f>(orderlinesTABLE[[#This Row],[LineNetAmount]]-orderlinesTABLE[[#This Row],[totalCOST]])</f>
        <v>113.39199999999997</v>
      </c>
      <c r="R188" t="str">
        <f>VLOOKUP($B188,Menu!$A$1:$F$20,MATCH(OrderLines!R$1,Menu!$A$1:$F$1,0),0)</f>
        <v>Rajma Chawal</v>
      </c>
      <c r="S188" t="str" cm="1">
        <f t="array" ref="S188">_xlfn.TEXTJOIN("+",TRUE,_xlfn._xlws.FILTER(orderlinesTABLE[ItemName],OrderID=orderlinesTABLE[[#This Row],[OrderID]]))</f>
        <v>Bottled Water+Rajma Chawal+Paneer Roll+Samosa</v>
      </c>
      <c r="T188" s="54">
        <f>orderlinesTABLE[[#This Row],[Profit]]/orderlinesTABLE[[#This Row],[LineNetAmount]]</f>
        <v>0.41198697825834196</v>
      </c>
      <c r="U188" s="70">
        <f>(orderlinesTABLE[[#This Row],[Qty]]*orderlinesTABLE[[#This Row],[UnitCost]])</f>
        <v>161.84</v>
      </c>
    </row>
    <row r="189" spans="1:21" x14ac:dyDescent="0.3">
      <c r="A189" s="15" t="s">
        <v>112</v>
      </c>
      <c r="B189" s="15" t="s">
        <v>406</v>
      </c>
      <c r="C189" s="15">
        <v>2</v>
      </c>
      <c r="D189" s="36">
        <f>VLOOKUP($B189,Menu!$A$1:$F$20,MATCH($D$1,Menu!$A$1:$F$1,0),0)</f>
        <v>38.06</v>
      </c>
      <c r="E189" s="15" t="str">
        <f>VLOOKUP($B189,Menu!$A$1:$F$20,MATCH(OrderLines!E$1,Menu!$A$1:$F$1,0),0)</f>
        <v>Snack</v>
      </c>
      <c r="F189" s="36">
        <f>VLOOKUP($B189,Menu!$A$1:$F$20,MATCH(OrderLines!F$1,Menu!$A$1:$F$1,0),0)</f>
        <v>19.55</v>
      </c>
      <c r="G189" s="27">
        <f>VLOOKUP($A189,Orders!$A$1:$H$361,MATCH($G$1,Orders!$A$1:$H$1,0),0)</f>
        <v>45889</v>
      </c>
      <c r="H189" s="15" t="str">
        <f>VLOOKUP($A189,Orders!$A$1:$H$361,MATCH(OrderLines!$H$1,Orders!$A$1:$H$1,0),0)</f>
        <v>Plant 2 Canteen</v>
      </c>
      <c r="I189" s="15">
        <f>VLOOKUP($A189,Orders!$A$1:$H$361,MATCH(OrderLines!$I$1,Orders!$A$1:$H$1,0),0)</f>
        <v>0.06</v>
      </c>
      <c r="J189" s="15">
        <f t="shared" si="7"/>
        <v>71.552800000000005</v>
      </c>
      <c r="K189" s="27" t="str">
        <f t="shared" si="8"/>
        <v>August</v>
      </c>
      <c r="L189" s="15" t="str">
        <f>VLOOKUP(OrderLines!$A189,Orders!$A$1:$H$361,MATCH(OrderLines!$L$1,Orders!$A$1:$H$1,0),0)</f>
        <v>Dinner</v>
      </c>
      <c r="M189" t="str">
        <f>VLOOKUP($A189,Orders!$A$1:$H$361,MATCH(OrderLines!$M$1,Orders!$A$1:$H$1,0),0)</f>
        <v>Cash</v>
      </c>
      <c r="N189" t="str">
        <f t="shared" si="6"/>
        <v>Combo</v>
      </c>
      <c r="O189" t="str" cm="1">
        <f t="array" ref="O189">IF((SUMPRODUCT((OrderID=OrderLines!$A189)*Qty*UnitPrice*DiscountPct))&gt;40,"HighDisc","OK")</f>
        <v>OK</v>
      </c>
      <c r="P189">
        <f>(orderlinesTABLE[[#This Row],[UnitCost]]*orderlinesTABLE[[#This Row],[Qty]])</f>
        <v>39.1</v>
      </c>
      <c r="Q189">
        <f>(orderlinesTABLE[[#This Row],[LineNetAmount]]-orderlinesTABLE[[#This Row],[totalCOST]])</f>
        <v>32.452800000000003</v>
      </c>
      <c r="R189" t="str">
        <f>VLOOKUP($B189,Menu!$A$1:$F$20,MATCH(OrderLines!R$1,Menu!$A$1:$F$1,0),0)</f>
        <v>Paneer Roll</v>
      </c>
      <c r="S189" t="str" cm="1">
        <f t="array" ref="S189">_xlfn.TEXTJOIN("+",TRUE,_xlfn._xlws.FILTER(orderlinesTABLE[ItemName],OrderID=orderlinesTABLE[[#This Row],[OrderID]]))</f>
        <v>Bottled Water+Rajma Chawal+Paneer Roll+Samosa</v>
      </c>
      <c r="T189" s="54">
        <f>orderlinesTABLE[[#This Row],[Profit]]/orderlinesTABLE[[#This Row],[LineNetAmount]]</f>
        <v>0.45355038517011215</v>
      </c>
      <c r="U189" s="70">
        <f>(orderlinesTABLE[[#This Row],[Qty]]*orderlinesTABLE[[#This Row],[UnitCost]])</f>
        <v>39.1</v>
      </c>
    </row>
    <row r="190" spans="1:21" x14ac:dyDescent="0.3">
      <c r="A190" s="14" t="s">
        <v>112</v>
      </c>
      <c r="B190" s="14" t="s">
        <v>418</v>
      </c>
      <c r="C190" s="14">
        <v>3</v>
      </c>
      <c r="D190" s="37">
        <f>VLOOKUP($B190,Menu!$A$1:$F$20,MATCH($D$1,Menu!$A$1:$F$1,0),0)</f>
        <v>39.950000000000003</v>
      </c>
      <c r="E190" s="14" t="str">
        <f>VLOOKUP($B190,Menu!$A$1:$F$20,MATCH(OrderLines!E$1,Menu!$A$1:$F$1,0),0)</f>
        <v>Snack</v>
      </c>
      <c r="F190" s="37">
        <f>VLOOKUP($B190,Menu!$A$1:$F$20,MATCH(OrderLines!F$1,Menu!$A$1:$F$1,0),0)</f>
        <v>15.51</v>
      </c>
      <c r="G190" s="28">
        <f>VLOOKUP($A190,Orders!$A$1:$H$361,MATCH($G$1,Orders!$A$1:$H$1,0),0)</f>
        <v>45889</v>
      </c>
      <c r="H190" s="14" t="str">
        <f>VLOOKUP($A190,Orders!$A$1:$H$361,MATCH(OrderLines!$H$1,Orders!$A$1:$H$1,0),0)</f>
        <v>Plant 2 Canteen</v>
      </c>
      <c r="I190" s="14">
        <f>VLOOKUP($A190,Orders!$A$1:$H$361,MATCH(OrderLines!$I$1,Orders!$A$1:$H$1,0),0)</f>
        <v>0.06</v>
      </c>
      <c r="J190" s="14">
        <f t="shared" si="7"/>
        <v>112.65900000000001</v>
      </c>
      <c r="K190" s="28" t="str">
        <f t="shared" si="8"/>
        <v>August</v>
      </c>
      <c r="L190" s="14" t="str">
        <f>VLOOKUP(OrderLines!$A190,Orders!$A$1:$H$361,MATCH(OrderLines!$L$1,Orders!$A$1:$H$1,0),0)</f>
        <v>Dinner</v>
      </c>
      <c r="M190" t="str">
        <f>VLOOKUP($A190,Orders!$A$1:$H$361,MATCH(OrderLines!$M$1,Orders!$A$1:$H$1,0),0)</f>
        <v>Cash</v>
      </c>
      <c r="N190" t="str">
        <f t="shared" si="6"/>
        <v>Combo</v>
      </c>
      <c r="O190" t="str" cm="1">
        <f t="array" ref="O190">IF((SUMPRODUCT((OrderID=OrderLines!$A190)*Qty*UnitPrice*DiscountPct))&gt;40,"HighDisc","OK")</f>
        <v>OK</v>
      </c>
      <c r="P190">
        <f>(orderlinesTABLE[[#This Row],[UnitCost]]*orderlinesTABLE[[#This Row],[Qty]])</f>
        <v>46.53</v>
      </c>
      <c r="Q190">
        <f>(orderlinesTABLE[[#This Row],[LineNetAmount]]-orderlinesTABLE[[#This Row],[totalCOST]])</f>
        <v>66.129000000000005</v>
      </c>
      <c r="R190" t="str">
        <f>VLOOKUP($B190,Menu!$A$1:$F$20,MATCH(OrderLines!R$1,Menu!$A$1:$F$1,0),0)</f>
        <v>Samosa</v>
      </c>
      <c r="S190" t="str" cm="1">
        <f t="array" ref="S190">_xlfn.TEXTJOIN("+",TRUE,_xlfn._xlws.FILTER(orderlinesTABLE[ItemName],OrderID=orderlinesTABLE[[#This Row],[OrderID]]))</f>
        <v>Bottled Water+Rajma Chawal+Paneer Roll+Samosa</v>
      </c>
      <c r="T190" s="54">
        <f>orderlinesTABLE[[#This Row],[Profit]]/orderlinesTABLE[[#This Row],[LineNetAmount]]</f>
        <v>0.58698372966207757</v>
      </c>
      <c r="U190" s="70">
        <f>(orderlinesTABLE[[#This Row],[Qty]]*orderlinesTABLE[[#This Row],[UnitCost]])</f>
        <v>46.53</v>
      </c>
    </row>
    <row r="191" spans="1:21" x14ac:dyDescent="0.3">
      <c r="A191" s="15" t="s">
        <v>113</v>
      </c>
      <c r="B191" s="15" t="s">
        <v>413</v>
      </c>
      <c r="C191" s="15">
        <v>1</v>
      </c>
      <c r="D191" s="36">
        <f>VLOOKUP($B191,Menu!$A$1:$F$20,MATCH($D$1,Menu!$A$1:$F$1,0),0)</f>
        <v>54.2</v>
      </c>
      <c r="E191" s="15" t="str">
        <f>VLOOKUP($B191,Menu!$A$1:$F$20,MATCH(OrderLines!E$1,Menu!$A$1:$F$1,0),0)</f>
        <v>Dessert</v>
      </c>
      <c r="F191" s="36">
        <f>VLOOKUP($B191,Menu!$A$1:$F$20,MATCH(OrderLines!F$1,Menu!$A$1:$F$1,0),0)</f>
        <v>21.95</v>
      </c>
      <c r="G191" s="27">
        <f>VLOOKUP($A191,Orders!$A$1:$H$361,MATCH($G$1,Orders!$A$1:$H$1,0),0)</f>
        <v>45881</v>
      </c>
      <c r="H191" s="15" t="str">
        <f>VLOOKUP($A191,Orders!$A$1:$H$361,MATCH(OrderLines!$H$1,Orders!$A$1:$H$1,0),0)</f>
        <v>Plant 1 Canteen</v>
      </c>
      <c r="I191" s="15">
        <f>VLOOKUP($A191,Orders!$A$1:$H$361,MATCH(OrderLines!$I$1,Orders!$A$1:$H$1,0),0)</f>
        <v>0.01</v>
      </c>
      <c r="J191" s="15">
        <f t="shared" si="7"/>
        <v>53.658000000000001</v>
      </c>
      <c r="K191" s="27" t="str">
        <f t="shared" si="8"/>
        <v>August</v>
      </c>
      <c r="L191" s="15" t="str">
        <f>VLOOKUP(OrderLines!$A191,Orders!$A$1:$H$361,MATCH(OrderLines!$L$1,Orders!$A$1:$H$1,0),0)</f>
        <v>Dinner</v>
      </c>
      <c r="M191" t="str">
        <f>VLOOKUP($A191,Orders!$A$1:$H$361,MATCH(OrderLines!$M$1,Orders!$A$1:$H$1,0),0)</f>
        <v>Card</v>
      </c>
      <c r="N191" t="str">
        <f t="shared" si="6"/>
        <v>Single</v>
      </c>
      <c r="O191" t="str" cm="1">
        <f t="array" ref="O191">IF((SUMPRODUCT((OrderID=OrderLines!$A191)*Qty*UnitPrice*DiscountPct))&gt;40,"HighDisc","OK")</f>
        <v>OK</v>
      </c>
      <c r="P191">
        <f>(orderlinesTABLE[[#This Row],[UnitCost]]*orderlinesTABLE[[#This Row],[Qty]])</f>
        <v>21.95</v>
      </c>
      <c r="Q191">
        <f>(orderlinesTABLE[[#This Row],[LineNetAmount]]-orderlinesTABLE[[#This Row],[totalCOST]])</f>
        <v>31.708000000000002</v>
      </c>
      <c r="R191" t="str">
        <f>VLOOKUP($B191,Menu!$A$1:$F$20,MATCH(OrderLines!R$1,Menu!$A$1:$F$1,0),0)</f>
        <v>Kheer Cup</v>
      </c>
      <c r="S191" t="str" cm="1">
        <f t="array" ref="S191">_xlfn.TEXTJOIN("+",TRUE,_xlfn._xlws.FILTER(orderlinesTABLE[ItemName],OrderID=orderlinesTABLE[[#This Row],[OrderID]]))</f>
        <v>Kheer Cup+Masala Puff+Rajma Chawal</v>
      </c>
      <c r="T191" s="54">
        <f>orderlinesTABLE[[#This Row],[Profit]]/orderlinesTABLE[[#This Row],[LineNetAmount]]</f>
        <v>0.59092772745909283</v>
      </c>
      <c r="U191" s="70">
        <f>(orderlinesTABLE[[#This Row],[Qty]]*orderlinesTABLE[[#This Row],[UnitCost]])</f>
        <v>21.95</v>
      </c>
    </row>
    <row r="192" spans="1:21" x14ac:dyDescent="0.3">
      <c r="A192" s="14" t="s">
        <v>113</v>
      </c>
      <c r="B192" s="14" t="s">
        <v>419</v>
      </c>
      <c r="C192" s="14">
        <v>1</v>
      </c>
      <c r="D192" s="37">
        <f>VLOOKUP($B192,Menu!$A$1:$F$20,MATCH($D$1,Menu!$A$1:$F$1,0),0)</f>
        <v>50.19</v>
      </c>
      <c r="E192" s="14" t="str">
        <f>VLOOKUP($B192,Menu!$A$1:$F$20,MATCH(OrderLines!E$1,Menu!$A$1:$F$1,0),0)</f>
        <v>Snack</v>
      </c>
      <c r="F192" s="37">
        <f>VLOOKUP($B192,Menu!$A$1:$F$20,MATCH(OrderLines!F$1,Menu!$A$1:$F$1,0),0)</f>
        <v>22.61</v>
      </c>
      <c r="G192" s="28">
        <f>VLOOKUP($A192,Orders!$A$1:$H$361,MATCH($G$1,Orders!$A$1:$H$1,0),0)</f>
        <v>45881</v>
      </c>
      <c r="H192" s="14" t="str">
        <f>VLOOKUP($A192,Orders!$A$1:$H$361,MATCH(OrderLines!$H$1,Orders!$A$1:$H$1,0),0)</f>
        <v>Plant 1 Canteen</v>
      </c>
      <c r="I192" s="14">
        <f>VLOOKUP($A192,Orders!$A$1:$H$361,MATCH(OrderLines!$I$1,Orders!$A$1:$H$1,0),0)</f>
        <v>0.01</v>
      </c>
      <c r="J192" s="14">
        <f t="shared" si="7"/>
        <v>49.688099999999999</v>
      </c>
      <c r="K192" s="28" t="str">
        <f t="shared" si="8"/>
        <v>August</v>
      </c>
      <c r="L192" s="14" t="str">
        <f>VLOOKUP(OrderLines!$A192,Orders!$A$1:$H$361,MATCH(OrderLines!$L$1,Orders!$A$1:$H$1,0),0)</f>
        <v>Dinner</v>
      </c>
      <c r="M192" t="str">
        <f>VLOOKUP($A192,Orders!$A$1:$H$361,MATCH(OrderLines!$M$1,Orders!$A$1:$H$1,0),0)</f>
        <v>Card</v>
      </c>
      <c r="N192" t="str">
        <f t="shared" si="6"/>
        <v>Single</v>
      </c>
      <c r="O192" t="str" cm="1">
        <f t="array" ref="O192">IF((SUMPRODUCT((OrderID=OrderLines!$A192)*Qty*UnitPrice*DiscountPct))&gt;40,"HighDisc","OK")</f>
        <v>OK</v>
      </c>
      <c r="P192">
        <f>(orderlinesTABLE[[#This Row],[UnitCost]]*orderlinesTABLE[[#This Row],[Qty]])</f>
        <v>22.61</v>
      </c>
      <c r="Q192">
        <f>(orderlinesTABLE[[#This Row],[LineNetAmount]]-orderlinesTABLE[[#This Row],[totalCOST]])</f>
        <v>27.078099999999999</v>
      </c>
      <c r="R192" t="str">
        <f>VLOOKUP($B192,Menu!$A$1:$F$20,MATCH(OrderLines!R$1,Menu!$A$1:$F$1,0),0)</f>
        <v>Masala Puff</v>
      </c>
      <c r="S192" t="str" cm="1">
        <f t="array" ref="S192">_xlfn.TEXTJOIN("+",TRUE,_xlfn._xlws.FILTER(orderlinesTABLE[ItemName],OrderID=orderlinesTABLE[[#This Row],[OrderID]]))</f>
        <v>Kheer Cup+Masala Puff+Rajma Chawal</v>
      </c>
      <c r="T192" s="54">
        <f>orderlinesTABLE[[#This Row],[Profit]]/orderlinesTABLE[[#This Row],[LineNetAmount]]</f>
        <v>0.54496146964766212</v>
      </c>
      <c r="U192" s="70">
        <f>(orderlinesTABLE[[#This Row],[Qty]]*orderlinesTABLE[[#This Row],[UnitCost]])</f>
        <v>22.61</v>
      </c>
    </row>
    <row r="193" spans="1:21" x14ac:dyDescent="0.3">
      <c r="A193" s="15" t="s">
        <v>113</v>
      </c>
      <c r="B193" s="15" t="s">
        <v>417</v>
      </c>
      <c r="C193" s="15">
        <v>2</v>
      </c>
      <c r="D193" s="36">
        <f>VLOOKUP($B193,Menu!$A$1:$F$20,MATCH($D$1,Menu!$A$1:$F$1,0),0)</f>
        <v>146.4</v>
      </c>
      <c r="E193" s="15" t="str">
        <f>VLOOKUP($B193,Menu!$A$1:$F$20,MATCH(OrderLines!E$1,Menu!$A$1:$F$1,0),0)</f>
        <v>Hot Meal</v>
      </c>
      <c r="F193" s="36">
        <f>VLOOKUP($B193,Menu!$A$1:$F$20,MATCH(OrderLines!F$1,Menu!$A$1:$F$1,0),0)</f>
        <v>80.92</v>
      </c>
      <c r="G193" s="27">
        <f>VLOOKUP($A193,Orders!$A$1:$H$361,MATCH($G$1,Orders!$A$1:$H$1,0),0)</f>
        <v>45881</v>
      </c>
      <c r="H193" s="15" t="str">
        <f>VLOOKUP($A193,Orders!$A$1:$H$361,MATCH(OrderLines!$H$1,Orders!$A$1:$H$1,0),0)</f>
        <v>Plant 1 Canteen</v>
      </c>
      <c r="I193" s="15">
        <f>VLOOKUP($A193,Orders!$A$1:$H$361,MATCH(OrderLines!$I$1,Orders!$A$1:$H$1,0),0)</f>
        <v>0.01</v>
      </c>
      <c r="J193" s="15">
        <f t="shared" si="7"/>
        <v>289.87200000000001</v>
      </c>
      <c r="K193" s="27" t="str">
        <f t="shared" si="8"/>
        <v>August</v>
      </c>
      <c r="L193" s="15" t="str">
        <f>VLOOKUP(OrderLines!$A193,Orders!$A$1:$H$361,MATCH(OrderLines!$L$1,Orders!$A$1:$H$1,0),0)</f>
        <v>Dinner</v>
      </c>
      <c r="M193" t="str">
        <f>VLOOKUP($A193,Orders!$A$1:$H$361,MATCH(OrderLines!$M$1,Orders!$A$1:$H$1,0),0)</f>
        <v>Card</v>
      </c>
      <c r="N193" t="str">
        <f t="shared" si="6"/>
        <v>Single</v>
      </c>
      <c r="O193" t="str" cm="1">
        <f t="array" ref="O193">IF((SUMPRODUCT((OrderID=OrderLines!$A193)*Qty*UnitPrice*DiscountPct))&gt;40,"HighDisc","OK")</f>
        <v>OK</v>
      </c>
      <c r="P193">
        <f>(orderlinesTABLE[[#This Row],[UnitCost]]*orderlinesTABLE[[#This Row],[Qty]])</f>
        <v>161.84</v>
      </c>
      <c r="Q193">
        <f>(orderlinesTABLE[[#This Row],[LineNetAmount]]-orderlinesTABLE[[#This Row],[totalCOST]])</f>
        <v>128.03200000000001</v>
      </c>
      <c r="R193" t="str">
        <f>VLOOKUP($B193,Menu!$A$1:$F$20,MATCH(OrderLines!R$1,Menu!$A$1:$F$1,0),0)</f>
        <v>Rajma Chawal</v>
      </c>
      <c r="S193" t="str" cm="1">
        <f t="array" ref="S193">_xlfn.TEXTJOIN("+",TRUE,_xlfn._xlws.FILTER(orderlinesTABLE[ItemName],OrderID=orderlinesTABLE[[#This Row],[OrderID]]))</f>
        <v>Kheer Cup+Masala Puff+Rajma Chawal</v>
      </c>
      <c r="T193" s="54">
        <f>orderlinesTABLE[[#This Row],[Profit]]/orderlinesTABLE[[#This Row],[LineNetAmount]]</f>
        <v>0.44168460561903189</v>
      </c>
      <c r="U193" s="70">
        <f>(orderlinesTABLE[[#This Row],[Qty]]*orderlinesTABLE[[#This Row],[UnitCost]])</f>
        <v>161.84</v>
      </c>
    </row>
    <row r="194" spans="1:21" x14ac:dyDescent="0.3">
      <c r="A194" s="14" t="s">
        <v>114</v>
      </c>
      <c r="B194" s="14" t="s">
        <v>404</v>
      </c>
      <c r="C194" s="14">
        <v>1</v>
      </c>
      <c r="D194" s="37">
        <f>VLOOKUP($B194,Menu!$A$1:$F$20,MATCH($D$1,Menu!$A$1:$F$1,0),0)</f>
        <v>32.979999999999997</v>
      </c>
      <c r="E194" s="14" t="str">
        <f>VLOOKUP($B194,Menu!$A$1:$F$20,MATCH(OrderLines!E$1,Menu!$A$1:$F$1,0),0)</f>
        <v>Beverage</v>
      </c>
      <c r="F194" s="37">
        <f>VLOOKUP($B194,Menu!$A$1:$F$20,MATCH(OrderLines!F$1,Menu!$A$1:$F$1,0),0)</f>
        <v>11.84</v>
      </c>
      <c r="G194" s="28">
        <f>VLOOKUP($A194,Orders!$A$1:$H$361,MATCH($G$1,Orders!$A$1:$H$1,0),0)</f>
        <v>45865</v>
      </c>
      <c r="H194" s="14" t="str">
        <f>VLOOKUP($A194,Orders!$A$1:$H$361,MATCH(OrderLines!$H$1,Orders!$A$1:$H$1,0),0)</f>
        <v>Plant 2 Canteen</v>
      </c>
      <c r="I194" s="14">
        <f>VLOOKUP($A194,Orders!$A$1:$H$361,MATCH(OrderLines!$I$1,Orders!$A$1:$H$1,0),0)</f>
        <v>0.11</v>
      </c>
      <c r="J194" s="14">
        <f t="shared" si="7"/>
        <v>29.352199999999996</v>
      </c>
      <c r="K194" s="28" t="str">
        <f t="shared" si="8"/>
        <v>July</v>
      </c>
      <c r="L194" s="14" t="str">
        <f>VLOOKUP(OrderLines!$A194,Orders!$A$1:$H$361,MATCH(OrderLines!$L$1,Orders!$A$1:$H$1,0),0)</f>
        <v>Lunch</v>
      </c>
      <c r="M194" t="str">
        <f>VLOOKUP($A194,Orders!$A$1:$H$361,MATCH(OrderLines!$M$1,Orders!$A$1:$H$1,0),0)</f>
        <v>UPI</v>
      </c>
      <c r="N194" t="str">
        <f t="shared" ref="N194:N257" si="9">IF(AND(COUNTIFS(OrderID,$A194,Category,"hot meal")&gt;=1,COUNTIFS(OrderID,$A194,Category,"beverage")&gt;=1),"Combo","Single")</f>
        <v>Single</v>
      </c>
      <c r="O194" t="str" cm="1">
        <f t="array" ref="O194">IF((SUMPRODUCT((OrderID=OrderLines!$A194)*Qty*UnitPrice*DiscountPct))&gt;40,"HighDisc","OK")</f>
        <v>OK</v>
      </c>
      <c r="P194">
        <f>(orderlinesTABLE[[#This Row],[UnitCost]]*orderlinesTABLE[[#This Row],[Qty]])</f>
        <v>11.84</v>
      </c>
      <c r="Q194">
        <f>(orderlinesTABLE[[#This Row],[LineNetAmount]]-orderlinesTABLE[[#This Row],[totalCOST]])</f>
        <v>17.512199999999996</v>
      </c>
      <c r="R194" t="str">
        <f>VLOOKUP($B194,Menu!$A$1:$F$20,MATCH(OrderLines!R$1,Menu!$A$1:$F$1,0),0)</f>
        <v>Masala Chaas</v>
      </c>
      <c r="S194" t="str" cm="1">
        <f t="array" ref="S194">_xlfn.TEXTJOIN("+",TRUE,_xlfn._xlws.FILTER(orderlinesTABLE[ItemName],OrderID=orderlinesTABLE[[#This Row],[OrderID]]))</f>
        <v>Masala Chaas+Veg Sandwich</v>
      </c>
      <c r="T194" s="54">
        <f>orderlinesTABLE[[#This Row],[Profit]]/orderlinesTABLE[[#This Row],[LineNetAmount]]</f>
        <v>0.59662308106377027</v>
      </c>
      <c r="U194" s="70">
        <f>(orderlinesTABLE[[#This Row],[Qty]]*orderlinesTABLE[[#This Row],[UnitCost]])</f>
        <v>11.84</v>
      </c>
    </row>
    <row r="195" spans="1:21" x14ac:dyDescent="0.3">
      <c r="A195" s="15" t="s">
        <v>114</v>
      </c>
      <c r="B195" s="15" t="s">
        <v>408</v>
      </c>
      <c r="C195" s="15">
        <v>1</v>
      </c>
      <c r="D195" s="36">
        <f>VLOOKUP($B195,Menu!$A$1:$F$20,MATCH($D$1,Menu!$A$1:$F$1,0),0)</f>
        <v>70.540000000000006</v>
      </c>
      <c r="E195" s="15" t="str">
        <f>VLOOKUP($B195,Menu!$A$1:$F$20,MATCH(OrderLines!E$1,Menu!$A$1:$F$1,0),0)</f>
        <v>Snack</v>
      </c>
      <c r="F195" s="36">
        <f>VLOOKUP($B195,Menu!$A$1:$F$20,MATCH(OrderLines!F$1,Menu!$A$1:$F$1,0),0)</f>
        <v>35.81</v>
      </c>
      <c r="G195" s="27">
        <f>VLOOKUP($A195,Orders!$A$1:$H$361,MATCH($G$1,Orders!$A$1:$H$1,0),0)</f>
        <v>45865</v>
      </c>
      <c r="H195" s="15" t="str">
        <f>VLOOKUP($A195,Orders!$A$1:$H$361,MATCH(OrderLines!$H$1,Orders!$A$1:$H$1,0),0)</f>
        <v>Plant 2 Canteen</v>
      </c>
      <c r="I195" s="15">
        <f>VLOOKUP($A195,Orders!$A$1:$H$361,MATCH(OrderLines!$I$1,Orders!$A$1:$H$1,0),0)</f>
        <v>0.11</v>
      </c>
      <c r="J195" s="15">
        <f t="shared" ref="J195:J258" si="10">$C195*$D195*(1-$I195)</f>
        <v>62.780600000000007</v>
      </c>
      <c r="K195" s="27" t="str">
        <f t="shared" ref="K195:K258" si="11">TEXT($G195,"mmmm")</f>
        <v>July</v>
      </c>
      <c r="L195" s="15" t="str">
        <f>VLOOKUP(OrderLines!$A195,Orders!$A$1:$H$361,MATCH(OrderLines!$L$1,Orders!$A$1:$H$1,0),0)</f>
        <v>Lunch</v>
      </c>
      <c r="M195" t="str">
        <f>VLOOKUP($A195,Orders!$A$1:$H$361,MATCH(OrderLines!$M$1,Orders!$A$1:$H$1,0),0)</f>
        <v>UPI</v>
      </c>
      <c r="N195" t="str">
        <f t="shared" si="9"/>
        <v>Single</v>
      </c>
      <c r="O195" t="str" cm="1">
        <f t="array" ref="O195">IF((SUMPRODUCT((OrderID=OrderLines!$A195)*Qty*UnitPrice*DiscountPct))&gt;40,"HighDisc","OK")</f>
        <v>OK</v>
      </c>
      <c r="P195">
        <f>(orderlinesTABLE[[#This Row],[UnitCost]]*orderlinesTABLE[[#This Row],[Qty]])</f>
        <v>35.81</v>
      </c>
      <c r="Q195">
        <f>(orderlinesTABLE[[#This Row],[LineNetAmount]]-orderlinesTABLE[[#This Row],[totalCOST]])</f>
        <v>26.970600000000005</v>
      </c>
      <c r="R195" t="str">
        <f>VLOOKUP($B195,Menu!$A$1:$F$20,MATCH(OrderLines!R$1,Menu!$A$1:$F$1,0),0)</f>
        <v>Veg Sandwich</v>
      </c>
      <c r="S195" t="str" cm="1">
        <f t="array" ref="S195">_xlfn.TEXTJOIN("+",TRUE,_xlfn._xlws.FILTER(orderlinesTABLE[ItemName],OrderID=orderlinesTABLE[[#This Row],[OrderID]]))</f>
        <v>Masala Chaas+Veg Sandwich</v>
      </c>
      <c r="T195" s="54">
        <f>orderlinesTABLE[[#This Row],[Profit]]/orderlinesTABLE[[#This Row],[LineNetAmount]]</f>
        <v>0.42960086396115998</v>
      </c>
      <c r="U195" s="70">
        <f>(orderlinesTABLE[[#This Row],[Qty]]*orderlinesTABLE[[#This Row],[UnitCost]])</f>
        <v>35.81</v>
      </c>
    </row>
    <row r="196" spans="1:21" x14ac:dyDescent="0.3">
      <c r="A196" s="14" t="s">
        <v>115</v>
      </c>
      <c r="B196" s="14" t="s">
        <v>419</v>
      </c>
      <c r="C196" s="14">
        <v>1</v>
      </c>
      <c r="D196" s="37">
        <f>VLOOKUP($B196,Menu!$A$1:$F$20,MATCH($D$1,Menu!$A$1:$F$1,0),0)</f>
        <v>50.19</v>
      </c>
      <c r="E196" s="14" t="str">
        <f>VLOOKUP($B196,Menu!$A$1:$F$20,MATCH(OrderLines!E$1,Menu!$A$1:$F$1,0),0)</f>
        <v>Snack</v>
      </c>
      <c r="F196" s="37">
        <f>VLOOKUP($B196,Menu!$A$1:$F$20,MATCH(OrderLines!F$1,Menu!$A$1:$F$1,0),0)</f>
        <v>22.61</v>
      </c>
      <c r="G196" s="28">
        <f>VLOOKUP($A196,Orders!$A$1:$H$361,MATCH($G$1,Orders!$A$1:$H$1,0),0)</f>
        <v>45852</v>
      </c>
      <c r="H196" s="14" t="str">
        <f>VLOOKUP($A196,Orders!$A$1:$H$361,MATCH(OrderLines!$H$1,Orders!$A$1:$H$1,0),0)</f>
        <v>Plant 1 Canteen</v>
      </c>
      <c r="I196" s="14">
        <f>VLOOKUP($A196,Orders!$A$1:$H$361,MATCH(OrderLines!$I$1,Orders!$A$1:$H$1,0),0)</f>
        <v>0.09</v>
      </c>
      <c r="J196" s="14">
        <f t="shared" si="10"/>
        <v>45.672899999999998</v>
      </c>
      <c r="K196" s="28" t="str">
        <f t="shared" si="11"/>
        <v>July</v>
      </c>
      <c r="L196" s="14" t="str">
        <f>VLOOKUP(OrderLines!$A196,Orders!$A$1:$H$361,MATCH(OrderLines!$L$1,Orders!$A$1:$H$1,0),0)</f>
        <v>Dinner</v>
      </c>
      <c r="M196" t="str">
        <f>VLOOKUP($A196,Orders!$A$1:$H$361,MATCH(OrderLines!$M$1,Orders!$A$1:$H$1,0),0)</f>
        <v>Card</v>
      </c>
      <c r="N196" t="str">
        <f t="shared" si="9"/>
        <v>Single</v>
      </c>
      <c r="O196" t="str" cm="1">
        <f t="array" ref="O196">IF((SUMPRODUCT((OrderID=OrderLines!$A196)*Qty*UnitPrice*DiscountPct))&gt;40,"HighDisc","OK")</f>
        <v>OK</v>
      </c>
      <c r="P196">
        <f>(orderlinesTABLE[[#This Row],[UnitCost]]*orderlinesTABLE[[#This Row],[Qty]])</f>
        <v>22.61</v>
      </c>
      <c r="Q196">
        <f>(orderlinesTABLE[[#This Row],[LineNetAmount]]-orderlinesTABLE[[#This Row],[totalCOST]])</f>
        <v>23.062899999999999</v>
      </c>
      <c r="R196" t="str">
        <f>VLOOKUP($B196,Menu!$A$1:$F$20,MATCH(OrderLines!R$1,Menu!$A$1:$F$1,0),0)</f>
        <v>Masala Puff</v>
      </c>
      <c r="S196" t="str" cm="1">
        <f t="array" ref="S196">_xlfn.TEXTJOIN("+",TRUE,_xlfn._xlws.FILTER(orderlinesTABLE[ItemName],OrderID=orderlinesTABLE[[#This Row],[OrderID]]))</f>
        <v>Masala Puff+Masala Chaas</v>
      </c>
      <c r="T196" s="54">
        <f>orderlinesTABLE[[#This Row],[Profit]]/orderlinesTABLE[[#This Row],[LineNetAmount]]</f>
        <v>0.50495808236394013</v>
      </c>
      <c r="U196" s="70">
        <f>(orderlinesTABLE[[#This Row],[Qty]]*orderlinesTABLE[[#This Row],[UnitCost]])</f>
        <v>22.61</v>
      </c>
    </row>
    <row r="197" spans="1:21" x14ac:dyDescent="0.3">
      <c r="A197" s="15" t="s">
        <v>115</v>
      </c>
      <c r="B197" s="15" t="s">
        <v>404</v>
      </c>
      <c r="C197" s="15">
        <v>3</v>
      </c>
      <c r="D197" s="36">
        <f>VLOOKUP($B197,Menu!$A$1:$F$20,MATCH($D$1,Menu!$A$1:$F$1,0),0)</f>
        <v>32.979999999999997</v>
      </c>
      <c r="E197" s="15" t="str">
        <f>VLOOKUP($B197,Menu!$A$1:$F$20,MATCH(OrderLines!E$1,Menu!$A$1:$F$1,0),0)</f>
        <v>Beverage</v>
      </c>
      <c r="F197" s="36">
        <f>VLOOKUP($B197,Menu!$A$1:$F$20,MATCH(OrderLines!F$1,Menu!$A$1:$F$1,0),0)</f>
        <v>11.84</v>
      </c>
      <c r="G197" s="27">
        <f>VLOOKUP($A197,Orders!$A$1:$H$361,MATCH($G$1,Orders!$A$1:$H$1,0),0)</f>
        <v>45852</v>
      </c>
      <c r="H197" s="15" t="str">
        <f>VLOOKUP($A197,Orders!$A$1:$H$361,MATCH(OrderLines!$H$1,Orders!$A$1:$H$1,0),0)</f>
        <v>Plant 1 Canteen</v>
      </c>
      <c r="I197" s="15">
        <f>VLOOKUP($A197,Orders!$A$1:$H$361,MATCH(OrderLines!$I$1,Orders!$A$1:$H$1,0),0)</f>
        <v>0.09</v>
      </c>
      <c r="J197" s="15">
        <f t="shared" si="10"/>
        <v>90.035399999999996</v>
      </c>
      <c r="K197" s="27" t="str">
        <f t="shared" si="11"/>
        <v>July</v>
      </c>
      <c r="L197" s="15" t="str">
        <f>VLOOKUP(OrderLines!$A197,Orders!$A$1:$H$361,MATCH(OrderLines!$L$1,Orders!$A$1:$H$1,0),0)</f>
        <v>Dinner</v>
      </c>
      <c r="M197" t="str">
        <f>VLOOKUP($A197,Orders!$A$1:$H$361,MATCH(OrderLines!$M$1,Orders!$A$1:$H$1,0),0)</f>
        <v>Card</v>
      </c>
      <c r="N197" t="str">
        <f t="shared" si="9"/>
        <v>Single</v>
      </c>
      <c r="O197" t="str" cm="1">
        <f t="array" ref="O197">IF((SUMPRODUCT((OrderID=OrderLines!$A197)*Qty*UnitPrice*DiscountPct))&gt;40,"HighDisc","OK")</f>
        <v>OK</v>
      </c>
      <c r="P197">
        <f>(orderlinesTABLE[[#This Row],[UnitCost]]*orderlinesTABLE[[#This Row],[Qty]])</f>
        <v>35.519999999999996</v>
      </c>
      <c r="Q197">
        <f>(orderlinesTABLE[[#This Row],[LineNetAmount]]-orderlinesTABLE[[#This Row],[totalCOST]])</f>
        <v>54.5154</v>
      </c>
      <c r="R197" t="str">
        <f>VLOOKUP($B197,Menu!$A$1:$F$20,MATCH(OrderLines!R$1,Menu!$A$1:$F$1,0),0)</f>
        <v>Masala Chaas</v>
      </c>
      <c r="S197" t="str" cm="1">
        <f t="array" ref="S197">_xlfn.TEXTJOIN("+",TRUE,_xlfn._xlws.FILTER(orderlinesTABLE[ItemName],OrderID=orderlinesTABLE[[#This Row],[OrderID]]))</f>
        <v>Masala Puff+Masala Chaas</v>
      </c>
      <c r="T197" s="54">
        <f>orderlinesTABLE[[#This Row],[Profit]]/orderlinesTABLE[[#This Row],[LineNetAmount]]</f>
        <v>0.60548850785357766</v>
      </c>
      <c r="U197" s="70">
        <f>(orderlinesTABLE[[#This Row],[Qty]]*orderlinesTABLE[[#This Row],[UnitCost]])</f>
        <v>35.519999999999996</v>
      </c>
    </row>
    <row r="198" spans="1:21" x14ac:dyDescent="0.3">
      <c r="A198" s="14" t="s">
        <v>116</v>
      </c>
      <c r="B198" s="14" t="s">
        <v>406</v>
      </c>
      <c r="C198" s="14">
        <v>1</v>
      </c>
      <c r="D198" s="37">
        <f>VLOOKUP($B198,Menu!$A$1:$F$20,MATCH($D$1,Menu!$A$1:$F$1,0),0)</f>
        <v>38.06</v>
      </c>
      <c r="E198" s="14" t="str">
        <f>VLOOKUP($B198,Menu!$A$1:$F$20,MATCH(OrderLines!E$1,Menu!$A$1:$F$1,0),0)</f>
        <v>Snack</v>
      </c>
      <c r="F198" s="37">
        <f>VLOOKUP($B198,Menu!$A$1:$F$20,MATCH(OrderLines!F$1,Menu!$A$1:$F$1,0),0)</f>
        <v>19.55</v>
      </c>
      <c r="G198" s="28">
        <f>VLOOKUP($A198,Orders!$A$1:$H$361,MATCH($G$1,Orders!$A$1:$H$1,0),0)</f>
        <v>45860</v>
      </c>
      <c r="H198" s="14" t="str">
        <f>VLOOKUP($A198,Orders!$A$1:$H$361,MATCH(OrderLines!$H$1,Orders!$A$1:$H$1,0),0)</f>
        <v>Plant 1 Canteen</v>
      </c>
      <c r="I198" s="14">
        <f>VLOOKUP($A198,Orders!$A$1:$H$361,MATCH(OrderLines!$I$1,Orders!$A$1:$H$1,0),0)</f>
        <v>0.09</v>
      </c>
      <c r="J198" s="14">
        <f t="shared" si="10"/>
        <v>34.634600000000006</v>
      </c>
      <c r="K198" s="28" t="str">
        <f t="shared" si="11"/>
        <v>July</v>
      </c>
      <c r="L198" s="14" t="str">
        <f>VLOOKUP(OrderLines!$A198,Orders!$A$1:$H$361,MATCH(OrderLines!$L$1,Orders!$A$1:$H$1,0),0)</f>
        <v>Breakfast</v>
      </c>
      <c r="M198" t="str">
        <f>VLOOKUP($A198,Orders!$A$1:$H$361,MATCH(OrderLines!$M$1,Orders!$A$1:$H$1,0),0)</f>
        <v>Card</v>
      </c>
      <c r="N198" t="str">
        <f t="shared" si="9"/>
        <v>Single</v>
      </c>
      <c r="O198" t="str" cm="1">
        <f t="array" ref="O198">IF((SUMPRODUCT((OrderID=OrderLines!$A198)*Qty*UnitPrice*DiscountPct))&gt;40,"HighDisc","OK")</f>
        <v>OK</v>
      </c>
      <c r="P198">
        <f>(orderlinesTABLE[[#This Row],[UnitCost]]*orderlinesTABLE[[#This Row],[Qty]])</f>
        <v>19.55</v>
      </c>
      <c r="Q198">
        <f>(orderlinesTABLE[[#This Row],[LineNetAmount]]-orderlinesTABLE[[#This Row],[totalCOST]])</f>
        <v>15.084600000000005</v>
      </c>
      <c r="R198" t="str">
        <f>VLOOKUP($B198,Menu!$A$1:$F$20,MATCH(OrderLines!R$1,Menu!$A$1:$F$1,0),0)</f>
        <v>Paneer Roll</v>
      </c>
      <c r="S198" t="str" cm="1">
        <f t="array" ref="S198">_xlfn.TEXTJOIN("+",TRUE,_xlfn._xlws.FILTER(orderlinesTABLE[ItemName],OrderID=orderlinesTABLE[[#This Row],[OrderID]]))</f>
        <v>Paneer Roll+Bottled Water</v>
      </c>
      <c r="T198" s="54">
        <f>orderlinesTABLE[[#This Row],[Profit]]/orderlinesTABLE[[#This Row],[LineNetAmount]]</f>
        <v>0.43553556270319282</v>
      </c>
      <c r="U198" s="70">
        <f>(orderlinesTABLE[[#This Row],[Qty]]*orderlinesTABLE[[#This Row],[UnitCost]])</f>
        <v>19.55</v>
      </c>
    </row>
    <row r="199" spans="1:21" x14ac:dyDescent="0.3">
      <c r="A199" s="15" t="s">
        <v>116</v>
      </c>
      <c r="B199" s="15" t="s">
        <v>409</v>
      </c>
      <c r="C199" s="15">
        <v>2</v>
      </c>
      <c r="D199" s="36">
        <f>VLOOKUP($B199,Menu!$A$1:$F$20,MATCH($D$1,Menu!$A$1:$F$1,0),0)</f>
        <v>28.43</v>
      </c>
      <c r="E199" s="15" t="str">
        <f>VLOOKUP($B199,Menu!$A$1:$F$20,MATCH(OrderLines!E$1,Menu!$A$1:$F$1,0),0)</f>
        <v>Beverage</v>
      </c>
      <c r="F199" s="36">
        <f>VLOOKUP($B199,Menu!$A$1:$F$20,MATCH(OrderLines!F$1,Menu!$A$1:$F$1,0),0)</f>
        <v>13.89</v>
      </c>
      <c r="G199" s="27">
        <f>VLOOKUP($A199,Orders!$A$1:$H$361,MATCH($G$1,Orders!$A$1:$H$1,0),0)</f>
        <v>45860</v>
      </c>
      <c r="H199" s="15" t="str">
        <f>VLOOKUP($A199,Orders!$A$1:$H$361,MATCH(OrderLines!$H$1,Orders!$A$1:$H$1,0),0)</f>
        <v>Plant 1 Canteen</v>
      </c>
      <c r="I199" s="15">
        <f>VLOOKUP($A199,Orders!$A$1:$H$361,MATCH(OrderLines!$I$1,Orders!$A$1:$H$1,0),0)</f>
        <v>0.09</v>
      </c>
      <c r="J199" s="15">
        <f t="shared" si="10"/>
        <v>51.742600000000003</v>
      </c>
      <c r="K199" s="27" t="str">
        <f t="shared" si="11"/>
        <v>July</v>
      </c>
      <c r="L199" s="15" t="str">
        <f>VLOOKUP(OrderLines!$A199,Orders!$A$1:$H$361,MATCH(OrderLines!$L$1,Orders!$A$1:$H$1,0),0)</f>
        <v>Breakfast</v>
      </c>
      <c r="M199" t="str">
        <f>VLOOKUP($A199,Orders!$A$1:$H$361,MATCH(OrderLines!$M$1,Orders!$A$1:$H$1,0),0)</f>
        <v>Card</v>
      </c>
      <c r="N199" t="str">
        <f t="shared" si="9"/>
        <v>Single</v>
      </c>
      <c r="O199" t="str" cm="1">
        <f t="array" ref="O199">IF((SUMPRODUCT((OrderID=OrderLines!$A199)*Qty*UnitPrice*DiscountPct))&gt;40,"HighDisc","OK")</f>
        <v>OK</v>
      </c>
      <c r="P199">
        <f>(orderlinesTABLE[[#This Row],[UnitCost]]*orderlinesTABLE[[#This Row],[Qty]])</f>
        <v>27.78</v>
      </c>
      <c r="Q199">
        <f>(orderlinesTABLE[[#This Row],[LineNetAmount]]-orderlinesTABLE[[#This Row],[totalCOST]])</f>
        <v>23.962600000000002</v>
      </c>
      <c r="R199" t="str">
        <f>VLOOKUP($B199,Menu!$A$1:$F$20,MATCH(OrderLines!R$1,Menu!$A$1:$F$1,0),0)</f>
        <v>Bottled Water</v>
      </c>
      <c r="S199" t="str" cm="1">
        <f t="array" ref="S199">_xlfn.TEXTJOIN("+",TRUE,_xlfn._xlws.FILTER(orderlinesTABLE[ItemName],OrderID=orderlinesTABLE[[#This Row],[OrderID]]))</f>
        <v>Paneer Roll+Bottled Water</v>
      </c>
      <c r="T199" s="54">
        <f>orderlinesTABLE[[#This Row],[Profit]]/orderlinesTABLE[[#This Row],[LineNetAmount]]</f>
        <v>0.46311163335433475</v>
      </c>
      <c r="U199" s="70">
        <f>(orderlinesTABLE[[#This Row],[Qty]]*orderlinesTABLE[[#This Row],[UnitCost]])</f>
        <v>27.78</v>
      </c>
    </row>
    <row r="200" spans="1:21" x14ac:dyDescent="0.3">
      <c r="A200" s="14" t="s">
        <v>117</v>
      </c>
      <c r="B200" s="14" t="s">
        <v>411</v>
      </c>
      <c r="C200" s="14">
        <v>2</v>
      </c>
      <c r="D200" s="37">
        <f>VLOOKUP($B200,Menu!$A$1:$F$20,MATCH($D$1,Menu!$A$1:$F$1,0),0)</f>
        <v>22.2</v>
      </c>
      <c r="E200" s="14" t="str">
        <f>VLOOKUP($B200,Menu!$A$1:$F$20,MATCH(OrderLines!E$1,Menu!$A$1:$F$1,0),0)</f>
        <v>Beverage</v>
      </c>
      <c r="F200" s="37">
        <f>VLOOKUP($B200,Menu!$A$1:$F$20,MATCH(OrderLines!F$1,Menu!$A$1:$F$1,0),0)</f>
        <v>9.3800000000000008</v>
      </c>
      <c r="G200" s="28">
        <f>VLOOKUP($A200,Orders!$A$1:$H$361,MATCH($G$1,Orders!$A$1:$H$1,0),0)</f>
        <v>45891</v>
      </c>
      <c r="H200" s="14" t="str">
        <f>VLOOKUP($A200,Orders!$A$1:$H$361,MATCH(OrderLines!$H$1,Orders!$A$1:$H$1,0),0)</f>
        <v>Plant 2 Canteen</v>
      </c>
      <c r="I200" s="14">
        <f>VLOOKUP($A200,Orders!$A$1:$H$361,MATCH(OrderLines!$I$1,Orders!$A$1:$H$1,0),0)</f>
        <v>0.02</v>
      </c>
      <c r="J200" s="14">
        <f t="shared" si="10"/>
        <v>43.512</v>
      </c>
      <c r="K200" s="28" t="str">
        <f t="shared" si="11"/>
        <v>August</v>
      </c>
      <c r="L200" s="14" t="str">
        <f>VLOOKUP(OrderLines!$A200,Orders!$A$1:$H$361,MATCH(OrderLines!$L$1,Orders!$A$1:$H$1,0),0)</f>
        <v>Dinner</v>
      </c>
      <c r="M200" t="str">
        <f>VLOOKUP($A200,Orders!$A$1:$H$361,MATCH(OrderLines!$M$1,Orders!$A$1:$H$1,0),0)</f>
        <v>Cash</v>
      </c>
      <c r="N200" t="str">
        <f t="shared" si="9"/>
        <v>Combo</v>
      </c>
      <c r="O200" t="str" cm="1">
        <f t="array" ref="O200">IF((SUMPRODUCT((OrderID=OrderLines!$A200)*Qty*UnitPrice*DiscountPct))&gt;40,"HighDisc","OK")</f>
        <v>OK</v>
      </c>
      <c r="P200">
        <f>(orderlinesTABLE[[#This Row],[UnitCost]]*orderlinesTABLE[[#This Row],[Qty]])</f>
        <v>18.760000000000002</v>
      </c>
      <c r="Q200">
        <f>(orderlinesTABLE[[#This Row],[LineNetAmount]]-orderlinesTABLE[[#This Row],[totalCOST]])</f>
        <v>24.751999999999999</v>
      </c>
      <c r="R200" t="str">
        <f>VLOOKUP($B200,Menu!$A$1:$F$20,MATCH(OrderLines!R$1,Menu!$A$1:$F$1,0),0)</f>
        <v>Coffee</v>
      </c>
      <c r="S200" t="str" cm="1">
        <f t="array" ref="S200">_xlfn.TEXTJOIN("+",TRUE,_xlfn._xlws.FILTER(orderlinesTABLE[ItemName],OrderID=orderlinesTABLE[[#This Row],[OrderID]]))</f>
        <v>Coffee+Masala Chaas+Chicken Thali+Tea</v>
      </c>
      <c r="T200" s="54">
        <f>orderlinesTABLE[[#This Row],[Profit]]/orderlinesTABLE[[#This Row],[LineNetAmount]]</f>
        <v>0.56885456885456886</v>
      </c>
      <c r="U200" s="70">
        <f>(orderlinesTABLE[[#This Row],[Qty]]*orderlinesTABLE[[#This Row],[UnitCost]])</f>
        <v>18.760000000000002</v>
      </c>
    </row>
    <row r="201" spans="1:21" x14ac:dyDescent="0.3">
      <c r="A201" s="15" t="s">
        <v>117</v>
      </c>
      <c r="B201" s="15" t="s">
        <v>404</v>
      </c>
      <c r="C201" s="15">
        <v>2</v>
      </c>
      <c r="D201" s="36">
        <f>VLOOKUP($B201,Menu!$A$1:$F$20,MATCH($D$1,Menu!$A$1:$F$1,0),0)</f>
        <v>32.979999999999997</v>
      </c>
      <c r="E201" s="15" t="str">
        <f>VLOOKUP($B201,Menu!$A$1:$F$20,MATCH(OrderLines!E$1,Menu!$A$1:$F$1,0),0)</f>
        <v>Beverage</v>
      </c>
      <c r="F201" s="36">
        <f>VLOOKUP($B201,Menu!$A$1:$F$20,MATCH(OrderLines!F$1,Menu!$A$1:$F$1,0),0)</f>
        <v>11.84</v>
      </c>
      <c r="G201" s="27">
        <f>VLOOKUP($A201,Orders!$A$1:$H$361,MATCH($G$1,Orders!$A$1:$H$1,0),0)</f>
        <v>45891</v>
      </c>
      <c r="H201" s="15" t="str">
        <f>VLOOKUP($A201,Orders!$A$1:$H$361,MATCH(OrderLines!$H$1,Orders!$A$1:$H$1,0),0)</f>
        <v>Plant 2 Canteen</v>
      </c>
      <c r="I201" s="15">
        <f>VLOOKUP($A201,Orders!$A$1:$H$361,MATCH(OrderLines!$I$1,Orders!$A$1:$H$1,0),0)</f>
        <v>0.02</v>
      </c>
      <c r="J201" s="15">
        <f t="shared" si="10"/>
        <v>64.640799999999999</v>
      </c>
      <c r="K201" s="27" t="str">
        <f t="shared" si="11"/>
        <v>August</v>
      </c>
      <c r="L201" s="15" t="str">
        <f>VLOOKUP(OrderLines!$A201,Orders!$A$1:$H$361,MATCH(OrderLines!$L$1,Orders!$A$1:$H$1,0),0)</f>
        <v>Dinner</v>
      </c>
      <c r="M201" t="str">
        <f>VLOOKUP($A201,Orders!$A$1:$H$361,MATCH(OrderLines!$M$1,Orders!$A$1:$H$1,0),0)</f>
        <v>Cash</v>
      </c>
      <c r="N201" t="str">
        <f t="shared" si="9"/>
        <v>Combo</v>
      </c>
      <c r="O201" t="str" cm="1">
        <f t="array" ref="O201">IF((SUMPRODUCT((OrderID=OrderLines!$A201)*Qty*UnitPrice*DiscountPct))&gt;40,"HighDisc","OK")</f>
        <v>OK</v>
      </c>
      <c r="P201">
        <f>(orderlinesTABLE[[#This Row],[UnitCost]]*orderlinesTABLE[[#This Row],[Qty]])</f>
        <v>23.68</v>
      </c>
      <c r="Q201">
        <f>(orderlinesTABLE[[#This Row],[LineNetAmount]]-orderlinesTABLE[[#This Row],[totalCOST]])</f>
        <v>40.960799999999999</v>
      </c>
      <c r="R201" t="str">
        <f>VLOOKUP($B201,Menu!$A$1:$F$20,MATCH(OrderLines!R$1,Menu!$A$1:$F$1,0),0)</f>
        <v>Masala Chaas</v>
      </c>
      <c r="S201" t="str" cm="1">
        <f t="array" ref="S201">_xlfn.TEXTJOIN("+",TRUE,_xlfn._xlws.FILTER(orderlinesTABLE[ItemName],OrderID=orderlinesTABLE[[#This Row],[OrderID]]))</f>
        <v>Coffee+Masala Chaas+Chicken Thali+Tea</v>
      </c>
      <c r="T201" s="54">
        <f>orderlinesTABLE[[#This Row],[Profit]]/orderlinesTABLE[[#This Row],[LineNetAmount]]</f>
        <v>0.63366790014975061</v>
      </c>
      <c r="U201" s="70">
        <f>(orderlinesTABLE[[#This Row],[Qty]]*orderlinesTABLE[[#This Row],[UnitCost]])</f>
        <v>23.68</v>
      </c>
    </row>
    <row r="202" spans="1:21" x14ac:dyDescent="0.3">
      <c r="A202" s="14" t="s">
        <v>117</v>
      </c>
      <c r="B202" s="14" t="s">
        <v>415</v>
      </c>
      <c r="C202" s="14">
        <v>1</v>
      </c>
      <c r="D202" s="37">
        <f>VLOOKUP($B202,Menu!$A$1:$F$20,MATCH($D$1,Menu!$A$1:$F$1,0),0)</f>
        <v>256.91000000000003</v>
      </c>
      <c r="E202" s="14" t="str">
        <f>VLOOKUP($B202,Menu!$A$1:$F$20,MATCH(OrderLines!E$1,Menu!$A$1:$F$1,0),0)</f>
        <v>Hot Meal</v>
      </c>
      <c r="F202" s="37">
        <f>VLOOKUP($B202,Menu!$A$1:$F$20,MATCH(OrderLines!F$1,Menu!$A$1:$F$1,0),0)</f>
        <v>121.24</v>
      </c>
      <c r="G202" s="28">
        <f>VLOOKUP($A202,Orders!$A$1:$H$361,MATCH($G$1,Orders!$A$1:$H$1,0),0)</f>
        <v>45891</v>
      </c>
      <c r="H202" s="14" t="str">
        <f>VLOOKUP($A202,Orders!$A$1:$H$361,MATCH(OrderLines!$H$1,Orders!$A$1:$H$1,0),0)</f>
        <v>Plant 2 Canteen</v>
      </c>
      <c r="I202" s="14">
        <f>VLOOKUP($A202,Orders!$A$1:$H$361,MATCH(OrderLines!$I$1,Orders!$A$1:$H$1,0),0)</f>
        <v>0.02</v>
      </c>
      <c r="J202" s="14">
        <f t="shared" si="10"/>
        <v>251.77180000000001</v>
      </c>
      <c r="K202" s="28" t="str">
        <f t="shared" si="11"/>
        <v>August</v>
      </c>
      <c r="L202" s="14" t="str">
        <f>VLOOKUP(OrderLines!$A202,Orders!$A$1:$H$361,MATCH(OrderLines!$L$1,Orders!$A$1:$H$1,0),0)</f>
        <v>Dinner</v>
      </c>
      <c r="M202" t="str">
        <f>VLOOKUP($A202,Orders!$A$1:$H$361,MATCH(OrderLines!$M$1,Orders!$A$1:$H$1,0),0)</f>
        <v>Cash</v>
      </c>
      <c r="N202" t="str">
        <f t="shared" si="9"/>
        <v>Combo</v>
      </c>
      <c r="O202" t="str" cm="1">
        <f t="array" ref="O202">IF((SUMPRODUCT((OrderID=OrderLines!$A202)*Qty*UnitPrice*DiscountPct))&gt;40,"HighDisc","OK")</f>
        <v>OK</v>
      </c>
      <c r="P202">
        <f>(orderlinesTABLE[[#This Row],[UnitCost]]*orderlinesTABLE[[#This Row],[Qty]])</f>
        <v>121.24</v>
      </c>
      <c r="Q202">
        <f>(orderlinesTABLE[[#This Row],[LineNetAmount]]-orderlinesTABLE[[#This Row],[totalCOST]])</f>
        <v>130.53180000000003</v>
      </c>
      <c r="R202" t="str">
        <f>VLOOKUP($B202,Menu!$A$1:$F$20,MATCH(OrderLines!R$1,Menu!$A$1:$F$1,0),0)</f>
        <v>Chicken Thali</v>
      </c>
      <c r="S202" t="str" cm="1">
        <f t="array" ref="S202">_xlfn.TEXTJOIN("+",TRUE,_xlfn._xlws.FILTER(orderlinesTABLE[ItemName],OrderID=orderlinesTABLE[[#This Row],[OrderID]]))</f>
        <v>Coffee+Masala Chaas+Chicken Thali+Tea</v>
      </c>
      <c r="T202" s="54">
        <f>orderlinesTABLE[[#This Row],[Profit]]/orderlinesTABLE[[#This Row],[LineNetAmount]]</f>
        <v>0.51845282116583358</v>
      </c>
      <c r="U202" s="70">
        <f>(orderlinesTABLE[[#This Row],[Qty]]*orderlinesTABLE[[#This Row],[UnitCost]])</f>
        <v>121.24</v>
      </c>
    </row>
    <row r="203" spans="1:21" x14ac:dyDescent="0.3">
      <c r="A203" s="15" t="s">
        <v>117</v>
      </c>
      <c r="B203" s="15" t="s">
        <v>402</v>
      </c>
      <c r="C203" s="15">
        <v>2</v>
      </c>
      <c r="D203" s="36">
        <f>VLOOKUP($B203,Menu!$A$1:$F$20,MATCH($D$1,Menu!$A$1:$F$1,0),0)</f>
        <v>30.34</v>
      </c>
      <c r="E203" s="15" t="str">
        <f>VLOOKUP($B203,Menu!$A$1:$F$20,MATCH(OrderLines!E$1,Menu!$A$1:$F$1,0),0)</f>
        <v>Beverage</v>
      </c>
      <c r="F203" s="36">
        <f>VLOOKUP($B203,Menu!$A$1:$F$20,MATCH(OrderLines!F$1,Menu!$A$1:$F$1,0),0)</f>
        <v>14.18</v>
      </c>
      <c r="G203" s="27">
        <f>VLOOKUP($A203,Orders!$A$1:$H$361,MATCH($G$1,Orders!$A$1:$H$1,0),0)</f>
        <v>45891</v>
      </c>
      <c r="H203" s="15" t="str">
        <f>VLOOKUP($A203,Orders!$A$1:$H$361,MATCH(OrderLines!$H$1,Orders!$A$1:$H$1,0),0)</f>
        <v>Plant 2 Canteen</v>
      </c>
      <c r="I203" s="15">
        <f>VLOOKUP($A203,Orders!$A$1:$H$361,MATCH(OrderLines!$I$1,Orders!$A$1:$H$1,0),0)</f>
        <v>0.02</v>
      </c>
      <c r="J203" s="15">
        <f t="shared" si="10"/>
        <v>59.4664</v>
      </c>
      <c r="K203" s="27" t="str">
        <f t="shared" si="11"/>
        <v>August</v>
      </c>
      <c r="L203" s="15" t="str">
        <f>VLOOKUP(OrderLines!$A203,Orders!$A$1:$H$361,MATCH(OrderLines!$L$1,Orders!$A$1:$H$1,0),0)</f>
        <v>Dinner</v>
      </c>
      <c r="M203" t="str">
        <f>VLOOKUP($A203,Orders!$A$1:$H$361,MATCH(OrderLines!$M$1,Orders!$A$1:$H$1,0),0)</f>
        <v>Cash</v>
      </c>
      <c r="N203" t="str">
        <f t="shared" si="9"/>
        <v>Combo</v>
      </c>
      <c r="O203" t="str" cm="1">
        <f t="array" ref="O203">IF((SUMPRODUCT((OrderID=OrderLines!$A203)*Qty*UnitPrice*DiscountPct))&gt;40,"HighDisc","OK")</f>
        <v>OK</v>
      </c>
      <c r="P203">
        <f>(orderlinesTABLE[[#This Row],[UnitCost]]*orderlinesTABLE[[#This Row],[Qty]])</f>
        <v>28.36</v>
      </c>
      <c r="Q203">
        <f>(orderlinesTABLE[[#This Row],[LineNetAmount]]-orderlinesTABLE[[#This Row],[totalCOST]])</f>
        <v>31.106400000000001</v>
      </c>
      <c r="R203" t="str">
        <f>VLOOKUP($B203,Menu!$A$1:$F$20,MATCH(OrderLines!R$1,Menu!$A$1:$F$1,0),0)</f>
        <v>Tea</v>
      </c>
      <c r="S203" t="str" cm="1">
        <f t="array" ref="S203">_xlfn.TEXTJOIN("+",TRUE,_xlfn._xlws.FILTER(orderlinesTABLE[ItemName],OrderID=orderlinesTABLE[[#This Row],[OrderID]]))</f>
        <v>Coffee+Masala Chaas+Chicken Thali+Tea</v>
      </c>
      <c r="T203" s="54">
        <f>orderlinesTABLE[[#This Row],[Profit]]/orderlinesTABLE[[#This Row],[LineNetAmount]]</f>
        <v>0.52309203180283326</v>
      </c>
      <c r="U203" s="70">
        <f>(orderlinesTABLE[[#This Row],[Qty]]*orderlinesTABLE[[#This Row],[UnitCost]])</f>
        <v>28.36</v>
      </c>
    </row>
    <row r="204" spans="1:21" x14ac:dyDescent="0.3">
      <c r="A204" s="14" t="s">
        <v>118</v>
      </c>
      <c r="B204" s="14" t="s">
        <v>419</v>
      </c>
      <c r="C204" s="14">
        <v>1</v>
      </c>
      <c r="D204" s="37">
        <f>VLOOKUP($B204,Menu!$A$1:$F$20,MATCH($D$1,Menu!$A$1:$F$1,0),0)</f>
        <v>50.19</v>
      </c>
      <c r="E204" s="14" t="str">
        <f>VLOOKUP($B204,Menu!$A$1:$F$20,MATCH(OrderLines!E$1,Menu!$A$1:$F$1,0),0)</f>
        <v>Snack</v>
      </c>
      <c r="F204" s="37">
        <f>VLOOKUP($B204,Menu!$A$1:$F$20,MATCH(OrderLines!F$1,Menu!$A$1:$F$1,0),0)</f>
        <v>22.61</v>
      </c>
      <c r="G204" s="28">
        <f>VLOOKUP($A204,Orders!$A$1:$H$361,MATCH($G$1,Orders!$A$1:$H$1,0),0)</f>
        <v>45880</v>
      </c>
      <c r="H204" s="14" t="str">
        <f>VLOOKUP($A204,Orders!$A$1:$H$361,MATCH(OrderLines!$H$1,Orders!$A$1:$H$1,0),0)</f>
        <v>Plant 2 Canteen</v>
      </c>
      <c r="I204" s="14">
        <f>VLOOKUP($A204,Orders!$A$1:$H$361,MATCH(OrderLines!$I$1,Orders!$A$1:$H$1,0),0)</f>
        <v>0.12</v>
      </c>
      <c r="J204" s="14">
        <f t="shared" si="10"/>
        <v>44.167200000000001</v>
      </c>
      <c r="K204" s="28" t="str">
        <f t="shared" si="11"/>
        <v>August</v>
      </c>
      <c r="L204" s="14" t="str">
        <f>VLOOKUP(OrderLines!$A204,Orders!$A$1:$H$361,MATCH(OrderLines!$L$1,Orders!$A$1:$H$1,0),0)</f>
        <v>Breakfast</v>
      </c>
      <c r="M204" t="str">
        <f>VLOOKUP($A204,Orders!$A$1:$H$361,MATCH(OrderLines!$M$1,Orders!$A$1:$H$1,0),0)</f>
        <v>UPI</v>
      </c>
      <c r="N204" t="str">
        <f t="shared" si="9"/>
        <v>Single</v>
      </c>
      <c r="O204" t="str" cm="1">
        <f t="array" ref="O204">IF((SUMPRODUCT((OrderID=OrderLines!$A204)*Qty*UnitPrice*DiscountPct))&gt;40,"HighDisc","OK")</f>
        <v>OK</v>
      </c>
      <c r="P204">
        <f>(orderlinesTABLE[[#This Row],[UnitCost]]*orderlinesTABLE[[#This Row],[Qty]])</f>
        <v>22.61</v>
      </c>
      <c r="Q204">
        <f>(orderlinesTABLE[[#This Row],[LineNetAmount]]-orderlinesTABLE[[#This Row],[totalCOST]])</f>
        <v>21.557200000000002</v>
      </c>
      <c r="R204" t="str">
        <f>VLOOKUP($B204,Menu!$A$1:$F$20,MATCH(OrderLines!R$1,Menu!$A$1:$F$1,0),0)</f>
        <v>Masala Puff</v>
      </c>
      <c r="S204" t="str" cm="1">
        <f t="array" ref="S204">_xlfn.TEXTJOIN("+",TRUE,_xlfn._xlws.FILTER(orderlinesTABLE[ItemName],OrderID=orderlinesTABLE[[#This Row],[OrderID]]))</f>
        <v>Masala Puff</v>
      </c>
      <c r="T204" s="54">
        <f>orderlinesTABLE[[#This Row],[Profit]]/orderlinesTABLE[[#This Row],[LineNetAmount]]</f>
        <v>0.48808165335361992</v>
      </c>
      <c r="U204" s="70">
        <f>(orderlinesTABLE[[#This Row],[Qty]]*orderlinesTABLE[[#This Row],[UnitCost]])</f>
        <v>22.61</v>
      </c>
    </row>
    <row r="205" spans="1:21" x14ac:dyDescent="0.3">
      <c r="A205" s="15" t="s">
        <v>119</v>
      </c>
      <c r="B205" s="15" t="s">
        <v>418</v>
      </c>
      <c r="C205" s="15">
        <v>3</v>
      </c>
      <c r="D205" s="36">
        <f>VLOOKUP($B205,Menu!$A$1:$F$20,MATCH($D$1,Menu!$A$1:$F$1,0),0)</f>
        <v>39.950000000000003</v>
      </c>
      <c r="E205" s="15" t="str">
        <f>VLOOKUP($B205,Menu!$A$1:$F$20,MATCH(OrderLines!E$1,Menu!$A$1:$F$1,0),0)</f>
        <v>Snack</v>
      </c>
      <c r="F205" s="36">
        <f>VLOOKUP($B205,Menu!$A$1:$F$20,MATCH(OrderLines!F$1,Menu!$A$1:$F$1,0),0)</f>
        <v>15.51</v>
      </c>
      <c r="G205" s="27">
        <f>VLOOKUP($A205,Orders!$A$1:$H$361,MATCH($G$1,Orders!$A$1:$H$1,0),0)</f>
        <v>45895</v>
      </c>
      <c r="H205" s="15" t="str">
        <f>VLOOKUP($A205,Orders!$A$1:$H$361,MATCH(OrderLines!$H$1,Orders!$A$1:$H$1,0),0)</f>
        <v>Plant 2 Canteen</v>
      </c>
      <c r="I205" s="15">
        <f>VLOOKUP($A205,Orders!$A$1:$H$361,MATCH(OrderLines!$I$1,Orders!$A$1:$H$1,0),0)</f>
        <v>0</v>
      </c>
      <c r="J205" s="15">
        <f t="shared" si="10"/>
        <v>119.85000000000001</v>
      </c>
      <c r="K205" s="27" t="str">
        <f t="shared" si="11"/>
        <v>August</v>
      </c>
      <c r="L205" s="15" t="str">
        <f>VLOOKUP(OrderLines!$A205,Orders!$A$1:$H$361,MATCH(OrderLines!$L$1,Orders!$A$1:$H$1,0),0)</f>
        <v>Breakfast</v>
      </c>
      <c r="M205" t="str">
        <f>VLOOKUP($A205,Orders!$A$1:$H$361,MATCH(OrderLines!$M$1,Orders!$A$1:$H$1,0),0)</f>
        <v>Cash</v>
      </c>
      <c r="N205" t="str">
        <f t="shared" si="9"/>
        <v>Single</v>
      </c>
      <c r="O205" t="str" cm="1">
        <f t="array" ref="O205">IF((SUMPRODUCT((OrderID=OrderLines!$A205)*Qty*UnitPrice*DiscountPct))&gt;40,"HighDisc","OK")</f>
        <v>OK</v>
      </c>
      <c r="P205">
        <f>(orderlinesTABLE[[#This Row],[UnitCost]]*orderlinesTABLE[[#This Row],[Qty]])</f>
        <v>46.53</v>
      </c>
      <c r="Q205">
        <f>(orderlinesTABLE[[#This Row],[LineNetAmount]]-orderlinesTABLE[[#This Row],[totalCOST]])</f>
        <v>73.320000000000007</v>
      </c>
      <c r="R205" t="str">
        <f>VLOOKUP($B205,Menu!$A$1:$F$20,MATCH(OrderLines!R$1,Menu!$A$1:$F$1,0),0)</f>
        <v>Samosa</v>
      </c>
      <c r="S205" t="str" cm="1">
        <f t="array" ref="S205">_xlfn.TEXTJOIN("+",TRUE,_xlfn._xlws.FILTER(orderlinesTABLE[ItemName],OrderID=orderlinesTABLE[[#This Row],[OrderID]]))</f>
        <v>Samosa</v>
      </c>
      <c r="T205" s="54">
        <f>orderlinesTABLE[[#This Row],[Profit]]/orderlinesTABLE[[#This Row],[LineNetAmount]]</f>
        <v>0.61176470588235299</v>
      </c>
      <c r="U205" s="70">
        <f>(orderlinesTABLE[[#This Row],[Qty]]*orderlinesTABLE[[#This Row],[UnitCost]])</f>
        <v>46.53</v>
      </c>
    </row>
    <row r="206" spans="1:21" x14ac:dyDescent="0.3">
      <c r="A206" s="14" t="s">
        <v>120</v>
      </c>
      <c r="B206" s="14" t="s">
        <v>402</v>
      </c>
      <c r="C206" s="14">
        <v>1</v>
      </c>
      <c r="D206" s="37">
        <f>VLOOKUP($B206,Menu!$A$1:$F$20,MATCH($D$1,Menu!$A$1:$F$1,0),0)</f>
        <v>30.34</v>
      </c>
      <c r="E206" s="14" t="str">
        <f>VLOOKUP($B206,Menu!$A$1:$F$20,MATCH(OrderLines!E$1,Menu!$A$1:$F$1,0),0)</f>
        <v>Beverage</v>
      </c>
      <c r="F206" s="37">
        <f>VLOOKUP($B206,Menu!$A$1:$F$20,MATCH(OrderLines!F$1,Menu!$A$1:$F$1,0),0)</f>
        <v>14.18</v>
      </c>
      <c r="G206" s="28">
        <f>VLOOKUP($A206,Orders!$A$1:$H$361,MATCH($G$1,Orders!$A$1:$H$1,0),0)</f>
        <v>45868</v>
      </c>
      <c r="H206" s="14" t="str">
        <f>VLOOKUP($A206,Orders!$A$1:$H$361,MATCH(OrderLines!$H$1,Orders!$A$1:$H$1,0),0)</f>
        <v>Plant 2 Canteen</v>
      </c>
      <c r="I206" s="14">
        <f>VLOOKUP($A206,Orders!$A$1:$H$361,MATCH(OrderLines!$I$1,Orders!$A$1:$H$1,0),0)</f>
        <v>0.08</v>
      </c>
      <c r="J206" s="14">
        <f t="shared" si="10"/>
        <v>27.912800000000001</v>
      </c>
      <c r="K206" s="28" t="str">
        <f t="shared" si="11"/>
        <v>July</v>
      </c>
      <c r="L206" s="14" t="str">
        <f>VLOOKUP(OrderLines!$A206,Orders!$A$1:$H$361,MATCH(OrderLines!$L$1,Orders!$A$1:$H$1,0),0)</f>
        <v>Breakfast</v>
      </c>
      <c r="M206" t="str">
        <f>VLOOKUP($A206,Orders!$A$1:$H$361,MATCH(OrderLines!$M$1,Orders!$A$1:$H$1,0),0)</f>
        <v>UPI</v>
      </c>
      <c r="N206" t="str">
        <f t="shared" si="9"/>
        <v>Combo</v>
      </c>
      <c r="O206" t="str" cm="1">
        <f t="array" ref="O206">IF((SUMPRODUCT((OrderID=OrderLines!$A206)*Qty*UnitPrice*DiscountPct))&gt;40,"HighDisc","OK")</f>
        <v>OK</v>
      </c>
      <c r="P206">
        <f>(orderlinesTABLE[[#This Row],[UnitCost]]*orderlinesTABLE[[#This Row],[Qty]])</f>
        <v>14.18</v>
      </c>
      <c r="Q206">
        <f>(orderlinesTABLE[[#This Row],[LineNetAmount]]-orderlinesTABLE[[#This Row],[totalCOST]])</f>
        <v>13.732800000000001</v>
      </c>
      <c r="R206" t="str">
        <f>VLOOKUP($B206,Menu!$A$1:$F$20,MATCH(OrderLines!R$1,Menu!$A$1:$F$1,0),0)</f>
        <v>Tea</v>
      </c>
      <c r="S206" t="str" cm="1">
        <f t="array" ref="S206">_xlfn.TEXTJOIN("+",TRUE,_xlfn._xlws.FILTER(orderlinesTABLE[ItemName],OrderID=orderlinesTABLE[[#This Row],[OrderID]]))</f>
        <v>Tea+Rajma Chawal</v>
      </c>
      <c r="T206" s="54">
        <f>orderlinesTABLE[[#This Row],[Profit]]/orderlinesTABLE[[#This Row],[LineNetAmount]]</f>
        <v>0.4919893382247571</v>
      </c>
      <c r="U206" s="70">
        <f>(orderlinesTABLE[[#This Row],[Qty]]*orderlinesTABLE[[#This Row],[UnitCost]])</f>
        <v>14.18</v>
      </c>
    </row>
    <row r="207" spans="1:21" x14ac:dyDescent="0.3">
      <c r="A207" s="15" t="s">
        <v>120</v>
      </c>
      <c r="B207" s="15" t="s">
        <v>417</v>
      </c>
      <c r="C207" s="15">
        <v>2</v>
      </c>
      <c r="D207" s="36">
        <f>VLOOKUP($B207,Menu!$A$1:$F$20,MATCH($D$1,Menu!$A$1:$F$1,0),0)</f>
        <v>146.4</v>
      </c>
      <c r="E207" s="15" t="str">
        <f>VLOOKUP($B207,Menu!$A$1:$F$20,MATCH(OrderLines!E$1,Menu!$A$1:$F$1,0),0)</f>
        <v>Hot Meal</v>
      </c>
      <c r="F207" s="36">
        <f>VLOOKUP($B207,Menu!$A$1:$F$20,MATCH(OrderLines!F$1,Menu!$A$1:$F$1,0),0)</f>
        <v>80.92</v>
      </c>
      <c r="G207" s="27">
        <f>VLOOKUP($A207,Orders!$A$1:$H$361,MATCH($G$1,Orders!$A$1:$H$1,0),0)</f>
        <v>45868</v>
      </c>
      <c r="H207" s="15" t="str">
        <f>VLOOKUP($A207,Orders!$A$1:$H$361,MATCH(OrderLines!$H$1,Orders!$A$1:$H$1,0),0)</f>
        <v>Plant 2 Canteen</v>
      </c>
      <c r="I207" s="15">
        <f>VLOOKUP($A207,Orders!$A$1:$H$361,MATCH(OrderLines!$I$1,Orders!$A$1:$H$1,0),0)</f>
        <v>0.08</v>
      </c>
      <c r="J207" s="15">
        <f t="shared" si="10"/>
        <v>269.37600000000003</v>
      </c>
      <c r="K207" s="27" t="str">
        <f t="shared" si="11"/>
        <v>July</v>
      </c>
      <c r="L207" s="15" t="str">
        <f>VLOOKUP(OrderLines!$A207,Orders!$A$1:$H$361,MATCH(OrderLines!$L$1,Orders!$A$1:$H$1,0),0)</f>
        <v>Breakfast</v>
      </c>
      <c r="M207" t="str">
        <f>VLOOKUP($A207,Orders!$A$1:$H$361,MATCH(OrderLines!$M$1,Orders!$A$1:$H$1,0),0)</f>
        <v>UPI</v>
      </c>
      <c r="N207" t="str">
        <f t="shared" si="9"/>
        <v>Combo</v>
      </c>
      <c r="O207" t="str" cm="1">
        <f t="array" ref="O207">IF((SUMPRODUCT((OrderID=OrderLines!$A207)*Qty*UnitPrice*DiscountPct))&gt;40,"HighDisc","OK")</f>
        <v>OK</v>
      </c>
      <c r="P207">
        <f>(orderlinesTABLE[[#This Row],[UnitCost]]*orderlinesTABLE[[#This Row],[Qty]])</f>
        <v>161.84</v>
      </c>
      <c r="Q207">
        <f>(orderlinesTABLE[[#This Row],[LineNetAmount]]-orderlinesTABLE[[#This Row],[totalCOST]])</f>
        <v>107.53600000000003</v>
      </c>
      <c r="R207" t="str">
        <f>VLOOKUP($B207,Menu!$A$1:$F$20,MATCH(OrderLines!R$1,Menu!$A$1:$F$1,0),0)</f>
        <v>Rajma Chawal</v>
      </c>
      <c r="S207" t="str" cm="1">
        <f t="array" ref="S207">_xlfn.TEXTJOIN("+",TRUE,_xlfn._xlws.FILTER(orderlinesTABLE[ItemName],OrderID=orderlinesTABLE[[#This Row],[OrderID]]))</f>
        <v>Tea+Rajma Chawal</v>
      </c>
      <c r="T207" s="54">
        <f>orderlinesTABLE[[#This Row],[Profit]]/orderlinesTABLE[[#This Row],[LineNetAmount]]</f>
        <v>0.39920408648134953</v>
      </c>
      <c r="U207" s="70">
        <f>(orderlinesTABLE[[#This Row],[Qty]]*orderlinesTABLE[[#This Row],[UnitCost]])</f>
        <v>161.84</v>
      </c>
    </row>
    <row r="208" spans="1:21" x14ac:dyDescent="0.3">
      <c r="A208" s="14" t="s">
        <v>121</v>
      </c>
      <c r="B208" s="14" t="s">
        <v>402</v>
      </c>
      <c r="C208" s="14">
        <v>1</v>
      </c>
      <c r="D208" s="37">
        <f>VLOOKUP($B208,Menu!$A$1:$F$20,MATCH($D$1,Menu!$A$1:$F$1,0),0)</f>
        <v>30.34</v>
      </c>
      <c r="E208" s="14" t="str">
        <f>VLOOKUP($B208,Menu!$A$1:$F$20,MATCH(OrderLines!E$1,Menu!$A$1:$F$1,0),0)</f>
        <v>Beverage</v>
      </c>
      <c r="F208" s="37">
        <f>VLOOKUP($B208,Menu!$A$1:$F$20,MATCH(OrderLines!F$1,Menu!$A$1:$F$1,0),0)</f>
        <v>14.18</v>
      </c>
      <c r="G208" s="28">
        <f>VLOOKUP($A208,Orders!$A$1:$H$361,MATCH($G$1,Orders!$A$1:$H$1,0),0)</f>
        <v>45897</v>
      </c>
      <c r="H208" s="14" t="str">
        <f>VLOOKUP($A208,Orders!$A$1:$H$361,MATCH(OrderLines!$H$1,Orders!$A$1:$H$1,0),0)</f>
        <v>Plant 1 Canteen</v>
      </c>
      <c r="I208" s="14">
        <f>VLOOKUP($A208,Orders!$A$1:$H$361,MATCH(OrderLines!$I$1,Orders!$A$1:$H$1,0),0)</f>
        <v>0.15</v>
      </c>
      <c r="J208" s="14">
        <f t="shared" si="10"/>
        <v>25.788999999999998</v>
      </c>
      <c r="K208" s="28" t="str">
        <f t="shared" si="11"/>
        <v>August</v>
      </c>
      <c r="L208" s="14" t="str">
        <f>VLOOKUP(OrderLines!$A208,Orders!$A$1:$H$361,MATCH(OrderLines!$L$1,Orders!$A$1:$H$1,0),0)</f>
        <v>Dinner</v>
      </c>
      <c r="M208" t="str">
        <f>VLOOKUP($A208,Orders!$A$1:$H$361,MATCH(OrderLines!$M$1,Orders!$A$1:$H$1,0),0)</f>
        <v>Cash</v>
      </c>
      <c r="N208" t="str">
        <f t="shared" si="9"/>
        <v>Single</v>
      </c>
      <c r="O208" t="str" cm="1">
        <f t="array" ref="O208">IF((SUMPRODUCT((OrderID=OrderLines!$A208)*Qty*UnitPrice*DiscountPct))&gt;40,"HighDisc","OK")</f>
        <v>OK</v>
      </c>
      <c r="P208">
        <f>(orderlinesTABLE[[#This Row],[UnitCost]]*orderlinesTABLE[[#This Row],[Qty]])</f>
        <v>14.18</v>
      </c>
      <c r="Q208">
        <f>(orderlinesTABLE[[#This Row],[LineNetAmount]]-orderlinesTABLE[[#This Row],[totalCOST]])</f>
        <v>11.608999999999998</v>
      </c>
      <c r="R208" t="str">
        <f>VLOOKUP($B208,Menu!$A$1:$F$20,MATCH(OrderLines!R$1,Menu!$A$1:$F$1,0),0)</f>
        <v>Tea</v>
      </c>
      <c r="S208" t="str" cm="1">
        <f t="array" ref="S208">_xlfn.TEXTJOIN("+",TRUE,_xlfn._xlws.FILTER(orderlinesTABLE[ItemName],OrderID=orderlinesTABLE[[#This Row],[OrderID]]))</f>
        <v>Tea+Gulab Jamun (2 pc)+Poha</v>
      </c>
      <c r="T208" s="54">
        <f>orderlinesTABLE[[#This Row],[Profit]]/orderlinesTABLE[[#This Row],[LineNetAmount]]</f>
        <v>0.4501531660785606</v>
      </c>
      <c r="U208" s="70">
        <f>(orderlinesTABLE[[#This Row],[Qty]]*orderlinesTABLE[[#This Row],[UnitCost]])</f>
        <v>14.18</v>
      </c>
    </row>
    <row r="209" spans="1:21" x14ac:dyDescent="0.3">
      <c r="A209" s="15" t="s">
        <v>121</v>
      </c>
      <c r="B209" s="15" t="s">
        <v>403</v>
      </c>
      <c r="C209" s="15">
        <v>2</v>
      </c>
      <c r="D209" s="36">
        <f>VLOOKUP($B209,Menu!$A$1:$F$20,MATCH($D$1,Menu!$A$1:$F$1,0),0)</f>
        <v>76.55</v>
      </c>
      <c r="E209" s="15" t="str">
        <f>VLOOKUP($B209,Menu!$A$1:$F$20,MATCH(OrderLines!E$1,Menu!$A$1:$F$1,0),0)</f>
        <v>Dessert</v>
      </c>
      <c r="F209" s="36">
        <f>VLOOKUP($B209,Menu!$A$1:$F$20,MATCH(OrderLines!F$1,Menu!$A$1:$F$1,0),0)</f>
        <v>38.229999999999997</v>
      </c>
      <c r="G209" s="27">
        <f>VLOOKUP($A209,Orders!$A$1:$H$361,MATCH($G$1,Orders!$A$1:$H$1,0),0)</f>
        <v>45897</v>
      </c>
      <c r="H209" s="15" t="str">
        <f>VLOOKUP($A209,Orders!$A$1:$H$361,MATCH(OrderLines!$H$1,Orders!$A$1:$H$1,0),0)</f>
        <v>Plant 1 Canteen</v>
      </c>
      <c r="I209" s="15">
        <f>VLOOKUP($A209,Orders!$A$1:$H$361,MATCH(OrderLines!$I$1,Orders!$A$1:$H$1,0),0)</f>
        <v>0.15</v>
      </c>
      <c r="J209" s="15">
        <f t="shared" si="10"/>
        <v>130.13499999999999</v>
      </c>
      <c r="K209" s="27" t="str">
        <f t="shared" si="11"/>
        <v>August</v>
      </c>
      <c r="L209" s="15" t="str">
        <f>VLOOKUP(OrderLines!$A209,Orders!$A$1:$H$361,MATCH(OrderLines!$L$1,Orders!$A$1:$H$1,0),0)</f>
        <v>Dinner</v>
      </c>
      <c r="M209" t="str">
        <f>VLOOKUP($A209,Orders!$A$1:$H$361,MATCH(OrderLines!$M$1,Orders!$A$1:$H$1,0),0)</f>
        <v>Cash</v>
      </c>
      <c r="N209" t="str">
        <f t="shared" si="9"/>
        <v>Single</v>
      </c>
      <c r="O209" t="str" cm="1">
        <f t="array" ref="O209">IF((SUMPRODUCT((OrderID=OrderLines!$A209)*Qty*UnitPrice*DiscountPct))&gt;40,"HighDisc","OK")</f>
        <v>OK</v>
      </c>
      <c r="P209">
        <f>(orderlinesTABLE[[#This Row],[UnitCost]]*orderlinesTABLE[[#This Row],[Qty]])</f>
        <v>76.459999999999994</v>
      </c>
      <c r="Q209">
        <f>(orderlinesTABLE[[#This Row],[LineNetAmount]]-orderlinesTABLE[[#This Row],[totalCOST]])</f>
        <v>53.674999999999997</v>
      </c>
      <c r="R209" t="str">
        <f>VLOOKUP($B209,Menu!$A$1:$F$20,MATCH(OrderLines!R$1,Menu!$A$1:$F$1,0),0)</f>
        <v>Gulab Jamun (2 pc)</v>
      </c>
      <c r="S209" t="str" cm="1">
        <f t="array" ref="S209">_xlfn.TEXTJOIN("+",TRUE,_xlfn._xlws.FILTER(orderlinesTABLE[ItemName],OrderID=orderlinesTABLE[[#This Row],[OrderID]]))</f>
        <v>Tea+Gulab Jamun (2 pc)+Poha</v>
      </c>
      <c r="T209" s="54">
        <f>orderlinesTABLE[[#This Row],[Profit]]/orderlinesTABLE[[#This Row],[LineNetAmount]]</f>
        <v>0.41245629538556117</v>
      </c>
      <c r="U209" s="70">
        <f>(orderlinesTABLE[[#This Row],[Qty]]*orderlinesTABLE[[#This Row],[UnitCost]])</f>
        <v>76.459999999999994</v>
      </c>
    </row>
    <row r="210" spans="1:21" x14ac:dyDescent="0.3">
      <c r="A210" s="14" t="s">
        <v>121</v>
      </c>
      <c r="B210" s="14" t="s">
        <v>401</v>
      </c>
      <c r="C210" s="14">
        <v>1</v>
      </c>
      <c r="D210" s="37">
        <f>VLOOKUP($B210,Menu!$A$1:$F$20,MATCH($D$1,Menu!$A$1:$F$1,0),0)</f>
        <v>52.45</v>
      </c>
      <c r="E210" s="14" t="str">
        <f>VLOOKUP($B210,Menu!$A$1:$F$20,MATCH(OrderLines!E$1,Menu!$A$1:$F$1,0),0)</f>
        <v>Snack</v>
      </c>
      <c r="F210" s="37">
        <f>VLOOKUP($B210,Menu!$A$1:$F$20,MATCH(OrderLines!F$1,Menu!$A$1:$F$1,0),0)</f>
        <v>25.8</v>
      </c>
      <c r="G210" s="28">
        <f>VLOOKUP($A210,Orders!$A$1:$H$361,MATCH($G$1,Orders!$A$1:$H$1,0),0)</f>
        <v>45897</v>
      </c>
      <c r="H210" s="14" t="str">
        <f>VLOOKUP($A210,Orders!$A$1:$H$361,MATCH(OrderLines!$H$1,Orders!$A$1:$H$1,0),0)</f>
        <v>Plant 1 Canteen</v>
      </c>
      <c r="I210" s="14">
        <f>VLOOKUP($A210,Orders!$A$1:$H$361,MATCH(OrderLines!$I$1,Orders!$A$1:$H$1,0),0)</f>
        <v>0.15</v>
      </c>
      <c r="J210" s="14">
        <f t="shared" si="10"/>
        <v>44.582500000000003</v>
      </c>
      <c r="K210" s="28" t="str">
        <f t="shared" si="11"/>
        <v>August</v>
      </c>
      <c r="L210" s="14" t="str">
        <f>VLOOKUP(OrderLines!$A210,Orders!$A$1:$H$361,MATCH(OrderLines!$L$1,Orders!$A$1:$H$1,0),0)</f>
        <v>Dinner</v>
      </c>
      <c r="M210" t="str">
        <f>VLOOKUP($A210,Orders!$A$1:$H$361,MATCH(OrderLines!$M$1,Orders!$A$1:$H$1,0),0)</f>
        <v>Cash</v>
      </c>
      <c r="N210" t="str">
        <f t="shared" si="9"/>
        <v>Single</v>
      </c>
      <c r="O210" t="str" cm="1">
        <f t="array" ref="O210">IF((SUMPRODUCT((OrderID=OrderLines!$A210)*Qty*UnitPrice*DiscountPct))&gt;40,"HighDisc","OK")</f>
        <v>OK</v>
      </c>
      <c r="P210">
        <f>(orderlinesTABLE[[#This Row],[UnitCost]]*orderlinesTABLE[[#This Row],[Qty]])</f>
        <v>25.8</v>
      </c>
      <c r="Q210">
        <f>(orderlinesTABLE[[#This Row],[LineNetAmount]]-orderlinesTABLE[[#This Row],[totalCOST]])</f>
        <v>18.782500000000002</v>
      </c>
      <c r="R210" t="str">
        <f>VLOOKUP($B210,Menu!$A$1:$F$20,MATCH(OrderLines!R$1,Menu!$A$1:$F$1,0),0)</f>
        <v>Poha</v>
      </c>
      <c r="S210" t="str" cm="1">
        <f t="array" ref="S210">_xlfn.TEXTJOIN("+",TRUE,_xlfn._xlws.FILTER(orderlinesTABLE[ItemName],OrderID=orderlinesTABLE[[#This Row],[OrderID]]))</f>
        <v>Tea+Gulab Jamun (2 pc)+Poha</v>
      </c>
      <c r="T210" s="54">
        <f>orderlinesTABLE[[#This Row],[Profit]]/orderlinesTABLE[[#This Row],[LineNetAmount]]</f>
        <v>0.42129759434755792</v>
      </c>
      <c r="U210" s="70">
        <f>(orderlinesTABLE[[#This Row],[Qty]]*orderlinesTABLE[[#This Row],[UnitCost]])</f>
        <v>25.8</v>
      </c>
    </row>
    <row r="211" spans="1:21" x14ac:dyDescent="0.3">
      <c r="A211" s="15" t="s">
        <v>122</v>
      </c>
      <c r="B211" s="15" t="s">
        <v>413</v>
      </c>
      <c r="C211" s="15">
        <v>1</v>
      </c>
      <c r="D211" s="36">
        <f>VLOOKUP($B211,Menu!$A$1:$F$20,MATCH($D$1,Menu!$A$1:$F$1,0),0)</f>
        <v>54.2</v>
      </c>
      <c r="E211" s="15" t="str">
        <f>VLOOKUP($B211,Menu!$A$1:$F$20,MATCH(OrderLines!E$1,Menu!$A$1:$F$1,0),0)</f>
        <v>Dessert</v>
      </c>
      <c r="F211" s="36">
        <f>VLOOKUP($B211,Menu!$A$1:$F$20,MATCH(OrderLines!F$1,Menu!$A$1:$F$1,0),0)</f>
        <v>21.95</v>
      </c>
      <c r="G211" s="27">
        <f>VLOOKUP($A211,Orders!$A$1:$H$361,MATCH($G$1,Orders!$A$1:$H$1,0),0)</f>
        <v>45881</v>
      </c>
      <c r="H211" s="15" t="str">
        <f>VLOOKUP($A211,Orders!$A$1:$H$361,MATCH(OrderLines!$H$1,Orders!$A$1:$H$1,0),0)</f>
        <v>Plant 2 Canteen</v>
      </c>
      <c r="I211" s="15">
        <f>VLOOKUP($A211,Orders!$A$1:$H$361,MATCH(OrderLines!$I$1,Orders!$A$1:$H$1,0),0)</f>
        <v>0.02</v>
      </c>
      <c r="J211" s="15">
        <f t="shared" si="10"/>
        <v>53.116</v>
      </c>
      <c r="K211" s="27" t="str">
        <f t="shared" si="11"/>
        <v>August</v>
      </c>
      <c r="L211" s="15" t="str">
        <f>VLOOKUP(OrderLines!$A211,Orders!$A$1:$H$361,MATCH(OrderLines!$L$1,Orders!$A$1:$H$1,0),0)</f>
        <v>Lunch</v>
      </c>
      <c r="M211" t="str">
        <f>VLOOKUP($A211,Orders!$A$1:$H$361,MATCH(OrderLines!$M$1,Orders!$A$1:$H$1,0),0)</f>
        <v>Card</v>
      </c>
      <c r="N211" t="str">
        <f t="shared" si="9"/>
        <v>Single</v>
      </c>
      <c r="O211" t="str" cm="1">
        <f t="array" ref="O211">IF((SUMPRODUCT((OrderID=OrderLines!$A211)*Qty*UnitPrice*DiscountPct))&gt;40,"HighDisc","OK")</f>
        <v>OK</v>
      </c>
      <c r="P211">
        <f>(orderlinesTABLE[[#This Row],[UnitCost]]*orderlinesTABLE[[#This Row],[Qty]])</f>
        <v>21.95</v>
      </c>
      <c r="Q211">
        <f>(orderlinesTABLE[[#This Row],[LineNetAmount]]-orderlinesTABLE[[#This Row],[totalCOST]])</f>
        <v>31.166</v>
      </c>
      <c r="R211" t="str">
        <f>VLOOKUP($B211,Menu!$A$1:$F$20,MATCH(OrderLines!R$1,Menu!$A$1:$F$1,0),0)</f>
        <v>Kheer Cup</v>
      </c>
      <c r="S211" t="str" cm="1">
        <f t="array" ref="S211">_xlfn.TEXTJOIN("+",TRUE,_xlfn._xlws.FILTER(orderlinesTABLE[ItemName],OrderID=orderlinesTABLE[[#This Row],[OrderID]]))</f>
        <v>Kheer Cup+Masala Puff</v>
      </c>
      <c r="T211" s="54">
        <f>orderlinesTABLE[[#This Row],[Profit]]/orderlinesTABLE[[#This Row],[LineNetAmount]]</f>
        <v>0.58675352059643049</v>
      </c>
      <c r="U211" s="70">
        <f>(orderlinesTABLE[[#This Row],[Qty]]*orderlinesTABLE[[#This Row],[UnitCost]])</f>
        <v>21.95</v>
      </c>
    </row>
    <row r="212" spans="1:21" x14ac:dyDescent="0.3">
      <c r="A212" s="14" t="s">
        <v>122</v>
      </c>
      <c r="B212" s="14" t="s">
        <v>419</v>
      </c>
      <c r="C212" s="14">
        <v>2</v>
      </c>
      <c r="D212" s="37">
        <f>VLOOKUP($B212,Menu!$A$1:$F$20,MATCH($D$1,Menu!$A$1:$F$1,0),0)</f>
        <v>50.19</v>
      </c>
      <c r="E212" s="14" t="str">
        <f>VLOOKUP($B212,Menu!$A$1:$F$20,MATCH(OrderLines!E$1,Menu!$A$1:$F$1,0),0)</f>
        <v>Snack</v>
      </c>
      <c r="F212" s="37">
        <f>VLOOKUP($B212,Menu!$A$1:$F$20,MATCH(OrderLines!F$1,Menu!$A$1:$F$1,0),0)</f>
        <v>22.61</v>
      </c>
      <c r="G212" s="28">
        <f>VLOOKUP($A212,Orders!$A$1:$H$361,MATCH($G$1,Orders!$A$1:$H$1,0),0)</f>
        <v>45881</v>
      </c>
      <c r="H212" s="14" t="str">
        <f>VLOOKUP($A212,Orders!$A$1:$H$361,MATCH(OrderLines!$H$1,Orders!$A$1:$H$1,0),0)</f>
        <v>Plant 2 Canteen</v>
      </c>
      <c r="I212" s="14">
        <f>VLOOKUP($A212,Orders!$A$1:$H$361,MATCH(OrderLines!$I$1,Orders!$A$1:$H$1,0),0)</f>
        <v>0.02</v>
      </c>
      <c r="J212" s="14">
        <f t="shared" si="10"/>
        <v>98.372399999999999</v>
      </c>
      <c r="K212" s="28" t="str">
        <f t="shared" si="11"/>
        <v>August</v>
      </c>
      <c r="L212" s="14" t="str">
        <f>VLOOKUP(OrderLines!$A212,Orders!$A$1:$H$361,MATCH(OrderLines!$L$1,Orders!$A$1:$H$1,0),0)</f>
        <v>Lunch</v>
      </c>
      <c r="M212" t="str">
        <f>VLOOKUP($A212,Orders!$A$1:$H$361,MATCH(OrderLines!$M$1,Orders!$A$1:$H$1,0),0)</f>
        <v>Card</v>
      </c>
      <c r="N212" t="str">
        <f t="shared" si="9"/>
        <v>Single</v>
      </c>
      <c r="O212" t="str" cm="1">
        <f t="array" ref="O212">IF((SUMPRODUCT((OrderID=OrderLines!$A212)*Qty*UnitPrice*DiscountPct))&gt;40,"HighDisc","OK")</f>
        <v>OK</v>
      </c>
      <c r="P212">
        <f>(orderlinesTABLE[[#This Row],[UnitCost]]*orderlinesTABLE[[#This Row],[Qty]])</f>
        <v>45.22</v>
      </c>
      <c r="Q212">
        <f>(orderlinesTABLE[[#This Row],[LineNetAmount]]-orderlinesTABLE[[#This Row],[totalCOST]])</f>
        <v>53.1524</v>
      </c>
      <c r="R212" t="str">
        <f>VLOOKUP($B212,Menu!$A$1:$F$20,MATCH(OrderLines!R$1,Menu!$A$1:$F$1,0),0)</f>
        <v>Masala Puff</v>
      </c>
      <c r="S212" t="str" cm="1">
        <f t="array" ref="S212">_xlfn.TEXTJOIN("+",TRUE,_xlfn._xlws.FILTER(orderlinesTABLE[ItemName],OrderID=orderlinesTABLE[[#This Row],[OrderID]]))</f>
        <v>Kheer Cup+Masala Puff</v>
      </c>
      <c r="T212" s="54">
        <f>orderlinesTABLE[[#This Row],[Profit]]/orderlinesTABLE[[#This Row],[LineNetAmount]]</f>
        <v>0.54031821933794444</v>
      </c>
      <c r="U212" s="70">
        <f>(orderlinesTABLE[[#This Row],[Qty]]*orderlinesTABLE[[#This Row],[UnitCost]])</f>
        <v>45.22</v>
      </c>
    </row>
    <row r="213" spans="1:21" x14ac:dyDescent="0.3">
      <c r="A213" s="15" t="s">
        <v>123</v>
      </c>
      <c r="B213" s="15" t="s">
        <v>404</v>
      </c>
      <c r="C213" s="15">
        <v>1</v>
      </c>
      <c r="D213" s="36">
        <f>VLOOKUP($B213,Menu!$A$1:$F$20,MATCH($D$1,Menu!$A$1:$F$1,0),0)</f>
        <v>32.979999999999997</v>
      </c>
      <c r="E213" s="15" t="str">
        <f>VLOOKUP($B213,Menu!$A$1:$F$20,MATCH(OrderLines!E$1,Menu!$A$1:$F$1,0),0)</f>
        <v>Beverage</v>
      </c>
      <c r="F213" s="36">
        <f>VLOOKUP($B213,Menu!$A$1:$F$20,MATCH(OrderLines!F$1,Menu!$A$1:$F$1,0),0)</f>
        <v>11.84</v>
      </c>
      <c r="G213" s="27">
        <f>VLOOKUP($A213,Orders!$A$1:$H$361,MATCH($G$1,Orders!$A$1:$H$1,0),0)</f>
        <v>45878</v>
      </c>
      <c r="H213" s="15" t="str">
        <f>VLOOKUP($A213,Orders!$A$1:$H$361,MATCH(OrderLines!$H$1,Orders!$A$1:$H$1,0),0)</f>
        <v>Head Office Café</v>
      </c>
      <c r="I213" s="15">
        <f>VLOOKUP($A213,Orders!$A$1:$H$361,MATCH(OrderLines!$I$1,Orders!$A$1:$H$1,0),0)</f>
        <v>0.04</v>
      </c>
      <c r="J213" s="15">
        <f t="shared" si="10"/>
        <v>31.660799999999995</v>
      </c>
      <c r="K213" s="27" t="str">
        <f t="shared" si="11"/>
        <v>August</v>
      </c>
      <c r="L213" s="15" t="str">
        <f>VLOOKUP(OrderLines!$A213,Orders!$A$1:$H$361,MATCH(OrderLines!$L$1,Orders!$A$1:$H$1,0),0)</f>
        <v>Lunch</v>
      </c>
      <c r="M213" t="str">
        <f>VLOOKUP($A213,Orders!$A$1:$H$361,MATCH(OrderLines!$M$1,Orders!$A$1:$H$1,0),0)</f>
        <v>Card</v>
      </c>
      <c r="N213" t="str">
        <f t="shared" si="9"/>
        <v>Single</v>
      </c>
      <c r="O213" t="str" cm="1">
        <f t="array" ref="O213">IF((SUMPRODUCT((OrderID=OrderLines!$A213)*Qty*UnitPrice*DiscountPct))&gt;40,"HighDisc","OK")</f>
        <v>OK</v>
      </c>
      <c r="P213">
        <f>(orderlinesTABLE[[#This Row],[UnitCost]]*orderlinesTABLE[[#This Row],[Qty]])</f>
        <v>11.84</v>
      </c>
      <c r="Q213">
        <f>(orderlinesTABLE[[#This Row],[LineNetAmount]]-orderlinesTABLE[[#This Row],[totalCOST]])</f>
        <v>19.820799999999995</v>
      </c>
      <c r="R213" t="str">
        <f>VLOOKUP($B213,Menu!$A$1:$F$20,MATCH(OrderLines!R$1,Menu!$A$1:$F$1,0),0)</f>
        <v>Masala Chaas</v>
      </c>
      <c r="S213" t="str" cm="1">
        <f t="array" ref="S213">_xlfn.TEXTJOIN("+",TRUE,_xlfn._xlws.FILTER(orderlinesTABLE[ItemName],OrderID=orderlinesTABLE[[#This Row],[OrderID]]))</f>
        <v>Masala Chaas+Gulab Jamun (2 pc)</v>
      </c>
      <c r="T213" s="54">
        <f>orderlinesTABLE[[#This Row],[Profit]]/orderlinesTABLE[[#This Row],[LineNetAmount]]</f>
        <v>0.62603598140287042</v>
      </c>
      <c r="U213" s="70">
        <f>(orderlinesTABLE[[#This Row],[Qty]]*orderlinesTABLE[[#This Row],[UnitCost]])</f>
        <v>11.84</v>
      </c>
    </row>
    <row r="214" spans="1:21" x14ac:dyDescent="0.3">
      <c r="A214" s="14" t="s">
        <v>123</v>
      </c>
      <c r="B214" s="14" t="s">
        <v>403</v>
      </c>
      <c r="C214" s="14">
        <v>2</v>
      </c>
      <c r="D214" s="37">
        <f>VLOOKUP($B214,Menu!$A$1:$F$20,MATCH($D$1,Menu!$A$1:$F$1,0),0)</f>
        <v>76.55</v>
      </c>
      <c r="E214" s="14" t="str">
        <f>VLOOKUP($B214,Menu!$A$1:$F$20,MATCH(OrderLines!E$1,Menu!$A$1:$F$1,0),0)</f>
        <v>Dessert</v>
      </c>
      <c r="F214" s="37">
        <f>VLOOKUP($B214,Menu!$A$1:$F$20,MATCH(OrderLines!F$1,Menu!$A$1:$F$1,0),0)</f>
        <v>38.229999999999997</v>
      </c>
      <c r="G214" s="28">
        <f>VLOOKUP($A214,Orders!$A$1:$H$361,MATCH($G$1,Orders!$A$1:$H$1,0),0)</f>
        <v>45878</v>
      </c>
      <c r="H214" s="14" t="str">
        <f>VLOOKUP($A214,Orders!$A$1:$H$361,MATCH(OrderLines!$H$1,Orders!$A$1:$H$1,0),0)</f>
        <v>Head Office Café</v>
      </c>
      <c r="I214" s="14">
        <f>VLOOKUP($A214,Orders!$A$1:$H$361,MATCH(OrderLines!$I$1,Orders!$A$1:$H$1,0),0)</f>
        <v>0.04</v>
      </c>
      <c r="J214" s="14">
        <f t="shared" si="10"/>
        <v>146.976</v>
      </c>
      <c r="K214" s="28" t="str">
        <f t="shared" si="11"/>
        <v>August</v>
      </c>
      <c r="L214" s="14" t="str">
        <f>VLOOKUP(OrderLines!$A214,Orders!$A$1:$H$361,MATCH(OrderLines!$L$1,Orders!$A$1:$H$1,0),0)</f>
        <v>Lunch</v>
      </c>
      <c r="M214" t="str">
        <f>VLOOKUP($A214,Orders!$A$1:$H$361,MATCH(OrderLines!$M$1,Orders!$A$1:$H$1,0),0)</f>
        <v>Card</v>
      </c>
      <c r="N214" t="str">
        <f t="shared" si="9"/>
        <v>Single</v>
      </c>
      <c r="O214" t="str" cm="1">
        <f t="array" ref="O214">IF((SUMPRODUCT((OrderID=OrderLines!$A214)*Qty*UnitPrice*DiscountPct))&gt;40,"HighDisc","OK")</f>
        <v>OK</v>
      </c>
      <c r="P214">
        <f>(orderlinesTABLE[[#This Row],[UnitCost]]*orderlinesTABLE[[#This Row],[Qty]])</f>
        <v>76.459999999999994</v>
      </c>
      <c r="Q214">
        <f>(orderlinesTABLE[[#This Row],[LineNetAmount]]-orderlinesTABLE[[#This Row],[totalCOST]])</f>
        <v>70.516000000000005</v>
      </c>
      <c r="R214" t="str">
        <f>VLOOKUP($B214,Menu!$A$1:$F$20,MATCH(OrderLines!R$1,Menu!$A$1:$F$1,0),0)</f>
        <v>Gulab Jamun (2 pc)</v>
      </c>
      <c r="S214" t="str" cm="1">
        <f t="array" ref="S214">_xlfn.TEXTJOIN("+",TRUE,_xlfn._xlws.FILTER(orderlinesTABLE[ItemName],OrderID=orderlinesTABLE[[#This Row],[OrderID]]))</f>
        <v>Masala Chaas+Gulab Jamun (2 pc)</v>
      </c>
      <c r="T214" s="54">
        <f>orderlinesTABLE[[#This Row],[Profit]]/orderlinesTABLE[[#This Row],[LineNetAmount]]</f>
        <v>0.47977901153929897</v>
      </c>
      <c r="U214" s="70">
        <f>(orderlinesTABLE[[#This Row],[Qty]]*orderlinesTABLE[[#This Row],[UnitCost]])</f>
        <v>76.459999999999994</v>
      </c>
    </row>
    <row r="215" spans="1:21" x14ac:dyDescent="0.3">
      <c r="A215" s="15" t="s">
        <v>124</v>
      </c>
      <c r="B215" s="15" t="s">
        <v>401</v>
      </c>
      <c r="C215" s="15">
        <v>2</v>
      </c>
      <c r="D215" s="36">
        <f>VLOOKUP($B215,Menu!$A$1:$F$20,MATCH($D$1,Menu!$A$1:$F$1,0),0)</f>
        <v>52.45</v>
      </c>
      <c r="E215" s="15" t="str">
        <f>VLOOKUP($B215,Menu!$A$1:$F$20,MATCH(OrderLines!E$1,Menu!$A$1:$F$1,0),0)</f>
        <v>Snack</v>
      </c>
      <c r="F215" s="36">
        <f>VLOOKUP($B215,Menu!$A$1:$F$20,MATCH(OrderLines!F$1,Menu!$A$1:$F$1,0),0)</f>
        <v>25.8</v>
      </c>
      <c r="G215" s="27">
        <f>VLOOKUP($A215,Orders!$A$1:$H$361,MATCH($G$1,Orders!$A$1:$H$1,0),0)</f>
        <v>45891</v>
      </c>
      <c r="H215" s="15" t="str">
        <f>VLOOKUP($A215,Orders!$A$1:$H$361,MATCH(OrderLines!$H$1,Orders!$A$1:$H$1,0),0)</f>
        <v>Plant 1 Canteen</v>
      </c>
      <c r="I215" s="15">
        <f>VLOOKUP($A215,Orders!$A$1:$H$361,MATCH(OrderLines!$I$1,Orders!$A$1:$H$1,0),0)</f>
        <v>0.06</v>
      </c>
      <c r="J215" s="15">
        <f t="shared" si="10"/>
        <v>98.605999999999995</v>
      </c>
      <c r="K215" s="27" t="str">
        <f t="shared" si="11"/>
        <v>August</v>
      </c>
      <c r="L215" s="15" t="str">
        <f>VLOOKUP(OrderLines!$A215,Orders!$A$1:$H$361,MATCH(OrderLines!$L$1,Orders!$A$1:$H$1,0),0)</f>
        <v>Breakfast</v>
      </c>
      <c r="M215" t="str">
        <f>VLOOKUP($A215,Orders!$A$1:$H$361,MATCH(OrderLines!$M$1,Orders!$A$1:$H$1,0),0)</f>
        <v>UPI</v>
      </c>
      <c r="N215" t="str">
        <f t="shared" si="9"/>
        <v>Single</v>
      </c>
      <c r="O215" t="str" cm="1">
        <f t="array" ref="O215">IF((SUMPRODUCT((OrderID=OrderLines!$A215)*Qty*UnitPrice*DiscountPct))&gt;40,"HighDisc","OK")</f>
        <v>OK</v>
      </c>
      <c r="P215">
        <f>(orderlinesTABLE[[#This Row],[UnitCost]]*orderlinesTABLE[[#This Row],[Qty]])</f>
        <v>51.6</v>
      </c>
      <c r="Q215">
        <f>(orderlinesTABLE[[#This Row],[LineNetAmount]]-orderlinesTABLE[[#This Row],[totalCOST]])</f>
        <v>47.005999999999993</v>
      </c>
      <c r="R215" t="str">
        <f>VLOOKUP($B215,Menu!$A$1:$F$20,MATCH(OrderLines!R$1,Menu!$A$1:$F$1,0),0)</f>
        <v>Poha</v>
      </c>
      <c r="S215" t="str" cm="1">
        <f t="array" ref="S215">_xlfn.TEXTJOIN("+",TRUE,_xlfn._xlws.FILTER(orderlinesTABLE[ItemName],OrderID=orderlinesTABLE[[#This Row],[OrderID]]))</f>
        <v>Poha+Coffee+Veg Sandwich</v>
      </c>
      <c r="T215" s="54">
        <f>orderlinesTABLE[[#This Row],[Profit]]/orderlinesTABLE[[#This Row],[LineNetAmount]]</f>
        <v>0.47670527148449382</v>
      </c>
      <c r="U215" s="70">
        <f>(orderlinesTABLE[[#This Row],[Qty]]*orderlinesTABLE[[#This Row],[UnitCost]])</f>
        <v>51.6</v>
      </c>
    </row>
    <row r="216" spans="1:21" x14ac:dyDescent="0.3">
      <c r="A216" s="14" t="s">
        <v>124</v>
      </c>
      <c r="B216" s="14" t="s">
        <v>411</v>
      </c>
      <c r="C216" s="14">
        <v>1</v>
      </c>
      <c r="D216" s="37">
        <f>VLOOKUP($B216,Menu!$A$1:$F$20,MATCH($D$1,Menu!$A$1:$F$1,0),0)</f>
        <v>22.2</v>
      </c>
      <c r="E216" s="14" t="str">
        <f>VLOOKUP($B216,Menu!$A$1:$F$20,MATCH(OrderLines!E$1,Menu!$A$1:$F$1,0),0)</f>
        <v>Beverage</v>
      </c>
      <c r="F216" s="37">
        <f>VLOOKUP($B216,Menu!$A$1:$F$20,MATCH(OrderLines!F$1,Menu!$A$1:$F$1,0),0)</f>
        <v>9.3800000000000008</v>
      </c>
      <c r="G216" s="28">
        <f>VLOOKUP($A216,Orders!$A$1:$H$361,MATCH($G$1,Orders!$A$1:$H$1,0),0)</f>
        <v>45891</v>
      </c>
      <c r="H216" s="14" t="str">
        <f>VLOOKUP($A216,Orders!$A$1:$H$361,MATCH(OrderLines!$H$1,Orders!$A$1:$H$1,0),0)</f>
        <v>Plant 1 Canteen</v>
      </c>
      <c r="I216" s="14">
        <f>VLOOKUP($A216,Orders!$A$1:$H$361,MATCH(OrderLines!$I$1,Orders!$A$1:$H$1,0),0)</f>
        <v>0.06</v>
      </c>
      <c r="J216" s="14">
        <f t="shared" si="10"/>
        <v>20.867999999999999</v>
      </c>
      <c r="K216" s="28" t="str">
        <f t="shared" si="11"/>
        <v>August</v>
      </c>
      <c r="L216" s="14" t="str">
        <f>VLOOKUP(OrderLines!$A216,Orders!$A$1:$H$361,MATCH(OrderLines!$L$1,Orders!$A$1:$H$1,0),0)</f>
        <v>Breakfast</v>
      </c>
      <c r="M216" t="str">
        <f>VLOOKUP($A216,Orders!$A$1:$H$361,MATCH(OrderLines!$M$1,Orders!$A$1:$H$1,0),0)</f>
        <v>UPI</v>
      </c>
      <c r="N216" t="str">
        <f t="shared" si="9"/>
        <v>Single</v>
      </c>
      <c r="O216" t="str" cm="1">
        <f t="array" ref="O216">IF((SUMPRODUCT((OrderID=OrderLines!$A216)*Qty*UnitPrice*DiscountPct))&gt;40,"HighDisc","OK")</f>
        <v>OK</v>
      </c>
      <c r="P216">
        <f>(orderlinesTABLE[[#This Row],[UnitCost]]*orderlinesTABLE[[#This Row],[Qty]])</f>
        <v>9.3800000000000008</v>
      </c>
      <c r="Q216">
        <f>(orderlinesTABLE[[#This Row],[LineNetAmount]]-orderlinesTABLE[[#This Row],[totalCOST]])</f>
        <v>11.487999999999998</v>
      </c>
      <c r="R216" t="str">
        <f>VLOOKUP($B216,Menu!$A$1:$F$20,MATCH(OrderLines!R$1,Menu!$A$1:$F$1,0),0)</f>
        <v>Coffee</v>
      </c>
      <c r="S216" t="str" cm="1">
        <f t="array" ref="S216">_xlfn.TEXTJOIN("+",TRUE,_xlfn._xlws.FILTER(orderlinesTABLE[ItemName],OrderID=orderlinesTABLE[[#This Row],[OrderID]]))</f>
        <v>Poha+Coffee+Veg Sandwich</v>
      </c>
      <c r="T216" s="54">
        <f>orderlinesTABLE[[#This Row],[Profit]]/orderlinesTABLE[[#This Row],[LineNetAmount]]</f>
        <v>0.55050795476327385</v>
      </c>
      <c r="U216" s="70">
        <f>(orderlinesTABLE[[#This Row],[Qty]]*orderlinesTABLE[[#This Row],[UnitCost]])</f>
        <v>9.3800000000000008</v>
      </c>
    </row>
    <row r="217" spans="1:21" x14ac:dyDescent="0.3">
      <c r="A217" s="15" t="s">
        <v>124</v>
      </c>
      <c r="B217" s="15" t="s">
        <v>408</v>
      </c>
      <c r="C217" s="15">
        <v>2</v>
      </c>
      <c r="D217" s="36">
        <f>VLOOKUP($B217,Menu!$A$1:$F$20,MATCH($D$1,Menu!$A$1:$F$1,0),0)</f>
        <v>70.540000000000006</v>
      </c>
      <c r="E217" s="15" t="str">
        <f>VLOOKUP($B217,Menu!$A$1:$F$20,MATCH(OrderLines!E$1,Menu!$A$1:$F$1,0),0)</f>
        <v>Snack</v>
      </c>
      <c r="F217" s="36">
        <f>VLOOKUP($B217,Menu!$A$1:$F$20,MATCH(OrderLines!F$1,Menu!$A$1:$F$1,0),0)</f>
        <v>35.81</v>
      </c>
      <c r="G217" s="27">
        <f>VLOOKUP($A217,Orders!$A$1:$H$361,MATCH($G$1,Orders!$A$1:$H$1,0),0)</f>
        <v>45891</v>
      </c>
      <c r="H217" s="15" t="str">
        <f>VLOOKUP($A217,Orders!$A$1:$H$361,MATCH(OrderLines!$H$1,Orders!$A$1:$H$1,0),0)</f>
        <v>Plant 1 Canteen</v>
      </c>
      <c r="I217" s="15">
        <f>VLOOKUP($A217,Orders!$A$1:$H$361,MATCH(OrderLines!$I$1,Orders!$A$1:$H$1,0),0)</f>
        <v>0.06</v>
      </c>
      <c r="J217" s="15">
        <f t="shared" si="10"/>
        <v>132.61520000000002</v>
      </c>
      <c r="K217" s="27" t="str">
        <f t="shared" si="11"/>
        <v>August</v>
      </c>
      <c r="L217" s="15" t="str">
        <f>VLOOKUP(OrderLines!$A217,Orders!$A$1:$H$361,MATCH(OrderLines!$L$1,Orders!$A$1:$H$1,0),0)</f>
        <v>Breakfast</v>
      </c>
      <c r="M217" t="str">
        <f>VLOOKUP($A217,Orders!$A$1:$H$361,MATCH(OrderLines!$M$1,Orders!$A$1:$H$1,0),0)</f>
        <v>UPI</v>
      </c>
      <c r="N217" t="str">
        <f t="shared" si="9"/>
        <v>Single</v>
      </c>
      <c r="O217" t="str" cm="1">
        <f t="array" ref="O217">IF((SUMPRODUCT((OrderID=OrderLines!$A217)*Qty*UnitPrice*DiscountPct))&gt;40,"HighDisc","OK")</f>
        <v>OK</v>
      </c>
      <c r="P217">
        <f>(orderlinesTABLE[[#This Row],[UnitCost]]*orderlinesTABLE[[#This Row],[Qty]])</f>
        <v>71.62</v>
      </c>
      <c r="Q217">
        <f>(orderlinesTABLE[[#This Row],[LineNetAmount]]-orderlinesTABLE[[#This Row],[totalCOST]])</f>
        <v>60.995200000000011</v>
      </c>
      <c r="R217" t="str">
        <f>VLOOKUP($B217,Menu!$A$1:$F$20,MATCH(OrderLines!R$1,Menu!$A$1:$F$1,0),0)</f>
        <v>Veg Sandwich</v>
      </c>
      <c r="S217" t="str" cm="1">
        <f t="array" ref="S217">_xlfn.TEXTJOIN("+",TRUE,_xlfn._xlws.FILTER(orderlinesTABLE[ItemName],OrderID=orderlinesTABLE[[#This Row],[OrderID]]))</f>
        <v>Poha+Coffee+Veg Sandwich</v>
      </c>
      <c r="T217" s="54">
        <f>orderlinesTABLE[[#This Row],[Profit]]/orderlinesTABLE[[#This Row],[LineNetAmount]]</f>
        <v>0.45994124353769406</v>
      </c>
      <c r="U217" s="70">
        <f>(orderlinesTABLE[[#This Row],[Qty]]*orderlinesTABLE[[#This Row],[UnitCost]])</f>
        <v>71.62</v>
      </c>
    </row>
    <row r="218" spans="1:21" x14ac:dyDescent="0.3">
      <c r="A218" s="14" t="s">
        <v>125</v>
      </c>
      <c r="B218" s="14" t="s">
        <v>416</v>
      </c>
      <c r="C218" s="14">
        <v>1</v>
      </c>
      <c r="D218" s="37">
        <f>VLOOKUP($B218,Menu!$A$1:$F$20,MATCH($D$1,Menu!$A$1:$F$1,0),0)</f>
        <v>227.61</v>
      </c>
      <c r="E218" s="14" t="str">
        <f>VLOOKUP($B218,Menu!$A$1:$F$20,MATCH(OrderLines!E$1,Menu!$A$1:$F$1,0),0)</f>
        <v>Hot Meal</v>
      </c>
      <c r="F218" s="37">
        <f>VLOOKUP($B218,Menu!$A$1:$F$20,MATCH(OrderLines!F$1,Menu!$A$1:$F$1,0),0)</f>
        <v>96.22</v>
      </c>
      <c r="G218" s="28">
        <f>VLOOKUP($A218,Orders!$A$1:$H$361,MATCH($G$1,Orders!$A$1:$H$1,0),0)</f>
        <v>45847</v>
      </c>
      <c r="H218" s="14" t="str">
        <f>VLOOKUP($A218,Orders!$A$1:$H$361,MATCH(OrderLines!$H$1,Orders!$A$1:$H$1,0),0)</f>
        <v>Head Office Café</v>
      </c>
      <c r="I218" s="14">
        <f>VLOOKUP($A218,Orders!$A$1:$H$361,MATCH(OrderLines!$I$1,Orders!$A$1:$H$1,0),0)</f>
        <v>0.04</v>
      </c>
      <c r="J218" s="14">
        <f t="shared" si="10"/>
        <v>218.50560000000002</v>
      </c>
      <c r="K218" s="28" t="str">
        <f t="shared" si="11"/>
        <v>July</v>
      </c>
      <c r="L218" s="14" t="str">
        <f>VLOOKUP(OrderLines!$A218,Orders!$A$1:$H$361,MATCH(OrderLines!$L$1,Orders!$A$1:$H$1,0),0)</f>
        <v>Breakfast</v>
      </c>
      <c r="M218" t="str">
        <f>VLOOKUP($A218,Orders!$A$1:$H$361,MATCH(OrderLines!$M$1,Orders!$A$1:$H$1,0),0)</f>
        <v>Cash</v>
      </c>
      <c r="N218" t="str">
        <f t="shared" si="9"/>
        <v>Single</v>
      </c>
      <c r="O218" t="str" cm="1">
        <f t="array" ref="O218">IF((SUMPRODUCT((OrderID=OrderLines!$A218)*Qty*UnitPrice*DiscountPct))&gt;40,"HighDisc","OK")</f>
        <v>OK</v>
      </c>
      <c r="P218">
        <f>(orderlinesTABLE[[#This Row],[UnitCost]]*orderlinesTABLE[[#This Row],[Qty]])</f>
        <v>96.22</v>
      </c>
      <c r="Q218">
        <f>(orderlinesTABLE[[#This Row],[LineNetAmount]]-orderlinesTABLE[[#This Row],[totalCOST]])</f>
        <v>122.28560000000002</v>
      </c>
      <c r="R218" t="str">
        <f>VLOOKUP($B218,Menu!$A$1:$F$20,MATCH(OrderLines!R$1,Menu!$A$1:$F$1,0),0)</f>
        <v>Veg Thali</v>
      </c>
      <c r="S218" t="str" cm="1">
        <f t="array" ref="S218">_xlfn.TEXTJOIN("+",TRUE,_xlfn._xlws.FILTER(orderlinesTABLE[ItemName],OrderID=orderlinesTABLE[[#This Row],[OrderID]]))</f>
        <v>Veg Thali+Gulab Jamun (2 pc)</v>
      </c>
      <c r="T218" s="54">
        <f>orderlinesTABLE[[#This Row],[Profit]]/orderlinesTABLE[[#This Row],[LineNetAmount]]</f>
        <v>0.55964515325923003</v>
      </c>
      <c r="U218" s="70">
        <f>(orderlinesTABLE[[#This Row],[Qty]]*orderlinesTABLE[[#This Row],[UnitCost]])</f>
        <v>96.22</v>
      </c>
    </row>
    <row r="219" spans="1:21" x14ac:dyDescent="0.3">
      <c r="A219" s="15" t="s">
        <v>125</v>
      </c>
      <c r="B219" s="15" t="s">
        <v>403</v>
      </c>
      <c r="C219" s="15">
        <v>1</v>
      </c>
      <c r="D219" s="36">
        <f>VLOOKUP($B219,Menu!$A$1:$F$20,MATCH($D$1,Menu!$A$1:$F$1,0),0)</f>
        <v>76.55</v>
      </c>
      <c r="E219" s="15" t="str">
        <f>VLOOKUP($B219,Menu!$A$1:$F$20,MATCH(OrderLines!E$1,Menu!$A$1:$F$1,0),0)</f>
        <v>Dessert</v>
      </c>
      <c r="F219" s="36">
        <f>VLOOKUP($B219,Menu!$A$1:$F$20,MATCH(OrderLines!F$1,Menu!$A$1:$F$1,0),0)</f>
        <v>38.229999999999997</v>
      </c>
      <c r="G219" s="27">
        <f>VLOOKUP($A219,Orders!$A$1:$H$361,MATCH($G$1,Orders!$A$1:$H$1,0),0)</f>
        <v>45847</v>
      </c>
      <c r="H219" s="15" t="str">
        <f>VLOOKUP($A219,Orders!$A$1:$H$361,MATCH(OrderLines!$H$1,Orders!$A$1:$H$1,0),0)</f>
        <v>Head Office Café</v>
      </c>
      <c r="I219" s="15">
        <f>VLOOKUP($A219,Orders!$A$1:$H$361,MATCH(OrderLines!$I$1,Orders!$A$1:$H$1,0),0)</f>
        <v>0.04</v>
      </c>
      <c r="J219" s="15">
        <f t="shared" si="10"/>
        <v>73.488</v>
      </c>
      <c r="K219" s="27" t="str">
        <f t="shared" si="11"/>
        <v>July</v>
      </c>
      <c r="L219" s="15" t="str">
        <f>VLOOKUP(OrderLines!$A219,Orders!$A$1:$H$361,MATCH(OrderLines!$L$1,Orders!$A$1:$H$1,0),0)</f>
        <v>Breakfast</v>
      </c>
      <c r="M219" t="str">
        <f>VLOOKUP($A219,Orders!$A$1:$H$361,MATCH(OrderLines!$M$1,Orders!$A$1:$H$1,0),0)</f>
        <v>Cash</v>
      </c>
      <c r="N219" t="str">
        <f t="shared" si="9"/>
        <v>Single</v>
      </c>
      <c r="O219" t="str" cm="1">
        <f t="array" ref="O219">IF((SUMPRODUCT((OrderID=OrderLines!$A219)*Qty*UnitPrice*DiscountPct))&gt;40,"HighDisc","OK")</f>
        <v>OK</v>
      </c>
      <c r="P219">
        <f>(orderlinesTABLE[[#This Row],[UnitCost]]*orderlinesTABLE[[#This Row],[Qty]])</f>
        <v>38.229999999999997</v>
      </c>
      <c r="Q219">
        <f>(orderlinesTABLE[[#This Row],[LineNetAmount]]-orderlinesTABLE[[#This Row],[totalCOST]])</f>
        <v>35.258000000000003</v>
      </c>
      <c r="R219" t="str">
        <f>VLOOKUP($B219,Menu!$A$1:$F$20,MATCH(OrderLines!R$1,Menu!$A$1:$F$1,0),0)</f>
        <v>Gulab Jamun (2 pc)</v>
      </c>
      <c r="S219" t="str" cm="1">
        <f t="array" ref="S219">_xlfn.TEXTJOIN("+",TRUE,_xlfn._xlws.FILTER(orderlinesTABLE[ItemName],OrderID=orderlinesTABLE[[#This Row],[OrderID]]))</f>
        <v>Veg Thali+Gulab Jamun (2 pc)</v>
      </c>
      <c r="T219" s="54">
        <f>orderlinesTABLE[[#This Row],[Profit]]/orderlinesTABLE[[#This Row],[LineNetAmount]]</f>
        <v>0.47977901153929897</v>
      </c>
      <c r="U219" s="70">
        <f>(orderlinesTABLE[[#This Row],[Qty]]*orderlinesTABLE[[#This Row],[UnitCost]])</f>
        <v>38.229999999999997</v>
      </c>
    </row>
    <row r="220" spans="1:21" x14ac:dyDescent="0.3">
      <c r="A220" s="14" t="s">
        <v>126</v>
      </c>
      <c r="B220" s="14" t="s">
        <v>418</v>
      </c>
      <c r="C220" s="14">
        <v>1</v>
      </c>
      <c r="D220" s="37">
        <f>VLOOKUP($B220,Menu!$A$1:$F$20,MATCH($D$1,Menu!$A$1:$F$1,0),0)</f>
        <v>39.950000000000003</v>
      </c>
      <c r="E220" s="14" t="str">
        <f>VLOOKUP($B220,Menu!$A$1:$F$20,MATCH(OrderLines!E$1,Menu!$A$1:$F$1,0),0)</f>
        <v>Snack</v>
      </c>
      <c r="F220" s="37">
        <f>VLOOKUP($B220,Menu!$A$1:$F$20,MATCH(OrderLines!F$1,Menu!$A$1:$F$1,0),0)</f>
        <v>15.51</v>
      </c>
      <c r="G220" s="28">
        <f>VLOOKUP($A220,Orders!$A$1:$H$361,MATCH($G$1,Orders!$A$1:$H$1,0),0)</f>
        <v>45856</v>
      </c>
      <c r="H220" s="14" t="str">
        <f>VLOOKUP($A220,Orders!$A$1:$H$361,MATCH(OrderLines!$H$1,Orders!$A$1:$H$1,0),0)</f>
        <v>Plant 1 Canteen</v>
      </c>
      <c r="I220" s="14">
        <f>VLOOKUP($A220,Orders!$A$1:$H$361,MATCH(OrderLines!$I$1,Orders!$A$1:$H$1,0),0)</f>
        <v>0</v>
      </c>
      <c r="J220" s="14">
        <f t="shared" si="10"/>
        <v>39.950000000000003</v>
      </c>
      <c r="K220" s="28" t="str">
        <f t="shared" si="11"/>
        <v>July</v>
      </c>
      <c r="L220" s="14" t="str">
        <f>VLOOKUP(OrderLines!$A220,Orders!$A$1:$H$361,MATCH(OrderLines!$L$1,Orders!$A$1:$H$1,0),0)</f>
        <v>Dinner</v>
      </c>
      <c r="M220" t="str">
        <f>VLOOKUP($A220,Orders!$A$1:$H$361,MATCH(OrderLines!$M$1,Orders!$A$1:$H$1,0),0)</f>
        <v>Card</v>
      </c>
      <c r="N220" t="str">
        <f t="shared" si="9"/>
        <v>Single</v>
      </c>
      <c r="O220" t="str" cm="1">
        <f t="array" ref="O220">IF((SUMPRODUCT((OrderID=OrderLines!$A220)*Qty*UnitPrice*DiscountPct))&gt;40,"HighDisc","OK")</f>
        <v>OK</v>
      </c>
      <c r="P220">
        <f>(orderlinesTABLE[[#This Row],[UnitCost]]*orderlinesTABLE[[#This Row],[Qty]])</f>
        <v>15.51</v>
      </c>
      <c r="Q220">
        <f>(orderlinesTABLE[[#This Row],[LineNetAmount]]-orderlinesTABLE[[#This Row],[totalCOST]])</f>
        <v>24.440000000000005</v>
      </c>
      <c r="R220" t="str">
        <f>VLOOKUP($B220,Menu!$A$1:$F$20,MATCH(OrderLines!R$1,Menu!$A$1:$F$1,0),0)</f>
        <v>Samosa</v>
      </c>
      <c r="S220" t="str" cm="1">
        <f t="array" ref="S220">_xlfn.TEXTJOIN("+",TRUE,_xlfn._xlws.FILTER(orderlinesTABLE[ItemName],OrderID=orderlinesTABLE[[#This Row],[OrderID]]))</f>
        <v>Samosa+Chicken Thali+Poha</v>
      </c>
      <c r="T220" s="54">
        <f>orderlinesTABLE[[#This Row],[Profit]]/orderlinesTABLE[[#This Row],[LineNetAmount]]</f>
        <v>0.61176470588235299</v>
      </c>
      <c r="U220" s="70">
        <f>(orderlinesTABLE[[#This Row],[Qty]]*orderlinesTABLE[[#This Row],[UnitCost]])</f>
        <v>15.51</v>
      </c>
    </row>
    <row r="221" spans="1:21" x14ac:dyDescent="0.3">
      <c r="A221" s="15" t="s">
        <v>126</v>
      </c>
      <c r="B221" s="15" t="s">
        <v>415</v>
      </c>
      <c r="C221" s="15">
        <v>2</v>
      </c>
      <c r="D221" s="36">
        <f>VLOOKUP($B221,Menu!$A$1:$F$20,MATCH($D$1,Menu!$A$1:$F$1,0),0)</f>
        <v>256.91000000000003</v>
      </c>
      <c r="E221" s="15" t="str">
        <f>VLOOKUP($B221,Menu!$A$1:$F$20,MATCH(OrderLines!E$1,Menu!$A$1:$F$1,0),0)</f>
        <v>Hot Meal</v>
      </c>
      <c r="F221" s="36">
        <f>VLOOKUP($B221,Menu!$A$1:$F$20,MATCH(OrderLines!F$1,Menu!$A$1:$F$1,0),0)</f>
        <v>121.24</v>
      </c>
      <c r="G221" s="27">
        <f>VLOOKUP($A221,Orders!$A$1:$H$361,MATCH($G$1,Orders!$A$1:$H$1,0),0)</f>
        <v>45856</v>
      </c>
      <c r="H221" s="15" t="str">
        <f>VLOOKUP($A221,Orders!$A$1:$H$361,MATCH(OrderLines!$H$1,Orders!$A$1:$H$1,0),0)</f>
        <v>Plant 1 Canteen</v>
      </c>
      <c r="I221" s="15">
        <f>VLOOKUP($A221,Orders!$A$1:$H$361,MATCH(OrderLines!$I$1,Orders!$A$1:$H$1,0),0)</f>
        <v>0</v>
      </c>
      <c r="J221" s="15">
        <f t="shared" si="10"/>
        <v>513.82000000000005</v>
      </c>
      <c r="K221" s="27" t="str">
        <f t="shared" si="11"/>
        <v>July</v>
      </c>
      <c r="L221" s="15" t="str">
        <f>VLOOKUP(OrderLines!$A221,Orders!$A$1:$H$361,MATCH(OrderLines!$L$1,Orders!$A$1:$H$1,0),0)</f>
        <v>Dinner</v>
      </c>
      <c r="M221" t="str">
        <f>VLOOKUP($A221,Orders!$A$1:$H$361,MATCH(OrderLines!$M$1,Orders!$A$1:$H$1,0),0)</f>
        <v>Card</v>
      </c>
      <c r="N221" t="str">
        <f t="shared" si="9"/>
        <v>Single</v>
      </c>
      <c r="O221" t="str" cm="1">
        <f t="array" ref="O221">IF((SUMPRODUCT((OrderID=OrderLines!$A221)*Qty*UnitPrice*DiscountPct))&gt;40,"HighDisc","OK")</f>
        <v>OK</v>
      </c>
      <c r="P221">
        <f>(orderlinesTABLE[[#This Row],[UnitCost]]*orderlinesTABLE[[#This Row],[Qty]])</f>
        <v>242.48</v>
      </c>
      <c r="Q221">
        <f>(orderlinesTABLE[[#This Row],[LineNetAmount]]-orderlinesTABLE[[#This Row],[totalCOST]])</f>
        <v>271.34000000000003</v>
      </c>
      <c r="R221" t="str">
        <f>VLOOKUP($B221,Menu!$A$1:$F$20,MATCH(OrderLines!R$1,Menu!$A$1:$F$1,0),0)</f>
        <v>Chicken Thali</v>
      </c>
      <c r="S221" t="str" cm="1">
        <f t="array" ref="S221">_xlfn.TEXTJOIN("+",TRUE,_xlfn._xlws.FILTER(orderlinesTABLE[ItemName],OrderID=orderlinesTABLE[[#This Row],[OrderID]]))</f>
        <v>Samosa+Chicken Thali+Poha</v>
      </c>
      <c r="T221" s="54">
        <f>orderlinesTABLE[[#This Row],[Profit]]/orderlinesTABLE[[#This Row],[LineNetAmount]]</f>
        <v>0.52808376474251684</v>
      </c>
      <c r="U221" s="70">
        <f>(orderlinesTABLE[[#This Row],[Qty]]*orderlinesTABLE[[#This Row],[UnitCost]])</f>
        <v>242.48</v>
      </c>
    </row>
    <row r="222" spans="1:21" x14ac:dyDescent="0.3">
      <c r="A222" s="14" t="s">
        <v>126</v>
      </c>
      <c r="B222" s="14" t="s">
        <v>401</v>
      </c>
      <c r="C222" s="14">
        <v>2</v>
      </c>
      <c r="D222" s="37">
        <f>VLOOKUP($B222,Menu!$A$1:$F$20,MATCH($D$1,Menu!$A$1:$F$1,0),0)</f>
        <v>52.45</v>
      </c>
      <c r="E222" s="14" t="str">
        <f>VLOOKUP($B222,Menu!$A$1:$F$20,MATCH(OrderLines!E$1,Menu!$A$1:$F$1,0),0)</f>
        <v>Snack</v>
      </c>
      <c r="F222" s="37">
        <f>VLOOKUP($B222,Menu!$A$1:$F$20,MATCH(OrderLines!F$1,Menu!$A$1:$F$1,0),0)</f>
        <v>25.8</v>
      </c>
      <c r="G222" s="28">
        <f>VLOOKUP($A222,Orders!$A$1:$H$361,MATCH($G$1,Orders!$A$1:$H$1,0),0)</f>
        <v>45856</v>
      </c>
      <c r="H222" s="14" t="str">
        <f>VLOOKUP($A222,Orders!$A$1:$H$361,MATCH(OrderLines!$H$1,Orders!$A$1:$H$1,0),0)</f>
        <v>Plant 1 Canteen</v>
      </c>
      <c r="I222" s="14">
        <f>VLOOKUP($A222,Orders!$A$1:$H$361,MATCH(OrderLines!$I$1,Orders!$A$1:$H$1,0),0)</f>
        <v>0</v>
      </c>
      <c r="J222" s="14">
        <f t="shared" si="10"/>
        <v>104.9</v>
      </c>
      <c r="K222" s="28" t="str">
        <f t="shared" si="11"/>
        <v>July</v>
      </c>
      <c r="L222" s="14" t="str">
        <f>VLOOKUP(OrderLines!$A222,Orders!$A$1:$H$361,MATCH(OrderLines!$L$1,Orders!$A$1:$H$1,0),0)</f>
        <v>Dinner</v>
      </c>
      <c r="M222" t="str">
        <f>VLOOKUP($A222,Orders!$A$1:$H$361,MATCH(OrderLines!$M$1,Orders!$A$1:$H$1,0),0)</f>
        <v>Card</v>
      </c>
      <c r="N222" t="str">
        <f t="shared" si="9"/>
        <v>Single</v>
      </c>
      <c r="O222" t="str" cm="1">
        <f t="array" ref="O222">IF((SUMPRODUCT((OrderID=OrderLines!$A222)*Qty*UnitPrice*DiscountPct))&gt;40,"HighDisc","OK")</f>
        <v>OK</v>
      </c>
      <c r="P222">
        <f>(orderlinesTABLE[[#This Row],[UnitCost]]*orderlinesTABLE[[#This Row],[Qty]])</f>
        <v>51.6</v>
      </c>
      <c r="Q222">
        <f>(orderlinesTABLE[[#This Row],[LineNetAmount]]-orderlinesTABLE[[#This Row],[totalCOST]])</f>
        <v>53.300000000000004</v>
      </c>
      <c r="R222" t="str">
        <f>VLOOKUP($B222,Menu!$A$1:$F$20,MATCH(OrderLines!R$1,Menu!$A$1:$F$1,0),0)</f>
        <v>Poha</v>
      </c>
      <c r="S222" t="str" cm="1">
        <f t="array" ref="S222">_xlfn.TEXTJOIN("+",TRUE,_xlfn._xlws.FILTER(orderlinesTABLE[ItemName],OrderID=orderlinesTABLE[[#This Row],[OrderID]]))</f>
        <v>Samosa+Chicken Thali+Poha</v>
      </c>
      <c r="T222" s="54">
        <f>orderlinesTABLE[[#This Row],[Profit]]/orderlinesTABLE[[#This Row],[LineNetAmount]]</f>
        <v>0.50810295519542426</v>
      </c>
      <c r="U222" s="70">
        <f>(orderlinesTABLE[[#This Row],[Qty]]*orderlinesTABLE[[#This Row],[UnitCost]])</f>
        <v>51.6</v>
      </c>
    </row>
    <row r="223" spans="1:21" x14ac:dyDescent="0.3">
      <c r="A223" s="15" t="s">
        <v>127</v>
      </c>
      <c r="B223" s="15" t="s">
        <v>416</v>
      </c>
      <c r="C223" s="15">
        <v>3</v>
      </c>
      <c r="D223" s="36">
        <f>VLOOKUP($B223,Menu!$A$1:$F$20,MATCH($D$1,Menu!$A$1:$F$1,0),0)</f>
        <v>227.61</v>
      </c>
      <c r="E223" s="15" t="str">
        <f>VLOOKUP($B223,Menu!$A$1:$F$20,MATCH(OrderLines!E$1,Menu!$A$1:$F$1,0),0)</f>
        <v>Hot Meal</v>
      </c>
      <c r="F223" s="36">
        <f>VLOOKUP($B223,Menu!$A$1:$F$20,MATCH(OrderLines!F$1,Menu!$A$1:$F$1,0),0)</f>
        <v>96.22</v>
      </c>
      <c r="G223" s="27">
        <f>VLOOKUP($A223,Orders!$A$1:$H$361,MATCH($G$1,Orders!$A$1:$H$1,0),0)</f>
        <v>45859</v>
      </c>
      <c r="H223" s="15" t="str">
        <f>VLOOKUP($A223,Orders!$A$1:$H$361,MATCH(OrderLines!$H$1,Orders!$A$1:$H$1,0),0)</f>
        <v>Plant 2 Canteen</v>
      </c>
      <c r="I223" s="15">
        <f>VLOOKUP($A223,Orders!$A$1:$H$361,MATCH(OrderLines!$I$1,Orders!$A$1:$H$1,0),0)</f>
        <v>0.06</v>
      </c>
      <c r="J223" s="15">
        <f t="shared" si="10"/>
        <v>641.86019999999996</v>
      </c>
      <c r="K223" s="27" t="str">
        <f t="shared" si="11"/>
        <v>July</v>
      </c>
      <c r="L223" s="15" t="str">
        <f>VLOOKUP(OrderLines!$A223,Orders!$A$1:$H$361,MATCH(OrderLines!$L$1,Orders!$A$1:$H$1,0),0)</f>
        <v>Dinner</v>
      </c>
      <c r="M223" t="str">
        <f>VLOOKUP($A223,Orders!$A$1:$H$361,MATCH(OrderLines!$M$1,Orders!$A$1:$H$1,0),0)</f>
        <v>Card</v>
      </c>
      <c r="N223" t="str">
        <f t="shared" si="9"/>
        <v>Combo</v>
      </c>
      <c r="O223" t="str" cm="1">
        <f t="array" ref="O223">IF((SUMPRODUCT((OrderID=OrderLines!$A223)*Qty*UnitPrice*DiscountPct))&gt;40,"HighDisc","OK")</f>
        <v>HighDisc</v>
      </c>
      <c r="P223">
        <f>(orderlinesTABLE[[#This Row],[UnitCost]]*orderlinesTABLE[[#This Row],[Qty]])</f>
        <v>288.65999999999997</v>
      </c>
      <c r="Q223">
        <f>(orderlinesTABLE[[#This Row],[LineNetAmount]]-orderlinesTABLE[[#This Row],[totalCOST]])</f>
        <v>353.2002</v>
      </c>
      <c r="R223" t="str">
        <f>VLOOKUP($B223,Menu!$A$1:$F$20,MATCH(OrderLines!R$1,Menu!$A$1:$F$1,0),0)</f>
        <v>Veg Thali</v>
      </c>
      <c r="S223" t="str" cm="1">
        <f t="array" ref="S223">_xlfn.TEXTJOIN("+",TRUE,_xlfn._xlws.FILTER(orderlinesTABLE[ItemName],OrderID=orderlinesTABLE[[#This Row],[OrderID]]))</f>
        <v>Veg Thali+Masala Chaas+Coffee</v>
      </c>
      <c r="T223" s="54">
        <f>orderlinesTABLE[[#This Row],[Profit]]/orderlinesTABLE[[#This Row],[LineNetAmount]]</f>
        <v>0.55027590120091574</v>
      </c>
      <c r="U223" s="70">
        <f>(orderlinesTABLE[[#This Row],[Qty]]*orderlinesTABLE[[#This Row],[UnitCost]])</f>
        <v>288.65999999999997</v>
      </c>
    </row>
    <row r="224" spans="1:21" x14ac:dyDescent="0.3">
      <c r="A224" s="14" t="s">
        <v>127</v>
      </c>
      <c r="B224" s="14" t="s">
        <v>404</v>
      </c>
      <c r="C224" s="14">
        <v>1</v>
      </c>
      <c r="D224" s="37">
        <f>VLOOKUP($B224,Menu!$A$1:$F$20,MATCH($D$1,Menu!$A$1:$F$1,0),0)</f>
        <v>32.979999999999997</v>
      </c>
      <c r="E224" s="14" t="str">
        <f>VLOOKUP($B224,Menu!$A$1:$F$20,MATCH(OrderLines!E$1,Menu!$A$1:$F$1,0),0)</f>
        <v>Beverage</v>
      </c>
      <c r="F224" s="37">
        <f>VLOOKUP($B224,Menu!$A$1:$F$20,MATCH(OrderLines!F$1,Menu!$A$1:$F$1,0),0)</f>
        <v>11.84</v>
      </c>
      <c r="G224" s="28">
        <f>VLOOKUP($A224,Orders!$A$1:$H$361,MATCH($G$1,Orders!$A$1:$H$1,0),0)</f>
        <v>45859</v>
      </c>
      <c r="H224" s="14" t="str">
        <f>VLOOKUP($A224,Orders!$A$1:$H$361,MATCH(OrderLines!$H$1,Orders!$A$1:$H$1,0),0)</f>
        <v>Plant 2 Canteen</v>
      </c>
      <c r="I224" s="14">
        <f>VLOOKUP($A224,Orders!$A$1:$H$361,MATCH(OrderLines!$I$1,Orders!$A$1:$H$1,0),0)</f>
        <v>0.06</v>
      </c>
      <c r="J224" s="14">
        <f t="shared" si="10"/>
        <v>31.001199999999994</v>
      </c>
      <c r="K224" s="28" t="str">
        <f t="shared" si="11"/>
        <v>July</v>
      </c>
      <c r="L224" s="14" t="str">
        <f>VLOOKUP(OrderLines!$A224,Orders!$A$1:$H$361,MATCH(OrderLines!$L$1,Orders!$A$1:$H$1,0),0)</f>
        <v>Dinner</v>
      </c>
      <c r="M224" t="str">
        <f>VLOOKUP($A224,Orders!$A$1:$H$361,MATCH(OrderLines!$M$1,Orders!$A$1:$H$1,0),0)</f>
        <v>Card</v>
      </c>
      <c r="N224" t="str">
        <f t="shared" si="9"/>
        <v>Combo</v>
      </c>
      <c r="O224" t="str" cm="1">
        <f t="array" ref="O224">IF((SUMPRODUCT((OrderID=OrderLines!$A224)*Qty*UnitPrice*DiscountPct))&gt;40,"HighDisc","OK")</f>
        <v>HighDisc</v>
      </c>
      <c r="P224">
        <f>(orderlinesTABLE[[#This Row],[UnitCost]]*orderlinesTABLE[[#This Row],[Qty]])</f>
        <v>11.84</v>
      </c>
      <c r="Q224">
        <f>(orderlinesTABLE[[#This Row],[LineNetAmount]]-orderlinesTABLE[[#This Row],[totalCOST]])</f>
        <v>19.161199999999994</v>
      </c>
      <c r="R224" t="str">
        <f>VLOOKUP($B224,Menu!$A$1:$F$20,MATCH(OrderLines!R$1,Menu!$A$1:$F$1,0),0)</f>
        <v>Masala Chaas</v>
      </c>
      <c r="S224" t="str" cm="1">
        <f t="array" ref="S224">_xlfn.TEXTJOIN("+",TRUE,_xlfn._xlws.FILTER(orderlinesTABLE[ItemName],OrderID=orderlinesTABLE[[#This Row],[OrderID]]))</f>
        <v>Veg Thali+Masala Chaas+Coffee</v>
      </c>
      <c r="T224" s="54">
        <f>orderlinesTABLE[[#This Row],[Profit]]/orderlinesTABLE[[#This Row],[LineNetAmount]]</f>
        <v>0.61807930015612289</v>
      </c>
      <c r="U224" s="70">
        <f>(orderlinesTABLE[[#This Row],[Qty]]*orderlinesTABLE[[#This Row],[UnitCost]])</f>
        <v>11.84</v>
      </c>
    </row>
    <row r="225" spans="1:21" x14ac:dyDescent="0.3">
      <c r="A225" s="15" t="s">
        <v>127</v>
      </c>
      <c r="B225" s="15" t="s">
        <v>411</v>
      </c>
      <c r="C225" s="15">
        <v>2</v>
      </c>
      <c r="D225" s="36">
        <f>VLOOKUP($B225,Menu!$A$1:$F$20,MATCH($D$1,Menu!$A$1:$F$1,0),0)</f>
        <v>22.2</v>
      </c>
      <c r="E225" s="15" t="str">
        <f>VLOOKUP($B225,Menu!$A$1:$F$20,MATCH(OrderLines!E$1,Menu!$A$1:$F$1,0),0)</f>
        <v>Beverage</v>
      </c>
      <c r="F225" s="36">
        <f>VLOOKUP($B225,Menu!$A$1:$F$20,MATCH(OrderLines!F$1,Menu!$A$1:$F$1,0),0)</f>
        <v>9.3800000000000008</v>
      </c>
      <c r="G225" s="27">
        <f>VLOOKUP($A225,Orders!$A$1:$H$361,MATCH($G$1,Orders!$A$1:$H$1,0),0)</f>
        <v>45859</v>
      </c>
      <c r="H225" s="15" t="str">
        <f>VLOOKUP($A225,Orders!$A$1:$H$361,MATCH(OrderLines!$H$1,Orders!$A$1:$H$1,0),0)</f>
        <v>Plant 2 Canteen</v>
      </c>
      <c r="I225" s="15">
        <f>VLOOKUP($A225,Orders!$A$1:$H$361,MATCH(OrderLines!$I$1,Orders!$A$1:$H$1,0),0)</f>
        <v>0.06</v>
      </c>
      <c r="J225" s="15">
        <f t="shared" si="10"/>
        <v>41.735999999999997</v>
      </c>
      <c r="K225" s="27" t="str">
        <f t="shared" si="11"/>
        <v>July</v>
      </c>
      <c r="L225" s="15" t="str">
        <f>VLOOKUP(OrderLines!$A225,Orders!$A$1:$H$361,MATCH(OrderLines!$L$1,Orders!$A$1:$H$1,0),0)</f>
        <v>Dinner</v>
      </c>
      <c r="M225" t="str">
        <f>VLOOKUP($A225,Orders!$A$1:$H$361,MATCH(OrderLines!$M$1,Orders!$A$1:$H$1,0),0)</f>
        <v>Card</v>
      </c>
      <c r="N225" t="str">
        <f t="shared" si="9"/>
        <v>Combo</v>
      </c>
      <c r="O225" t="str" cm="1">
        <f t="array" ref="O225">IF((SUMPRODUCT((OrderID=OrderLines!$A225)*Qty*UnitPrice*DiscountPct))&gt;40,"HighDisc","OK")</f>
        <v>HighDisc</v>
      </c>
      <c r="P225">
        <f>(orderlinesTABLE[[#This Row],[UnitCost]]*orderlinesTABLE[[#This Row],[Qty]])</f>
        <v>18.760000000000002</v>
      </c>
      <c r="Q225">
        <f>(orderlinesTABLE[[#This Row],[LineNetAmount]]-orderlinesTABLE[[#This Row],[totalCOST]])</f>
        <v>22.975999999999996</v>
      </c>
      <c r="R225" t="str">
        <f>VLOOKUP($B225,Menu!$A$1:$F$20,MATCH(OrderLines!R$1,Menu!$A$1:$F$1,0),0)</f>
        <v>Coffee</v>
      </c>
      <c r="S225" t="str" cm="1">
        <f t="array" ref="S225">_xlfn.TEXTJOIN("+",TRUE,_xlfn._xlws.FILTER(orderlinesTABLE[ItemName],OrderID=orderlinesTABLE[[#This Row],[OrderID]]))</f>
        <v>Veg Thali+Masala Chaas+Coffee</v>
      </c>
      <c r="T225" s="54">
        <f>orderlinesTABLE[[#This Row],[Profit]]/orderlinesTABLE[[#This Row],[LineNetAmount]]</f>
        <v>0.55050795476327385</v>
      </c>
      <c r="U225" s="70">
        <f>(orderlinesTABLE[[#This Row],[Qty]]*orderlinesTABLE[[#This Row],[UnitCost]])</f>
        <v>18.760000000000002</v>
      </c>
    </row>
    <row r="226" spans="1:21" x14ac:dyDescent="0.3">
      <c r="A226" s="14" t="s">
        <v>128</v>
      </c>
      <c r="B226" s="14" t="s">
        <v>417</v>
      </c>
      <c r="C226" s="14">
        <v>2</v>
      </c>
      <c r="D226" s="37">
        <f>VLOOKUP($B226,Menu!$A$1:$F$20,MATCH($D$1,Menu!$A$1:$F$1,0),0)</f>
        <v>146.4</v>
      </c>
      <c r="E226" s="14" t="str">
        <f>VLOOKUP($B226,Menu!$A$1:$F$20,MATCH(OrderLines!E$1,Menu!$A$1:$F$1,0),0)</f>
        <v>Hot Meal</v>
      </c>
      <c r="F226" s="37">
        <f>VLOOKUP($B226,Menu!$A$1:$F$20,MATCH(OrderLines!F$1,Menu!$A$1:$F$1,0),0)</f>
        <v>80.92</v>
      </c>
      <c r="G226" s="28">
        <f>VLOOKUP($A226,Orders!$A$1:$H$361,MATCH($G$1,Orders!$A$1:$H$1,0),0)</f>
        <v>45866</v>
      </c>
      <c r="H226" s="14" t="str">
        <f>VLOOKUP($A226,Orders!$A$1:$H$361,MATCH(OrderLines!$H$1,Orders!$A$1:$H$1,0),0)</f>
        <v>Plant 2 Canteen</v>
      </c>
      <c r="I226" s="14">
        <f>VLOOKUP($A226,Orders!$A$1:$H$361,MATCH(OrderLines!$I$1,Orders!$A$1:$H$1,0),0)</f>
        <v>0.02</v>
      </c>
      <c r="J226" s="14">
        <f t="shared" si="10"/>
        <v>286.94400000000002</v>
      </c>
      <c r="K226" s="28" t="str">
        <f t="shared" si="11"/>
        <v>July</v>
      </c>
      <c r="L226" s="14" t="str">
        <f>VLOOKUP(OrderLines!$A226,Orders!$A$1:$H$361,MATCH(OrderLines!$L$1,Orders!$A$1:$H$1,0),0)</f>
        <v>Breakfast</v>
      </c>
      <c r="M226" t="str">
        <f>VLOOKUP($A226,Orders!$A$1:$H$361,MATCH(OrderLines!$M$1,Orders!$A$1:$H$1,0),0)</f>
        <v>Cash</v>
      </c>
      <c r="N226" t="str">
        <f t="shared" si="9"/>
        <v>Single</v>
      </c>
      <c r="O226" t="str" cm="1">
        <f t="array" ref="O226">IF((SUMPRODUCT((OrderID=OrderLines!$A226)*Qty*UnitPrice*DiscountPct))&gt;40,"HighDisc","OK")</f>
        <v>OK</v>
      </c>
      <c r="P226">
        <f>(orderlinesTABLE[[#This Row],[UnitCost]]*orderlinesTABLE[[#This Row],[Qty]])</f>
        <v>161.84</v>
      </c>
      <c r="Q226">
        <f>(orderlinesTABLE[[#This Row],[LineNetAmount]]-orderlinesTABLE[[#This Row],[totalCOST]])</f>
        <v>125.10400000000001</v>
      </c>
      <c r="R226" t="str">
        <f>VLOOKUP($B226,Menu!$A$1:$F$20,MATCH(OrderLines!R$1,Menu!$A$1:$F$1,0),0)</f>
        <v>Rajma Chawal</v>
      </c>
      <c r="S226" t="str" cm="1">
        <f t="array" ref="S226">_xlfn.TEXTJOIN("+",TRUE,_xlfn._xlws.FILTER(orderlinesTABLE[ItemName],OrderID=orderlinesTABLE[[#This Row],[OrderID]]))</f>
        <v>Rajma Chawal</v>
      </c>
      <c r="T226" s="54">
        <f>orderlinesTABLE[[#This Row],[Profit]]/orderlinesTABLE[[#This Row],[LineNetAmount]]</f>
        <v>0.4359875097580016</v>
      </c>
      <c r="U226" s="70">
        <f>(orderlinesTABLE[[#This Row],[Qty]]*orderlinesTABLE[[#This Row],[UnitCost]])</f>
        <v>161.84</v>
      </c>
    </row>
    <row r="227" spans="1:21" x14ac:dyDescent="0.3">
      <c r="A227" s="15" t="s">
        <v>129</v>
      </c>
      <c r="B227" s="15" t="s">
        <v>409</v>
      </c>
      <c r="C227" s="15">
        <v>2</v>
      </c>
      <c r="D227" s="36">
        <f>VLOOKUP($B227,Menu!$A$1:$F$20,MATCH($D$1,Menu!$A$1:$F$1,0),0)</f>
        <v>28.43</v>
      </c>
      <c r="E227" s="15" t="str">
        <f>VLOOKUP($B227,Menu!$A$1:$F$20,MATCH(OrderLines!E$1,Menu!$A$1:$F$1,0),0)</f>
        <v>Beverage</v>
      </c>
      <c r="F227" s="36">
        <f>VLOOKUP($B227,Menu!$A$1:$F$20,MATCH(OrderLines!F$1,Menu!$A$1:$F$1,0),0)</f>
        <v>13.89</v>
      </c>
      <c r="G227" s="27">
        <f>VLOOKUP($A227,Orders!$A$1:$H$361,MATCH($G$1,Orders!$A$1:$H$1,0),0)</f>
        <v>45841</v>
      </c>
      <c r="H227" s="15" t="str">
        <f>VLOOKUP($A227,Orders!$A$1:$H$361,MATCH(OrderLines!$H$1,Orders!$A$1:$H$1,0),0)</f>
        <v>Head Office Café</v>
      </c>
      <c r="I227" s="15">
        <f>VLOOKUP($A227,Orders!$A$1:$H$361,MATCH(OrderLines!$I$1,Orders!$A$1:$H$1,0),0)</f>
        <v>0.08</v>
      </c>
      <c r="J227" s="15">
        <f t="shared" si="10"/>
        <v>52.311199999999999</v>
      </c>
      <c r="K227" s="27" t="str">
        <f t="shared" si="11"/>
        <v>July</v>
      </c>
      <c r="L227" s="15" t="str">
        <f>VLOOKUP(OrderLines!$A227,Orders!$A$1:$H$361,MATCH(OrderLines!$L$1,Orders!$A$1:$H$1,0),0)</f>
        <v>Breakfast</v>
      </c>
      <c r="M227" t="str">
        <f>VLOOKUP($A227,Orders!$A$1:$H$361,MATCH(OrderLines!$M$1,Orders!$A$1:$H$1,0),0)</f>
        <v>Cash</v>
      </c>
      <c r="N227" t="str">
        <f t="shared" si="9"/>
        <v>Combo</v>
      </c>
      <c r="O227" t="str" cm="1">
        <f t="array" ref="O227">IF((SUMPRODUCT((OrderID=OrderLines!$A227)*Qty*UnitPrice*DiscountPct))&gt;40,"HighDisc","OK")</f>
        <v>HighDisc</v>
      </c>
      <c r="P227">
        <f>(orderlinesTABLE[[#This Row],[UnitCost]]*orderlinesTABLE[[#This Row],[Qty]])</f>
        <v>27.78</v>
      </c>
      <c r="Q227">
        <f>(orderlinesTABLE[[#This Row],[LineNetAmount]]-orderlinesTABLE[[#This Row],[totalCOST]])</f>
        <v>24.531199999999998</v>
      </c>
      <c r="R227" t="str">
        <f>VLOOKUP($B227,Menu!$A$1:$F$20,MATCH(OrderLines!R$1,Menu!$A$1:$F$1,0),0)</f>
        <v>Bottled Water</v>
      </c>
      <c r="S227" t="str" cm="1">
        <f t="array" ref="S227">_xlfn.TEXTJOIN("+",TRUE,_xlfn._xlws.FILTER(orderlinesTABLE[ItemName],OrderID=orderlinesTABLE[[#This Row],[OrderID]]))</f>
        <v>Bottled Water+Veg Thali+Brownie</v>
      </c>
      <c r="T227" s="54">
        <f>orderlinesTABLE[[#This Row],[Profit]]/orderlinesTABLE[[#This Row],[LineNetAmount]]</f>
        <v>0.46894737647004847</v>
      </c>
      <c r="U227" s="70">
        <f>(orderlinesTABLE[[#This Row],[Qty]]*orderlinesTABLE[[#This Row],[UnitCost]])</f>
        <v>27.78</v>
      </c>
    </row>
    <row r="228" spans="1:21" x14ac:dyDescent="0.3">
      <c r="A228" s="14" t="s">
        <v>129</v>
      </c>
      <c r="B228" s="14" t="s">
        <v>416</v>
      </c>
      <c r="C228" s="14">
        <v>2</v>
      </c>
      <c r="D228" s="37">
        <f>VLOOKUP($B228,Menu!$A$1:$F$20,MATCH($D$1,Menu!$A$1:$F$1,0),0)</f>
        <v>227.61</v>
      </c>
      <c r="E228" s="14" t="str">
        <f>VLOOKUP($B228,Menu!$A$1:$F$20,MATCH(OrderLines!E$1,Menu!$A$1:$F$1,0),0)</f>
        <v>Hot Meal</v>
      </c>
      <c r="F228" s="37">
        <f>VLOOKUP($B228,Menu!$A$1:$F$20,MATCH(OrderLines!F$1,Menu!$A$1:$F$1,0),0)</f>
        <v>96.22</v>
      </c>
      <c r="G228" s="28">
        <f>VLOOKUP($A228,Orders!$A$1:$H$361,MATCH($G$1,Orders!$A$1:$H$1,0),0)</f>
        <v>45841</v>
      </c>
      <c r="H228" s="14" t="str">
        <f>VLOOKUP($A228,Orders!$A$1:$H$361,MATCH(OrderLines!$H$1,Orders!$A$1:$H$1,0),0)</f>
        <v>Head Office Café</v>
      </c>
      <c r="I228" s="14">
        <f>VLOOKUP($A228,Orders!$A$1:$H$361,MATCH(OrderLines!$I$1,Orders!$A$1:$H$1,0),0)</f>
        <v>0.08</v>
      </c>
      <c r="J228" s="14">
        <f t="shared" si="10"/>
        <v>418.80240000000003</v>
      </c>
      <c r="K228" s="28" t="str">
        <f t="shared" si="11"/>
        <v>July</v>
      </c>
      <c r="L228" s="14" t="str">
        <f>VLOOKUP(OrderLines!$A228,Orders!$A$1:$H$361,MATCH(OrderLines!$L$1,Orders!$A$1:$H$1,0),0)</f>
        <v>Breakfast</v>
      </c>
      <c r="M228" t="str">
        <f>VLOOKUP($A228,Orders!$A$1:$H$361,MATCH(OrderLines!$M$1,Orders!$A$1:$H$1,0),0)</f>
        <v>Cash</v>
      </c>
      <c r="N228" t="str">
        <f t="shared" si="9"/>
        <v>Combo</v>
      </c>
      <c r="O228" t="str" cm="1">
        <f t="array" ref="O228">IF((SUMPRODUCT((OrderID=OrderLines!$A228)*Qty*UnitPrice*DiscountPct))&gt;40,"HighDisc","OK")</f>
        <v>HighDisc</v>
      </c>
      <c r="P228">
        <f>(orderlinesTABLE[[#This Row],[UnitCost]]*orderlinesTABLE[[#This Row],[Qty]])</f>
        <v>192.44</v>
      </c>
      <c r="Q228">
        <f>(orderlinesTABLE[[#This Row],[LineNetAmount]]-orderlinesTABLE[[#This Row],[totalCOST]])</f>
        <v>226.36240000000004</v>
      </c>
      <c r="R228" t="str">
        <f>VLOOKUP($B228,Menu!$A$1:$F$20,MATCH(OrderLines!R$1,Menu!$A$1:$F$1,0),0)</f>
        <v>Veg Thali</v>
      </c>
      <c r="S228" t="str" cm="1">
        <f t="array" ref="S228">_xlfn.TEXTJOIN("+",TRUE,_xlfn._xlws.FILTER(orderlinesTABLE[ItemName],OrderID=orderlinesTABLE[[#This Row],[OrderID]]))</f>
        <v>Bottled Water+Veg Thali+Brownie</v>
      </c>
      <c r="T228" s="54">
        <f>orderlinesTABLE[[#This Row],[Profit]]/orderlinesTABLE[[#This Row],[LineNetAmount]]</f>
        <v>0.54049929035745736</v>
      </c>
      <c r="U228" s="70">
        <f>(orderlinesTABLE[[#This Row],[Qty]]*orderlinesTABLE[[#This Row],[UnitCost]])</f>
        <v>192.44</v>
      </c>
    </row>
    <row r="229" spans="1:21" x14ac:dyDescent="0.3">
      <c r="A229" s="15" t="s">
        <v>129</v>
      </c>
      <c r="B229" s="15" t="s">
        <v>414</v>
      </c>
      <c r="C229" s="15">
        <v>2</v>
      </c>
      <c r="D229" s="36">
        <f>VLOOKUP($B229,Menu!$A$1:$F$20,MATCH($D$1,Menu!$A$1:$F$1,0),0)</f>
        <v>116.8</v>
      </c>
      <c r="E229" s="15" t="str">
        <f>VLOOKUP($B229,Menu!$A$1:$F$20,MATCH(OrderLines!E$1,Menu!$A$1:$F$1,0),0)</f>
        <v>Dessert</v>
      </c>
      <c r="F229" s="36">
        <f>VLOOKUP($B229,Menu!$A$1:$F$20,MATCH(OrderLines!F$1,Menu!$A$1:$F$1,0),0)</f>
        <v>48.97</v>
      </c>
      <c r="G229" s="27">
        <f>VLOOKUP($A229,Orders!$A$1:$H$361,MATCH($G$1,Orders!$A$1:$H$1,0),0)</f>
        <v>45841</v>
      </c>
      <c r="H229" s="15" t="str">
        <f>VLOOKUP($A229,Orders!$A$1:$H$361,MATCH(OrderLines!$H$1,Orders!$A$1:$H$1,0),0)</f>
        <v>Head Office Café</v>
      </c>
      <c r="I229" s="15">
        <f>VLOOKUP($A229,Orders!$A$1:$H$361,MATCH(OrderLines!$I$1,Orders!$A$1:$H$1,0),0)</f>
        <v>0.08</v>
      </c>
      <c r="J229" s="15">
        <f t="shared" si="10"/>
        <v>214.91200000000001</v>
      </c>
      <c r="K229" s="27" t="str">
        <f t="shared" si="11"/>
        <v>July</v>
      </c>
      <c r="L229" s="15" t="str">
        <f>VLOOKUP(OrderLines!$A229,Orders!$A$1:$H$361,MATCH(OrderLines!$L$1,Orders!$A$1:$H$1,0),0)</f>
        <v>Breakfast</v>
      </c>
      <c r="M229" t="str">
        <f>VLOOKUP($A229,Orders!$A$1:$H$361,MATCH(OrderLines!$M$1,Orders!$A$1:$H$1,0),0)</f>
        <v>Cash</v>
      </c>
      <c r="N229" t="str">
        <f t="shared" si="9"/>
        <v>Combo</v>
      </c>
      <c r="O229" t="str" cm="1">
        <f t="array" ref="O229">IF((SUMPRODUCT((OrderID=OrderLines!$A229)*Qty*UnitPrice*DiscountPct))&gt;40,"HighDisc","OK")</f>
        <v>HighDisc</v>
      </c>
      <c r="P229">
        <f>(orderlinesTABLE[[#This Row],[UnitCost]]*orderlinesTABLE[[#This Row],[Qty]])</f>
        <v>97.94</v>
      </c>
      <c r="Q229">
        <f>(orderlinesTABLE[[#This Row],[LineNetAmount]]-orderlinesTABLE[[#This Row],[totalCOST]])</f>
        <v>116.97200000000001</v>
      </c>
      <c r="R229" t="str">
        <f>VLOOKUP($B229,Menu!$A$1:$F$20,MATCH(OrderLines!R$1,Menu!$A$1:$F$1,0),0)</f>
        <v>Brownie</v>
      </c>
      <c r="S229" t="str" cm="1">
        <f t="array" ref="S229">_xlfn.TEXTJOIN("+",TRUE,_xlfn._xlws.FILTER(orderlinesTABLE[ItemName],OrderID=orderlinesTABLE[[#This Row],[OrderID]]))</f>
        <v>Bottled Water+Veg Thali+Brownie</v>
      </c>
      <c r="T229" s="54">
        <f>orderlinesTABLE[[#This Row],[Profit]]/orderlinesTABLE[[#This Row],[LineNetAmount]]</f>
        <v>0.54427858844550325</v>
      </c>
      <c r="U229" s="70">
        <f>(orderlinesTABLE[[#This Row],[Qty]]*orderlinesTABLE[[#This Row],[UnitCost]])</f>
        <v>97.94</v>
      </c>
    </row>
    <row r="230" spans="1:21" x14ac:dyDescent="0.3">
      <c r="A230" s="14" t="s">
        <v>130</v>
      </c>
      <c r="B230" s="14" t="s">
        <v>412</v>
      </c>
      <c r="C230" s="14">
        <v>2</v>
      </c>
      <c r="D230" s="37">
        <f>VLOOKUP($B230,Menu!$A$1:$F$20,MATCH($D$1,Menu!$A$1:$F$1,0),0)</f>
        <v>57.07</v>
      </c>
      <c r="E230" s="14" t="str">
        <f>VLOOKUP($B230,Menu!$A$1:$F$20,MATCH(OrderLines!E$1,Menu!$A$1:$F$1,0),0)</f>
        <v>Dessert</v>
      </c>
      <c r="F230" s="37">
        <f>VLOOKUP($B230,Menu!$A$1:$F$20,MATCH(OrderLines!F$1,Menu!$A$1:$F$1,0),0)</f>
        <v>29.14</v>
      </c>
      <c r="G230" s="28">
        <f>VLOOKUP($A230,Orders!$A$1:$H$361,MATCH($G$1,Orders!$A$1:$H$1,0),0)</f>
        <v>45861</v>
      </c>
      <c r="H230" s="14" t="str">
        <f>VLOOKUP($A230,Orders!$A$1:$H$361,MATCH(OrderLines!$H$1,Orders!$A$1:$H$1,0),0)</f>
        <v>Head Office Café</v>
      </c>
      <c r="I230" s="14">
        <f>VLOOKUP($A230,Orders!$A$1:$H$361,MATCH(OrderLines!$I$1,Orders!$A$1:$H$1,0),0)</f>
        <v>0.02</v>
      </c>
      <c r="J230" s="14">
        <f t="shared" si="10"/>
        <v>111.85719999999999</v>
      </c>
      <c r="K230" s="28" t="str">
        <f t="shared" si="11"/>
        <v>July</v>
      </c>
      <c r="L230" s="14" t="str">
        <f>VLOOKUP(OrderLines!$A230,Orders!$A$1:$H$361,MATCH(OrderLines!$L$1,Orders!$A$1:$H$1,0),0)</f>
        <v>Breakfast</v>
      </c>
      <c r="M230" t="str">
        <f>VLOOKUP($A230,Orders!$A$1:$H$361,MATCH(OrderLines!$M$1,Orders!$A$1:$H$1,0),0)</f>
        <v>UPI</v>
      </c>
      <c r="N230" t="str">
        <f t="shared" si="9"/>
        <v>Single</v>
      </c>
      <c r="O230" t="str" cm="1">
        <f t="array" ref="O230">IF((SUMPRODUCT((OrderID=OrderLines!$A230)*Qty*UnitPrice*DiscountPct))&gt;40,"HighDisc","OK")</f>
        <v>OK</v>
      </c>
      <c r="P230">
        <f>(orderlinesTABLE[[#This Row],[UnitCost]]*orderlinesTABLE[[#This Row],[Qty]])</f>
        <v>58.28</v>
      </c>
      <c r="Q230">
        <f>(orderlinesTABLE[[#This Row],[LineNetAmount]]-orderlinesTABLE[[#This Row],[totalCOST]])</f>
        <v>53.577199999999991</v>
      </c>
      <c r="R230" t="str">
        <f>VLOOKUP($B230,Menu!$A$1:$F$20,MATCH(OrderLines!R$1,Menu!$A$1:$F$1,0),0)</f>
        <v>Fruit Cup</v>
      </c>
      <c r="S230" t="str" cm="1">
        <f t="array" ref="S230">_xlfn.TEXTJOIN("+",TRUE,_xlfn._xlws.FILTER(orderlinesTABLE[ItemName],OrderID=orderlinesTABLE[[#This Row],[OrderID]]))</f>
        <v>Fruit Cup+Rajma Chawal</v>
      </c>
      <c r="T230" s="54">
        <f>orderlinesTABLE[[#This Row],[Profit]]/orderlinesTABLE[[#This Row],[LineNetAmount]]</f>
        <v>0.47897855480022739</v>
      </c>
      <c r="U230" s="70">
        <f>(orderlinesTABLE[[#This Row],[Qty]]*orderlinesTABLE[[#This Row],[UnitCost]])</f>
        <v>58.28</v>
      </c>
    </row>
    <row r="231" spans="1:21" x14ac:dyDescent="0.3">
      <c r="A231" s="15" t="s">
        <v>130</v>
      </c>
      <c r="B231" s="15" t="s">
        <v>417</v>
      </c>
      <c r="C231" s="15">
        <v>2</v>
      </c>
      <c r="D231" s="36">
        <f>VLOOKUP($B231,Menu!$A$1:$F$20,MATCH($D$1,Menu!$A$1:$F$1,0),0)</f>
        <v>146.4</v>
      </c>
      <c r="E231" s="15" t="str">
        <f>VLOOKUP($B231,Menu!$A$1:$F$20,MATCH(OrderLines!E$1,Menu!$A$1:$F$1,0),0)</f>
        <v>Hot Meal</v>
      </c>
      <c r="F231" s="36">
        <f>VLOOKUP($B231,Menu!$A$1:$F$20,MATCH(OrderLines!F$1,Menu!$A$1:$F$1,0),0)</f>
        <v>80.92</v>
      </c>
      <c r="G231" s="27">
        <f>VLOOKUP($A231,Orders!$A$1:$H$361,MATCH($G$1,Orders!$A$1:$H$1,0),0)</f>
        <v>45861</v>
      </c>
      <c r="H231" s="15" t="str">
        <f>VLOOKUP($A231,Orders!$A$1:$H$361,MATCH(OrderLines!$H$1,Orders!$A$1:$H$1,0),0)</f>
        <v>Head Office Café</v>
      </c>
      <c r="I231" s="15">
        <f>VLOOKUP($A231,Orders!$A$1:$H$361,MATCH(OrderLines!$I$1,Orders!$A$1:$H$1,0),0)</f>
        <v>0.02</v>
      </c>
      <c r="J231" s="15">
        <f t="shared" si="10"/>
        <v>286.94400000000002</v>
      </c>
      <c r="K231" s="27" t="str">
        <f t="shared" si="11"/>
        <v>July</v>
      </c>
      <c r="L231" s="15" t="str">
        <f>VLOOKUP(OrderLines!$A231,Orders!$A$1:$H$361,MATCH(OrderLines!$L$1,Orders!$A$1:$H$1,0),0)</f>
        <v>Breakfast</v>
      </c>
      <c r="M231" t="str">
        <f>VLOOKUP($A231,Orders!$A$1:$H$361,MATCH(OrderLines!$M$1,Orders!$A$1:$H$1,0),0)</f>
        <v>UPI</v>
      </c>
      <c r="N231" t="str">
        <f t="shared" si="9"/>
        <v>Single</v>
      </c>
      <c r="O231" t="str" cm="1">
        <f t="array" ref="O231">IF((SUMPRODUCT((OrderID=OrderLines!$A231)*Qty*UnitPrice*DiscountPct))&gt;40,"HighDisc","OK")</f>
        <v>OK</v>
      </c>
      <c r="P231">
        <f>(orderlinesTABLE[[#This Row],[UnitCost]]*orderlinesTABLE[[#This Row],[Qty]])</f>
        <v>161.84</v>
      </c>
      <c r="Q231">
        <f>(orderlinesTABLE[[#This Row],[LineNetAmount]]-orderlinesTABLE[[#This Row],[totalCOST]])</f>
        <v>125.10400000000001</v>
      </c>
      <c r="R231" t="str">
        <f>VLOOKUP($B231,Menu!$A$1:$F$20,MATCH(OrderLines!R$1,Menu!$A$1:$F$1,0),0)</f>
        <v>Rajma Chawal</v>
      </c>
      <c r="S231" t="str" cm="1">
        <f t="array" ref="S231">_xlfn.TEXTJOIN("+",TRUE,_xlfn._xlws.FILTER(orderlinesTABLE[ItemName],OrderID=orderlinesTABLE[[#This Row],[OrderID]]))</f>
        <v>Fruit Cup+Rajma Chawal</v>
      </c>
      <c r="T231" s="54">
        <f>orderlinesTABLE[[#This Row],[Profit]]/orderlinesTABLE[[#This Row],[LineNetAmount]]</f>
        <v>0.4359875097580016</v>
      </c>
      <c r="U231" s="70">
        <f>(orderlinesTABLE[[#This Row],[Qty]]*orderlinesTABLE[[#This Row],[UnitCost]])</f>
        <v>161.84</v>
      </c>
    </row>
    <row r="232" spans="1:21" x14ac:dyDescent="0.3">
      <c r="A232" s="14" t="s">
        <v>131</v>
      </c>
      <c r="B232" s="14" t="s">
        <v>419</v>
      </c>
      <c r="C232" s="14">
        <v>1</v>
      </c>
      <c r="D232" s="37">
        <f>VLOOKUP($B232,Menu!$A$1:$F$20,MATCH($D$1,Menu!$A$1:$F$1,0),0)</f>
        <v>50.19</v>
      </c>
      <c r="E232" s="14" t="str">
        <f>VLOOKUP($B232,Menu!$A$1:$F$20,MATCH(OrderLines!E$1,Menu!$A$1:$F$1,0),0)</f>
        <v>Snack</v>
      </c>
      <c r="F232" s="37">
        <f>VLOOKUP($B232,Menu!$A$1:$F$20,MATCH(OrderLines!F$1,Menu!$A$1:$F$1,0),0)</f>
        <v>22.61</v>
      </c>
      <c r="G232" s="28">
        <f>VLOOKUP($A232,Orders!$A$1:$H$361,MATCH($G$1,Orders!$A$1:$H$1,0),0)</f>
        <v>45842</v>
      </c>
      <c r="H232" s="14" t="str">
        <f>VLOOKUP($A232,Orders!$A$1:$H$361,MATCH(OrderLines!$H$1,Orders!$A$1:$H$1,0),0)</f>
        <v>Plant 1 Canteen</v>
      </c>
      <c r="I232" s="14">
        <f>VLOOKUP($A232,Orders!$A$1:$H$361,MATCH(OrderLines!$I$1,Orders!$A$1:$H$1,0),0)</f>
        <v>0.12</v>
      </c>
      <c r="J232" s="14">
        <f t="shared" si="10"/>
        <v>44.167200000000001</v>
      </c>
      <c r="K232" s="28" t="str">
        <f t="shared" si="11"/>
        <v>July</v>
      </c>
      <c r="L232" s="14" t="str">
        <f>VLOOKUP(OrderLines!$A232,Orders!$A$1:$H$361,MATCH(OrderLines!$L$1,Orders!$A$1:$H$1,0),0)</f>
        <v>Breakfast</v>
      </c>
      <c r="M232" t="str">
        <f>VLOOKUP($A232,Orders!$A$1:$H$361,MATCH(OrderLines!$M$1,Orders!$A$1:$H$1,0),0)</f>
        <v>Cash</v>
      </c>
      <c r="N232" t="str">
        <f t="shared" si="9"/>
        <v>Single</v>
      </c>
      <c r="O232" t="str" cm="1">
        <f t="array" ref="O232">IF((SUMPRODUCT((OrderID=OrderLines!$A232)*Qty*UnitPrice*DiscountPct))&gt;40,"HighDisc","OK")</f>
        <v>OK</v>
      </c>
      <c r="P232">
        <f>(orderlinesTABLE[[#This Row],[UnitCost]]*orderlinesTABLE[[#This Row],[Qty]])</f>
        <v>22.61</v>
      </c>
      <c r="Q232">
        <f>(orderlinesTABLE[[#This Row],[LineNetAmount]]-orderlinesTABLE[[#This Row],[totalCOST]])</f>
        <v>21.557200000000002</v>
      </c>
      <c r="R232" t="str">
        <f>VLOOKUP($B232,Menu!$A$1:$F$20,MATCH(OrderLines!R$1,Menu!$A$1:$F$1,0),0)</f>
        <v>Masala Puff</v>
      </c>
      <c r="S232" t="str" cm="1">
        <f t="array" ref="S232">_xlfn.TEXTJOIN("+",TRUE,_xlfn._xlws.FILTER(orderlinesTABLE[ItemName],OrderID=orderlinesTABLE[[#This Row],[OrderID]]))</f>
        <v>Masala Puff+Brownie+Bottled Water</v>
      </c>
      <c r="T232" s="54">
        <f>orderlinesTABLE[[#This Row],[Profit]]/orderlinesTABLE[[#This Row],[LineNetAmount]]</f>
        <v>0.48808165335361992</v>
      </c>
      <c r="U232" s="70">
        <f>(orderlinesTABLE[[#This Row],[Qty]]*orderlinesTABLE[[#This Row],[UnitCost]])</f>
        <v>22.61</v>
      </c>
    </row>
    <row r="233" spans="1:21" x14ac:dyDescent="0.3">
      <c r="A233" s="15" t="s">
        <v>131</v>
      </c>
      <c r="B233" s="15" t="s">
        <v>414</v>
      </c>
      <c r="C233" s="15">
        <v>1</v>
      </c>
      <c r="D233" s="36">
        <f>VLOOKUP($B233,Menu!$A$1:$F$20,MATCH($D$1,Menu!$A$1:$F$1,0),0)</f>
        <v>116.8</v>
      </c>
      <c r="E233" s="15" t="str">
        <f>VLOOKUP($B233,Menu!$A$1:$F$20,MATCH(OrderLines!E$1,Menu!$A$1:$F$1,0),0)</f>
        <v>Dessert</v>
      </c>
      <c r="F233" s="36">
        <f>VLOOKUP($B233,Menu!$A$1:$F$20,MATCH(OrderLines!F$1,Menu!$A$1:$F$1,0),0)</f>
        <v>48.97</v>
      </c>
      <c r="G233" s="27">
        <f>VLOOKUP($A233,Orders!$A$1:$H$361,MATCH($G$1,Orders!$A$1:$H$1,0),0)</f>
        <v>45842</v>
      </c>
      <c r="H233" s="15" t="str">
        <f>VLOOKUP($A233,Orders!$A$1:$H$361,MATCH(OrderLines!$H$1,Orders!$A$1:$H$1,0),0)</f>
        <v>Plant 1 Canteen</v>
      </c>
      <c r="I233" s="15">
        <f>VLOOKUP($A233,Orders!$A$1:$H$361,MATCH(OrderLines!$I$1,Orders!$A$1:$H$1,0),0)</f>
        <v>0.12</v>
      </c>
      <c r="J233" s="15">
        <f t="shared" si="10"/>
        <v>102.78399999999999</v>
      </c>
      <c r="K233" s="27" t="str">
        <f t="shared" si="11"/>
        <v>July</v>
      </c>
      <c r="L233" s="15" t="str">
        <f>VLOOKUP(OrderLines!$A233,Orders!$A$1:$H$361,MATCH(OrderLines!$L$1,Orders!$A$1:$H$1,0),0)</f>
        <v>Breakfast</v>
      </c>
      <c r="M233" t="str">
        <f>VLOOKUP($A233,Orders!$A$1:$H$361,MATCH(OrderLines!$M$1,Orders!$A$1:$H$1,0),0)</f>
        <v>Cash</v>
      </c>
      <c r="N233" t="str">
        <f t="shared" si="9"/>
        <v>Single</v>
      </c>
      <c r="O233" t="str" cm="1">
        <f t="array" ref="O233">IF((SUMPRODUCT((OrderID=OrderLines!$A233)*Qty*UnitPrice*DiscountPct))&gt;40,"HighDisc","OK")</f>
        <v>OK</v>
      </c>
      <c r="P233">
        <f>(orderlinesTABLE[[#This Row],[UnitCost]]*orderlinesTABLE[[#This Row],[Qty]])</f>
        <v>48.97</v>
      </c>
      <c r="Q233">
        <f>(orderlinesTABLE[[#This Row],[LineNetAmount]]-orderlinesTABLE[[#This Row],[totalCOST]])</f>
        <v>53.813999999999993</v>
      </c>
      <c r="R233" t="str">
        <f>VLOOKUP($B233,Menu!$A$1:$F$20,MATCH(OrderLines!R$1,Menu!$A$1:$F$1,0),0)</f>
        <v>Brownie</v>
      </c>
      <c r="S233" t="str" cm="1">
        <f t="array" ref="S233">_xlfn.TEXTJOIN("+",TRUE,_xlfn._xlws.FILTER(orderlinesTABLE[ItemName],OrderID=orderlinesTABLE[[#This Row],[OrderID]]))</f>
        <v>Masala Puff+Brownie+Bottled Water</v>
      </c>
      <c r="T233" s="54">
        <f>orderlinesTABLE[[#This Row],[Profit]]/orderlinesTABLE[[#This Row],[LineNetAmount]]</f>
        <v>0.52356397882938976</v>
      </c>
      <c r="U233" s="70">
        <f>(orderlinesTABLE[[#This Row],[Qty]]*orderlinesTABLE[[#This Row],[UnitCost]])</f>
        <v>48.97</v>
      </c>
    </row>
    <row r="234" spans="1:21" x14ac:dyDescent="0.3">
      <c r="A234" s="14" t="s">
        <v>131</v>
      </c>
      <c r="B234" s="14" t="s">
        <v>409</v>
      </c>
      <c r="C234" s="14">
        <v>1</v>
      </c>
      <c r="D234" s="37">
        <f>VLOOKUP($B234,Menu!$A$1:$F$20,MATCH($D$1,Menu!$A$1:$F$1,0),0)</f>
        <v>28.43</v>
      </c>
      <c r="E234" s="14" t="str">
        <f>VLOOKUP($B234,Menu!$A$1:$F$20,MATCH(OrderLines!E$1,Menu!$A$1:$F$1,0),0)</f>
        <v>Beverage</v>
      </c>
      <c r="F234" s="37">
        <f>VLOOKUP($B234,Menu!$A$1:$F$20,MATCH(OrderLines!F$1,Menu!$A$1:$F$1,0),0)</f>
        <v>13.89</v>
      </c>
      <c r="G234" s="28">
        <f>VLOOKUP($A234,Orders!$A$1:$H$361,MATCH($G$1,Orders!$A$1:$H$1,0),0)</f>
        <v>45842</v>
      </c>
      <c r="H234" s="14" t="str">
        <f>VLOOKUP($A234,Orders!$A$1:$H$361,MATCH(OrderLines!$H$1,Orders!$A$1:$H$1,0),0)</f>
        <v>Plant 1 Canteen</v>
      </c>
      <c r="I234" s="14">
        <f>VLOOKUP($A234,Orders!$A$1:$H$361,MATCH(OrderLines!$I$1,Orders!$A$1:$H$1,0),0)</f>
        <v>0.12</v>
      </c>
      <c r="J234" s="14">
        <f t="shared" si="10"/>
        <v>25.0184</v>
      </c>
      <c r="K234" s="28" t="str">
        <f t="shared" si="11"/>
        <v>July</v>
      </c>
      <c r="L234" s="14" t="str">
        <f>VLOOKUP(OrderLines!$A234,Orders!$A$1:$H$361,MATCH(OrderLines!$L$1,Orders!$A$1:$H$1,0),0)</f>
        <v>Breakfast</v>
      </c>
      <c r="M234" t="str">
        <f>VLOOKUP($A234,Orders!$A$1:$H$361,MATCH(OrderLines!$M$1,Orders!$A$1:$H$1,0),0)</f>
        <v>Cash</v>
      </c>
      <c r="N234" t="str">
        <f t="shared" si="9"/>
        <v>Single</v>
      </c>
      <c r="O234" t="str" cm="1">
        <f t="array" ref="O234">IF((SUMPRODUCT((OrderID=OrderLines!$A234)*Qty*UnitPrice*DiscountPct))&gt;40,"HighDisc","OK")</f>
        <v>OK</v>
      </c>
      <c r="P234">
        <f>(orderlinesTABLE[[#This Row],[UnitCost]]*orderlinesTABLE[[#This Row],[Qty]])</f>
        <v>13.89</v>
      </c>
      <c r="Q234">
        <f>(orderlinesTABLE[[#This Row],[LineNetAmount]]-orderlinesTABLE[[#This Row],[totalCOST]])</f>
        <v>11.128399999999999</v>
      </c>
      <c r="R234" t="str">
        <f>VLOOKUP($B234,Menu!$A$1:$F$20,MATCH(OrderLines!R$1,Menu!$A$1:$F$1,0),0)</f>
        <v>Bottled Water</v>
      </c>
      <c r="S234" t="str" cm="1">
        <f t="array" ref="S234">_xlfn.TEXTJOIN("+",TRUE,_xlfn._xlws.FILTER(orderlinesTABLE[ItemName],OrderID=orderlinesTABLE[[#This Row],[OrderID]]))</f>
        <v>Masala Puff+Brownie+Bottled Water</v>
      </c>
      <c r="T234" s="54">
        <f>orderlinesTABLE[[#This Row],[Profit]]/orderlinesTABLE[[#This Row],[LineNetAmount]]</f>
        <v>0.44480862085505063</v>
      </c>
      <c r="U234" s="70">
        <f>(orderlinesTABLE[[#This Row],[Qty]]*orderlinesTABLE[[#This Row],[UnitCost]])</f>
        <v>13.89</v>
      </c>
    </row>
    <row r="235" spans="1:21" x14ac:dyDescent="0.3">
      <c r="A235" s="15" t="s">
        <v>132</v>
      </c>
      <c r="B235" s="15" t="s">
        <v>418</v>
      </c>
      <c r="C235" s="15">
        <v>2</v>
      </c>
      <c r="D235" s="36">
        <f>VLOOKUP($B235,Menu!$A$1:$F$20,MATCH($D$1,Menu!$A$1:$F$1,0),0)</f>
        <v>39.950000000000003</v>
      </c>
      <c r="E235" s="15" t="str">
        <f>VLOOKUP($B235,Menu!$A$1:$F$20,MATCH(OrderLines!E$1,Menu!$A$1:$F$1,0),0)</f>
        <v>Snack</v>
      </c>
      <c r="F235" s="36">
        <f>VLOOKUP($B235,Menu!$A$1:$F$20,MATCH(OrderLines!F$1,Menu!$A$1:$F$1,0),0)</f>
        <v>15.51</v>
      </c>
      <c r="G235" s="27">
        <f>VLOOKUP($A235,Orders!$A$1:$H$361,MATCH($G$1,Orders!$A$1:$H$1,0),0)</f>
        <v>45862</v>
      </c>
      <c r="H235" s="15" t="str">
        <f>VLOOKUP($A235,Orders!$A$1:$H$361,MATCH(OrderLines!$H$1,Orders!$A$1:$H$1,0),0)</f>
        <v>Plant 1 Canteen</v>
      </c>
      <c r="I235" s="15">
        <f>VLOOKUP($A235,Orders!$A$1:$H$361,MATCH(OrderLines!$I$1,Orders!$A$1:$H$1,0),0)</f>
        <v>0.03</v>
      </c>
      <c r="J235" s="15">
        <f t="shared" si="10"/>
        <v>77.503</v>
      </c>
      <c r="K235" s="27" t="str">
        <f t="shared" si="11"/>
        <v>July</v>
      </c>
      <c r="L235" s="15" t="str">
        <f>VLOOKUP(OrderLines!$A235,Orders!$A$1:$H$361,MATCH(OrderLines!$L$1,Orders!$A$1:$H$1,0),0)</f>
        <v>Breakfast</v>
      </c>
      <c r="M235" t="str">
        <f>VLOOKUP($A235,Orders!$A$1:$H$361,MATCH(OrderLines!$M$1,Orders!$A$1:$H$1,0),0)</f>
        <v>UPI</v>
      </c>
      <c r="N235" t="str">
        <f t="shared" si="9"/>
        <v>Single</v>
      </c>
      <c r="O235" t="str" cm="1">
        <f t="array" ref="O235">IF((SUMPRODUCT((OrderID=OrderLines!$A235)*Qty*UnitPrice*DiscountPct))&gt;40,"HighDisc","OK")</f>
        <v>OK</v>
      </c>
      <c r="P235">
        <f>(orderlinesTABLE[[#This Row],[UnitCost]]*orderlinesTABLE[[#This Row],[Qty]])</f>
        <v>31.02</v>
      </c>
      <c r="Q235">
        <f>(orderlinesTABLE[[#This Row],[LineNetAmount]]-orderlinesTABLE[[#This Row],[totalCOST]])</f>
        <v>46.483000000000004</v>
      </c>
      <c r="R235" t="str">
        <f>VLOOKUP($B235,Menu!$A$1:$F$20,MATCH(OrderLines!R$1,Menu!$A$1:$F$1,0),0)</f>
        <v>Samosa</v>
      </c>
      <c r="S235" t="str" cm="1">
        <f t="array" ref="S235">_xlfn.TEXTJOIN("+",TRUE,_xlfn._xlws.FILTER(orderlinesTABLE[ItemName],OrderID=orderlinesTABLE[[#This Row],[OrderID]]))</f>
        <v>Samosa+Veg Thali</v>
      </c>
      <c r="T235" s="54">
        <f>orderlinesTABLE[[#This Row],[Profit]]/orderlinesTABLE[[#This Row],[LineNetAmount]]</f>
        <v>0.59975742874469384</v>
      </c>
      <c r="U235" s="70">
        <f>(orderlinesTABLE[[#This Row],[Qty]]*orderlinesTABLE[[#This Row],[UnitCost]])</f>
        <v>31.02</v>
      </c>
    </row>
    <row r="236" spans="1:21" x14ac:dyDescent="0.3">
      <c r="A236" s="14" t="s">
        <v>132</v>
      </c>
      <c r="B236" s="14" t="s">
        <v>416</v>
      </c>
      <c r="C236" s="14">
        <v>3</v>
      </c>
      <c r="D236" s="37">
        <f>VLOOKUP($B236,Menu!$A$1:$F$20,MATCH($D$1,Menu!$A$1:$F$1,0),0)</f>
        <v>227.61</v>
      </c>
      <c r="E236" s="14" t="str">
        <f>VLOOKUP($B236,Menu!$A$1:$F$20,MATCH(OrderLines!E$1,Menu!$A$1:$F$1,0),0)</f>
        <v>Hot Meal</v>
      </c>
      <c r="F236" s="37">
        <f>VLOOKUP($B236,Menu!$A$1:$F$20,MATCH(OrderLines!F$1,Menu!$A$1:$F$1,0),0)</f>
        <v>96.22</v>
      </c>
      <c r="G236" s="28">
        <f>VLOOKUP($A236,Orders!$A$1:$H$361,MATCH($G$1,Orders!$A$1:$H$1,0),0)</f>
        <v>45862</v>
      </c>
      <c r="H236" s="14" t="str">
        <f>VLOOKUP($A236,Orders!$A$1:$H$361,MATCH(OrderLines!$H$1,Orders!$A$1:$H$1,0),0)</f>
        <v>Plant 1 Canteen</v>
      </c>
      <c r="I236" s="14">
        <f>VLOOKUP($A236,Orders!$A$1:$H$361,MATCH(OrderLines!$I$1,Orders!$A$1:$H$1,0),0)</f>
        <v>0.03</v>
      </c>
      <c r="J236" s="14">
        <f t="shared" si="10"/>
        <v>662.3451</v>
      </c>
      <c r="K236" s="28" t="str">
        <f t="shared" si="11"/>
        <v>July</v>
      </c>
      <c r="L236" s="14" t="str">
        <f>VLOOKUP(OrderLines!$A236,Orders!$A$1:$H$361,MATCH(OrderLines!$L$1,Orders!$A$1:$H$1,0),0)</f>
        <v>Breakfast</v>
      </c>
      <c r="M236" t="str">
        <f>VLOOKUP($A236,Orders!$A$1:$H$361,MATCH(OrderLines!$M$1,Orders!$A$1:$H$1,0),0)</f>
        <v>UPI</v>
      </c>
      <c r="N236" t="str">
        <f t="shared" si="9"/>
        <v>Single</v>
      </c>
      <c r="O236" t="str" cm="1">
        <f t="array" ref="O236">IF((SUMPRODUCT((OrderID=OrderLines!$A236)*Qty*UnitPrice*DiscountPct))&gt;40,"HighDisc","OK")</f>
        <v>OK</v>
      </c>
      <c r="P236">
        <f>(orderlinesTABLE[[#This Row],[UnitCost]]*orderlinesTABLE[[#This Row],[Qty]])</f>
        <v>288.65999999999997</v>
      </c>
      <c r="Q236">
        <f>(orderlinesTABLE[[#This Row],[LineNetAmount]]-orderlinesTABLE[[#This Row],[totalCOST]])</f>
        <v>373.68510000000003</v>
      </c>
      <c r="R236" t="str">
        <f>VLOOKUP($B236,Menu!$A$1:$F$20,MATCH(OrderLines!R$1,Menu!$A$1:$F$1,0),0)</f>
        <v>Veg Thali</v>
      </c>
      <c r="S236" t="str" cm="1">
        <f t="array" ref="S236">_xlfn.TEXTJOIN("+",TRUE,_xlfn._xlws.FILTER(orderlinesTABLE[ItemName],OrderID=orderlinesTABLE[[#This Row],[OrderID]]))</f>
        <v>Samosa+Veg Thali</v>
      </c>
      <c r="T236" s="54">
        <f>orderlinesTABLE[[#This Row],[Profit]]/orderlinesTABLE[[#This Row],[LineNetAmount]]</f>
        <v>0.56418489394727922</v>
      </c>
      <c r="U236" s="70">
        <f>(orderlinesTABLE[[#This Row],[Qty]]*orderlinesTABLE[[#This Row],[UnitCost]])</f>
        <v>288.65999999999997</v>
      </c>
    </row>
    <row r="237" spans="1:21" x14ac:dyDescent="0.3">
      <c r="A237" s="15" t="s">
        <v>133</v>
      </c>
      <c r="B237" s="15" t="s">
        <v>407</v>
      </c>
      <c r="C237" s="15">
        <v>3</v>
      </c>
      <c r="D237" s="36">
        <f>VLOOKUP($B237,Menu!$A$1:$F$20,MATCH($D$1,Menu!$A$1:$F$1,0),0)</f>
        <v>246.09</v>
      </c>
      <c r="E237" s="15" t="str">
        <f>VLOOKUP($B237,Menu!$A$1:$F$20,MATCH(OrderLines!E$1,Menu!$A$1:$F$1,0),0)</f>
        <v>Hot Meal</v>
      </c>
      <c r="F237" s="36">
        <f>VLOOKUP($B237,Menu!$A$1:$F$20,MATCH(OrderLines!F$1,Menu!$A$1:$F$1,0),0)</f>
        <v>112.08</v>
      </c>
      <c r="G237" s="27">
        <f>VLOOKUP($A237,Orders!$A$1:$H$361,MATCH($G$1,Orders!$A$1:$H$1,0),0)</f>
        <v>45894</v>
      </c>
      <c r="H237" s="15" t="str">
        <f>VLOOKUP($A237,Orders!$A$1:$H$361,MATCH(OrderLines!$H$1,Orders!$A$1:$H$1,0),0)</f>
        <v>Plant 1 Canteen</v>
      </c>
      <c r="I237" s="15">
        <f>VLOOKUP($A237,Orders!$A$1:$H$361,MATCH(OrderLines!$I$1,Orders!$A$1:$H$1,0),0)</f>
        <v>0.05</v>
      </c>
      <c r="J237" s="15">
        <f t="shared" si="10"/>
        <v>701.35649999999998</v>
      </c>
      <c r="K237" s="27" t="str">
        <f t="shared" si="11"/>
        <v>August</v>
      </c>
      <c r="L237" s="15" t="str">
        <f>VLOOKUP(OrderLines!$A237,Orders!$A$1:$H$361,MATCH(OrderLines!$L$1,Orders!$A$1:$H$1,0),0)</f>
        <v>Breakfast</v>
      </c>
      <c r="M237" t="str">
        <f>VLOOKUP($A237,Orders!$A$1:$H$361,MATCH(OrderLines!$M$1,Orders!$A$1:$H$1,0),0)</f>
        <v>UPI</v>
      </c>
      <c r="N237" t="str">
        <f t="shared" si="9"/>
        <v>Single</v>
      </c>
      <c r="O237" t="str" cm="1">
        <f t="array" ref="O237">IF((SUMPRODUCT((OrderID=OrderLines!$A237)*Qty*UnitPrice*DiscountPct))&gt;40,"HighDisc","OK")</f>
        <v>HighDisc</v>
      </c>
      <c r="P237">
        <f>(orderlinesTABLE[[#This Row],[UnitCost]]*orderlinesTABLE[[#This Row],[Qty]])</f>
        <v>336.24</v>
      </c>
      <c r="Q237">
        <f>(orderlinesTABLE[[#This Row],[LineNetAmount]]-orderlinesTABLE[[#This Row],[totalCOST]])</f>
        <v>365.11649999999997</v>
      </c>
      <c r="R237" t="str">
        <f>VLOOKUP($B237,Menu!$A$1:$F$20,MATCH(OrderLines!R$1,Menu!$A$1:$F$1,0),0)</f>
        <v>Egg Curry + Rice</v>
      </c>
      <c r="S237" t="str" cm="1">
        <f t="array" ref="S237">_xlfn.TEXTJOIN("+",TRUE,_xlfn._xlws.FILTER(orderlinesTABLE[ItemName],OrderID=orderlinesTABLE[[#This Row],[OrderID]]))</f>
        <v>Egg Curry + Rice+Kheer Cup+Gulab Jamun (2 pc)</v>
      </c>
      <c r="T237" s="54">
        <f>orderlinesTABLE[[#This Row],[Profit]]/orderlinesTABLE[[#This Row],[LineNetAmount]]</f>
        <v>0.52058617835580046</v>
      </c>
      <c r="U237" s="70">
        <f>(orderlinesTABLE[[#This Row],[Qty]]*orderlinesTABLE[[#This Row],[UnitCost]])</f>
        <v>336.24</v>
      </c>
    </row>
    <row r="238" spans="1:21" x14ac:dyDescent="0.3">
      <c r="A238" s="14" t="s">
        <v>133</v>
      </c>
      <c r="B238" s="14" t="s">
        <v>413</v>
      </c>
      <c r="C238" s="14">
        <v>1</v>
      </c>
      <c r="D238" s="37">
        <f>VLOOKUP($B238,Menu!$A$1:$F$20,MATCH($D$1,Menu!$A$1:$F$1,0),0)</f>
        <v>54.2</v>
      </c>
      <c r="E238" s="14" t="str">
        <f>VLOOKUP($B238,Menu!$A$1:$F$20,MATCH(OrderLines!E$1,Menu!$A$1:$F$1,0),0)</f>
        <v>Dessert</v>
      </c>
      <c r="F238" s="37">
        <f>VLOOKUP($B238,Menu!$A$1:$F$20,MATCH(OrderLines!F$1,Menu!$A$1:$F$1,0),0)</f>
        <v>21.95</v>
      </c>
      <c r="G238" s="28">
        <f>VLOOKUP($A238,Orders!$A$1:$H$361,MATCH($G$1,Orders!$A$1:$H$1,0),0)</f>
        <v>45894</v>
      </c>
      <c r="H238" s="14" t="str">
        <f>VLOOKUP($A238,Orders!$A$1:$H$361,MATCH(OrderLines!$H$1,Orders!$A$1:$H$1,0),0)</f>
        <v>Plant 1 Canteen</v>
      </c>
      <c r="I238" s="14">
        <f>VLOOKUP($A238,Orders!$A$1:$H$361,MATCH(OrderLines!$I$1,Orders!$A$1:$H$1,0),0)</f>
        <v>0.05</v>
      </c>
      <c r="J238" s="14">
        <f t="shared" si="10"/>
        <v>51.49</v>
      </c>
      <c r="K238" s="28" t="str">
        <f t="shared" si="11"/>
        <v>August</v>
      </c>
      <c r="L238" s="14" t="str">
        <f>VLOOKUP(OrderLines!$A238,Orders!$A$1:$H$361,MATCH(OrderLines!$L$1,Orders!$A$1:$H$1,0),0)</f>
        <v>Breakfast</v>
      </c>
      <c r="M238" t="str">
        <f>VLOOKUP($A238,Orders!$A$1:$H$361,MATCH(OrderLines!$M$1,Orders!$A$1:$H$1,0),0)</f>
        <v>UPI</v>
      </c>
      <c r="N238" t="str">
        <f t="shared" si="9"/>
        <v>Single</v>
      </c>
      <c r="O238" t="str" cm="1">
        <f t="array" ref="O238">IF((SUMPRODUCT((OrderID=OrderLines!$A238)*Qty*UnitPrice*DiscountPct))&gt;40,"HighDisc","OK")</f>
        <v>HighDisc</v>
      </c>
      <c r="P238">
        <f>(orderlinesTABLE[[#This Row],[UnitCost]]*orderlinesTABLE[[#This Row],[Qty]])</f>
        <v>21.95</v>
      </c>
      <c r="Q238">
        <f>(orderlinesTABLE[[#This Row],[LineNetAmount]]-orderlinesTABLE[[#This Row],[totalCOST]])</f>
        <v>29.540000000000003</v>
      </c>
      <c r="R238" t="str">
        <f>VLOOKUP($B238,Menu!$A$1:$F$20,MATCH(OrderLines!R$1,Menu!$A$1:$F$1,0),0)</f>
        <v>Kheer Cup</v>
      </c>
      <c r="S238" t="str" cm="1">
        <f t="array" ref="S238">_xlfn.TEXTJOIN("+",TRUE,_xlfn._xlws.FILTER(orderlinesTABLE[ItemName],OrderID=orderlinesTABLE[[#This Row],[OrderID]]))</f>
        <v>Egg Curry + Rice+Kheer Cup+Gulab Jamun (2 pc)</v>
      </c>
      <c r="T238" s="54">
        <f>orderlinesTABLE[[#This Row],[Profit]]/orderlinesTABLE[[#This Row],[LineNetAmount]]</f>
        <v>0.57370363177315986</v>
      </c>
      <c r="U238" s="70">
        <f>(orderlinesTABLE[[#This Row],[Qty]]*orderlinesTABLE[[#This Row],[UnitCost]])</f>
        <v>21.95</v>
      </c>
    </row>
    <row r="239" spans="1:21" x14ac:dyDescent="0.3">
      <c r="A239" s="15" t="s">
        <v>133</v>
      </c>
      <c r="B239" s="15" t="s">
        <v>403</v>
      </c>
      <c r="C239" s="15">
        <v>1</v>
      </c>
      <c r="D239" s="36">
        <f>VLOOKUP($B239,Menu!$A$1:$F$20,MATCH($D$1,Menu!$A$1:$F$1,0),0)</f>
        <v>76.55</v>
      </c>
      <c r="E239" s="15" t="str">
        <f>VLOOKUP($B239,Menu!$A$1:$F$20,MATCH(OrderLines!E$1,Menu!$A$1:$F$1,0),0)</f>
        <v>Dessert</v>
      </c>
      <c r="F239" s="36">
        <f>VLOOKUP($B239,Menu!$A$1:$F$20,MATCH(OrderLines!F$1,Menu!$A$1:$F$1,0),0)</f>
        <v>38.229999999999997</v>
      </c>
      <c r="G239" s="27">
        <f>VLOOKUP($A239,Orders!$A$1:$H$361,MATCH($G$1,Orders!$A$1:$H$1,0),0)</f>
        <v>45894</v>
      </c>
      <c r="H239" s="15" t="str">
        <f>VLOOKUP($A239,Orders!$A$1:$H$361,MATCH(OrderLines!$H$1,Orders!$A$1:$H$1,0),0)</f>
        <v>Plant 1 Canteen</v>
      </c>
      <c r="I239" s="15">
        <f>VLOOKUP($A239,Orders!$A$1:$H$361,MATCH(OrderLines!$I$1,Orders!$A$1:$H$1,0),0)</f>
        <v>0.05</v>
      </c>
      <c r="J239" s="15">
        <f t="shared" si="10"/>
        <v>72.722499999999997</v>
      </c>
      <c r="K239" s="27" t="str">
        <f t="shared" si="11"/>
        <v>August</v>
      </c>
      <c r="L239" s="15" t="str">
        <f>VLOOKUP(OrderLines!$A239,Orders!$A$1:$H$361,MATCH(OrderLines!$L$1,Orders!$A$1:$H$1,0),0)</f>
        <v>Breakfast</v>
      </c>
      <c r="M239" t="str">
        <f>VLOOKUP($A239,Orders!$A$1:$H$361,MATCH(OrderLines!$M$1,Orders!$A$1:$H$1,0),0)</f>
        <v>UPI</v>
      </c>
      <c r="N239" t="str">
        <f t="shared" si="9"/>
        <v>Single</v>
      </c>
      <c r="O239" t="str" cm="1">
        <f t="array" ref="O239">IF((SUMPRODUCT((OrderID=OrderLines!$A239)*Qty*UnitPrice*DiscountPct))&gt;40,"HighDisc","OK")</f>
        <v>HighDisc</v>
      </c>
      <c r="P239">
        <f>(orderlinesTABLE[[#This Row],[UnitCost]]*orderlinesTABLE[[#This Row],[Qty]])</f>
        <v>38.229999999999997</v>
      </c>
      <c r="Q239">
        <f>(orderlinesTABLE[[#This Row],[LineNetAmount]]-orderlinesTABLE[[#This Row],[totalCOST]])</f>
        <v>34.4925</v>
      </c>
      <c r="R239" t="str">
        <f>VLOOKUP($B239,Menu!$A$1:$F$20,MATCH(OrderLines!R$1,Menu!$A$1:$F$1,0),0)</f>
        <v>Gulab Jamun (2 pc)</v>
      </c>
      <c r="S239" t="str" cm="1">
        <f t="array" ref="S239">_xlfn.TEXTJOIN("+",TRUE,_xlfn._xlws.FILTER(orderlinesTABLE[ItemName],OrderID=orderlinesTABLE[[#This Row],[OrderID]]))</f>
        <v>Egg Curry + Rice+Kheer Cup+Gulab Jamun (2 pc)</v>
      </c>
      <c r="T239" s="54">
        <f>orderlinesTABLE[[#This Row],[Profit]]/orderlinesTABLE[[#This Row],[LineNetAmount]]</f>
        <v>0.47430300113444945</v>
      </c>
      <c r="U239" s="70">
        <f>(orderlinesTABLE[[#This Row],[Qty]]*orderlinesTABLE[[#This Row],[UnitCost]])</f>
        <v>38.229999999999997</v>
      </c>
    </row>
    <row r="240" spans="1:21" x14ac:dyDescent="0.3">
      <c r="A240" s="14" t="s">
        <v>134</v>
      </c>
      <c r="B240" s="14" t="s">
        <v>409</v>
      </c>
      <c r="C240" s="14">
        <v>2</v>
      </c>
      <c r="D240" s="37">
        <f>VLOOKUP($B240,Menu!$A$1:$F$20,MATCH($D$1,Menu!$A$1:$F$1,0),0)</f>
        <v>28.43</v>
      </c>
      <c r="E240" s="14" t="str">
        <f>VLOOKUP($B240,Menu!$A$1:$F$20,MATCH(OrderLines!E$1,Menu!$A$1:$F$1,0),0)</f>
        <v>Beverage</v>
      </c>
      <c r="F240" s="37">
        <f>VLOOKUP($B240,Menu!$A$1:$F$20,MATCH(OrderLines!F$1,Menu!$A$1:$F$1,0),0)</f>
        <v>13.89</v>
      </c>
      <c r="G240" s="28">
        <f>VLOOKUP($A240,Orders!$A$1:$H$361,MATCH($G$1,Orders!$A$1:$H$1,0),0)</f>
        <v>45875</v>
      </c>
      <c r="H240" s="14" t="str">
        <f>VLOOKUP($A240,Orders!$A$1:$H$361,MATCH(OrderLines!$H$1,Orders!$A$1:$H$1,0),0)</f>
        <v>Plant 1 Canteen</v>
      </c>
      <c r="I240" s="14">
        <f>VLOOKUP($A240,Orders!$A$1:$H$361,MATCH(OrderLines!$I$1,Orders!$A$1:$H$1,0),0)</f>
        <v>0.09</v>
      </c>
      <c r="J240" s="14">
        <f t="shared" si="10"/>
        <v>51.742600000000003</v>
      </c>
      <c r="K240" s="28" t="str">
        <f t="shared" si="11"/>
        <v>August</v>
      </c>
      <c r="L240" s="14" t="str">
        <f>VLOOKUP(OrderLines!$A240,Orders!$A$1:$H$361,MATCH(OrderLines!$L$1,Orders!$A$1:$H$1,0),0)</f>
        <v>Breakfast</v>
      </c>
      <c r="M240" t="str">
        <f>VLOOKUP($A240,Orders!$A$1:$H$361,MATCH(OrderLines!$M$1,Orders!$A$1:$H$1,0),0)</f>
        <v>UPI</v>
      </c>
      <c r="N240" t="str">
        <f t="shared" si="9"/>
        <v>Single</v>
      </c>
      <c r="O240" t="str" cm="1">
        <f t="array" ref="O240">IF((SUMPRODUCT((OrderID=OrderLines!$A240)*Qty*UnitPrice*DiscountPct))&gt;40,"HighDisc","OK")</f>
        <v>OK</v>
      </c>
      <c r="P240">
        <f>(orderlinesTABLE[[#This Row],[UnitCost]]*orderlinesTABLE[[#This Row],[Qty]])</f>
        <v>27.78</v>
      </c>
      <c r="Q240">
        <f>(orderlinesTABLE[[#This Row],[LineNetAmount]]-orderlinesTABLE[[#This Row],[totalCOST]])</f>
        <v>23.962600000000002</v>
      </c>
      <c r="R240" t="str">
        <f>VLOOKUP($B240,Menu!$A$1:$F$20,MATCH(OrderLines!R$1,Menu!$A$1:$F$1,0),0)</f>
        <v>Bottled Water</v>
      </c>
      <c r="S240" t="str" cm="1">
        <f t="array" ref="S240">_xlfn.TEXTJOIN("+",TRUE,_xlfn._xlws.FILTER(orderlinesTABLE[ItemName],OrderID=orderlinesTABLE[[#This Row],[OrderID]]))</f>
        <v>Bottled Water</v>
      </c>
      <c r="T240" s="54">
        <f>orderlinesTABLE[[#This Row],[Profit]]/orderlinesTABLE[[#This Row],[LineNetAmount]]</f>
        <v>0.46311163335433475</v>
      </c>
      <c r="U240" s="70">
        <f>(orderlinesTABLE[[#This Row],[Qty]]*orderlinesTABLE[[#This Row],[UnitCost]])</f>
        <v>27.78</v>
      </c>
    </row>
    <row r="241" spans="1:21" x14ac:dyDescent="0.3">
      <c r="A241" s="15" t="s">
        <v>135</v>
      </c>
      <c r="B241" s="15" t="s">
        <v>404</v>
      </c>
      <c r="C241" s="15">
        <v>3</v>
      </c>
      <c r="D241" s="36">
        <f>VLOOKUP($B241,Menu!$A$1:$F$20,MATCH($D$1,Menu!$A$1:$F$1,0),0)</f>
        <v>32.979999999999997</v>
      </c>
      <c r="E241" s="15" t="str">
        <f>VLOOKUP($B241,Menu!$A$1:$F$20,MATCH(OrderLines!E$1,Menu!$A$1:$F$1,0),0)</f>
        <v>Beverage</v>
      </c>
      <c r="F241" s="36">
        <f>VLOOKUP($B241,Menu!$A$1:$F$20,MATCH(OrderLines!F$1,Menu!$A$1:$F$1,0),0)</f>
        <v>11.84</v>
      </c>
      <c r="G241" s="27">
        <f>VLOOKUP($A241,Orders!$A$1:$H$361,MATCH($G$1,Orders!$A$1:$H$1,0),0)</f>
        <v>45855</v>
      </c>
      <c r="H241" s="15" t="str">
        <f>VLOOKUP($A241,Orders!$A$1:$H$361,MATCH(OrderLines!$H$1,Orders!$A$1:$H$1,0),0)</f>
        <v>Plant 2 Canteen</v>
      </c>
      <c r="I241" s="15">
        <f>VLOOKUP($A241,Orders!$A$1:$H$361,MATCH(OrderLines!$I$1,Orders!$A$1:$H$1,0),0)</f>
        <v>0.01</v>
      </c>
      <c r="J241" s="15">
        <f t="shared" si="10"/>
        <v>97.950599999999994</v>
      </c>
      <c r="K241" s="27" t="str">
        <f t="shared" si="11"/>
        <v>July</v>
      </c>
      <c r="L241" s="15" t="str">
        <f>VLOOKUP(OrderLines!$A241,Orders!$A$1:$H$361,MATCH(OrderLines!$L$1,Orders!$A$1:$H$1,0),0)</f>
        <v>Breakfast</v>
      </c>
      <c r="M241" t="str">
        <f>VLOOKUP($A241,Orders!$A$1:$H$361,MATCH(OrderLines!$M$1,Orders!$A$1:$H$1,0),0)</f>
        <v>UPI</v>
      </c>
      <c r="N241" t="str">
        <f t="shared" si="9"/>
        <v>Single</v>
      </c>
      <c r="O241" t="str" cm="1">
        <f t="array" ref="O241">IF((SUMPRODUCT((OrderID=OrderLines!$A241)*Qty*UnitPrice*DiscountPct))&gt;40,"HighDisc","OK")</f>
        <v>OK</v>
      </c>
      <c r="P241">
        <f>(orderlinesTABLE[[#This Row],[UnitCost]]*orderlinesTABLE[[#This Row],[Qty]])</f>
        <v>35.519999999999996</v>
      </c>
      <c r="Q241">
        <f>(orderlinesTABLE[[#This Row],[LineNetAmount]]-orderlinesTABLE[[#This Row],[totalCOST]])</f>
        <v>62.430599999999998</v>
      </c>
      <c r="R241" t="str">
        <f>VLOOKUP($B241,Menu!$A$1:$F$20,MATCH(OrderLines!R$1,Menu!$A$1:$F$1,0),0)</f>
        <v>Masala Chaas</v>
      </c>
      <c r="S241" t="str" cm="1">
        <f t="array" ref="S241">_xlfn.TEXTJOIN("+",TRUE,_xlfn._xlws.FILTER(orderlinesTABLE[ItemName],OrderID=orderlinesTABLE[[#This Row],[OrderID]]))</f>
        <v>Masala Chaas+Bottled Water</v>
      </c>
      <c r="T241" s="54">
        <f>orderlinesTABLE[[#This Row],[Profit]]/orderlinesTABLE[[#This Row],[LineNetAmount]]</f>
        <v>0.63736822439066221</v>
      </c>
      <c r="U241" s="70">
        <f>(orderlinesTABLE[[#This Row],[Qty]]*orderlinesTABLE[[#This Row],[UnitCost]])</f>
        <v>35.519999999999996</v>
      </c>
    </row>
    <row r="242" spans="1:21" x14ac:dyDescent="0.3">
      <c r="A242" s="14" t="s">
        <v>135</v>
      </c>
      <c r="B242" s="14" t="s">
        <v>409</v>
      </c>
      <c r="C242" s="14">
        <v>3</v>
      </c>
      <c r="D242" s="37">
        <f>VLOOKUP($B242,Menu!$A$1:$F$20,MATCH($D$1,Menu!$A$1:$F$1,0),0)</f>
        <v>28.43</v>
      </c>
      <c r="E242" s="14" t="str">
        <f>VLOOKUP($B242,Menu!$A$1:$F$20,MATCH(OrderLines!E$1,Menu!$A$1:$F$1,0),0)</f>
        <v>Beverage</v>
      </c>
      <c r="F242" s="37">
        <f>VLOOKUP($B242,Menu!$A$1:$F$20,MATCH(OrderLines!F$1,Menu!$A$1:$F$1,0),0)</f>
        <v>13.89</v>
      </c>
      <c r="G242" s="28">
        <f>VLOOKUP($A242,Orders!$A$1:$H$361,MATCH($G$1,Orders!$A$1:$H$1,0),0)</f>
        <v>45855</v>
      </c>
      <c r="H242" s="14" t="str">
        <f>VLOOKUP($A242,Orders!$A$1:$H$361,MATCH(OrderLines!$H$1,Orders!$A$1:$H$1,0),0)</f>
        <v>Plant 2 Canteen</v>
      </c>
      <c r="I242" s="14">
        <f>VLOOKUP($A242,Orders!$A$1:$H$361,MATCH(OrderLines!$I$1,Orders!$A$1:$H$1,0),0)</f>
        <v>0.01</v>
      </c>
      <c r="J242" s="14">
        <f t="shared" si="10"/>
        <v>84.437099999999987</v>
      </c>
      <c r="K242" s="28" t="str">
        <f t="shared" si="11"/>
        <v>July</v>
      </c>
      <c r="L242" s="14" t="str">
        <f>VLOOKUP(OrderLines!$A242,Orders!$A$1:$H$361,MATCH(OrderLines!$L$1,Orders!$A$1:$H$1,0),0)</f>
        <v>Breakfast</v>
      </c>
      <c r="M242" t="str">
        <f>VLOOKUP($A242,Orders!$A$1:$H$361,MATCH(OrderLines!$M$1,Orders!$A$1:$H$1,0),0)</f>
        <v>UPI</v>
      </c>
      <c r="N242" t="str">
        <f t="shared" si="9"/>
        <v>Single</v>
      </c>
      <c r="O242" t="str" cm="1">
        <f t="array" ref="O242">IF((SUMPRODUCT((OrderID=OrderLines!$A242)*Qty*UnitPrice*DiscountPct))&gt;40,"HighDisc","OK")</f>
        <v>OK</v>
      </c>
      <c r="P242">
        <f>(orderlinesTABLE[[#This Row],[UnitCost]]*orderlinesTABLE[[#This Row],[Qty]])</f>
        <v>41.67</v>
      </c>
      <c r="Q242">
        <f>(orderlinesTABLE[[#This Row],[LineNetAmount]]-orderlinesTABLE[[#This Row],[totalCOST]])</f>
        <v>42.767099999999985</v>
      </c>
      <c r="R242" t="str">
        <f>VLOOKUP($B242,Menu!$A$1:$F$20,MATCH(OrderLines!R$1,Menu!$A$1:$F$1,0),0)</f>
        <v>Bottled Water</v>
      </c>
      <c r="S242" t="str" cm="1">
        <f t="array" ref="S242">_xlfn.TEXTJOIN("+",TRUE,_xlfn._xlws.FILTER(orderlinesTABLE[ItemName],OrderID=orderlinesTABLE[[#This Row],[OrderID]]))</f>
        <v>Masala Chaas+Bottled Water</v>
      </c>
      <c r="T242" s="54">
        <f>orderlinesTABLE[[#This Row],[Profit]]/orderlinesTABLE[[#This Row],[LineNetAmount]]</f>
        <v>0.50649655187115605</v>
      </c>
      <c r="U242" s="70">
        <f>(orderlinesTABLE[[#This Row],[Qty]]*orderlinesTABLE[[#This Row],[UnitCost]])</f>
        <v>41.67</v>
      </c>
    </row>
    <row r="243" spans="1:21" x14ac:dyDescent="0.3">
      <c r="A243" s="15" t="s">
        <v>136</v>
      </c>
      <c r="B243" s="15" t="s">
        <v>412</v>
      </c>
      <c r="C243" s="15">
        <v>2</v>
      </c>
      <c r="D243" s="36">
        <f>VLOOKUP($B243,Menu!$A$1:$F$20,MATCH($D$1,Menu!$A$1:$F$1,0),0)</f>
        <v>57.07</v>
      </c>
      <c r="E243" s="15" t="str">
        <f>VLOOKUP($B243,Menu!$A$1:$F$20,MATCH(OrderLines!E$1,Menu!$A$1:$F$1,0),0)</f>
        <v>Dessert</v>
      </c>
      <c r="F243" s="36">
        <f>VLOOKUP($B243,Menu!$A$1:$F$20,MATCH(OrderLines!F$1,Menu!$A$1:$F$1,0),0)</f>
        <v>29.14</v>
      </c>
      <c r="G243" s="27">
        <f>VLOOKUP($A243,Orders!$A$1:$H$361,MATCH($G$1,Orders!$A$1:$H$1,0),0)</f>
        <v>45869</v>
      </c>
      <c r="H243" s="15" t="str">
        <f>VLOOKUP($A243,Orders!$A$1:$H$361,MATCH(OrderLines!$H$1,Orders!$A$1:$H$1,0),0)</f>
        <v>Head Office Café</v>
      </c>
      <c r="I243" s="15">
        <f>VLOOKUP($A243,Orders!$A$1:$H$361,MATCH(OrderLines!$I$1,Orders!$A$1:$H$1,0),0)</f>
        <v>7.0000000000000007E-2</v>
      </c>
      <c r="J243" s="15">
        <f t="shared" si="10"/>
        <v>106.1502</v>
      </c>
      <c r="K243" s="27" t="str">
        <f t="shared" si="11"/>
        <v>July</v>
      </c>
      <c r="L243" s="15" t="str">
        <f>VLOOKUP(OrderLines!$A243,Orders!$A$1:$H$361,MATCH(OrderLines!$L$1,Orders!$A$1:$H$1,0),0)</f>
        <v>Lunch</v>
      </c>
      <c r="M243" t="str">
        <f>VLOOKUP($A243,Orders!$A$1:$H$361,MATCH(OrderLines!$M$1,Orders!$A$1:$H$1,0),0)</f>
        <v>Card</v>
      </c>
      <c r="N243" t="str">
        <f t="shared" si="9"/>
        <v>Single</v>
      </c>
      <c r="O243" t="str" cm="1">
        <f t="array" ref="O243">IF((SUMPRODUCT((OrderID=OrderLines!$A243)*Qty*UnitPrice*DiscountPct))&gt;40,"HighDisc","OK")</f>
        <v>OK</v>
      </c>
      <c r="P243">
        <f>(orderlinesTABLE[[#This Row],[UnitCost]]*orderlinesTABLE[[#This Row],[Qty]])</f>
        <v>58.28</v>
      </c>
      <c r="Q243">
        <f>(orderlinesTABLE[[#This Row],[LineNetAmount]]-orderlinesTABLE[[#This Row],[totalCOST]])</f>
        <v>47.870199999999997</v>
      </c>
      <c r="R243" t="str">
        <f>VLOOKUP($B243,Menu!$A$1:$F$20,MATCH(OrderLines!R$1,Menu!$A$1:$F$1,0),0)</f>
        <v>Fruit Cup</v>
      </c>
      <c r="S243" t="str" cm="1">
        <f t="array" ref="S243">_xlfn.TEXTJOIN("+",TRUE,_xlfn._xlws.FILTER(orderlinesTABLE[ItemName],OrderID=orderlinesTABLE[[#This Row],[OrderID]]))</f>
        <v>Fruit Cup+Rajma Chawal</v>
      </c>
      <c r="T243" s="54">
        <f>orderlinesTABLE[[#This Row],[Profit]]/orderlinesTABLE[[#This Row],[LineNetAmount]]</f>
        <v>0.45096664914432566</v>
      </c>
      <c r="U243" s="70">
        <f>(orderlinesTABLE[[#This Row],[Qty]]*orderlinesTABLE[[#This Row],[UnitCost]])</f>
        <v>58.28</v>
      </c>
    </row>
    <row r="244" spans="1:21" x14ac:dyDescent="0.3">
      <c r="A244" s="14" t="s">
        <v>136</v>
      </c>
      <c r="B244" s="14" t="s">
        <v>417</v>
      </c>
      <c r="C244" s="14">
        <v>1</v>
      </c>
      <c r="D244" s="37">
        <f>VLOOKUP($B244,Menu!$A$1:$F$20,MATCH($D$1,Menu!$A$1:$F$1,0),0)</f>
        <v>146.4</v>
      </c>
      <c r="E244" s="14" t="str">
        <f>VLOOKUP($B244,Menu!$A$1:$F$20,MATCH(OrderLines!E$1,Menu!$A$1:$F$1,0),0)</f>
        <v>Hot Meal</v>
      </c>
      <c r="F244" s="37">
        <f>VLOOKUP($B244,Menu!$A$1:$F$20,MATCH(OrderLines!F$1,Menu!$A$1:$F$1,0),0)</f>
        <v>80.92</v>
      </c>
      <c r="G244" s="28">
        <f>VLOOKUP($A244,Orders!$A$1:$H$361,MATCH($G$1,Orders!$A$1:$H$1,0),0)</f>
        <v>45869</v>
      </c>
      <c r="H244" s="14" t="str">
        <f>VLOOKUP($A244,Orders!$A$1:$H$361,MATCH(OrderLines!$H$1,Orders!$A$1:$H$1,0),0)</f>
        <v>Head Office Café</v>
      </c>
      <c r="I244" s="14">
        <f>VLOOKUP($A244,Orders!$A$1:$H$361,MATCH(OrderLines!$I$1,Orders!$A$1:$H$1,0),0)</f>
        <v>7.0000000000000007E-2</v>
      </c>
      <c r="J244" s="14">
        <f t="shared" si="10"/>
        <v>136.15199999999999</v>
      </c>
      <c r="K244" s="28" t="str">
        <f t="shared" si="11"/>
        <v>July</v>
      </c>
      <c r="L244" s="14" t="str">
        <f>VLOOKUP(OrderLines!$A244,Orders!$A$1:$H$361,MATCH(OrderLines!$L$1,Orders!$A$1:$H$1,0),0)</f>
        <v>Lunch</v>
      </c>
      <c r="M244" t="str">
        <f>VLOOKUP($A244,Orders!$A$1:$H$361,MATCH(OrderLines!$M$1,Orders!$A$1:$H$1,0),0)</f>
        <v>Card</v>
      </c>
      <c r="N244" t="str">
        <f t="shared" si="9"/>
        <v>Single</v>
      </c>
      <c r="O244" t="str" cm="1">
        <f t="array" ref="O244">IF((SUMPRODUCT((OrderID=OrderLines!$A244)*Qty*UnitPrice*DiscountPct))&gt;40,"HighDisc","OK")</f>
        <v>OK</v>
      </c>
      <c r="P244">
        <f>(orderlinesTABLE[[#This Row],[UnitCost]]*orderlinesTABLE[[#This Row],[Qty]])</f>
        <v>80.92</v>
      </c>
      <c r="Q244">
        <f>(orderlinesTABLE[[#This Row],[LineNetAmount]]-orderlinesTABLE[[#This Row],[totalCOST]])</f>
        <v>55.231999999999985</v>
      </c>
      <c r="R244" t="str">
        <f>VLOOKUP($B244,Menu!$A$1:$F$20,MATCH(OrderLines!R$1,Menu!$A$1:$F$1,0),0)</f>
        <v>Rajma Chawal</v>
      </c>
      <c r="S244" t="str" cm="1">
        <f t="array" ref="S244">_xlfn.TEXTJOIN("+",TRUE,_xlfn._xlws.FILTER(orderlinesTABLE[ItemName],OrderID=orderlinesTABLE[[#This Row],[OrderID]]))</f>
        <v>Fruit Cup+Rajma Chawal</v>
      </c>
      <c r="T244" s="54">
        <f>orderlinesTABLE[[#This Row],[Profit]]/orderlinesTABLE[[#This Row],[LineNetAmount]]</f>
        <v>0.40566425759445318</v>
      </c>
      <c r="U244" s="70">
        <f>(orderlinesTABLE[[#This Row],[Qty]]*orderlinesTABLE[[#This Row],[UnitCost]])</f>
        <v>80.92</v>
      </c>
    </row>
    <row r="245" spans="1:21" x14ac:dyDescent="0.3">
      <c r="A245" s="15" t="s">
        <v>137</v>
      </c>
      <c r="B245" s="15" t="s">
        <v>419</v>
      </c>
      <c r="C245" s="15">
        <v>2</v>
      </c>
      <c r="D245" s="36">
        <f>VLOOKUP($B245,Menu!$A$1:$F$20,MATCH($D$1,Menu!$A$1:$F$1,0),0)</f>
        <v>50.19</v>
      </c>
      <c r="E245" s="15" t="str">
        <f>VLOOKUP($B245,Menu!$A$1:$F$20,MATCH(OrderLines!E$1,Menu!$A$1:$F$1,0),0)</f>
        <v>Snack</v>
      </c>
      <c r="F245" s="36">
        <f>VLOOKUP($B245,Menu!$A$1:$F$20,MATCH(OrderLines!F$1,Menu!$A$1:$F$1,0),0)</f>
        <v>22.61</v>
      </c>
      <c r="G245" s="27">
        <f>VLOOKUP($A245,Orders!$A$1:$H$361,MATCH($G$1,Orders!$A$1:$H$1,0),0)</f>
        <v>45858</v>
      </c>
      <c r="H245" s="15" t="str">
        <f>VLOOKUP($A245,Orders!$A$1:$H$361,MATCH(OrderLines!$H$1,Orders!$A$1:$H$1,0),0)</f>
        <v>Plant 1 Canteen</v>
      </c>
      <c r="I245" s="15">
        <f>VLOOKUP($A245,Orders!$A$1:$H$361,MATCH(OrderLines!$I$1,Orders!$A$1:$H$1,0),0)</f>
        <v>0.11</v>
      </c>
      <c r="J245" s="15">
        <f t="shared" si="10"/>
        <v>89.338200000000001</v>
      </c>
      <c r="K245" s="27" t="str">
        <f t="shared" si="11"/>
        <v>July</v>
      </c>
      <c r="L245" s="15" t="str">
        <f>VLOOKUP(OrderLines!$A245,Orders!$A$1:$H$361,MATCH(OrderLines!$L$1,Orders!$A$1:$H$1,0),0)</f>
        <v>Lunch</v>
      </c>
      <c r="M245" t="str">
        <f>VLOOKUP($A245,Orders!$A$1:$H$361,MATCH(OrderLines!$M$1,Orders!$A$1:$H$1,0),0)</f>
        <v>UPI</v>
      </c>
      <c r="N245" t="str">
        <f t="shared" si="9"/>
        <v>Single</v>
      </c>
      <c r="O245" t="str" cm="1">
        <f t="array" ref="O245">IF((SUMPRODUCT((OrderID=OrderLines!$A245)*Qty*UnitPrice*DiscountPct))&gt;40,"HighDisc","OK")</f>
        <v>OK</v>
      </c>
      <c r="P245">
        <f>(orderlinesTABLE[[#This Row],[UnitCost]]*orderlinesTABLE[[#This Row],[Qty]])</f>
        <v>45.22</v>
      </c>
      <c r="Q245">
        <f>(orderlinesTABLE[[#This Row],[LineNetAmount]]-orderlinesTABLE[[#This Row],[totalCOST]])</f>
        <v>44.118200000000002</v>
      </c>
      <c r="R245" t="str">
        <f>VLOOKUP($B245,Menu!$A$1:$F$20,MATCH(OrderLines!R$1,Menu!$A$1:$F$1,0),0)</f>
        <v>Masala Puff</v>
      </c>
      <c r="S245" t="str" cm="1">
        <f t="array" ref="S245">_xlfn.TEXTJOIN("+",TRUE,_xlfn._xlws.FILTER(orderlinesTABLE[ItemName],OrderID=orderlinesTABLE[[#This Row],[OrderID]]))</f>
        <v>Masala Puff+Chicken Thali</v>
      </c>
      <c r="T245" s="54">
        <f>orderlinesTABLE[[#This Row],[Profit]]/orderlinesTABLE[[#This Row],[LineNetAmount]]</f>
        <v>0.49383354488897246</v>
      </c>
      <c r="U245" s="70">
        <f>(orderlinesTABLE[[#This Row],[Qty]]*orderlinesTABLE[[#This Row],[UnitCost]])</f>
        <v>45.22</v>
      </c>
    </row>
    <row r="246" spans="1:21" x14ac:dyDescent="0.3">
      <c r="A246" s="14" t="s">
        <v>137</v>
      </c>
      <c r="B246" s="14" t="s">
        <v>415</v>
      </c>
      <c r="C246" s="14">
        <v>1</v>
      </c>
      <c r="D246" s="37">
        <f>VLOOKUP($B246,Menu!$A$1:$F$20,MATCH($D$1,Menu!$A$1:$F$1,0),0)</f>
        <v>256.91000000000003</v>
      </c>
      <c r="E246" s="14" t="str">
        <f>VLOOKUP($B246,Menu!$A$1:$F$20,MATCH(OrderLines!E$1,Menu!$A$1:$F$1,0),0)</f>
        <v>Hot Meal</v>
      </c>
      <c r="F246" s="37">
        <f>VLOOKUP($B246,Menu!$A$1:$F$20,MATCH(OrderLines!F$1,Menu!$A$1:$F$1,0),0)</f>
        <v>121.24</v>
      </c>
      <c r="G246" s="28">
        <f>VLOOKUP($A246,Orders!$A$1:$H$361,MATCH($G$1,Orders!$A$1:$H$1,0),0)</f>
        <v>45858</v>
      </c>
      <c r="H246" s="14" t="str">
        <f>VLOOKUP($A246,Orders!$A$1:$H$361,MATCH(OrderLines!$H$1,Orders!$A$1:$H$1,0),0)</f>
        <v>Plant 1 Canteen</v>
      </c>
      <c r="I246" s="14">
        <f>VLOOKUP($A246,Orders!$A$1:$H$361,MATCH(OrderLines!$I$1,Orders!$A$1:$H$1,0),0)</f>
        <v>0.11</v>
      </c>
      <c r="J246" s="14">
        <f t="shared" si="10"/>
        <v>228.64990000000003</v>
      </c>
      <c r="K246" s="28" t="str">
        <f t="shared" si="11"/>
        <v>July</v>
      </c>
      <c r="L246" s="14" t="str">
        <f>VLOOKUP(OrderLines!$A246,Orders!$A$1:$H$361,MATCH(OrderLines!$L$1,Orders!$A$1:$H$1,0),0)</f>
        <v>Lunch</v>
      </c>
      <c r="M246" t="str">
        <f>VLOOKUP($A246,Orders!$A$1:$H$361,MATCH(OrderLines!$M$1,Orders!$A$1:$H$1,0),0)</f>
        <v>UPI</v>
      </c>
      <c r="N246" t="str">
        <f t="shared" si="9"/>
        <v>Single</v>
      </c>
      <c r="O246" t="str" cm="1">
        <f t="array" ref="O246">IF((SUMPRODUCT((OrderID=OrderLines!$A246)*Qty*UnitPrice*DiscountPct))&gt;40,"HighDisc","OK")</f>
        <v>OK</v>
      </c>
      <c r="P246">
        <f>(orderlinesTABLE[[#This Row],[UnitCost]]*orderlinesTABLE[[#This Row],[Qty]])</f>
        <v>121.24</v>
      </c>
      <c r="Q246">
        <f>(orderlinesTABLE[[#This Row],[LineNetAmount]]-orderlinesTABLE[[#This Row],[totalCOST]])</f>
        <v>107.40990000000004</v>
      </c>
      <c r="R246" t="str">
        <f>VLOOKUP($B246,Menu!$A$1:$F$20,MATCH(OrderLines!R$1,Menu!$A$1:$F$1,0),0)</f>
        <v>Chicken Thali</v>
      </c>
      <c r="S246" t="str" cm="1">
        <f t="array" ref="S246">_xlfn.TEXTJOIN("+",TRUE,_xlfn._xlws.FILTER(orderlinesTABLE[ItemName],OrderID=orderlinesTABLE[[#This Row],[OrderID]]))</f>
        <v>Masala Puff+Chicken Thali</v>
      </c>
      <c r="T246" s="54">
        <f>orderlinesTABLE[[#This Row],[Profit]]/orderlinesTABLE[[#This Row],[LineNetAmount]]</f>
        <v>0.46975703903653587</v>
      </c>
      <c r="U246" s="70">
        <f>(orderlinesTABLE[[#This Row],[Qty]]*orderlinesTABLE[[#This Row],[UnitCost]])</f>
        <v>121.24</v>
      </c>
    </row>
    <row r="247" spans="1:21" x14ac:dyDescent="0.3">
      <c r="A247" s="15" t="s">
        <v>138</v>
      </c>
      <c r="B247" s="15" t="s">
        <v>402</v>
      </c>
      <c r="C247" s="15">
        <v>1</v>
      </c>
      <c r="D247" s="36">
        <f>VLOOKUP($B247,Menu!$A$1:$F$20,MATCH($D$1,Menu!$A$1:$F$1,0),0)</f>
        <v>30.34</v>
      </c>
      <c r="E247" s="15" t="str">
        <f>VLOOKUP($B247,Menu!$A$1:$F$20,MATCH(OrderLines!E$1,Menu!$A$1:$F$1,0),0)</f>
        <v>Beverage</v>
      </c>
      <c r="F247" s="36">
        <f>VLOOKUP($B247,Menu!$A$1:$F$20,MATCH(OrderLines!F$1,Menu!$A$1:$F$1,0),0)</f>
        <v>14.18</v>
      </c>
      <c r="G247" s="27">
        <f>VLOOKUP($A247,Orders!$A$1:$H$361,MATCH($G$1,Orders!$A$1:$H$1,0),0)</f>
        <v>45849</v>
      </c>
      <c r="H247" s="15" t="str">
        <f>VLOOKUP($A247,Orders!$A$1:$H$361,MATCH(OrderLines!$H$1,Orders!$A$1:$H$1,0),0)</f>
        <v>Head Office Café</v>
      </c>
      <c r="I247" s="15">
        <f>VLOOKUP($A247,Orders!$A$1:$H$361,MATCH(OrderLines!$I$1,Orders!$A$1:$H$1,0),0)</f>
        <v>0</v>
      </c>
      <c r="J247" s="15">
        <f t="shared" si="10"/>
        <v>30.34</v>
      </c>
      <c r="K247" s="27" t="str">
        <f t="shared" si="11"/>
        <v>July</v>
      </c>
      <c r="L247" s="15" t="str">
        <f>VLOOKUP(OrderLines!$A247,Orders!$A$1:$H$361,MATCH(OrderLines!$L$1,Orders!$A$1:$H$1,0),0)</f>
        <v>Breakfast</v>
      </c>
      <c r="M247" t="str">
        <f>VLOOKUP($A247,Orders!$A$1:$H$361,MATCH(OrderLines!$M$1,Orders!$A$1:$H$1,0),0)</f>
        <v>UPI</v>
      </c>
      <c r="N247" t="str">
        <f t="shared" si="9"/>
        <v>Single</v>
      </c>
      <c r="O247" t="str" cm="1">
        <f t="array" ref="O247">IF((SUMPRODUCT((OrderID=OrderLines!$A247)*Qty*UnitPrice*DiscountPct))&gt;40,"HighDisc","OK")</f>
        <v>OK</v>
      </c>
      <c r="P247">
        <f>(orderlinesTABLE[[#This Row],[UnitCost]]*orderlinesTABLE[[#This Row],[Qty]])</f>
        <v>14.18</v>
      </c>
      <c r="Q247">
        <f>(orderlinesTABLE[[#This Row],[LineNetAmount]]-orderlinesTABLE[[#This Row],[totalCOST]])</f>
        <v>16.16</v>
      </c>
      <c r="R247" t="str">
        <f>VLOOKUP($B247,Menu!$A$1:$F$20,MATCH(OrderLines!R$1,Menu!$A$1:$F$1,0),0)</f>
        <v>Tea</v>
      </c>
      <c r="S247" t="str" cm="1">
        <f t="array" ref="S247">_xlfn.TEXTJOIN("+",TRUE,_xlfn._xlws.FILTER(orderlinesTABLE[ItemName],OrderID=orderlinesTABLE[[#This Row],[OrderID]]))</f>
        <v>Tea+Veg Sandwich+Samosa</v>
      </c>
      <c r="T247" s="54">
        <f>orderlinesTABLE[[#This Row],[Profit]]/orderlinesTABLE[[#This Row],[LineNetAmount]]</f>
        <v>0.53263019116677657</v>
      </c>
      <c r="U247" s="70">
        <f>(orderlinesTABLE[[#This Row],[Qty]]*orderlinesTABLE[[#This Row],[UnitCost]])</f>
        <v>14.18</v>
      </c>
    </row>
    <row r="248" spans="1:21" x14ac:dyDescent="0.3">
      <c r="A248" s="14" t="s">
        <v>138</v>
      </c>
      <c r="B248" s="14" t="s">
        <v>408</v>
      </c>
      <c r="C248" s="14">
        <v>1</v>
      </c>
      <c r="D248" s="37">
        <f>VLOOKUP($B248,Menu!$A$1:$F$20,MATCH($D$1,Menu!$A$1:$F$1,0),0)</f>
        <v>70.540000000000006</v>
      </c>
      <c r="E248" s="14" t="str">
        <f>VLOOKUP($B248,Menu!$A$1:$F$20,MATCH(OrderLines!E$1,Menu!$A$1:$F$1,0),0)</f>
        <v>Snack</v>
      </c>
      <c r="F248" s="37">
        <f>VLOOKUP($B248,Menu!$A$1:$F$20,MATCH(OrderLines!F$1,Menu!$A$1:$F$1,0),0)</f>
        <v>35.81</v>
      </c>
      <c r="G248" s="28">
        <f>VLOOKUP($A248,Orders!$A$1:$H$361,MATCH($G$1,Orders!$A$1:$H$1,0),0)</f>
        <v>45849</v>
      </c>
      <c r="H248" s="14" t="str">
        <f>VLOOKUP($A248,Orders!$A$1:$H$361,MATCH(OrderLines!$H$1,Orders!$A$1:$H$1,0),0)</f>
        <v>Head Office Café</v>
      </c>
      <c r="I248" s="14">
        <f>VLOOKUP($A248,Orders!$A$1:$H$361,MATCH(OrderLines!$I$1,Orders!$A$1:$H$1,0),0)</f>
        <v>0</v>
      </c>
      <c r="J248" s="14">
        <f t="shared" si="10"/>
        <v>70.540000000000006</v>
      </c>
      <c r="K248" s="28" t="str">
        <f t="shared" si="11"/>
        <v>July</v>
      </c>
      <c r="L248" s="14" t="str">
        <f>VLOOKUP(OrderLines!$A248,Orders!$A$1:$H$361,MATCH(OrderLines!$L$1,Orders!$A$1:$H$1,0),0)</f>
        <v>Breakfast</v>
      </c>
      <c r="M248" t="str">
        <f>VLOOKUP($A248,Orders!$A$1:$H$361,MATCH(OrderLines!$M$1,Orders!$A$1:$H$1,0),0)</f>
        <v>UPI</v>
      </c>
      <c r="N248" t="str">
        <f t="shared" si="9"/>
        <v>Single</v>
      </c>
      <c r="O248" t="str" cm="1">
        <f t="array" ref="O248">IF((SUMPRODUCT((OrderID=OrderLines!$A248)*Qty*UnitPrice*DiscountPct))&gt;40,"HighDisc","OK")</f>
        <v>OK</v>
      </c>
      <c r="P248">
        <f>(orderlinesTABLE[[#This Row],[UnitCost]]*orderlinesTABLE[[#This Row],[Qty]])</f>
        <v>35.81</v>
      </c>
      <c r="Q248">
        <f>(orderlinesTABLE[[#This Row],[LineNetAmount]]-orderlinesTABLE[[#This Row],[totalCOST]])</f>
        <v>34.730000000000004</v>
      </c>
      <c r="R248" t="str">
        <f>VLOOKUP($B248,Menu!$A$1:$F$20,MATCH(OrderLines!R$1,Menu!$A$1:$F$1,0),0)</f>
        <v>Veg Sandwich</v>
      </c>
      <c r="S248" t="str" cm="1">
        <f t="array" ref="S248">_xlfn.TEXTJOIN("+",TRUE,_xlfn._xlws.FILTER(orderlinesTABLE[ItemName],OrderID=orderlinesTABLE[[#This Row],[OrderID]]))</f>
        <v>Tea+Veg Sandwich+Samosa</v>
      </c>
      <c r="T248" s="54">
        <f>orderlinesTABLE[[#This Row],[Profit]]/orderlinesTABLE[[#This Row],[LineNetAmount]]</f>
        <v>0.49234476892543239</v>
      </c>
      <c r="U248" s="70">
        <f>(orderlinesTABLE[[#This Row],[Qty]]*orderlinesTABLE[[#This Row],[UnitCost]])</f>
        <v>35.81</v>
      </c>
    </row>
    <row r="249" spans="1:21" x14ac:dyDescent="0.3">
      <c r="A249" s="15" t="s">
        <v>138</v>
      </c>
      <c r="B249" s="15" t="s">
        <v>418</v>
      </c>
      <c r="C249" s="15">
        <v>1</v>
      </c>
      <c r="D249" s="36">
        <f>VLOOKUP($B249,Menu!$A$1:$F$20,MATCH($D$1,Menu!$A$1:$F$1,0),0)</f>
        <v>39.950000000000003</v>
      </c>
      <c r="E249" s="15" t="str">
        <f>VLOOKUP($B249,Menu!$A$1:$F$20,MATCH(OrderLines!E$1,Menu!$A$1:$F$1,0),0)</f>
        <v>Snack</v>
      </c>
      <c r="F249" s="36">
        <f>VLOOKUP($B249,Menu!$A$1:$F$20,MATCH(OrderLines!F$1,Menu!$A$1:$F$1,0),0)</f>
        <v>15.51</v>
      </c>
      <c r="G249" s="27">
        <f>VLOOKUP($A249,Orders!$A$1:$H$361,MATCH($G$1,Orders!$A$1:$H$1,0),0)</f>
        <v>45849</v>
      </c>
      <c r="H249" s="15" t="str">
        <f>VLOOKUP($A249,Orders!$A$1:$H$361,MATCH(OrderLines!$H$1,Orders!$A$1:$H$1,0),0)</f>
        <v>Head Office Café</v>
      </c>
      <c r="I249" s="15">
        <f>VLOOKUP($A249,Orders!$A$1:$H$361,MATCH(OrderLines!$I$1,Orders!$A$1:$H$1,0),0)</f>
        <v>0</v>
      </c>
      <c r="J249" s="15">
        <f t="shared" si="10"/>
        <v>39.950000000000003</v>
      </c>
      <c r="K249" s="27" t="str">
        <f t="shared" si="11"/>
        <v>July</v>
      </c>
      <c r="L249" s="15" t="str">
        <f>VLOOKUP(OrderLines!$A249,Orders!$A$1:$H$361,MATCH(OrderLines!$L$1,Orders!$A$1:$H$1,0),0)</f>
        <v>Breakfast</v>
      </c>
      <c r="M249" t="str">
        <f>VLOOKUP($A249,Orders!$A$1:$H$361,MATCH(OrderLines!$M$1,Orders!$A$1:$H$1,0),0)</f>
        <v>UPI</v>
      </c>
      <c r="N249" t="str">
        <f t="shared" si="9"/>
        <v>Single</v>
      </c>
      <c r="O249" t="str" cm="1">
        <f t="array" ref="O249">IF((SUMPRODUCT((OrderID=OrderLines!$A249)*Qty*UnitPrice*DiscountPct))&gt;40,"HighDisc","OK")</f>
        <v>OK</v>
      </c>
      <c r="P249">
        <f>(orderlinesTABLE[[#This Row],[UnitCost]]*orderlinesTABLE[[#This Row],[Qty]])</f>
        <v>15.51</v>
      </c>
      <c r="Q249">
        <f>(orderlinesTABLE[[#This Row],[LineNetAmount]]-orderlinesTABLE[[#This Row],[totalCOST]])</f>
        <v>24.440000000000005</v>
      </c>
      <c r="R249" t="str">
        <f>VLOOKUP($B249,Menu!$A$1:$F$20,MATCH(OrderLines!R$1,Menu!$A$1:$F$1,0),0)</f>
        <v>Samosa</v>
      </c>
      <c r="S249" t="str" cm="1">
        <f t="array" ref="S249">_xlfn.TEXTJOIN("+",TRUE,_xlfn._xlws.FILTER(orderlinesTABLE[ItemName],OrderID=orderlinesTABLE[[#This Row],[OrderID]]))</f>
        <v>Tea+Veg Sandwich+Samosa</v>
      </c>
      <c r="T249" s="54">
        <f>orderlinesTABLE[[#This Row],[Profit]]/orderlinesTABLE[[#This Row],[LineNetAmount]]</f>
        <v>0.61176470588235299</v>
      </c>
      <c r="U249" s="70">
        <f>(orderlinesTABLE[[#This Row],[Qty]]*orderlinesTABLE[[#This Row],[UnitCost]])</f>
        <v>15.51</v>
      </c>
    </row>
    <row r="250" spans="1:21" x14ac:dyDescent="0.3">
      <c r="A250" s="14" t="s">
        <v>139</v>
      </c>
      <c r="B250" s="14" t="s">
        <v>406</v>
      </c>
      <c r="C250" s="14">
        <v>2</v>
      </c>
      <c r="D250" s="37">
        <f>VLOOKUP($B250,Menu!$A$1:$F$20,MATCH($D$1,Menu!$A$1:$F$1,0),0)</f>
        <v>38.06</v>
      </c>
      <c r="E250" s="14" t="str">
        <f>VLOOKUP($B250,Menu!$A$1:$F$20,MATCH(OrderLines!E$1,Menu!$A$1:$F$1,0),0)</f>
        <v>Snack</v>
      </c>
      <c r="F250" s="37">
        <f>VLOOKUP($B250,Menu!$A$1:$F$20,MATCH(OrderLines!F$1,Menu!$A$1:$F$1,0),0)</f>
        <v>19.55</v>
      </c>
      <c r="G250" s="28">
        <f>VLOOKUP($A250,Orders!$A$1:$H$361,MATCH($G$1,Orders!$A$1:$H$1,0),0)</f>
        <v>45894</v>
      </c>
      <c r="H250" s="14" t="str">
        <f>VLOOKUP($A250,Orders!$A$1:$H$361,MATCH(OrderLines!$H$1,Orders!$A$1:$H$1,0),0)</f>
        <v>Plant 1 Canteen</v>
      </c>
      <c r="I250" s="14">
        <f>VLOOKUP($A250,Orders!$A$1:$H$361,MATCH(OrderLines!$I$1,Orders!$A$1:$H$1,0),0)</f>
        <v>7.0000000000000007E-2</v>
      </c>
      <c r="J250" s="14">
        <f t="shared" si="10"/>
        <v>70.791600000000003</v>
      </c>
      <c r="K250" s="28" t="str">
        <f t="shared" si="11"/>
        <v>August</v>
      </c>
      <c r="L250" s="14" t="str">
        <f>VLOOKUP(OrderLines!$A250,Orders!$A$1:$H$361,MATCH(OrderLines!$L$1,Orders!$A$1:$H$1,0),0)</f>
        <v>Breakfast</v>
      </c>
      <c r="M250" t="str">
        <f>VLOOKUP($A250,Orders!$A$1:$H$361,MATCH(OrderLines!$M$1,Orders!$A$1:$H$1,0),0)</f>
        <v>UPI</v>
      </c>
      <c r="N250" t="str">
        <f t="shared" si="9"/>
        <v>Single</v>
      </c>
      <c r="O250" t="str" cm="1">
        <f t="array" ref="O250">IF((SUMPRODUCT((OrderID=OrderLines!$A250)*Qty*UnitPrice*DiscountPct))&gt;40,"HighDisc","OK")</f>
        <v>OK</v>
      </c>
      <c r="P250">
        <f>(orderlinesTABLE[[#This Row],[UnitCost]]*orderlinesTABLE[[#This Row],[Qty]])</f>
        <v>39.1</v>
      </c>
      <c r="Q250">
        <f>(orderlinesTABLE[[#This Row],[LineNetAmount]]-orderlinesTABLE[[#This Row],[totalCOST]])</f>
        <v>31.691600000000001</v>
      </c>
      <c r="R250" t="str">
        <f>VLOOKUP($B250,Menu!$A$1:$F$20,MATCH(OrderLines!R$1,Menu!$A$1:$F$1,0),0)</f>
        <v>Paneer Roll</v>
      </c>
      <c r="S250" t="str" cm="1">
        <f t="array" ref="S250">_xlfn.TEXTJOIN("+",TRUE,_xlfn._xlws.FILTER(orderlinesTABLE[ItemName],OrderID=orderlinesTABLE[[#This Row],[OrderID]]))</f>
        <v>Paneer Roll</v>
      </c>
      <c r="T250" s="54">
        <f>orderlinesTABLE[[#This Row],[Profit]]/orderlinesTABLE[[#This Row],[LineNetAmount]]</f>
        <v>0.44767458286011336</v>
      </c>
      <c r="U250" s="70">
        <f>(orderlinesTABLE[[#This Row],[Qty]]*orderlinesTABLE[[#This Row],[UnitCost]])</f>
        <v>39.1</v>
      </c>
    </row>
    <row r="251" spans="1:21" x14ac:dyDescent="0.3">
      <c r="A251" s="15" t="s">
        <v>140</v>
      </c>
      <c r="B251" s="15" t="s">
        <v>408</v>
      </c>
      <c r="C251" s="15">
        <v>2</v>
      </c>
      <c r="D251" s="36">
        <f>VLOOKUP($B251,Menu!$A$1:$F$20,MATCH($D$1,Menu!$A$1:$F$1,0),0)</f>
        <v>70.540000000000006</v>
      </c>
      <c r="E251" s="15" t="str">
        <f>VLOOKUP($B251,Menu!$A$1:$F$20,MATCH(OrderLines!E$1,Menu!$A$1:$F$1,0),0)</f>
        <v>Snack</v>
      </c>
      <c r="F251" s="36">
        <f>VLOOKUP($B251,Menu!$A$1:$F$20,MATCH(OrderLines!F$1,Menu!$A$1:$F$1,0),0)</f>
        <v>35.81</v>
      </c>
      <c r="G251" s="27">
        <f>VLOOKUP($A251,Orders!$A$1:$H$361,MATCH($G$1,Orders!$A$1:$H$1,0),0)</f>
        <v>45875</v>
      </c>
      <c r="H251" s="15" t="str">
        <f>VLOOKUP($A251,Orders!$A$1:$H$361,MATCH(OrderLines!$H$1,Orders!$A$1:$H$1,0),0)</f>
        <v>Plant 1 Canteen</v>
      </c>
      <c r="I251" s="15">
        <f>VLOOKUP($A251,Orders!$A$1:$H$361,MATCH(OrderLines!$I$1,Orders!$A$1:$H$1,0),0)</f>
        <v>7.0000000000000007E-2</v>
      </c>
      <c r="J251" s="15">
        <f t="shared" si="10"/>
        <v>131.20439999999999</v>
      </c>
      <c r="K251" s="27" t="str">
        <f t="shared" si="11"/>
        <v>August</v>
      </c>
      <c r="L251" s="15" t="str">
        <f>VLOOKUP(OrderLines!$A251,Orders!$A$1:$H$361,MATCH(OrderLines!$L$1,Orders!$A$1:$H$1,0),0)</f>
        <v>Breakfast</v>
      </c>
      <c r="M251" t="str">
        <f>VLOOKUP($A251,Orders!$A$1:$H$361,MATCH(OrderLines!$M$1,Orders!$A$1:$H$1,0),0)</f>
        <v>UPI</v>
      </c>
      <c r="N251" t="str">
        <f t="shared" si="9"/>
        <v>Single</v>
      </c>
      <c r="O251" t="str" cm="1">
        <f t="array" ref="O251">IF((SUMPRODUCT((OrderID=OrderLines!$A251)*Qty*UnitPrice*DiscountPct))&gt;40,"HighDisc","OK")</f>
        <v>OK</v>
      </c>
      <c r="P251">
        <f>(orderlinesTABLE[[#This Row],[UnitCost]]*orderlinesTABLE[[#This Row],[Qty]])</f>
        <v>71.62</v>
      </c>
      <c r="Q251">
        <f>(orderlinesTABLE[[#This Row],[LineNetAmount]]-orderlinesTABLE[[#This Row],[totalCOST]])</f>
        <v>59.584399999999988</v>
      </c>
      <c r="R251" t="str">
        <f>VLOOKUP($B251,Menu!$A$1:$F$20,MATCH(OrderLines!R$1,Menu!$A$1:$F$1,0),0)</f>
        <v>Veg Sandwich</v>
      </c>
      <c r="S251" t="str" cm="1">
        <f t="array" ref="S251">_xlfn.TEXTJOIN("+",TRUE,_xlfn._xlws.FILTER(orderlinesTABLE[ItemName],OrderID=orderlinesTABLE[[#This Row],[OrderID]]))</f>
        <v>Veg Sandwich</v>
      </c>
      <c r="T251" s="54">
        <f>orderlinesTABLE[[#This Row],[Profit]]/orderlinesTABLE[[#This Row],[LineNetAmount]]</f>
        <v>0.45413416013487345</v>
      </c>
      <c r="U251" s="70">
        <f>(orderlinesTABLE[[#This Row],[Qty]]*orderlinesTABLE[[#This Row],[UnitCost]])</f>
        <v>71.62</v>
      </c>
    </row>
    <row r="252" spans="1:21" x14ac:dyDescent="0.3">
      <c r="A252" s="14" t="s">
        <v>141</v>
      </c>
      <c r="B252" s="14" t="s">
        <v>413</v>
      </c>
      <c r="C252" s="14">
        <v>1</v>
      </c>
      <c r="D252" s="37">
        <f>VLOOKUP($B252,Menu!$A$1:$F$20,MATCH($D$1,Menu!$A$1:$F$1,0),0)</f>
        <v>54.2</v>
      </c>
      <c r="E252" s="14" t="str">
        <f>VLOOKUP($B252,Menu!$A$1:$F$20,MATCH(OrderLines!E$1,Menu!$A$1:$F$1,0),0)</f>
        <v>Dessert</v>
      </c>
      <c r="F252" s="37">
        <f>VLOOKUP($B252,Menu!$A$1:$F$20,MATCH(OrderLines!F$1,Menu!$A$1:$F$1,0),0)</f>
        <v>21.95</v>
      </c>
      <c r="G252" s="28">
        <f>VLOOKUP($A252,Orders!$A$1:$H$361,MATCH($G$1,Orders!$A$1:$H$1,0),0)</f>
        <v>45840</v>
      </c>
      <c r="H252" s="14" t="str">
        <f>VLOOKUP($A252,Orders!$A$1:$H$361,MATCH(OrderLines!$H$1,Orders!$A$1:$H$1,0),0)</f>
        <v>Plant 2 Canteen</v>
      </c>
      <c r="I252" s="14">
        <f>VLOOKUP($A252,Orders!$A$1:$H$361,MATCH(OrderLines!$I$1,Orders!$A$1:$H$1,0),0)</f>
        <v>0.09</v>
      </c>
      <c r="J252" s="14">
        <f t="shared" si="10"/>
        <v>49.322000000000003</v>
      </c>
      <c r="K252" s="28" t="str">
        <f t="shared" si="11"/>
        <v>July</v>
      </c>
      <c r="L252" s="14" t="str">
        <f>VLOOKUP(OrderLines!$A252,Orders!$A$1:$H$361,MATCH(OrderLines!$L$1,Orders!$A$1:$H$1,0),0)</f>
        <v>Lunch</v>
      </c>
      <c r="M252" t="str">
        <f>VLOOKUP($A252,Orders!$A$1:$H$361,MATCH(OrderLines!$M$1,Orders!$A$1:$H$1,0),0)</f>
        <v>Cash</v>
      </c>
      <c r="N252" t="str">
        <f t="shared" si="9"/>
        <v>Single</v>
      </c>
      <c r="O252" t="str" cm="1">
        <f t="array" ref="O252">IF((SUMPRODUCT((OrderID=OrderLines!$A252)*Qty*UnitPrice*DiscountPct))&gt;40,"HighDisc","OK")</f>
        <v>OK</v>
      </c>
      <c r="P252">
        <f>(orderlinesTABLE[[#This Row],[UnitCost]]*orderlinesTABLE[[#This Row],[Qty]])</f>
        <v>21.95</v>
      </c>
      <c r="Q252">
        <f>(orderlinesTABLE[[#This Row],[LineNetAmount]]-orderlinesTABLE[[#This Row],[totalCOST]])</f>
        <v>27.372000000000003</v>
      </c>
      <c r="R252" t="str">
        <f>VLOOKUP($B252,Menu!$A$1:$F$20,MATCH(OrderLines!R$1,Menu!$A$1:$F$1,0),0)</f>
        <v>Kheer Cup</v>
      </c>
      <c r="S252" t="str" cm="1">
        <f t="array" ref="S252">_xlfn.TEXTJOIN("+",TRUE,_xlfn._xlws.FILTER(orderlinesTABLE[ItemName],OrderID=orderlinesTABLE[[#This Row],[OrderID]]))</f>
        <v>Kheer Cup</v>
      </c>
      <c r="T252" s="54">
        <f>orderlinesTABLE[[#This Row],[Profit]]/orderlinesTABLE[[#This Row],[LineNetAmount]]</f>
        <v>0.55496532987307901</v>
      </c>
      <c r="U252" s="70">
        <f>(orderlinesTABLE[[#This Row],[Qty]]*orderlinesTABLE[[#This Row],[UnitCost]])</f>
        <v>21.95</v>
      </c>
    </row>
    <row r="253" spans="1:21" x14ac:dyDescent="0.3">
      <c r="A253" s="15" t="s">
        <v>142</v>
      </c>
      <c r="B253" s="15" t="s">
        <v>402</v>
      </c>
      <c r="C253" s="15">
        <v>1</v>
      </c>
      <c r="D253" s="36">
        <f>VLOOKUP($B253,Menu!$A$1:$F$20,MATCH($D$1,Menu!$A$1:$F$1,0),0)</f>
        <v>30.34</v>
      </c>
      <c r="E253" s="15" t="str">
        <f>VLOOKUP($B253,Menu!$A$1:$F$20,MATCH(OrderLines!E$1,Menu!$A$1:$F$1,0),0)</f>
        <v>Beverage</v>
      </c>
      <c r="F253" s="36">
        <f>VLOOKUP($B253,Menu!$A$1:$F$20,MATCH(OrderLines!F$1,Menu!$A$1:$F$1,0),0)</f>
        <v>14.18</v>
      </c>
      <c r="G253" s="27">
        <f>VLOOKUP($A253,Orders!$A$1:$H$361,MATCH($G$1,Orders!$A$1:$H$1,0),0)</f>
        <v>45874</v>
      </c>
      <c r="H253" s="15" t="str">
        <f>VLOOKUP($A253,Orders!$A$1:$H$361,MATCH(OrderLines!$H$1,Orders!$A$1:$H$1,0),0)</f>
        <v>Head Office Café</v>
      </c>
      <c r="I253" s="15">
        <f>VLOOKUP($A253,Orders!$A$1:$H$361,MATCH(OrderLines!$I$1,Orders!$A$1:$H$1,0),0)</f>
        <v>0.01</v>
      </c>
      <c r="J253" s="15">
        <f t="shared" si="10"/>
        <v>30.0366</v>
      </c>
      <c r="K253" s="27" t="str">
        <f t="shared" si="11"/>
        <v>August</v>
      </c>
      <c r="L253" s="15" t="str">
        <f>VLOOKUP(OrderLines!$A253,Orders!$A$1:$H$361,MATCH(OrderLines!$L$1,Orders!$A$1:$H$1,0),0)</f>
        <v>Breakfast</v>
      </c>
      <c r="M253" t="str">
        <f>VLOOKUP($A253,Orders!$A$1:$H$361,MATCH(OrderLines!$M$1,Orders!$A$1:$H$1,0),0)</f>
        <v>UPI</v>
      </c>
      <c r="N253" t="str">
        <f t="shared" si="9"/>
        <v>Single</v>
      </c>
      <c r="O253" t="str" cm="1">
        <f t="array" ref="O253">IF((SUMPRODUCT((OrderID=OrderLines!$A253)*Qty*UnitPrice*DiscountPct))&gt;40,"HighDisc","OK")</f>
        <v>OK</v>
      </c>
      <c r="P253">
        <f>(orderlinesTABLE[[#This Row],[UnitCost]]*orderlinesTABLE[[#This Row],[Qty]])</f>
        <v>14.18</v>
      </c>
      <c r="Q253">
        <f>(orderlinesTABLE[[#This Row],[LineNetAmount]]-orderlinesTABLE[[#This Row],[totalCOST]])</f>
        <v>15.8566</v>
      </c>
      <c r="R253" t="str">
        <f>VLOOKUP($B253,Menu!$A$1:$F$20,MATCH(OrderLines!R$1,Menu!$A$1:$F$1,0),0)</f>
        <v>Tea</v>
      </c>
      <c r="S253" t="str" cm="1">
        <f t="array" ref="S253">_xlfn.TEXTJOIN("+",TRUE,_xlfn._xlws.FILTER(orderlinesTABLE[ItemName],OrderID=orderlinesTABLE[[#This Row],[OrderID]]))</f>
        <v>Tea</v>
      </c>
      <c r="T253" s="54">
        <f>orderlinesTABLE[[#This Row],[Profit]]/orderlinesTABLE[[#This Row],[LineNetAmount]]</f>
        <v>0.527909284006845</v>
      </c>
      <c r="U253" s="70">
        <f>(orderlinesTABLE[[#This Row],[Qty]]*orderlinesTABLE[[#This Row],[UnitCost]])</f>
        <v>14.18</v>
      </c>
    </row>
    <row r="254" spans="1:21" x14ac:dyDescent="0.3">
      <c r="A254" s="14" t="s">
        <v>143</v>
      </c>
      <c r="B254" s="14" t="s">
        <v>406</v>
      </c>
      <c r="C254" s="14">
        <v>3</v>
      </c>
      <c r="D254" s="37">
        <f>VLOOKUP($B254,Menu!$A$1:$F$20,MATCH($D$1,Menu!$A$1:$F$1,0),0)</f>
        <v>38.06</v>
      </c>
      <c r="E254" s="14" t="str">
        <f>VLOOKUP($B254,Menu!$A$1:$F$20,MATCH(OrderLines!E$1,Menu!$A$1:$F$1,0),0)</f>
        <v>Snack</v>
      </c>
      <c r="F254" s="37">
        <f>VLOOKUP($B254,Menu!$A$1:$F$20,MATCH(OrderLines!F$1,Menu!$A$1:$F$1,0),0)</f>
        <v>19.55</v>
      </c>
      <c r="G254" s="28">
        <f>VLOOKUP($A254,Orders!$A$1:$H$361,MATCH($G$1,Orders!$A$1:$H$1,0),0)</f>
        <v>45881</v>
      </c>
      <c r="H254" s="14" t="str">
        <f>VLOOKUP($A254,Orders!$A$1:$H$361,MATCH(OrderLines!$H$1,Orders!$A$1:$H$1,0),0)</f>
        <v>Plant 1 Canteen</v>
      </c>
      <c r="I254" s="14">
        <f>VLOOKUP($A254,Orders!$A$1:$H$361,MATCH(OrderLines!$I$1,Orders!$A$1:$H$1,0),0)</f>
        <v>0.01</v>
      </c>
      <c r="J254" s="14">
        <f t="shared" si="10"/>
        <v>113.0382</v>
      </c>
      <c r="K254" s="28" t="str">
        <f t="shared" si="11"/>
        <v>August</v>
      </c>
      <c r="L254" s="14" t="str">
        <f>VLOOKUP(OrderLines!$A254,Orders!$A$1:$H$361,MATCH(OrderLines!$L$1,Orders!$A$1:$H$1,0),0)</f>
        <v>Lunch</v>
      </c>
      <c r="M254" t="str">
        <f>VLOOKUP($A254,Orders!$A$1:$H$361,MATCH(OrderLines!$M$1,Orders!$A$1:$H$1,0),0)</f>
        <v>UPI</v>
      </c>
      <c r="N254" t="str">
        <f t="shared" si="9"/>
        <v>Combo</v>
      </c>
      <c r="O254" t="str" cm="1">
        <f t="array" ref="O254">IF((SUMPRODUCT((OrderID=OrderLines!$A254)*Qty*UnitPrice*DiscountPct))&gt;40,"HighDisc","OK")</f>
        <v>OK</v>
      </c>
      <c r="P254">
        <f>(orderlinesTABLE[[#This Row],[UnitCost]]*orderlinesTABLE[[#This Row],[Qty]])</f>
        <v>58.650000000000006</v>
      </c>
      <c r="Q254">
        <f>(orderlinesTABLE[[#This Row],[LineNetAmount]]-orderlinesTABLE[[#This Row],[totalCOST]])</f>
        <v>54.388199999999998</v>
      </c>
      <c r="R254" t="str">
        <f>VLOOKUP($B254,Menu!$A$1:$F$20,MATCH(OrderLines!R$1,Menu!$A$1:$F$1,0),0)</f>
        <v>Paneer Roll</v>
      </c>
      <c r="S254" t="str" cm="1">
        <f t="array" ref="S254">_xlfn.TEXTJOIN("+",TRUE,_xlfn._xlws.FILTER(orderlinesTABLE[ItemName],OrderID=orderlinesTABLE[[#This Row],[OrderID]]))</f>
        <v>Paneer Roll+Bottled Water+Chicken Thali</v>
      </c>
      <c r="T254" s="54">
        <f>orderlinesTABLE[[#This Row],[Profit]]/orderlinesTABLE[[#This Row],[LineNetAmount]]</f>
        <v>0.481148850565561</v>
      </c>
      <c r="U254" s="70">
        <f>(orderlinesTABLE[[#This Row],[Qty]]*orderlinesTABLE[[#This Row],[UnitCost]])</f>
        <v>58.650000000000006</v>
      </c>
    </row>
    <row r="255" spans="1:21" x14ac:dyDescent="0.3">
      <c r="A255" s="15" t="s">
        <v>143</v>
      </c>
      <c r="B255" s="15" t="s">
        <v>409</v>
      </c>
      <c r="C255" s="15">
        <v>2</v>
      </c>
      <c r="D255" s="36">
        <f>VLOOKUP($B255,Menu!$A$1:$F$20,MATCH($D$1,Menu!$A$1:$F$1,0),0)</f>
        <v>28.43</v>
      </c>
      <c r="E255" s="15" t="str">
        <f>VLOOKUP($B255,Menu!$A$1:$F$20,MATCH(OrderLines!E$1,Menu!$A$1:$F$1,0),0)</f>
        <v>Beverage</v>
      </c>
      <c r="F255" s="36">
        <f>VLOOKUP($B255,Menu!$A$1:$F$20,MATCH(OrderLines!F$1,Menu!$A$1:$F$1,0),0)</f>
        <v>13.89</v>
      </c>
      <c r="G255" s="27">
        <f>VLOOKUP($A255,Orders!$A$1:$H$361,MATCH($G$1,Orders!$A$1:$H$1,0),0)</f>
        <v>45881</v>
      </c>
      <c r="H255" s="15" t="str">
        <f>VLOOKUP($A255,Orders!$A$1:$H$361,MATCH(OrderLines!$H$1,Orders!$A$1:$H$1,0),0)</f>
        <v>Plant 1 Canteen</v>
      </c>
      <c r="I255" s="15">
        <f>VLOOKUP($A255,Orders!$A$1:$H$361,MATCH(OrderLines!$I$1,Orders!$A$1:$H$1,0),0)</f>
        <v>0.01</v>
      </c>
      <c r="J255" s="15">
        <f t="shared" si="10"/>
        <v>56.291399999999996</v>
      </c>
      <c r="K255" s="27" t="str">
        <f t="shared" si="11"/>
        <v>August</v>
      </c>
      <c r="L255" s="15" t="str">
        <f>VLOOKUP(OrderLines!$A255,Orders!$A$1:$H$361,MATCH(OrderLines!$L$1,Orders!$A$1:$H$1,0),0)</f>
        <v>Lunch</v>
      </c>
      <c r="M255" t="str">
        <f>VLOOKUP($A255,Orders!$A$1:$H$361,MATCH(OrderLines!$M$1,Orders!$A$1:$H$1,0),0)</f>
        <v>UPI</v>
      </c>
      <c r="N255" t="str">
        <f t="shared" si="9"/>
        <v>Combo</v>
      </c>
      <c r="O255" t="str" cm="1">
        <f t="array" ref="O255">IF((SUMPRODUCT((OrderID=OrderLines!$A255)*Qty*UnitPrice*DiscountPct))&gt;40,"HighDisc","OK")</f>
        <v>OK</v>
      </c>
      <c r="P255">
        <f>(orderlinesTABLE[[#This Row],[UnitCost]]*orderlinesTABLE[[#This Row],[Qty]])</f>
        <v>27.78</v>
      </c>
      <c r="Q255">
        <f>(orderlinesTABLE[[#This Row],[LineNetAmount]]-orderlinesTABLE[[#This Row],[totalCOST]])</f>
        <v>28.511399999999995</v>
      </c>
      <c r="R255" t="str">
        <f>VLOOKUP($B255,Menu!$A$1:$F$20,MATCH(OrderLines!R$1,Menu!$A$1:$F$1,0),0)</f>
        <v>Bottled Water</v>
      </c>
      <c r="S255" t="str" cm="1">
        <f t="array" ref="S255">_xlfn.TEXTJOIN("+",TRUE,_xlfn._xlws.FILTER(orderlinesTABLE[ItemName],OrderID=orderlinesTABLE[[#This Row],[OrderID]]))</f>
        <v>Paneer Roll+Bottled Water+Chicken Thali</v>
      </c>
      <c r="T255" s="54">
        <f>orderlinesTABLE[[#This Row],[Profit]]/orderlinesTABLE[[#This Row],[LineNetAmount]]</f>
        <v>0.50649655187115605</v>
      </c>
      <c r="U255" s="70">
        <f>(orderlinesTABLE[[#This Row],[Qty]]*orderlinesTABLE[[#This Row],[UnitCost]])</f>
        <v>27.78</v>
      </c>
    </row>
    <row r="256" spans="1:21" x14ac:dyDescent="0.3">
      <c r="A256" s="14" t="s">
        <v>143</v>
      </c>
      <c r="B256" s="14" t="s">
        <v>415</v>
      </c>
      <c r="C256" s="14">
        <v>1</v>
      </c>
      <c r="D256" s="37">
        <f>VLOOKUP($B256,Menu!$A$1:$F$20,MATCH($D$1,Menu!$A$1:$F$1,0),0)</f>
        <v>256.91000000000003</v>
      </c>
      <c r="E256" s="14" t="str">
        <f>VLOOKUP($B256,Menu!$A$1:$F$20,MATCH(OrderLines!E$1,Menu!$A$1:$F$1,0),0)</f>
        <v>Hot Meal</v>
      </c>
      <c r="F256" s="37">
        <f>VLOOKUP($B256,Menu!$A$1:$F$20,MATCH(OrderLines!F$1,Menu!$A$1:$F$1,0),0)</f>
        <v>121.24</v>
      </c>
      <c r="G256" s="28">
        <f>VLOOKUP($A256,Orders!$A$1:$H$361,MATCH($G$1,Orders!$A$1:$H$1,0),0)</f>
        <v>45881</v>
      </c>
      <c r="H256" s="14" t="str">
        <f>VLOOKUP($A256,Orders!$A$1:$H$361,MATCH(OrderLines!$H$1,Orders!$A$1:$H$1,0),0)</f>
        <v>Plant 1 Canteen</v>
      </c>
      <c r="I256" s="14">
        <f>VLOOKUP($A256,Orders!$A$1:$H$361,MATCH(OrderLines!$I$1,Orders!$A$1:$H$1,0),0)</f>
        <v>0.01</v>
      </c>
      <c r="J256" s="14">
        <f t="shared" si="10"/>
        <v>254.34090000000003</v>
      </c>
      <c r="K256" s="28" t="str">
        <f t="shared" si="11"/>
        <v>August</v>
      </c>
      <c r="L256" s="14" t="str">
        <f>VLOOKUP(OrderLines!$A256,Orders!$A$1:$H$361,MATCH(OrderLines!$L$1,Orders!$A$1:$H$1,0),0)</f>
        <v>Lunch</v>
      </c>
      <c r="M256" t="str">
        <f>VLOOKUP($A256,Orders!$A$1:$H$361,MATCH(OrderLines!$M$1,Orders!$A$1:$H$1,0),0)</f>
        <v>UPI</v>
      </c>
      <c r="N256" t="str">
        <f t="shared" si="9"/>
        <v>Combo</v>
      </c>
      <c r="O256" t="str" cm="1">
        <f t="array" ref="O256">IF((SUMPRODUCT((OrderID=OrderLines!$A256)*Qty*UnitPrice*DiscountPct))&gt;40,"HighDisc","OK")</f>
        <v>OK</v>
      </c>
      <c r="P256">
        <f>(orderlinesTABLE[[#This Row],[UnitCost]]*orderlinesTABLE[[#This Row],[Qty]])</f>
        <v>121.24</v>
      </c>
      <c r="Q256">
        <f>(orderlinesTABLE[[#This Row],[LineNetAmount]]-orderlinesTABLE[[#This Row],[totalCOST]])</f>
        <v>133.10090000000002</v>
      </c>
      <c r="R256" t="str">
        <f>VLOOKUP($B256,Menu!$A$1:$F$20,MATCH(OrderLines!R$1,Menu!$A$1:$F$1,0),0)</f>
        <v>Chicken Thali</v>
      </c>
      <c r="S256" t="str" cm="1">
        <f t="array" ref="S256">_xlfn.TEXTJOIN("+",TRUE,_xlfn._xlws.FILTER(orderlinesTABLE[ItemName],OrderID=orderlinesTABLE[[#This Row],[OrderID]]))</f>
        <v>Paneer Roll+Bottled Water+Chicken Thali</v>
      </c>
      <c r="T256" s="54">
        <f>orderlinesTABLE[[#This Row],[Profit]]/orderlinesTABLE[[#This Row],[LineNetAmount]]</f>
        <v>0.52331693408335034</v>
      </c>
      <c r="U256" s="70">
        <f>(orderlinesTABLE[[#This Row],[Qty]]*orderlinesTABLE[[#This Row],[UnitCost]])</f>
        <v>121.24</v>
      </c>
    </row>
    <row r="257" spans="1:21" x14ac:dyDescent="0.3">
      <c r="A257" s="15" t="s">
        <v>144</v>
      </c>
      <c r="B257" s="15" t="s">
        <v>410</v>
      </c>
      <c r="C257" s="15">
        <v>2</v>
      </c>
      <c r="D257" s="36">
        <f>VLOOKUP($B257,Menu!$A$1:$F$20,MATCH($D$1,Menu!$A$1:$F$1,0),0)</f>
        <v>20.11</v>
      </c>
      <c r="E257" s="15" t="str">
        <f>VLOOKUP($B257,Menu!$A$1:$F$20,MATCH(OrderLines!E$1,Menu!$A$1:$F$1,0),0)</f>
        <v>Beverage</v>
      </c>
      <c r="F257" s="36">
        <f>VLOOKUP($B257,Menu!$A$1:$F$20,MATCH(OrderLines!F$1,Menu!$A$1:$F$1,0),0)</f>
        <v>8</v>
      </c>
      <c r="G257" s="27">
        <f>VLOOKUP($A257,Orders!$A$1:$H$361,MATCH($G$1,Orders!$A$1:$H$1,0),0)</f>
        <v>45891</v>
      </c>
      <c r="H257" s="15" t="str">
        <f>VLOOKUP($A257,Orders!$A$1:$H$361,MATCH(OrderLines!$H$1,Orders!$A$1:$H$1,0),0)</f>
        <v>Plant 2 Canteen</v>
      </c>
      <c r="I257" s="15">
        <f>VLOOKUP($A257,Orders!$A$1:$H$361,MATCH(OrderLines!$I$1,Orders!$A$1:$H$1,0),0)</f>
        <v>0.08</v>
      </c>
      <c r="J257" s="15">
        <f t="shared" si="10"/>
        <v>37.002400000000002</v>
      </c>
      <c r="K257" s="27" t="str">
        <f t="shared" si="11"/>
        <v>August</v>
      </c>
      <c r="L257" s="15" t="str">
        <f>VLOOKUP(OrderLines!$A257,Orders!$A$1:$H$361,MATCH(OrderLines!$L$1,Orders!$A$1:$H$1,0),0)</f>
        <v>Lunch</v>
      </c>
      <c r="M257" t="str">
        <f>VLOOKUP($A257,Orders!$A$1:$H$361,MATCH(OrderLines!$M$1,Orders!$A$1:$H$1,0),0)</f>
        <v>Card</v>
      </c>
      <c r="N257" t="str">
        <f t="shared" si="9"/>
        <v>Single</v>
      </c>
      <c r="O257" t="str" cm="1">
        <f t="array" ref="O257">IF((SUMPRODUCT((OrderID=OrderLines!$A257)*Qty*UnitPrice*DiscountPct))&gt;40,"HighDisc","OK")</f>
        <v>OK</v>
      </c>
      <c r="P257">
        <f>(orderlinesTABLE[[#This Row],[UnitCost]]*orderlinesTABLE[[#This Row],[Qty]])</f>
        <v>16</v>
      </c>
      <c r="Q257">
        <f>(orderlinesTABLE[[#This Row],[LineNetAmount]]-orderlinesTABLE[[#This Row],[totalCOST]])</f>
        <v>21.002400000000002</v>
      </c>
      <c r="R257" t="str">
        <f>VLOOKUP($B257,Menu!$A$1:$F$20,MATCH(OrderLines!R$1,Menu!$A$1:$F$1,0),0)</f>
        <v>Nimbu Pani</v>
      </c>
      <c r="S257" t="str" cm="1">
        <f t="array" ref="S257">_xlfn.TEXTJOIN("+",TRUE,_xlfn._xlws.FILTER(orderlinesTABLE[ItemName],OrderID=orderlinesTABLE[[#This Row],[OrderID]]))</f>
        <v>Nimbu Pani+Coffee</v>
      </c>
      <c r="T257" s="54">
        <f>orderlinesTABLE[[#This Row],[Profit]]/orderlinesTABLE[[#This Row],[LineNetAmount]]</f>
        <v>0.5675956154195404</v>
      </c>
      <c r="U257" s="70">
        <f>(orderlinesTABLE[[#This Row],[Qty]]*orderlinesTABLE[[#This Row],[UnitCost]])</f>
        <v>16</v>
      </c>
    </row>
    <row r="258" spans="1:21" x14ac:dyDescent="0.3">
      <c r="A258" s="14" t="s">
        <v>144</v>
      </c>
      <c r="B258" s="14" t="s">
        <v>411</v>
      </c>
      <c r="C258" s="14">
        <v>1</v>
      </c>
      <c r="D258" s="37">
        <f>VLOOKUP($B258,Menu!$A$1:$F$20,MATCH($D$1,Menu!$A$1:$F$1,0),0)</f>
        <v>22.2</v>
      </c>
      <c r="E258" s="14" t="str">
        <f>VLOOKUP($B258,Menu!$A$1:$F$20,MATCH(OrderLines!E$1,Menu!$A$1:$F$1,0),0)</f>
        <v>Beverage</v>
      </c>
      <c r="F258" s="37">
        <f>VLOOKUP($B258,Menu!$A$1:$F$20,MATCH(OrderLines!F$1,Menu!$A$1:$F$1,0),0)</f>
        <v>9.3800000000000008</v>
      </c>
      <c r="G258" s="28">
        <f>VLOOKUP($A258,Orders!$A$1:$H$361,MATCH($G$1,Orders!$A$1:$H$1,0),0)</f>
        <v>45891</v>
      </c>
      <c r="H258" s="14" t="str">
        <f>VLOOKUP($A258,Orders!$A$1:$H$361,MATCH(OrderLines!$H$1,Orders!$A$1:$H$1,0),0)</f>
        <v>Plant 2 Canteen</v>
      </c>
      <c r="I258" s="14">
        <f>VLOOKUP($A258,Orders!$A$1:$H$361,MATCH(OrderLines!$I$1,Orders!$A$1:$H$1,0),0)</f>
        <v>0.08</v>
      </c>
      <c r="J258" s="14">
        <f t="shared" si="10"/>
        <v>20.423999999999999</v>
      </c>
      <c r="K258" s="28" t="str">
        <f t="shared" si="11"/>
        <v>August</v>
      </c>
      <c r="L258" s="14" t="str">
        <f>VLOOKUP(OrderLines!$A258,Orders!$A$1:$H$361,MATCH(OrderLines!$L$1,Orders!$A$1:$H$1,0),0)</f>
        <v>Lunch</v>
      </c>
      <c r="M258" t="str">
        <f>VLOOKUP($A258,Orders!$A$1:$H$361,MATCH(OrderLines!$M$1,Orders!$A$1:$H$1,0),0)</f>
        <v>Card</v>
      </c>
      <c r="N258" t="str">
        <f t="shared" ref="N258:N321" si="12">IF(AND(COUNTIFS(OrderID,$A258,Category,"hot meal")&gt;=1,COUNTIFS(OrderID,$A258,Category,"beverage")&gt;=1),"Combo","Single")</f>
        <v>Single</v>
      </c>
      <c r="O258" t="str" cm="1">
        <f t="array" ref="O258">IF((SUMPRODUCT((OrderID=OrderLines!$A258)*Qty*UnitPrice*DiscountPct))&gt;40,"HighDisc","OK")</f>
        <v>OK</v>
      </c>
      <c r="P258">
        <f>(orderlinesTABLE[[#This Row],[UnitCost]]*orderlinesTABLE[[#This Row],[Qty]])</f>
        <v>9.3800000000000008</v>
      </c>
      <c r="Q258">
        <f>(orderlinesTABLE[[#This Row],[LineNetAmount]]-orderlinesTABLE[[#This Row],[totalCOST]])</f>
        <v>11.043999999999999</v>
      </c>
      <c r="R258" t="str">
        <f>VLOOKUP($B258,Menu!$A$1:$F$20,MATCH(OrderLines!R$1,Menu!$A$1:$F$1,0),0)</f>
        <v>Coffee</v>
      </c>
      <c r="S258" t="str" cm="1">
        <f t="array" ref="S258">_xlfn.TEXTJOIN("+",TRUE,_xlfn._xlws.FILTER(orderlinesTABLE[ItemName],OrderID=orderlinesTABLE[[#This Row],[OrderID]]))</f>
        <v>Nimbu Pani+Coffee</v>
      </c>
      <c r="T258" s="54">
        <f>orderlinesTABLE[[#This Row],[Profit]]/orderlinesTABLE[[#This Row],[LineNetAmount]]</f>
        <v>0.54073638856247552</v>
      </c>
      <c r="U258" s="70">
        <f>(orderlinesTABLE[[#This Row],[Qty]]*orderlinesTABLE[[#This Row],[UnitCost]])</f>
        <v>9.3800000000000008</v>
      </c>
    </row>
    <row r="259" spans="1:21" x14ac:dyDescent="0.3">
      <c r="A259" s="15" t="s">
        <v>145</v>
      </c>
      <c r="B259" s="15" t="s">
        <v>403</v>
      </c>
      <c r="C259" s="15">
        <v>1</v>
      </c>
      <c r="D259" s="36">
        <f>VLOOKUP($B259,Menu!$A$1:$F$20,MATCH($D$1,Menu!$A$1:$F$1,0),0)</f>
        <v>76.55</v>
      </c>
      <c r="E259" s="15" t="str">
        <f>VLOOKUP($B259,Menu!$A$1:$F$20,MATCH(OrderLines!E$1,Menu!$A$1:$F$1,0),0)</f>
        <v>Dessert</v>
      </c>
      <c r="F259" s="36">
        <f>VLOOKUP($B259,Menu!$A$1:$F$20,MATCH(OrderLines!F$1,Menu!$A$1:$F$1,0),0)</f>
        <v>38.229999999999997</v>
      </c>
      <c r="G259" s="27">
        <f>VLOOKUP($A259,Orders!$A$1:$H$361,MATCH($G$1,Orders!$A$1:$H$1,0),0)</f>
        <v>45870</v>
      </c>
      <c r="H259" s="15" t="str">
        <f>VLOOKUP($A259,Orders!$A$1:$H$361,MATCH(OrderLines!$H$1,Orders!$A$1:$H$1,0),0)</f>
        <v>Plant 1 Canteen</v>
      </c>
      <c r="I259" s="15">
        <f>VLOOKUP($A259,Orders!$A$1:$H$361,MATCH(OrderLines!$I$1,Orders!$A$1:$H$1,0),0)</f>
        <v>7.0000000000000007E-2</v>
      </c>
      <c r="J259" s="15">
        <f t="shared" ref="J259:J322" si="13">$C259*$D259*(1-$I259)</f>
        <v>71.191499999999991</v>
      </c>
      <c r="K259" s="27" t="str">
        <f t="shared" ref="K259:K322" si="14">TEXT($G259,"mmmm")</f>
        <v>August</v>
      </c>
      <c r="L259" s="15" t="str">
        <f>VLOOKUP(OrderLines!$A259,Orders!$A$1:$H$361,MATCH(OrderLines!$L$1,Orders!$A$1:$H$1,0),0)</f>
        <v>Lunch</v>
      </c>
      <c r="M259" t="str">
        <f>VLOOKUP($A259,Orders!$A$1:$H$361,MATCH(OrderLines!$M$1,Orders!$A$1:$H$1,0),0)</f>
        <v>Card</v>
      </c>
      <c r="N259" t="str">
        <f t="shared" si="12"/>
        <v>Single</v>
      </c>
      <c r="O259" t="str" cm="1">
        <f t="array" ref="O259">IF((SUMPRODUCT((OrderID=OrderLines!$A259)*Qty*UnitPrice*DiscountPct))&gt;40,"HighDisc","OK")</f>
        <v>OK</v>
      </c>
      <c r="P259">
        <f>(orderlinesTABLE[[#This Row],[UnitCost]]*orderlinesTABLE[[#This Row],[Qty]])</f>
        <v>38.229999999999997</v>
      </c>
      <c r="Q259">
        <f>(orderlinesTABLE[[#This Row],[LineNetAmount]]-orderlinesTABLE[[#This Row],[totalCOST]])</f>
        <v>32.961499999999994</v>
      </c>
      <c r="R259" t="str">
        <f>VLOOKUP($B259,Menu!$A$1:$F$20,MATCH(OrderLines!R$1,Menu!$A$1:$F$1,0),0)</f>
        <v>Gulab Jamun (2 pc)</v>
      </c>
      <c r="S259" t="str" cm="1">
        <f t="array" ref="S259">_xlfn.TEXTJOIN("+",TRUE,_xlfn._xlws.FILTER(orderlinesTABLE[ItemName],OrderID=orderlinesTABLE[[#This Row],[OrderID]]))</f>
        <v>Gulab Jamun (2 pc)+Bottled Water+Veg Sandwich+Samosa</v>
      </c>
      <c r="T259" s="54">
        <f>orderlinesTABLE[[#This Row],[Profit]]/orderlinesTABLE[[#This Row],[LineNetAmount]]</f>
        <v>0.46299768933088919</v>
      </c>
      <c r="U259" s="70">
        <f>(orderlinesTABLE[[#This Row],[Qty]]*orderlinesTABLE[[#This Row],[UnitCost]])</f>
        <v>38.229999999999997</v>
      </c>
    </row>
    <row r="260" spans="1:21" x14ac:dyDescent="0.3">
      <c r="A260" s="14" t="s">
        <v>145</v>
      </c>
      <c r="B260" s="14" t="s">
        <v>409</v>
      </c>
      <c r="C260" s="14">
        <v>1</v>
      </c>
      <c r="D260" s="37">
        <f>VLOOKUP($B260,Menu!$A$1:$F$20,MATCH($D$1,Menu!$A$1:$F$1,0),0)</f>
        <v>28.43</v>
      </c>
      <c r="E260" s="14" t="str">
        <f>VLOOKUP($B260,Menu!$A$1:$F$20,MATCH(OrderLines!E$1,Menu!$A$1:$F$1,0),0)</f>
        <v>Beverage</v>
      </c>
      <c r="F260" s="37">
        <f>VLOOKUP($B260,Menu!$A$1:$F$20,MATCH(OrderLines!F$1,Menu!$A$1:$F$1,0),0)</f>
        <v>13.89</v>
      </c>
      <c r="G260" s="28">
        <f>VLOOKUP($A260,Orders!$A$1:$H$361,MATCH($G$1,Orders!$A$1:$H$1,0),0)</f>
        <v>45870</v>
      </c>
      <c r="H260" s="14" t="str">
        <f>VLOOKUP($A260,Orders!$A$1:$H$361,MATCH(OrderLines!$H$1,Orders!$A$1:$H$1,0),0)</f>
        <v>Plant 1 Canteen</v>
      </c>
      <c r="I260" s="14">
        <f>VLOOKUP($A260,Orders!$A$1:$H$361,MATCH(OrderLines!$I$1,Orders!$A$1:$H$1,0),0)</f>
        <v>7.0000000000000007E-2</v>
      </c>
      <c r="J260" s="14">
        <f t="shared" si="13"/>
        <v>26.439899999999998</v>
      </c>
      <c r="K260" s="28" t="str">
        <f t="shared" si="14"/>
        <v>August</v>
      </c>
      <c r="L260" s="14" t="str">
        <f>VLOOKUP(OrderLines!$A260,Orders!$A$1:$H$361,MATCH(OrderLines!$L$1,Orders!$A$1:$H$1,0),0)</f>
        <v>Lunch</v>
      </c>
      <c r="M260" t="str">
        <f>VLOOKUP($A260,Orders!$A$1:$H$361,MATCH(OrderLines!$M$1,Orders!$A$1:$H$1,0),0)</f>
        <v>Card</v>
      </c>
      <c r="N260" t="str">
        <f t="shared" si="12"/>
        <v>Single</v>
      </c>
      <c r="O260" t="str" cm="1">
        <f t="array" ref="O260">IF((SUMPRODUCT((OrderID=OrderLines!$A260)*Qty*UnitPrice*DiscountPct))&gt;40,"HighDisc","OK")</f>
        <v>OK</v>
      </c>
      <c r="P260">
        <f>(orderlinesTABLE[[#This Row],[UnitCost]]*orderlinesTABLE[[#This Row],[Qty]])</f>
        <v>13.89</v>
      </c>
      <c r="Q260">
        <f>(orderlinesTABLE[[#This Row],[LineNetAmount]]-orderlinesTABLE[[#This Row],[totalCOST]])</f>
        <v>12.549899999999997</v>
      </c>
      <c r="R260" t="str">
        <f>VLOOKUP($B260,Menu!$A$1:$F$20,MATCH(OrderLines!R$1,Menu!$A$1:$F$1,0),0)</f>
        <v>Bottled Water</v>
      </c>
      <c r="S260" t="str" cm="1">
        <f t="array" ref="S260">_xlfn.TEXTJOIN("+",TRUE,_xlfn._xlws.FILTER(orderlinesTABLE[ItemName],OrderID=orderlinesTABLE[[#This Row],[OrderID]]))</f>
        <v>Gulab Jamun (2 pc)+Bottled Water+Veg Sandwich+Samosa</v>
      </c>
      <c r="T260" s="54">
        <f>orderlinesTABLE[[#This Row],[Profit]]/orderlinesTABLE[[#This Row],[LineNetAmount]]</f>
        <v>0.47465761973381132</v>
      </c>
      <c r="U260" s="70">
        <f>(orderlinesTABLE[[#This Row],[Qty]]*orderlinesTABLE[[#This Row],[UnitCost]])</f>
        <v>13.89</v>
      </c>
    </row>
    <row r="261" spans="1:21" x14ac:dyDescent="0.3">
      <c r="A261" s="15" t="s">
        <v>145</v>
      </c>
      <c r="B261" s="15" t="s">
        <v>408</v>
      </c>
      <c r="C261" s="15">
        <v>1</v>
      </c>
      <c r="D261" s="36">
        <f>VLOOKUP($B261,Menu!$A$1:$F$20,MATCH($D$1,Menu!$A$1:$F$1,0),0)</f>
        <v>70.540000000000006</v>
      </c>
      <c r="E261" s="15" t="str">
        <f>VLOOKUP($B261,Menu!$A$1:$F$20,MATCH(OrderLines!E$1,Menu!$A$1:$F$1,0),0)</f>
        <v>Snack</v>
      </c>
      <c r="F261" s="36">
        <f>VLOOKUP($B261,Menu!$A$1:$F$20,MATCH(OrderLines!F$1,Menu!$A$1:$F$1,0),0)</f>
        <v>35.81</v>
      </c>
      <c r="G261" s="27">
        <f>VLOOKUP($A261,Orders!$A$1:$H$361,MATCH($G$1,Orders!$A$1:$H$1,0),0)</f>
        <v>45870</v>
      </c>
      <c r="H261" s="15" t="str">
        <f>VLOOKUP($A261,Orders!$A$1:$H$361,MATCH(OrderLines!$H$1,Orders!$A$1:$H$1,0),0)</f>
        <v>Plant 1 Canteen</v>
      </c>
      <c r="I261" s="15">
        <f>VLOOKUP($A261,Orders!$A$1:$H$361,MATCH(OrderLines!$I$1,Orders!$A$1:$H$1,0),0)</f>
        <v>7.0000000000000007E-2</v>
      </c>
      <c r="J261" s="15">
        <f t="shared" si="13"/>
        <v>65.602199999999996</v>
      </c>
      <c r="K261" s="27" t="str">
        <f t="shared" si="14"/>
        <v>August</v>
      </c>
      <c r="L261" s="15" t="str">
        <f>VLOOKUP(OrderLines!$A261,Orders!$A$1:$H$361,MATCH(OrderLines!$L$1,Orders!$A$1:$H$1,0),0)</f>
        <v>Lunch</v>
      </c>
      <c r="M261" t="str">
        <f>VLOOKUP($A261,Orders!$A$1:$H$361,MATCH(OrderLines!$M$1,Orders!$A$1:$H$1,0),0)</f>
        <v>Card</v>
      </c>
      <c r="N261" t="str">
        <f t="shared" si="12"/>
        <v>Single</v>
      </c>
      <c r="O261" t="str" cm="1">
        <f t="array" ref="O261">IF((SUMPRODUCT((OrderID=OrderLines!$A261)*Qty*UnitPrice*DiscountPct))&gt;40,"HighDisc","OK")</f>
        <v>OK</v>
      </c>
      <c r="P261">
        <f>(orderlinesTABLE[[#This Row],[UnitCost]]*orderlinesTABLE[[#This Row],[Qty]])</f>
        <v>35.81</v>
      </c>
      <c r="Q261">
        <f>(orderlinesTABLE[[#This Row],[LineNetAmount]]-orderlinesTABLE[[#This Row],[totalCOST]])</f>
        <v>29.792199999999994</v>
      </c>
      <c r="R261" t="str">
        <f>VLOOKUP($B261,Menu!$A$1:$F$20,MATCH(OrderLines!R$1,Menu!$A$1:$F$1,0),0)</f>
        <v>Veg Sandwich</v>
      </c>
      <c r="S261" t="str" cm="1">
        <f t="array" ref="S261">_xlfn.TEXTJOIN("+",TRUE,_xlfn._xlws.FILTER(orderlinesTABLE[ItemName],OrderID=orderlinesTABLE[[#This Row],[OrderID]]))</f>
        <v>Gulab Jamun (2 pc)+Bottled Water+Veg Sandwich+Samosa</v>
      </c>
      <c r="T261" s="54">
        <f>orderlinesTABLE[[#This Row],[Profit]]/orderlinesTABLE[[#This Row],[LineNetAmount]]</f>
        <v>0.45413416013487345</v>
      </c>
      <c r="U261" s="70">
        <f>(orderlinesTABLE[[#This Row],[Qty]]*orderlinesTABLE[[#This Row],[UnitCost]])</f>
        <v>35.81</v>
      </c>
    </row>
    <row r="262" spans="1:21" x14ac:dyDescent="0.3">
      <c r="A262" s="14" t="s">
        <v>145</v>
      </c>
      <c r="B262" s="14" t="s">
        <v>418</v>
      </c>
      <c r="C262" s="14">
        <v>1</v>
      </c>
      <c r="D262" s="37">
        <f>VLOOKUP($B262,Menu!$A$1:$F$20,MATCH($D$1,Menu!$A$1:$F$1,0),0)</f>
        <v>39.950000000000003</v>
      </c>
      <c r="E262" s="14" t="str">
        <f>VLOOKUP($B262,Menu!$A$1:$F$20,MATCH(OrderLines!E$1,Menu!$A$1:$F$1,0),0)</f>
        <v>Snack</v>
      </c>
      <c r="F262" s="37">
        <f>VLOOKUP($B262,Menu!$A$1:$F$20,MATCH(OrderLines!F$1,Menu!$A$1:$F$1,0),0)</f>
        <v>15.51</v>
      </c>
      <c r="G262" s="28">
        <f>VLOOKUP($A262,Orders!$A$1:$H$361,MATCH($G$1,Orders!$A$1:$H$1,0),0)</f>
        <v>45870</v>
      </c>
      <c r="H262" s="14" t="str">
        <f>VLOOKUP($A262,Orders!$A$1:$H$361,MATCH(OrderLines!$H$1,Orders!$A$1:$H$1,0),0)</f>
        <v>Plant 1 Canteen</v>
      </c>
      <c r="I262" s="14">
        <f>VLOOKUP($A262,Orders!$A$1:$H$361,MATCH(OrderLines!$I$1,Orders!$A$1:$H$1,0),0)</f>
        <v>7.0000000000000007E-2</v>
      </c>
      <c r="J262" s="14">
        <f t="shared" si="13"/>
        <v>37.153500000000001</v>
      </c>
      <c r="K262" s="28" t="str">
        <f t="shared" si="14"/>
        <v>August</v>
      </c>
      <c r="L262" s="14" t="str">
        <f>VLOOKUP(OrderLines!$A262,Orders!$A$1:$H$361,MATCH(OrderLines!$L$1,Orders!$A$1:$H$1,0),0)</f>
        <v>Lunch</v>
      </c>
      <c r="M262" t="str">
        <f>VLOOKUP($A262,Orders!$A$1:$H$361,MATCH(OrderLines!$M$1,Orders!$A$1:$H$1,0),0)</f>
        <v>Card</v>
      </c>
      <c r="N262" t="str">
        <f t="shared" si="12"/>
        <v>Single</v>
      </c>
      <c r="O262" t="str" cm="1">
        <f t="array" ref="O262">IF((SUMPRODUCT((OrderID=OrderLines!$A262)*Qty*UnitPrice*DiscountPct))&gt;40,"HighDisc","OK")</f>
        <v>OK</v>
      </c>
      <c r="P262">
        <f>(orderlinesTABLE[[#This Row],[UnitCost]]*orderlinesTABLE[[#This Row],[Qty]])</f>
        <v>15.51</v>
      </c>
      <c r="Q262">
        <f>(orderlinesTABLE[[#This Row],[LineNetAmount]]-orderlinesTABLE[[#This Row],[totalCOST]])</f>
        <v>21.643500000000003</v>
      </c>
      <c r="R262" t="str">
        <f>VLOOKUP($B262,Menu!$A$1:$F$20,MATCH(OrderLines!R$1,Menu!$A$1:$F$1,0),0)</f>
        <v>Samosa</v>
      </c>
      <c r="S262" t="str" cm="1">
        <f t="array" ref="S262">_xlfn.TEXTJOIN("+",TRUE,_xlfn._xlws.FILTER(orderlinesTABLE[ItemName],OrderID=orderlinesTABLE[[#This Row],[OrderID]]))</f>
        <v>Gulab Jamun (2 pc)+Bottled Water+Veg Sandwich+Samosa</v>
      </c>
      <c r="T262" s="54">
        <f>orderlinesTABLE[[#This Row],[Profit]]/orderlinesTABLE[[#This Row],[LineNetAmount]]</f>
        <v>0.58254269449715379</v>
      </c>
      <c r="U262" s="70">
        <f>(orderlinesTABLE[[#This Row],[Qty]]*orderlinesTABLE[[#This Row],[UnitCost]])</f>
        <v>15.51</v>
      </c>
    </row>
    <row r="263" spans="1:21" x14ac:dyDescent="0.3">
      <c r="A263" s="15" t="s">
        <v>146</v>
      </c>
      <c r="B263" s="15" t="s">
        <v>402</v>
      </c>
      <c r="C263" s="15">
        <v>2</v>
      </c>
      <c r="D263" s="36">
        <f>VLOOKUP($B263,Menu!$A$1:$F$20,MATCH($D$1,Menu!$A$1:$F$1,0),0)</f>
        <v>30.34</v>
      </c>
      <c r="E263" s="15" t="str">
        <f>VLOOKUP($B263,Menu!$A$1:$F$20,MATCH(OrderLines!E$1,Menu!$A$1:$F$1,0),0)</f>
        <v>Beverage</v>
      </c>
      <c r="F263" s="36">
        <f>VLOOKUP($B263,Menu!$A$1:$F$20,MATCH(OrderLines!F$1,Menu!$A$1:$F$1,0),0)</f>
        <v>14.18</v>
      </c>
      <c r="G263" s="27">
        <f>VLOOKUP($A263,Orders!$A$1:$H$361,MATCH($G$1,Orders!$A$1:$H$1,0),0)</f>
        <v>45862</v>
      </c>
      <c r="H263" s="15" t="str">
        <f>VLOOKUP($A263,Orders!$A$1:$H$361,MATCH(OrderLines!$H$1,Orders!$A$1:$H$1,0),0)</f>
        <v>Plant 2 Canteen</v>
      </c>
      <c r="I263" s="15">
        <f>VLOOKUP($A263,Orders!$A$1:$H$361,MATCH(OrderLines!$I$1,Orders!$A$1:$H$1,0),0)</f>
        <v>7.0000000000000007E-2</v>
      </c>
      <c r="J263" s="15">
        <f t="shared" si="13"/>
        <v>56.432399999999994</v>
      </c>
      <c r="K263" s="27" t="str">
        <f t="shared" si="14"/>
        <v>July</v>
      </c>
      <c r="L263" s="15" t="str">
        <f>VLOOKUP(OrderLines!$A263,Orders!$A$1:$H$361,MATCH(OrderLines!$L$1,Orders!$A$1:$H$1,0),0)</f>
        <v>Dinner</v>
      </c>
      <c r="M263" t="str">
        <f>VLOOKUP($A263,Orders!$A$1:$H$361,MATCH(OrderLines!$M$1,Orders!$A$1:$H$1,0),0)</f>
        <v>UPI</v>
      </c>
      <c r="N263" t="str">
        <f t="shared" si="12"/>
        <v>Single</v>
      </c>
      <c r="O263" t="str" cm="1">
        <f t="array" ref="O263">IF((SUMPRODUCT((OrderID=OrderLines!$A263)*Qty*UnitPrice*DiscountPct))&gt;40,"HighDisc","OK")</f>
        <v>OK</v>
      </c>
      <c r="P263">
        <f>(orderlinesTABLE[[#This Row],[UnitCost]]*orderlinesTABLE[[#This Row],[Qty]])</f>
        <v>28.36</v>
      </c>
      <c r="Q263">
        <f>(orderlinesTABLE[[#This Row],[LineNetAmount]]-orderlinesTABLE[[#This Row],[totalCOST]])</f>
        <v>28.072399999999995</v>
      </c>
      <c r="R263" t="str">
        <f>VLOOKUP($B263,Menu!$A$1:$F$20,MATCH(OrderLines!R$1,Menu!$A$1:$F$1,0),0)</f>
        <v>Tea</v>
      </c>
      <c r="S263" t="str" cm="1">
        <f t="array" ref="S263">_xlfn.TEXTJOIN("+",TRUE,_xlfn._xlws.FILTER(orderlinesTABLE[ItemName],OrderID=orderlinesTABLE[[#This Row],[OrderID]]))</f>
        <v>Tea</v>
      </c>
      <c r="T263" s="54">
        <f>orderlinesTABLE[[#This Row],[Profit]]/orderlinesTABLE[[#This Row],[LineNetAmount]]</f>
        <v>0.49745181845889946</v>
      </c>
      <c r="U263" s="70">
        <f>(orderlinesTABLE[[#This Row],[Qty]]*orderlinesTABLE[[#This Row],[UnitCost]])</f>
        <v>28.36</v>
      </c>
    </row>
    <row r="264" spans="1:21" x14ac:dyDescent="0.3">
      <c r="A264" s="14" t="s">
        <v>147</v>
      </c>
      <c r="B264" s="14" t="s">
        <v>402</v>
      </c>
      <c r="C264" s="14">
        <v>2</v>
      </c>
      <c r="D264" s="37">
        <f>VLOOKUP($B264,Menu!$A$1:$F$20,MATCH($D$1,Menu!$A$1:$F$1,0),0)</f>
        <v>30.34</v>
      </c>
      <c r="E264" s="14" t="str">
        <f>VLOOKUP($B264,Menu!$A$1:$F$20,MATCH(OrderLines!E$1,Menu!$A$1:$F$1,0),0)</f>
        <v>Beverage</v>
      </c>
      <c r="F264" s="37">
        <f>VLOOKUP($B264,Menu!$A$1:$F$20,MATCH(OrderLines!F$1,Menu!$A$1:$F$1,0),0)</f>
        <v>14.18</v>
      </c>
      <c r="G264" s="28">
        <f>VLOOKUP($A264,Orders!$A$1:$H$361,MATCH($G$1,Orders!$A$1:$H$1,0),0)</f>
        <v>45871</v>
      </c>
      <c r="H264" s="14" t="str">
        <f>VLOOKUP($A264,Orders!$A$1:$H$361,MATCH(OrderLines!$H$1,Orders!$A$1:$H$1,0),0)</f>
        <v>Plant 1 Canteen</v>
      </c>
      <c r="I264" s="14">
        <f>VLOOKUP($A264,Orders!$A$1:$H$361,MATCH(OrderLines!$I$1,Orders!$A$1:$H$1,0),0)</f>
        <v>7.0000000000000007E-2</v>
      </c>
      <c r="J264" s="14">
        <f t="shared" si="13"/>
        <v>56.432399999999994</v>
      </c>
      <c r="K264" s="28" t="str">
        <f t="shared" si="14"/>
        <v>August</v>
      </c>
      <c r="L264" s="14" t="str">
        <f>VLOOKUP(OrderLines!$A264,Orders!$A$1:$H$361,MATCH(OrderLines!$L$1,Orders!$A$1:$H$1,0),0)</f>
        <v>Dinner</v>
      </c>
      <c r="M264" t="str">
        <f>VLOOKUP($A264,Orders!$A$1:$H$361,MATCH(OrderLines!$M$1,Orders!$A$1:$H$1,0),0)</f>
        <v>Card</v>
      </c>
      <c r="N264" t="str">
        <f t="shared" si="12"/>
        <v>Combo</v>
      </c>
      <c r="O264" t="str" cm="1">
        <f t="array" ref="O264">IF((SUMPRODUCT((OrderID=OrderLines!$A264)*Qty*UnitPrice*DiscountPct))&gt;40,"HighDisc","OK")</f>
        <v>HighDisc</v>
      </c>
      <c r="P264">
        <f>(orderlinesTABLE[[#This Row],[UnitCost]]*orderlinesTABLE[[#This Row],[Qty]])</f>
        <v>28.36</v>
      </c>
      <c r="Q264">
        <f>(orderlinesTABLE[[#This Row],[LineNetAmount]]-orderlinesTABLE[[#This Row],[totalCOST]])</f>
        <v>28.072399999999995</v>
      </c>
      <c r="R264" t="str">
        <f>VLOOKUP($B264,Menu!$A$1:$F$20,MATCH(OrderLines!R$1,Menu!$A$1:$F$1,0),0)</f>
        <v>Tea</v>
      </c>
      <c r="S264" t="str" cm="1">
        <f t="array" ref="S264">_xlfn.TEXTJOIN("+",TRUE,_xlfn._xlws.FILTER(orderlinesTABLE[ItemName],OrderID=orderlinesTABLE[[#This Row],[OrderID]]))</f>
        <v>Tea+Veg Thali+Fruit Cup+Egg Curry + Rice</v>
      </c>
      <c r="T264" s="54">
        <f>orderlinesTABLE[[#This Row],[Profit]]/orderlinesTABLE[[#This Row],[LineNetAmount]]</f>
        <v>0.49745181845889946</v>
      </c>
      <c r="U264" s="70">
        <f>(orderlinesTABLE[[#This Row],[Qty]]*orderlinesTABLE[[#This Row],[UnitCost]])</f>
        <v>28.36</v>
      </c>
    </row>
    <row r="265" spans="1:21" x14ac:dyDescent="0.3">
      <c r="A265" s="15" t="s">
        <v>147</v>
      </c>
      <c r="B265" s="15" t="s">
        <v>416</v>
      </c>
      <c r="C265" s="15">
        <v>2</v>
      </c>
      <c r="D265" s="36">
        <f>VLOOKUP($B265,Menu!$A$1:$F$20,MATCH($D$1,Menu!$A$1:$F$1,0),0)</f>
        <v>227.61</v>
      </c>
      <c r="E265" s="15" t="str">
        <f>VLOOKUP($B265,Menu!$A$1:$F$20,MATCH(OrderLines!E$1,Menu!$A$1:$F$1,0),0)</f>
        <v>Hot Meal</v>
      </c>
      <c r="F265" s="36">
        <f>VLOOKUP($B265,Menu!$A$1:$F$20,MATCH(OrderLines!F$1,Menu!$A$1:$F$1,0),0)</f>
        <v>96.22</v>
      </c>
      <c r="G265" s="27">
        <f>VLOOKUP($A265,Orders!$A$1:$H$361,MATCH($G$1,Orders!$A$1:$H$1,0),0)</f>
        <v>45871</v>
      </c>
      <c r="H265" s="15" t="str">
        <f>VLOOKUP($A265,Orders!$A$1:$H$361,MATCH(OrderLines!$H$1,Orders!$A$1:$H$1,0),0)</f>
        <v>Plant 1 Canteen</v>
      </c>
      <c r="I265" s="15">
        <f>VLOOKUP($A265,Orders!$A$1:$H$361,MATCH(OrderLines!$I$1,Orders!$A$1:$H$1,0),0)</f>
        <v>7.0000000000000007E-2</v>
      </c>
      <c r="J265" s="15">
        <f t="shared" si="13"/>
        <v>423.3546</v>
      </c>
      <c r="K265" s="27" t="str">
        <f t="shared" si="14"/>
        <v>August</v>
      </c>
      <c r="L265" s="15" t="str">
        <f>VLOOKUP(OrderLines!$A265,Orders!$A$1:$H$361,MATCH(OrderLines!$L$1,Orders!$A$1:$H$1,0),0)</f>
        <v>Dinner</v>
      </c>
      <c r="M265" t="str">
        <f>VLOOKUP($A265,Orders!$A$1:$H$361,MATCH(OrderLines!$M$1,Orders!$A$1:$H$1,0),0)</f>
        <v>Card</v>
      </c>
      <c r="N265" t="str">
        <f t="shared" si="12"/>
        <v>Combo</v>
      </c>
      <c r="O265" t="str" cm="1">
        <f t="array" ref="O265">IF((SUMPRODUCT((OrderID=OrderLines!$A265)*Qty*UnitPrice*DiscountPct))&gt;40,"HighDisc","OK")</f>
        <v>HighDisc</v>
      </c>
      <c r="P265">
        <f>(orderlinesTABLE[[#This Row],[UnitCost]]*orderlinesTABLE[[#This Row],[Qty]])</f>
        <v>192.44</v>
      </c>
      <c r="Q265">
        <f>(orderlinesTABLE[[#This Row],[LineNetAmount]]-orderlinesTABLE[[#This Row],[totalCOST]])</f>
        <v>230.91460000000001</v>
      </c>
      <c r="R265" t="str">
        <f>VLOOKUP($B265,Menu!$A$1:$F$20,MATCH(OrderLines!R$1,Menu!$A$1:$F$1,0),0)</f>
        <v>Veg Thali</v>
      </c>
      <c r="S265" t="str" cm="1">
        <f t="array" ref="S265">_xlfn.TEXTJOIN("+",TRUE,_xlfn._xlws.FILTER(orderlinesTABLE[ItemName],OrderID=orderlinesTABLE[[#This Row],[OrderID]]))</f>
        <v>Tea+Veg Thali+Fruit Cup+Egg Curry + Rice</v>
      </c>
      <c r="T265" s="54">
        <f>orderlinesTABLE[[#This Row],[Profit]]/orderlinesTABLE[[#This Row],[LineNetAmount]]</f>
        <v>0.54544015820307612</v>
      </c>
      <c r="U265" s="70">
        <f>(orderlinesTABLE[[#This Row],[Qty]]*orderlinesTABLE[[#This Row],[UnitCost]])</f>
        <v>192.44</v>
      </c>
    </row>
    <row r="266" spans="1:21" x14ac:dyDescent="0.3">
      <c r="A266" s="14" t="s">
        <v>147</v>
      </c>
      <c r="B266" s="14" t="s">
        <v>412</v>
      </c>
      <c r="C266" s="14">
        <v>1</v>
      </c>
      <c r="D266" s="37">
        <f>VLOOKUP($B266,Menu!$A$1:$F$20,MATCH($D$1,Menu!$A$1:$F$1,0),0)</f>
        <v>57.07</v>
      </c>
      <c r="E266" s="14" t="str">
        <f>VLOOKUP($B266,Menu!$A$1:$F$20,MATCH(OrderLines!E$1,Menu!$A$1:$F$1,0),0)</f>
        <v>Dessert</v>
      </c>
      <c r="F266" s="37">
        <f>VLOOKUP($B266,Menu!$A$1:$F$20,MATCH(OrderLines!F$1,Menu!$A$1:$F$1,0),0)</f>
        <v>29.14</v>
      </c>
      <c r="G266" s="28">
        <f>VLOOKUP($A266,Orders!$A$1:$H$361,MATCH($G$1,Orders!$A$1:$H$1,0),0)</f>
        <v>45871</v>
      </c>
      <c r="H266" s="14" t="str">
        <f>VLOOKUP($A266,Orders!$A$1:$H$361,MATCH(OrderLines!$H$1,Orders!$A$1:$H$1,0),0)</f>
        <v>Plant 1 Canteen</v>
      </c>
      <c r="I266" s="14">
        <f>VLOOKUP($A266,Orders!$A$1:$H$361,MATCH(OrderLines!$I$1,Orders!$A$1:$H$1,0),0)</f>
        <v>7.0000000000000007E-2</v>
      </c>
      <c r="J266" s="14">
        <f t="shared" si="13"/>
        <v>53.075099999999999</v>
      </c>
      <c r="K266" s="28" t="str">
        <f t="shared" si="14"/>
        <v>August</v>
      </c>
      <c r="L266" s="14" t="str">
        <f>VLOOKUP(OrderLines!$A266,Orders!$A$1:$H$361,MATCH(OrderLines!$L$1,Orders!$A$1:$H$1,0),0)</f>
        <v>Dinner</v>
      </c>
      <c r="M266" t="str">
        <f>VLOOKUP($A266,Orders!$A$1:$H$361,MATCH(OrderLines!$M$1,Orders!$A$1:$H$1,0),0)</f>
        <v>Card</v>
      </c>
      <c r="N266" t="str">
        <f t="shared" si="12"/>
        <v>Combo</v>
      </c>
      <c r="O266" t="str" cm="1">
        <f t="array" ref="O266">IF((SUMPRODUCT((OrderID=OrderLines!$A266)*Qty*UnitPrice*DiscountPct))&gt;40,"HighDisc","OK")</f>
        <v>HighDisc</v>
      </c>
      <c r="P266">
        <f>(orderlinesTABLE[[#This Row],[UnitCost]]*orderlinesTABLE[[#This Row],[Qty]])</f>
        <v>29.14</v>
      </c>
      <c r="Q266">
        <f>(orderlinesTABLE[[#This Row],[LineNetAmount]]-orderlinesTABLE[[#This Row],[totalCOST]])</f>
        <v>23.935099999999998</v>
      </c>
      <c r="R266" t="str">
        <f>VLOOKUP($B266,Menu!$A$1:$F$20,MATCH(OrderLines!R$1,Menu!$A$1:$F$1,0),0)</f>
        <v>Fruit Cup</v>
      </c>
      <c r="S266" t="str" cm="1">
        <f t="array" ref="S266">_xlfn.TEXTJOIN("+",TRUE,_xlfn._xlws.FILTER(orderlinesTABLE[ItemName],OrderID=orderlinesTABLE[[#This Row],[OrderID]]))</f>
        <v>Tea+Veg Thali+Fruit Cup+Egg Curry + Rice</v>
      </c>
      <c r="T266" s="54">
        <f>orderlinesTABLE[[#This Row],[Profit]]/orderlinesTABLE[[#This Row],[LineNetAmount]]</f>
        <v>0.45096664914432566</v>
      </c>
      <c r="U266" s="70">
        <f>(orderlinesTABLE[[#This Row],[Qty]]*orderlinesTABLE[[#This Row],[UnitCost]])</f>
        <v>29.14</v>
      </c>
    </row>
    <row r="267" spans="1:21" x14ac:dyDescent="0.3">
      <c r="A267" s="15" t="s">
        <v>147</v>
      </c>
      <c r="B267" s="15" t="s">
        <v>407</v>
      </c>
      <c r="C267" s="15">
        <v>1</v>
      </c>
      <c r="D267" s="36">
        <f>VLOOKUP($B267,Menu!$A$1:$F$20,MATCH($D$1,Menu!$A$1:$F$1,0),0)</f>
        <v>246.09</v>
      </c>
      <c r="E267" s="15" t="str">
        <f>VLOOKUP($B267,Menu!$A$1:$F$20,MATCH(OrderLines!E$1,Menu!$A$1:$F$1,0),0)</f>
        <v>Hot Meal</v>
      </c>
      <c r="F267" s="36">
        <f>VLOOKUP($B267,Menu!$A$1:$F$20,MATCH(OrderLines!F$1,Menu!$A$1:$F$1,0),0)</f>
        <v>112.08</v>
      </c>
      <c r="G267" s="27">
        <f>VLOOKUP($A267,Orders!$A$1:$H$361,MATCH($G$1,Orders!$A$1:$H$1,0),0)</f>
        <v>45871</v>
      </c>
      <c r="H267" s="15" t="str">
        <f>VLOOKUP($A267,Orders!$A$1:$H$361,MATCH(OrderLines!$H$1,Orders!$A$1:$H$1,0),0)</f>
        <v>Plant 1 Canteen</v>
      </c>
      <c r="I267" s="15">
        <f>VLOOKUP($A267,Orders!$A$1:$H$361,MATCH(OrderLines!$I$1,Orders!$A$1:$H$1,0),0)</f>
        <v>7.0000000000000007E-2</v>
      </c>
      <c r="J267" s="15">
        <f t="shared" si="13"/>
        <v>228.86369999999999</v>
      </c>
      <c r="K267" s="27" t="str">
        <f t="shared" si="14"/>
        <v>August</v>
      </c>
      <c r="L267" s="15" t="str">
        <f>VLOOKUP(OrderLines!$A267,Orders!$A$1:$H$361,MATCH(OrderLines!$L$1,Orders!$A$1:$H$1,0),0)</f>
        <v>Dinner</v>
      </c>
      <c r="M267" t="str">
        <f>VLOOKUP($A267,Orders!$A$1:$H$361,MATCH(OrderLines!$M$1,Orders!$A$1:$H$1,0),0)</f>
        <v>Card</v>
      </c>
      <c r="N267" t="str">
        <f t="shared" si="12"/>
        <v>Combo</v>
      </c>
      <c r="O267" t="str" cm="1">
        <f t="array" ref="O267">IF((SUMPRODUCT((OrderID=OrderLines!$A267)*Qty*UnitPrice*DiscountPct))&gt;40,"HighDisc","OK")</f>
        <v>HighDisc</v>
      </c>
      <c r="P267">
        <f>(orderlinesTABLE[[#This Row],[UnitCost]]*orderlinesTABLE[[#This Row],[Qty]])</f>
        <v>112.08</v>
      </c>
      <c r="Q267">
        <f>(orderlinesTABLE[[#This Row],[LineNetAmount]]-orderlinesTABLE[[#This Row],[totalCOST]])</f>
        <v>116.7837</v>
      </c>
      <c r="R267" t="str">
        <f>VLOOKUP($B267,Menu!$A$1:$F$20,MATCH(OrderLines!R$1,Menu!$A$1:$F$1,0),0)</f>
        <v>Egg Curry + Rice</v>
      </c>
      <c r="S267" t="str" cm="1">
        <f t="array" ref="S267">_xlfn.TEXTJOIN("+",TRUE,_xlfn._xlws.FILTER(orderlinesTABLE[ItemName],OrderID=orderlinesTABLE[[#This Row],[OrderID]]))</f>
        <v>Tea+Veg Thali+Fruit Cup+Egg Curry + Rice</v>
      </c>
      <c r="T267" s="54">
        <f>orderlinesTABLE[[#This Row],[Profit]]/orderlinesTABLE[[#This Row],[LineNetAmount]]</f>
        <v>0.5102762036967855</v>
      </c>
      <c r="U267" s="70">
        <f>(orderlinesTABLE[[#This Row],[Qty]]*orderlinesTABLE[[#This Row],[UnitCost]])</f>
        <v>112.08</v>
      </c>
    </row>
    <row r="268" spans="1:21" x14ac:dyDescent="0.3">
      <c r="A268" s="14" t="s">
        <v>148</v>
      </c>
      <c r="B268" s="14" t="s">
        <v>417</v>
      </c>
      <c r="C268" s="14">
        <v>2</v>
      </c>
      <c r="D268" s="37">
        <f>VLOOKUP($B268,Menu!$A$1:$F$20,MATCH($D$1,Menu!$A$1:$F$1,0),0)</f>
        <v>146.4</v>
      </c>
      <c r="E268" s="14" t="str">
        <f>VLOOKUP($B268,Menu!$A$1:$F$20,MATCH(OrderLines!E$1,Menu!$A$1:$F$1,0),0)</f>
        <v>Hot Meal</v>
      </c>
      <c r="F268" s="37">
        <f>VLOOKUP($B268,Menu!$A$1:$F$20,MATCH(OrderLines!F$1,Menu!$A$1:$F$1,0),0)</f>
        <v>80.92</v>
      </c>
      <c r="G268" s="28">
        <f>VLOOKUP($A268,Orders!$A$1:$H$361,MATCH($G$1,Orders!$A$1:$H$1,0),0)</f>
        <v>45886</v>
      </c>
      <c r="H268" s="14" t="str">
        <f>VLOOKUP($A268,Orders!$A$1:$H$361,MATCH(OrderLines!$H$1,Orders!$A$1:$H$1,0),0)</f>
        <v>Plant 1 Canteen</v>
      </c>
      <c r="I268" s="14">
        <f>VLOOKUP($A268,Orders!$A$1:$H$361,MATCH(OrderLines!$I$1,Orders!$A$1:$H$1,0),0)</f>
        <v>0.03</v>
      </c>
      <c r="J268" s="14">
        <f t="shared" si="13"/>
        <v>284.01600000000002</v>
      </c>
      <c r="K268" s="28" t="str">
        <f t="shared" si="14"/>
        <v>August</v>
      </c>
      <c r="L268" s="14" t="str">
        <f>VLOOKUP(OrderLines!$A268,Orders!$A$1:$H$361,MATCH(OrderLines!$L$1,Orders!$A$1:$H$1,0),0)</f>
        <v>Lunch</v>
      </c>
      <c r="M268" t="str">
        <f>VLOOKUP($A268,Orders!$A$1:$H$361,MATCH(OrderLines!$M$1,Orders!$A$1:$H$1,0),0)</f>
        <v>Card</v>
      </c>
      <c r="N268" t="str">
        <f t="shared" si="12"/>
        <v>Combo</v>
      </c>
      <c r="O268" t="str" cm="1">
        <f t="array" ref="O268">IF((SUMPRODUCT((OrderID=OrderLines!$A268)*Qty*UnitPrice*DiscountPct))&gt;40,"HighDisc","OK")</f>
        <v>OK</v>
      </c>
      <c r="P268">
        <f>(orderlinesTABLE[[#This Row],[UnitCost]]*orderlinesTABLE[[#This Row],[Qty]])</f>
        <v>161.84</v>
      </c>
      <c r="Q268">
        <f>(orderlinesTABLE[[#This Row],[LineNetAmount]]-orderlinesTABLE[[#This Row],[totalCOST]])</f>
        <v>122.17600000000002</v>
      </c>
      <c r="R268" t="str">
        <f>VLOOKUP($B268,Menu!$A$1:$F$20,MATCH(OrderLines!R$1,Menu!$A$1:$F$1,0),0)</f>
        <v>Rajma Chawal</v>
      </c>
      <c r="S268" t="str" cm="1">
        <f t="array" ref="S268">_xlfn.TEXTJOIN("+",TRUE,_xlfn._xlws.FILTER(orderlinesTABLE[ItemName],OrderID=orderlinesTABLE[[#This Row],[OrderID]]))</f>
        <v>Rajma Chawal+Masala Chaas+Nimbu Pani</v>
      </c>
      <c r="T268" s="54">
        <f>orderlinesTABLE[[#This Row],[Profit]]/orderlinesTABLE[[#This Row],[LineNetAmount]]</f>
        <v>0.43017294800292943</v>
      </c>
      <c r="U268" s="70">
        <f>(orderlinesTABLE[[#This Row],[Qty]]*orderlinesTABLE[[#This Row],[UnitCost]])</f>
        <v>161.84</v>
      </c>
    </row>
    <row r="269" spans="1:21" x14ac:dyDescent="0.3">
      <c r="A269" s="15" t="s">
        <v>148</v>
      </c>
      <c r="B269" s="15" t="s">
        <v>404</v>
      </c>
      <c r="C269" s="15">
        <v>1</v>
      </c>
      <c r="D269" s="36">
        <f>VLOOKUP($B269,Menu!$A$1:$F$20,MATCH($D$1,Menu!$A$1:$F$1,0),0)</f>
        <v>32.979999999999997</v>
      </c>
      <c r="E269" s="15" t="str">
        <f>VLOOKUP($B269,Menu!$A$1:$F$20,MATCH(OrderLines!E$1,Menu!$A$1:$F$1,0),0)</f>
        <v>Beverage</v>
      </c>
      <c r="F269" s="36">
        <f>VLOOKUP($B269,Menu!$A$1:$F$20,MATCH(OrderLines!F$1,Menu!$A$1:$F$1,0),0)</f>
        <v>11.84</v>
      </c>
      <c r="G269" s="27">
        <f>VLOOKUP($A269,Orders!$A$1:$H$361,MATCH($G$1,Orders!$A$1:$H$1,0),0)</f>
        <v>45886</v>
      </c>
      <c r="H269" s="15" t="str">
        <f>VLOOKUP($A269,Orders!$A$1:$H$361,MATCH(OrderLines!$H$1,Orders!$A$1:$H$1,0),0)</f>
        <v>Plant 1 Canteen</v>
      </c>
      <c r="I269" s="15">
        <f>VLOOKUP($A269,Orders!$A$1:$H$361,MATCH(OrderLines!$I$1,Orders!$A$1:$H$1,0),0)</f>
        <v>0.03</v>
      </c>
      <c r="J269" s="15">
        <f t="shared" si="13"/>
        <v>31.990599999999997</v>
      </c>
      <c r="K269" s="27" t="str">
        <f t="shared" si="14"/>
        <v>August</v>
      </c>
      <c r="L269" s="15" t="str">
        <f>VLOOKUP(OrderLines!$A269,Orders!$A$1:$H$361,MATCH(OrderLines!$L$1,Orders!$A$1:$H$1,0),0)</f>
        <v>Lunch</v>
      </c>
      <c r="M269" t="str">
        <f>VLOOKUP($A269,Orders!$A$1:$H$361,MATCH(OrderLines!$M$1,Orders!$A$1:$H$1,0),0)</f>
        <v>Card</v>
      </c>
      <c r="N269" t="str">
        <f t="shared" si="12"/>
        <v>Combo</v>
      </c>
      <c r="O269" t="str" cm="1">
        <f t="array" ref="O269">IF((SUMPRODUCT((OrderID=OrderLines!$A269)*Qty*UnitPrice*DiscountPct))&gt;40,"HighDisc","OK")</f>
        <v>OK</v>
      </c>
      <c r="P269">
        <f>(orderlinesTABLE[[#This Row],[UnitCost]]*orderlinesTABLE[[#This Row],[Qty]])</f>
        <v>11.84</v>
      </c>
      <c r="Q269">
        <f>(orderlinesTABLE[[#This Row],[LineNetAmount]]-orderlinesTABLE[[#This Row],[totalCOST]])</f>
        <v>20.150599999999997</v>
      </c>
      <c r="R269" t="str">
        <f>VLOOKUP($B269,Menu!$A$1:$F$20,MATCH(OrderLines!R$1,Menu!$A$1:$F$1,0),0)</f>
        <v>Masala Chaas</v>
      </c>
      <c r="S269" t="str" cm="1">
        <f t="array" ref="S269">_xlfn.TEXTJOIN("+",TRUE,_xlfn._xlws.FILTER(orderlinesTABLE[ItemName],OrderID=orderlinesTABLE[[#This Row],[OrderID]]))</f>
        <v>Rajma Chawal+Masala Chaas+Nimbu Pani</v>
      </c>
      <c r="T269" s="54">
        <f>orderlinesTABLE[[#This Row],[Profit]]/orderlinesTABLE[[#This Row],[LineNetAmount]]</f>
        <v>0.6298912805636655</v>
      </c>
      <c r="U269" s="70">
        <f>(orderlinesTABLE[[#This Row],[Qty]]*orderlinesTABLE[[#This Row],[UnitCost]])</f>
        <v>11.84</v>
      </c>
    </row>
    <row r="270" spans="1:21" x14ac:dyDescent="0.3">
      <c r="A270" s="14" t="s">
        <v>148</v>
      </c>
      <c r="B270" s="14" t="s">
        <v>410</v>
      </c>
      <c r="C270" s="14">
        <v>1</v>
      </c>
      <c r="D270" s="37">
        <f>VLOOKUP($B270,Menu!$A$1:$F$20,MATCH($D$1,Menu!$A$1:$F$1,0),0)</f>
        <v>20.11</v>
      </c>
      <c r="E270" s="14" t="str">
        <f>VLOOKUP($B270,Menu!$A$1:$F$20,MATCH(OrderLines!E$1,Menu!$A$1:$F$1,0),0)</f>
        <v>Beverage</v>
      </c>
      <c r="F270" s="37">
        <f>VLOOKUP($B270,Menu!$A$1:$F$20,MATCH(OrderLines!F$1,Menu!$A$1:$F$1,0),0)</f>
        <v>8</v>
      </c>
      <c r="G270" s="28">
        <f>VLOOKUP($A270,Orders!$A$1:$H$361,MATCH($G$1,Orders!$A$1:$H$1,0),0)</f>
        <v>45886</v>
      </c>
      <c r="H270" s="14" t="str">
        <f>VLOOKUP($A270,Orders!$A$1:$H$361,MATCH(OrderLines!$H$1,Orders!$A$1:$H$1,0),0)</f>
        <v>Plant 1 Canteen</v>
      </c>
      <c r="I270" s="14">
        <f>VLOOKUP($A270,Orders!$A$1:$H$361,MATCH(OrderLines!$I$1,Orders!$A$1:$H$1,0),0)</f>
        <v>0.03</v>
      </c>
      <c r="J270" s="14">
        <f t="shared" si="13"/>
        <v>19.506699999999999</v>
      </c>
      <c r="K270" s="28" t="str">
        <f t="shared" si="14"/>
        <v>August</v>
      </c>
      <c r="L270" s="14" t="str">
        <f>VLOOKUP(OrderLines!$A270,Orders!$A$1:$H$361,MATCH(OrderLines!$L$1,Orders!$A$1:$H$1,0),0)</f>
        <v>Lunch</v>
      </c>
      <c r="M270" t="str">
        <f>VLOOKUP($A270,Orders!$A$1:$H$361,MATCH(OrderLines!$M$1,Orders!$A$1:$H$1,0),0)</f>
        <v>Card</v>
      </c>
      <c r="N270" t="str">
        <f t="shared" si="12"/>
        <v>Combo</v>
      </c>
      <c r="O270" t="str" cm="1">
        <f t="array" ref="O270">IF((SUMPRODUCT((OrderID=OrderLines!$A270)*Qty*UnitPrice*DiscountPct))&gt;40,"HighDisc","OK")</f>
        <v>OK</v>
      </c>
      <c r="P270">
        <f>(orderlinesTABLE[[#This Row],[UnitCost]]*orderlinesTABLE[[#This Row],[Qty]])</f>
        <v>8</v>
      </c>
      <c r="Q270">
        <f>(orderlinesTABLE[[#This Row],[LineNetAmount]]-orderlinesTABLE[[#This Row],[totalCOST]])</f>
        <v>11.506699999999999</v>
      </c>
      <c r="R270" t="str">
        <f>VLOOKUP($B270,Menu!$A$1:$F$20,MATCH(OrderLines!R$1,Menu!$A$1:$F$1,0),0)</f>
        <v>Nimbu Pani</v>
      </c>
      <c r="S270" t="str" cm="1">
        <f t="array" ref="S270">_xlfn.TEXTJOIN("+",TRUE,_xlfn._xlws.FILTER(orderlinesTABLE[ItemName],OrderID=orderlinesTABLE[[#This Row],[OrderID]]))</f>
        <v>Rajma Chawal+Masala Chaas+Nimbu Pani</v>
      </c>
      <c r="T270" s="54">
        <f>orderlinesTABLE[[#This Row],[Profit]]/orderlinesTABLE[[#This Row],[LineNetAmount]]</f>
        <v>0.58988450122265679</v>
      </c>
      <c r="U270" s="70">
        <f>(orderlinesTABLE[[#This Row],[Qty]]*orderlinesTABLE[[#This Row],[UnitCost]])</f>
        <v>8</v>
      </c>
    </row>
    <row r="271" spans="1:21" x14ac:dyDescent="0.3">
      <c r="A271" s="15" t="s">
        <v>149</v>
      </c>
      <c r="B271" s="15" t="s">
        <v>414</v>
      </c>
      <c r="C271" s="15">
        <v>1</v>
      </c>
      <c r="D271" s="36">
        <f>VLOOKUP($B271,Menu!$A$1:$F$20,MATCH($D$1,Menu!$A$1:$F$1,0),0)</f>
        <v>116.8</v>
      </c>
      <c r="E271" s="15" t="str">
        <f>VLOOKUP($B271,Menu!$A$1:$F$20,MATCH(OrderLines!E$1,Menu!$A$1:$F$1,0),0)</f>
        <v>Dessert</v>
      </c>
      <c r="F271" s="36">
        <f>VLOOKUP($B271,Menu!$A$1:$F$20,MATCH(OrderLines!F$1,Menu!$A$1:$F$1,0),0)</f>
        <v>48.97</v>
      </c>
      <c r="G271" s="27">
        <f>VLOOKUP($A271,Orders!$A$1:$H$361,MATCH($G$1,Orders!$A$1:$H$1,0),0)</f>
        <v>45866</v>
      </c>
      <c r="H271" s="15" t="str">
        <f>VLOOKUP($A271,Orders!$A$1:$H$361,MATCH(OrderLines!$H$1,Orders!$A$1:$H$1,0),0)</f>
        <v>Head Office Café</v>
      </c>
      <c r="I271" s="15">
        <f>VLOOKUP($A271,Orders!$A$1:$H$361,MATCH(OrderLines!$I$1,Orders!$A$1:$H$1,0),0)</f>
        <v>7.0000000000000007E-2</v>
      </c>
      <c r="J271" s="15">
        <f t="shared" si="13"/>
        <v>108.624</v>
      </c>
      <c r="K271" s="27" t="str">
        <f t="shared" si="14"/>
        <v>July</v>
      </c>
      <c r="L271" s="15" t="str">
        <f>VLOOKUP(OrderLines!$A271,Orders!$A$1:$H$361,MATCH(OrderLines!$L$1,Orders!$A$1:$H$1,0),0)</f>
        <v>Breakfast</v>
      </c>
      <c r="M271" t="str">
        <f>VLOOKUP($A271,Orders!$A$1:$H$361,MATCH(OrderLines!$M$1,Orders!$A$1:$H$1,0),0)</f>
        <v>Card</v>
      </c>
      <c r="N271" t="str">
        <f t="shared" si="12"/>
        <v>Combo</v>
      </c>
      <c r="O271" t="str" cm="1">
        <f t="array" ref="O271">IF((SUMPRODUCT((OrderID=OrderLines!$A271)*Qty*UnitPrice*DiscountPct))&gt;40,"HighDisc","OK")</f>
        <v>OK</v>
      </c>
      <c r="P271">
        <f>(orderlinesTABLE[[#This Row],[UnitCost]]*orderlinesTABLE[[#This Row],[Qty]])</f>
        <v>48.97</v>
      </c>
      <c r="Q271">
        <f>(orderlinesTABLE[[#This Row],[LineNetAmount]]-orderlinesTABLE[[#This Row],[totalCOST]])</f>
        <v>59.653999999999996</v>
      </c>
      <c r="R271" t="str">
        <f>VLOOKUP($B271,Menu!$A$1:$F$20,MATCH(OrderLines!R$1,Menu!$A$1:$F$1,0),0)</f>
        <v>Brownie</v>
      </c>
      <c r="S271" t="str" cm="1">
        <f t="array" ref="S271">_xlfn.TEXTJOIN("+",TRUE,_xlfn._xlws.FILTER(orderlinesTABLE[ItemName],OrderID=orderlinesTABLE[[#This Row],[OrderID]]))</f>
        <v>Brownie+Rajma Chawal+Tea</v>
      </c>
      <c r="T271" s="54">
        <f>orderlinesTABLE[[#This Row],[Profit]]/orderlinesTABLE[[#This Row],[LineNetAmount]]</f>
        <v>0.54917881867727203</v>
      </c>
      <c r="U271" s="70">
        <f>(orderlinesTABLE[[#This Row],[Qty]]*orderlinesTABLE[[#This Row],[UnitCost]])</f>
        <v>48.97</v>
      </c>
    </row>
    <row r="272" spans="1:21" x14ac:dyDescent="0.3">
      <c r="A272" s="14" t="s">
        <v>149</v>
      </c>
      <c r="B272" s="14" t="s">
        <v>417</v>
      </c>
      <c r="C272" s="14">
        <v>2</v>
      </c>
      <c r="D272" s="37">
        <f>VLOOKUP($B272,Menu!$A$1:$F$20,MATCH($D$1,Menu!$A$1:$F$1,0),0)</f>
        <v>146.4</v>
      </c>
      <c r="E272" s="14" t="str">
        <f>VLOOKUP($B272,Menu!$A$1:$F$20,MATCH(OrderLines!E$1,Menu!$A$1:$F$1,0),0)</f>
        <v>Hot Meal</v>
      </c>
      <c r="F272" s="37">
        <f>VLOOKUP($B272,Menu!$A$1:$F$20,MATCH(OrderLines!F$1,Menu!$A$1:$F$1,0),0)</f>
        <v>80.92</v>
      </c>
      <c r="G272" s="28">
        <f>VLOOKUP($A272,Orders!$A$1:$H$361,MATCH($G$1,Orders!$A$1:$H$1,0),0)</f>
        <v>45866</v>
      </c>
      <c r="H272" s="14" t="str">
        <f>VLOOKUP($A272,Orders!$A$1:$H$361,MATCH(OrderLines!$H$1,Orders!$A$1:$H$1,0),0)</f>
        <v>Head Office Café</v>
      </c>
      <c r="I272" s="14">
        <f>VLOOKUP($A272,Orders!$A$1:$H$361,MATCH(OrderLines!$I$1,Orders!$A$1:$H$1,0),0)</f>
        <v>7.0000000000000007E-2</v>
      </c>
      <c r="J272" s="14">
        <f t="shared" si="13"/>
        <v>272.30399999999997</v>
      </c>
      <c r="K272" s="28" t="str">
        <f t="shared" si="14"/>
        <v>July</v>
      </c>
      <c r="L272" s="14" t="str">
        <f>VLOOKUP(OrderLines!$A272,Orders!$A$1:$H$361,MATCH(OrderLines!$L$1,Orders!$A$1:$H$1,0),0)</f>
        <v>Breakfast</v>
      </c>
      <c r="M272" t="str">
        <f>VLOOKUP($A272,Orders!$A$1:$H$361,MATCH(OrderLines!$M$1,Orders!$A$1:$H$1,0),0)</f>
        <v>Card</v>
      </c>
      <c r="N272" t="str">
        <f t="shared" si="12"/>
        <v>Combo</v>
      </c>
      <c r="O272" t="str" cm="1">
        <f t="array" ref="O272">IF((SUMPRODUCT((OrderID=OrderLines!$A272)*Qty*UnitPrice*DiscountPct))&gt;40,"HighDisc","OK")</f>
        <v>OK</v>
      </c>
      <c r="P272">
        <f>(orderlinesTABLE[[#This Row],[UnitCost]]*orderlinesTABLE[[#This Row],[Qty]])</f>
        <v>161.84</v>
      </c>
      <c r="Q272">
        <f>(orderlinesTABLE[[#This Row],[LineNetAmount]]-orderlinesTABLE[[#This Row],[totalCOST]])</f>
        <v>110.46399999999997</v>
      </c>
      <c r="R272" t="str">
        <f>VLOOKUP($B272,Menu!$A$1:$F$20,MATCH(OrderLines!R$1,Menu!$A$1:$F$1,0),0)</f>
        <v>Rajma Chawal</v>
      </c>
      <c r="S272" t="str" cm="1">
        <f t="array" ref="S272">_xlfn.TEXTJOIN("+",TRUE,_xlfn._xlws.FILTER(orderlinesTABLE[ItemName],OrderID=orderlinesTABLE[[#This Row],[OrderID]]))</f>
        <v>Brownie+Rajma Chawal+Tea</v>
      </c>
      <c r="T272" s="54">
        <f>orderlinesTABLE[[#This Row],[Profit]]/orderlinesTABLE[[#This Row],[LineNetAmount]]</f>
        <v>0.40566425759445318</v>
      </c>
      <c r="U272" s="70">
        <f>(orderlinesTABLE[[#This Row],[Qty]]*orderlinesTABLE[[#This Row],[UnitCost]])</f>
        <v>161.84</v>
      </c>
    </row>
    <row r="273" spans="1:21" x14ac:dyDescent="0.3">
      <c r="A273" s="15" t="s">
        <v>149</v>
      </c>
      <c r="B273" s="15" t="s">
        <v>402</v>
      </c>
      <c r="C273" s="15">
        <v>1</v>
      </c>
      <c r="D273" s="36">
        <f>VLOOKUP($B273,Menu!$A$1:$F$20,MATCH($D$1,Menu!$A$1:$F$1,0),0)</f>
        <v>30.34</v>
      </c>
      <c r="E273" s="15" t="str">
        <f>VLOOKUP($B273,Menu!$A$1:$F$20,MATCH(OrderLines!E$1,Menu!$A$1:$F$1,0),0)</f>
        <v>Beverage</v>
      </c>
      <c r="F273" s="36">
        <f>VLOOKUP($B273,Menu!$A$1:$F$20,MATCH(OrderLines!F$1,Menu!$A$1:$F$1,0),0)</f>
        <v>14.18</v>
      </c>
      <c r="G273" s="27">
        <f>VLOOKUP($A273,Orders!$A$1:$H$361,MATCH($G$1,Orders!$A$1:$H$1,0),0)</f>
        <v>45866</v>
      </c>
      <c r="H273" s="15" t="str">
        <f>VLOOKUP($A273,Orders!$A$1:$H$361,MATCH(OrderLines!$H$1,Orders!$A$1:$H$1,0),0)</f>
        <v>Head Office Café</v>
      </c>
      <c r="I273" s="15">
        <f>VLOOKUP($A273,Orders!$A$1:$H$361,MATCH(OrderLines!$I$1,Orders!$A$1:$H$1,0),0)</f>
        <v>7.0000000000000007E-2</v>
      </c>
      <c r="J273" s="15">
        <f t="shared" si="13"/>
        <v>28.216199999999997</v>
      </c>
      <c r="K273" s="27" t="str">
        <f t="shared" si="14"/>
        <v>July</v>
      </c>
      <c r="L273" s="15" t="str">
        <f>VLOOKUP(OrderLines!$A273,Orders!$A$1:$H$361,MATCH(OrderLines!$L$1,Orders!$A$1:$H$1,0),0)</f>
        <v>Breakfast</v>
      </c>
      <c r="M273" t="str">
        <f>VLOOKUP($A273,Orders!$A$1:$H$361,MATCH(OrderLines!$M$1,Orders!$A$1:$H$1,0),0)</f>
        <v>Card</v>
      </c>
      <c r="N273" t="str">
        <f t="shared" si="12"/>
        <v>Combo</v>
      </c>
      <c r="O273" t="str" cm="1">
        <f t="array" ref="O273">IF((SUMPRODUCT((OrderID=OrderLines!$A273)*Qty*UnitPrice*DiscountPct))&gt;40,"HighDisc","OK")</f>
        <v>OK</v>
      </c>
      <c r="P273">
        <f>(orderlinesTABLE[[#This Row],[UnitCost]]*orderlinesTABLE[[#This Row],[Qty]])</f>
        <v>14.18</v>
      </c>
      <c r="Q273">
        <f>(orderlinesTABLE[[#This Row],[LineNetAmount]]-orderlinesTABLE[[#This Row],[totalCOST]])</f>
        <v>14.036199999999997</v>
      </c>
      <c r="R273" t="str">
        <f>VLOOKUP($B273,Menu!$A$1:$F$20,MATCH(OrderLines!R$1,Menu!$A$1:$F$1,0),0)</f>
        <v>Tea</v>
      </c>
      <c r="S273" t="str" cm="1">
        <f t="array" ref="S273">_xlfn.TEXTJOIN("+",TRUE,_xlfn._xlws.FILTER(orderlinesTABLE[ItemName],OrderID=orderlinesTABLE[[#This Row],[OrderID]]))</f>
        <v>Brownie+Rajma Chawal+Tea</v>
      </c>
      <c r="T273" s="54">
        <f>orderlinesTABLE[[#This Row],[Profit]]/orderlinesTABLE[[#This Row],[LineNetAmount]]</f>
        <v>0.49745181845889946</v>
      </c>
      <c r="U273" s="70">
        <f>(orderlinesTABLE[[#This Row],[Qty]]*orderlinesTABLE[[#This Row],[UnitCost]])</f>
        <v>14.18</v>
      </c>
    </row>
    <row r="274" spans="1:21" x14ac:dyDescent="0.3">
      <c r="A274" s="14" t="s">
        <v>150</v>
      </c>
      <c r="B274" s="14" t="s">
        <v>417</v>
      </c>
      <c r="C274" s="14">
        <v>1</v>
      </c>
      <c r="D274" s="37">
        <f>VLOOKUP($B274,Menu!$A$1:$F$20,MATCH($D$1,Menu!$A$1:$F$1,0),0)</f>
        <v>146.4</v>
      </c>
      <c r="E274" s="14" t="str">
        <f>VLOOKUP($B274,Menu!$A$1:$F$20,MATCH(OrderLines!E$1,Menu!$A$1:$F$1,0),0)</f>
        <v>Hot Meal</v>
      </c>
      <c r="F274" s="37">
        <f>VLOOKUP($B274,Menu!$A$1:$F$20,MATCH(OrderLines!F$1,Menu!$A$1:$F$1,0),0)</f>
        <v>80.92</v>
      </c>
      <c r="G274" s="28">
        <f>VLOOKUP($A274,Orders!$A$1:$H$361,MATCH($G$1,Orders!$A$1:$H$1,0),0)</f>
        <v>45840</v>
      </c>
      <c r="H274" s="14" t="str">
        <f>VLOOKUP($A274,Orders!$A$1:$H$361,MATCH(OrderLines!$H$1,Orders!$A$1:$H$1,0),0)</f>
        <v>Head Office Café</v>
      </c>
      <c r="I274" s="14">
        <f>VLOOKUP($A274,Orders!$A$1:$H$361,MATCH(OrderLines!$I$1,Orders!$A$1:$H$1,0),0)</f>
        <v>7.0000000000000007E-2</v>
      </c>
      <c r="J274" s="14">
        <f t="shared" si="13"/>
        <v>136.15199999999999</v>
      </c>
      <c r="K274" s="28" t="str">
        <f t="shared" si="14"/>
        <v>July</v>
      </c>
      <c r="L274" s="14" t="str">
        <f>VLOOKUP(OrderLines!$A274,Orders!$A$1:$H$361,MATCH(OrderLines!$L$1,Orders!$A$1:$H$1,0),0)</f>
        <v>Breakfast</v>
      </c>
      <c r="M274" t="str">
        <f>VLOOKUP($A274,Orders!$A$1:$H$361,MATCH(OrderLines!$M$1,Orders!$A$1:$H$1,0),0)</f>
        <v>Cash</v>
      </c>
      <c r="N274" t="str">
        <f t="shared" si="12"/>
        <v>Single</v>
      </c>
      <c r="O274" t="str" cm="1">
        <f t="array" ref="O274">IF((SUMPRODUCT((OrderID=OrderLines!$A274)*Qty*UnitPrice*DiscountPct))&gt;40,"HighDisc","OK")</f>
        <v>OK</v>
      </c>
      <c r="P274">
        <f>(orderlinesTABLE[[#This Row],[UnitCost]]*orderlinesTABLE[[#This Row],[Qty]])</f>
        <v>80.92</v>
      </c>
      <c r="Q274">
        <f>(orderlinesTABLE[[#This Row],[LineNetAmount]]-orderlinesTABLE[[#This Row],[totalCOST]])</f>
        <v>55.231999999999985</v>
      </c>
      <c r="R274" t="str">
        <f>VLOOKUP($B274,Menu!$A$1:$F$20,MATCH(OrderLines!R$1,Menu!$A$1:$F$1,0),0)</f>
        <v>Rajma Chawal</v>
      </c>
      <c r="S274" t="str" cm="1">
        <f t="array" ref="S274">_xlfn.TEXTJOIN("+",TRUE,_xlfn._xlws.FILTER(orderlinesTABLE[ItemName],OrderID=orderlinesTABLE[[#This Row],[OrderID]]))</f>
        <v>Rajma Chawal+Paneer Butter Masala + Naan+Brownie+Fruit Cup</v>
      </c>
      <c r="T274" s="54">
        <f>orderlinesTABLE[[#This Row],[Profit]]/orderlinesTABLE[[#This Row],[LineNetAmount]]</f>
        <v>0.40566425759445318</v>
      </c>
      <c r="U274" s="70">
        <f>(orderlinesTABLE[[#This Row],[Qty]]*orderlinesTABLE[[#This Row],[UnitCost]])</f>
        <v>80.92</v>
      </c>
    </row>
    <row r="275" spans="1:21" x14ac:dyDescent="0.3">
      <c r="A275" s="15" t="s">
        <v>150</v>
      </c>
      <c r="B275" s="15" t="s">
        <v>405</v>
      </c>
      <c r="C275" s="15">
        <v>1</v>
      </c>
      <c r="D275" s="36">
        <f>VLOOKUP($B275,Menu!$A$1:$F$20,MATCH($D$1,Menu!$A$1:$F$1,0),0)</f>
        <v>170.83</v>
      </c>
      <c r="E275" s="15" t="str">
        <f>VLOOKUP($B275,Menu!$A$1:$F$20,MATCH(OrderLines!E$1,Menu!$A$1:$F$1,0),0)</f>
        <v>Hot Meal</v>
      </c>
      <c r="F275" s="36">
        <f>VLOOKUP($B275,Menu!$A$1:$F$20,MATCH(OrderLines!F$1,Menu!$A$1:$F$1,0),0)</f>
        <v>74.069999999999993</v>
      </c>
      <c r="G275" s="27">
        <f>VLOOKUP($A275,Orders!$A$1:$H$361,MATCH($G$1,Orders!$A$1:$H$1,0),0)</f>
        <v>45840</v>
      </c>
      <c r="H275" s="15" t="str">
        <f>VLOOKUP($A275,Orders!$A$1:$H$361,MATCH(OrderLines!$H$1,Orders!$A$1:$H$1,0),0)</f>
        <v>Head Office Café</v>
      </c>
      <c r="I275" s="15">
        <f>VLOOKUP($A275,Orders!$A$1:$H$361,MATCH(OrderLines!$I$1,Orders!$A$1:$H$1,0),0)</f>
        <v>7.0000000000000007E-2</v>
      </c>
      <c r="J275" s="15">
        <f t="shared" si="13"/>
        <v>158.87190000000001</v>
      </c>
      <c r="K275" s="27" t="str">
        <f t="shared" si="14"/>
        <v>July</v>
      </c>
      <c r="L275" s="15" t="str">
        <f>VLOOKUP(OrderLines!$A275,Orders!$A$1:$H$361,MATCH(OrderLines!$L$1,Orders!$A$1:$H$1,0),0)</f>
        <v>Breakfast</v>
      </c>
      <c r="M275" t="str">
        <f>VLOOKUP($A275,Orders!$A$1:$H$361,MATCH(OrderLines!$M$1,Orders!$A$1:$H$1,0),0)</f>
        <v>Cash</v>
      </c>
      <c r="N275" t="str">
        <f t="shared" si="12"/>
        <v>Single</v>
      </c>
      <c r="O275" t="str" cm="1">
        <f t="array" ref="O275">IF((SUMPRODUCT((OrderID=OrderLines!$A275)*Qty*UnitPrice*DiscountPct))&gt;40,"HighDisc","OK")</f>
        <v>OK</v>
      </c>
      <c r="P275">
        <f>(orderlinesTABLE[[#This Row],[UnitCost]]*orderlinesTABLE[[#This Row],[Qty]])</f>
        <v>74.069999999999993</v>
      </c>
      <c r="Q275">
        <f>(orderlinesTABLE[[#This Row],[LineNetAmount]]-orderlinesTABLE[[#This Row],[totalCOST]])</f>
        <v>84.801900000000018</v>
      </c>
      <c r="R275" t="str">
        <f>VLOOKUP($B275,Menu!$A$1:$F$20,MATCH(OrderLines!R$1,Menu!$A$1:$F$1,0),0)</f>
        <v>Paneer Butter Masala + Naan</v>
      </c>
      <c r="S275" t="str" cm="1">
        <f t="array" ref="S275">_xlfn.TEXTJOIN("+",TRUE,_xlfn._xlws.FILTER(orderlinesTABLE[ItemName],OrderID=orderlinesTABLE[[#This Row],[OrderID]]))</f>
        <v>Rajma Chawal+Paneer Butter Masala + Naan+Brownie+Fruit Cup</v>
      </c>
      <c r="T275" s="54">
        <f>orderlinesTABLE[[#This Row],[Profit]]/orderlinesTABLE[[#This Row],[LineNetAmount]]</f>
        <v>0.53377532464834887</v>
      </c>
      <c r="U275" s="70">
        <f>(orderlinesTABLE[[#This Row],[Qty]]*orderlinesTABLE[[#This Row],[UnitCost]])</f>
        <v>74.069999999999993</v>
      </c>
    </row>
    <row r="276" spans="1:21" x14ac:dyDescent="0.3">
      <c r="A276" s="14" t="s">
        <v>150</v>
      </c>
      <c r="B276" s="14" t="s">
        <v>414</v>
      </c>
      <c r="C276" s="14">
        <v>1</v>
      </c>
      <c r="D276" s="37">
        <f>VLOOKUP($B276,Menu!$A$1:$F$20,MATCH($D$1,Menu!$A$1:$F$1,0),0)</f>
        <v>116.8</v>
      </c>
      <c r="E276" s="14" t="str">
        <f>VLOOKUP($B276,Menu!$A$1:$F$20,MATCH(OrderLines!E$1,Menu!$A$1:$F$1,0),0)</f>
        <v>Dessert</v>
      </c>
      <c r="F276" s="37">
        <f>VLOOKUP($B276,Menu!$A$1:$F$20,MATCH(OrderLines!F$1,Menu!$A$1:$F$1,0),0)</f>
        <v>48.97</v>
      </c>
      <c r="G276" s="28">
        <f>VLOOKUP($A276,Orders!$A$1:$H$361,MATCH($G$1,Orders!$A$1:$H$1,0),0)</f>
        <v>45840</v>
      </c>
      <c r="H276" s="14" t="str">
        <f>VLOOKUP($A276,Orders!$A$1:$H$361,MATCH(OrderLines!$H$1,Orders!$A$1:$H$1,0),0)</f>
        <v>Head Office Café</v>
      </c>
      <c r="I276" s="14">
        <f>VLOOKUP($A276,Orders!$A$1:$H$361,MATCH(OrderLines!$I$1,Orders!$A$1:$H$1,0),0)</f>
        <v>7.0000000000000007E-2</v>
      </c>
      <c r="J276" s="14">
        <f t="shared" si="13"/>
        <v>108.624</v>
      </c>
      <c r="K276" s="28" t="str">
        <f t="shared" si="14"/>
        <v>July</v>
      </c>
      <c r="L276" s="14" t="str">
        <f>VLOOKUP(OrderLines!$A276,Orders!$A$1:$H$361,MATCH(OrderLines!$L$1,Orders!$A$1:$H$1,0),0)</f>
        <v>Breakfast</v>
      </c>
      <c r="M276" t="str">
        <f>VLOOKUP($A276,Orders!$A$1:$H$361,MATCH(OrderLines!$M$1,Orders!$A$1:$H$1,0),0)</f>
        <v>Cash</v>
      </c>
      <c r="N276" t="str">
        <f t="shared" si="12"/>
        <v>Single</v>
      </c>
      <c r="O276" t="str" cm="1">
        <f t="array" ref="O276">IF((SUMPRODUCT((OrderID=OrderLines!$A276)*Qty*UnitPrice*DiscountPct))&gt;40,"HighDisc","OK")</f>
        <v>OK</v>
      </c>
      <c r="P276">
        <f>(orderlinesTABLE[[#This Row],[UnitCost]]*orderlinesTABLE[[#This Row],[Qty]])</f>
        <v>48.97</v>
      </c>
      <c r="Q276">
        <f>(orderlinesTABLE[[#This Row],[LineNetAmount]]-orderlinesTABLE[[#This Row],[totalCOST]])</f>
        <v>59.653999999999996</v>
      </c>
      <c r="R276" t="str">
        <f>VLOOKUP($B276,Menu!$A$1:$F$20,MATCH(OrderLines!R$1,Menu!$A$1:$F$1,0),0)</f>
        <v>Brownie</v>
      </c>
      <c r="S276" t="str" cm="1">
        <f t="array" ref="S276">_xlfn.TEXTJOIN("+",TRUE,_xlfn._xlws.FILTER(orderlinesTABLE[ItemName],OrderID=orderlinesTABLE[[#This Row],[OrderID]]))</f>
        <v>Rajma Chawal+Paneer Butter Masala + Naan+Brownie+Fruit Cup</v>
      </c>
      <c r="T276" s="54">
        <f>orderlinesTABLE[[#This Row],[Profit]]/orderlinesTABLE[[#This Row],[LineNetAmount]]</f>
        <v>0.54917881867727203</v>
      </c>
      <c r="U276" s="70">
        <f>(orderlinesTABLE[[#This Row],[Qty]]*orderlinesTABLE[[#This Row],[UnitCost]])</f>
        <v>48.97</v>
      </c>
    </row>
    <row r="277" spans="1:21" x14ac:dyDescent="0.3">
      <c r="A277" s="15" t="s">
        <v>150</v>
      </c>
      <c r="B277" s="15" t="s">
        <v>412</v>
      </c>
      <c r="C277" s="15">
        <v>2</v>
      </c>
      <c r="D277" s="36">
        <f>VLOOKUP($B277,Menu!$A$1:$F$20,MATCH($D$1,Menu!$A$1:$F$1,0),0)</f>
        <v>57.07</v>
      </c>
      <c r="E277" s="15" t="str">
        <f>VLOOKUP($B277,Menu!$A$1:$F$20,MATCH(OrderLines!E$1,Menu!$A$1:$F$1,0),0)</f>
        <v>Dessert</v>
      </c>
      <c r="F277" s="36">
        <f>VLOOKUP($B277,Menu!$A$1:$F$20,MATCH(OrderLines!F$1,Menu!$A$1:$F$1,0),0)</f>
        <v>29.14</v>
      </c>
      <c r="G277" s="27">
        <f>VLOOKUP($A277,Orders!$A$1:$H$361,MATCH($G$1,Orders!$A$1:$H$1,0),0)</f>
        <v>45840</v>
      </c>
      <c r="H277" s="15" t="str">
        <f>VLOOKUP($A277,Orders!$A$1:$H$361,MATCH(OrderLines!$H$1,Orders!$A$1:$H$1,0),0)</f>
        <v>Head Office Café</v>
      </c>
      <c r="I277" s="15">
        <f>VLOOKUP($A277,Orders!$A$1:$H$361,MATCH(OrderLines!$I$1,Orders!$A$1:$H$1,0),0)</f>
        <v>7.0000000000000007E-2</v>
      </c>
      <c r="J277" s="15">
        <f t="shared" si="13"/>
        <v>106.1502</v>
      </c>
      <c r="K277" s="27" t="str">
        <f t="shared" si="14"/>
        <v>July</v>
      </c>
      <c r="L277" s="15" t="str">
        <f>VLOOKUP(OrderLines!$A277,Orders!$A$1:$H$361,MATCH(OrderLines!$L$1,Orders!$A$1:$H$1,0),0)</f>
        <v>Breakfast</v>
      </c>
      <c r="M277" t="str">
        <f>VLOOKUP($A277,Orders!$A$1:$H$361,MATCH(OrderLines!$M$1,Orders!$A$1:$H$1,0),0)</f>
        <v>Cash</v>
      </c>
      <c r="N277" t="str">
        <f t="shared" si="12"/>
        <v>Single</v>
      </c>
      <c r="O277" t="str" cm="1">
        <f t="array" ref="O277">IF((SUMPRODUCT((OrderID=OrderLines!$A277)*Qty*UnitPrice*DiscountPct))&gt;40,"HighDisc","OK")</f>
        <v>OK</v>
      </c>
      <c r="P277">
        <f>(orderlinesTABLE[[#This Row],[UnitCost]]*orderlinesTABLE[[#This Row],[Qty]])</f>
        <v>58.28</v>
      </c>
      <c r="Q277">
        <f>(orderlinesTABLE[[#This Row],[LineNetAmount]]-orderlinesTABLE[[#This Row],[totalCOST]])</f>
        <v>47.870199999999997</v>
      </c>
      <c r="R277" t="str">
        <f>VLOOKUP($B277,Menu!$A$1:$F$20,MATCH(OrderLines!R$1,Menu!$A$1:$F$1,0),0)</f>
        <v>Fruit Cup</v>
      </c>
      <c r="S277" t="str" cm="1">
        <f t="array" ref="S277">_xlfn.TEXTJOIN("+",TRUE,_xlfn._xlws.FILTER(orderlinesTABLE[ItemName],OrderID=orderlinesTABLE[[#This Row],[OrderID]]))</f>
        <v>Rajma Chawal+Paneer Butter Masala + Naan+Brownie+Fruit Cup</v>
      </c>
      <c r="T277" s="54">
        <f>orderlinesTABLE[[#This Row],[Profit]]/orderlinesTABLE[[#This Row],[LineNetAmount]]</f>
        <v>0.45096664914432566</v>
      </c>
      <c r="U277" s="70">
        <f>(orderlinesTABLE[[#This Row],[Qty]]*orderlinesTABLE[[#This Row],[UnitCost]])</f>
        <v>58.28</v>
      </c>
    </row>
    <row r="278" spans="1:21" x14ac:dyDescent="0.3">
      <c r="A278" s="14" t="s">
        <v>151</v>
      </c>
      <c r="B278" s="14" t="s">
        <v>419</v>
      </c>
      <c r="C278" s="14">
        <v>3</v>
      </c>
      <c r="D278" s="37">
        <f>VLOOKUP($B278,Menu!$A$1:$F$20,MATCH($D$1,Menu!$A$1:$F$1,0),0)</f>
        <v>50.19</v>
      </c>
      <c r="E278" s="14" t="str">
        <f>VLOOKUP($B278,Menu!$A$1:$F$20,MATCH(OrderLines!E$1,Menu!$A$1:$F$1,0),0)</f>
        <v>Snack</v>
      </c>
      <c r="F278" s="37">
        <f>VLOOKUP($B278,Menu!$A$1:$F$20,MATCH(OrderLines!F$1,Menu!$A$1:$F$1,0),0)</f>
        <v>22.61</v>
      </c>
      <c r="G278" s="28">
        <f>VLOOKUP($A278,Orders!$A$1:$H$361,MATCH($G$1,Orders!$A$1:$H$1,0),0)</f>
        <v>45878</v>
      </c>
      <c r="H278" s="14" t="str">
        <f>VLOOKUP($A278,Orders!$A$1:$H$361,MATCH(OrderLines!$H$1,Orders!$A$1:$H$1,0),0)</f>
        <v>Plant 2 Canteen</v>
      </c>
      <c r="I278" s="14">
        <f>VLOOKUP($A278,Orders!$A$1:$H$361,MATCH(OrderLines!$I$1,Orders!$A$1:$H$1,0),0)</f>
        <v>0.03</v>
      </c>
      <c r="J278" s="14">
        <f t="shared" si="13"/>
        <v>146.05289999999999</v>
      </c>
      <c r="K278" s="28" t="str">
        <f t="shared" si="14"/>
        <v>August</v>
      </c>
      <c r="L278" s="14" t="str">
        <f>VLOOKUP(OrderLines!$A278,Orders!$A$1:$H$361,MATCH(OrderLines!$L$1,Orders!$A$1:$H$1,0),0)</f>
        <v>Dinner</v>
      </c>
      <c r="M278" t="str">
        <f>VLOOKUP($A278,Orders!$A$1:$H$361,MATCH(OrderLines!$M$1,Orders!$A$1:$H$1,0),0)</f>
        <v>Cash</v>
      </c>
      <c r="N278" t="str">
        <f t="shared" si="12"/>
        <v>Single</v>
      </c>
      <c r="O278" t="str" cm="1">
        <f t="array" ref="O278">IF((SUMPRODUCT((OrderID=OrderLines!$A278)*Qty*UnitPrice*DiscountPct))&gt;40,"HighDisc","OK")</f>
        <v>OK</v>
      </c>
      <c r="P278">
        <f>(orderlinesTABLE[[#This Row],[UnitCost]]*orderlinesTABLE[[#This Row],[Qty]])</f>
        <v>67.83</v>
      </c>
      <c r="Q278">
        <f>(orderlinesTABLE[[#This Row],[LineNetAmount]]-orderlinesTABLE[[#This Row],[totalCOST]])</f>
        <v>78.222899999999996</v>
      </c>
      <c r="R278" t="str">
        <f>VLOOKUP($B278,Menu!$A$1:$F$20,MATCH(OrderLines!R$1,Menu!$A$1:$F$1,0),0)</f>
        <v>Masala Puff</v>
      </c>
      <c r="S278" t="str" cm="1">
        <f t="array" ref="S278">_xlfn.TEXTJOIN("+",TRUE,_xlfn._xlws.FILTER(orderlinesTABLE[ItemName],OrderID=orderlinesTABLE[[#This Row],[OrderID]]))</f>
        <v>Masala Puff+Kheer Cup</v>
      </c>
      <c r="T278" s="54">
        <f>orderlinesTABLE[[#This Row],[Profit]]/orderlinesTABLE[[#This Row],[LineNetAmount]]</f>
        <v>0.5355792319084387</v>
      </c>
      <c r="U278" s="70">
        <f>(orderlinesTABLE[[#This Row],[Qty]]*orderlinesTABLE[[#This Row],[UnitCost]])</f>
        <v>67.83</v>
      </c>
    </row>
    <row r="279" spans="1:21" x14ac:dyDescent="0.3">
      <c r="A279" s="15" t="s">
        <v>151</v>
      </c>
      <c r="B279" s="15" t="s">
        <v>413</v>
      </c>
      <c r="C279" s="15">
        <v>2</v>
      </c>
      <c r="D279" s="36">
        <f>VLOOKUP($B279,Menu!$A$1:$F$20,MATCH($D$1,Menu!$A$1:$F$1,0),0)</f>
        <v>54.2</v>
      </c>
      <c r="E279" s="15" t="str">
        <f>VLOOKUP($B279,Menu!$A$1:$F$20,MATCH(OrderLines!E$1,Menu!$A$1:$F$1,0),0)</f>
        <v>Dessert</v>
      </c>
      <c r="F279" s="36">
        <f>VLOOKUP($B279,Menu!$A$1:$F$20,MATCH(OrderLines!F$1,Menu!$A$1:$F$1,0),0)</f>
        <v>21.95</v>
      </c>
      <c r="G279" s="27">
        <f>VLOOKUP($A279,Orders!$A$1:$H$361,MATCH($G$1,Orders!$A$1:$H$1,0),0)</f>
        <v>45878</v>
      </c>
      <c r="H279" s="15" t="str">
        <f>VLOOKUP($A279,Orders!$A$1:$H$361,MATCH(OrderLines!$H$1,Orders!$A$1:$H$1,0),0)</f>
        <v>Plant 2 Canteen</v>
      </c>
      <c r="I279" s="15">
        <f>VLOOKUP($A279,Orders!$A$1:$H$361,MATCH(OrderLines!$I$1,Orders!$A$1:$H$1,0),0)</f>
        <v>0.03</v>
      </c>
      <c r="J279" s="15">
        <f t="shared" si="13"/>
        <v>105.148</v>
      </c>
      <c r="K279" s="27" t="str">
        <f t="shared" si="14"/>
        <v>August</v>
      </c>
      <c r="L279" s="15" t="str">
        <f>VLOOKUP(OrderLines!$A279,Orders!$A$1:$H$361,MATCH(OrderLines!$L$1,Orders!$A$1:$H$1,0),0)</f>
        <v>Dinner</v>
      </c>
      <c r="M279" t="str">
        <f>VLOOKUP($A279,Orders!$A$1:$H$361,MATCH(OrderLines!$M$1,Orders!$A$1:$H$1,0),0)</f>
        <v>Cash</v>
      </c>
      <c r="N279" t="str">
        <f t="shared" si="12"/>
        <v>Single</v>
      </c>
      <c r="O279" t="str" cm="1">
        <f t="array" ref="O279">IF((SUMPRODUCT((OrderID=OrderLines!$A279)*Qty*UnitPrice*DiscountPct))&gt;40,"HighDisc","OK")</f>
        <v>OK</v>
      </c>
      <c r="P279">
        <f>(orderlinesTABLE[[#This Row],[UnitCost]]*orderlinesTABLE[[#This Row],[Qty]])</f>
        <v>43.9</v>
      </c>
      <c r="Q279">
        <f>(orderlinesTABLE[[#This Row],[LineNetAmount]]-orderlinesTABLE[[#This Row],[totalCOST]])</f>
        <v>61.247999999999998</v>
      </c>
      <c r="R279" t="str">
        <f>VLOOKUP($B279,Menu!$A$1:$F$20,MATCH(OrderLines!R$1,Menu!$A$1:$F$1,0),0)</f>
        <v>Kheer Cup</v>
      </c>
      <c r="S279" t="str" cm="1">
        <f t="array" ref="S279">_xlfn.TEXTJOIN("+",TRUE,_xlfn._xlws.FILTER(orderlinesTABLE[ItemName],OrderID=orderlinesTABLE[[#This Row],[OrderID]]))</f>
        <v>Masala Puff+Kheer Cup</v>
      </c>
      <c r="T279" s="54">
        <f>orderlinesTABLE[[#This Row],[Profit]]/orderlinesTABLE[[#This Row],[LineNetAmount]]</f>
        <v>0.58249324761288845</v>
      </c>
      <c r="U279" s="70">
        <f>(orderlinesTABLE[[#This Row],[Qty]]*orderlinesTABLE[[#This Row],[UnitCost]])</f>
        <v>43.9</v>
      </c>
    </row>
    <row r="280" spans="1:21" x14ac:dyDescent="0.3">
      <c r="A280" s="14" t="s">
        <v>152</v>
      </c>
      <c r="B280" s="14" t="s">
        <v>407</v>
      </c>
      <c r="C280" s="14">
        <v>2</v>
      </c>
      <c r="D280" s="37">
        <f>VLOOKUP($B280,Menu!$A$1:$F$20,MATCH($D$1,Menu!$A$1:$F$1,0),0)</f>
        <v>246.09</v>
      </c>
      <c r="E280" s="14" t="str">
        <f>VLOOKUP($B280,Menu!$A$1:$F$20,MATCH(OrderLines!E$1,Menu!$A$1:$F$1,0),0)</f>
        <v>Hot Meal</v>
      </c>
      <c r="F280" s="37">
        <f>VLOOKUP($B280,Menu!$A$1:$F$20,MATCH(OrderLines!F$1,Menu!$A$1:$F$1,0),0)</f>
        <v>112.08</v>
      </c>
      <c r="G280" s="28">
        <f>VLOOKUP($A280,Orders!$A$1:$H$361,MATCH($G$1,Orders!$A$1:$H$1,0),0)</f>
        <v>45886</v>
      </c>
      <c r="H280" s="14" t="str">
        <f>VLOOKUP($A280,Orders!$A$1:$H$361,MATCH(OrderLines!$H$1,Orders!$A$1:$H$1,0),0)</f>
        <v>Plant 2 Canteen</v>
      </c>
      <c r="I280" s="14">
        <f>VLOOKUP($A280,Orders!$A$1:$H$361,MATCH(OrderLines!$I$1,Orders!$A$1:$H$1,0),0)</f>
        <v>0.13</v>
      </c>
      <c r="J280" s="14">
        <f t="shared" si="13"/>
        <v>428.19659999999999</v>
      </c>
      <c r="K280" s="28" t="str">
        <f t="shared" si="14"/>
        <v>August</v>
      </c>
      <c r="L280" s="14" t="str">
        <f>VLOOKUP(OrderLines!$A280,Orders!$A$1:$H$361,MATCH(OrderLines!$L$1,Orders!$A$1:$H$1,0),0)</f>
        <v>Dinner</v>
      </c>
      <c r="M280" t="str">
        <f>VLOOKUP($A280,Orders!$A$1:$H$361,MATCH(OrderLines!$M$1,Orders!$A$1:$H$1,0),0)</f>
        <v>Cash</v>
      </c>
      <c r="N280" t="str">
        <f t="shared" si="12"/>
        <v>Combo</v>
      </c>
      <c r="O280" t="str" cm="1">
        <f t="array" ref="O280">IF((SUMPRODUCT((OrderID=OrderLines!$A280)*Qty*UnitPrice*DiscountPct))&gt;40,"HighDisc","OK")</f>
        <v>HighDisc</v>
      </c>
      <c r="P280">
        <f>(orderlinesTABLE[[#This Row],[UnitCost]]*orderlinesTABLE[[#This Row],[Qty]])</f>
        <v>224.16</v>
      </c>
      <c r="Q280">
        <f>(orderlinesTABLE[[#This Row],[LineNetAmount]]-orderlinesTABLE[[#This Row],[totalCOST]])</f>
        <v>204.03659999999999</v>
      </c>
      <c r="R280" t="str">
        <f>VLOOKUP($B280,Menu!$A$1:$F$20,MATCH(OrderLines!R$1,Menu!$A$1:$F$1,0),0)</f>
        <v>Egg Curry + Rice</v>
      </c>
      <c r="S280" t="str" cm="1">
        <f t="array" ref="S280">_xlfn.TEXTJOIN("+",TRUE,_xlfn._xlws.FILTER(orderlinesTABLE[ItemName],OrderID=orderlinesTABLE[[#This Row],[OrderID]]))</f>
        <v>Egg Curry + Rice+Masala Chaas+Gulab Jamun (2 pc)+Kheer Cup</v>
      </c>
      <c r="T280" s="54">
        <f>orderlinesTABLE[[#This Row],[Profit]]/orderlinesTABLE[[#This Row],[LineNetAmount]]</f>
        <v>0.4765021487793224</v>
      </c>
      <c r="U280" s="70">
        <f>(orderlinesTABLE[[#This Row],[Qty]]*orderlinesTABLE[[#This Row],[UnitCost]])</f>
        <v>224.16</v>
      </c>
    </row>
    <row r="281" spans="1:21" x14ac:dyDescent="0.3">
      <c r="A281" s="15" t="s">
        <v>152</v>
      </c>
      <c r="B281" s="15" t="s">
        <v>404</v>
      </c>
      <c r="C281" s="15">
        <v>1</v>
      </c>
      <c r="D281" s="36">
        <f>VLOOKUP($B281,Menu!$A$1:$F$20,MATCH($D$1,Menu!$A$1:$F$1,0),0)</f>
        <v>32.979999999999997</v>
      </c>
      <c r="E281" s="15" t="str">
        <f>VLOOKUP($B281,Menu!$A$1:$F$20,MATCH(OrderLines!E$1,Menu!$A$1:$F$1,0),0)</f>
        <v>Beverage</v>
      </c>
      <c r="F281" s="36">
        <f>VLOOKUP($B281,Menu!$A$1:$F$20,MATCH(OrderLines!F$1,Menu!$A$1:$F$1,0),0)</f>
        <v>11.84</v>
      </c>
      <c r="G281" s="27">
        <f>VLOOKUP($A281,Orders!$A$1:$H$361,MATCH($G$1,Orders!$A$1:$H$1,0),0)</f>
        <v>45886</v>
      </c>
      <c r="H281" s="15" t="str">
        <f>VLOOKUP($A281,Orders!$A$1:$H$361,MATCH(OrderLines!$H$1,Orders!$A$1:$H$1,0),0)</f>
        <v>Plant 2 Canteen</v>
      </c>
      <c r="I281" s="15">
        <f>VLOOKUP($A281,Orders!$A$1:$H$361,MATCH(OrderLines!$I$1,Orders!$A$1:$H$1,0),0)</f>
        <v>0.13</v>
      </c>
      <c r="J281" s="15">
        <f t="shared" si="13"/>
        <v>28.692599999999999</v>
      </c>
      <c r="K281" s="27" t="str">
        <f t="shared" si="14"/>
        <v>August</v>
      </c>
      <c r="L281" s="15" t="str">
        <f>VLOOKUP(OrderLines!$A281,Orders!$A$1:$H$361,MATCH(OrderLines!$L$1,Orders!$A$1:$H$1,0),0)</f>
        <v>Dinner</v>
      </c>
      <c r="M281" t="str">
        <f>VLOOKUP($A281,Orders!$A$1:$H$361,MATCH(OrderLines!$M$1,Orders!$A$1:$H$1,0),0)</f>
        <v>Cash</v>
      </c>
      <c r="N281" t="str">
        <f t="shared" si="12"/>
        <v>Combo</v>
      </c>
      <c r="O281" t="str" cm="1">
        <f t="array" ref="O281">IF((SUMPRODUCT((OrderID=OrderLines!$A281)*Qty*UnitPrice*DiscountPct))&gt;40,"HighDisc","OK")</f>
        <v>HighDisc</v>
      </c>
      <c r="P281">
        <f>(orderlinesTABLE[[#This Row],[UnitCost]]*orderlinesTABLE[[#This Row],[Qty]])</f>
        <v>11.84</v>
      </c>
      <c r="Q281">
        <f>(orderlinesTABLE[[#This Row],[LineNetAmount]]-orderlinesTABLE[[#This Row],[totalCOST]])</f>
        <v>16.852599999999999</v>
      </c>
      <c r="R281" t="str">
        <f>VLOOKUP($B281,Menu!$A$1:$F$20,MATCH(OrderLines!R$1,Menu!$A$1:$F$1,0),0)</f>
        <v>Masala Chaas</v>
      </c>
      <c r="S281" t="str" cm="1">
        <f t="array" ref="S281">_xlfn.TEXTJOIN("+",TRUE,_xlfn._xlws.FILTER(orderlinesTABLE[ItemName],OrderID=orderlinesTABLE[[#This Row],[OrderID]]))</f>
        <v>Egg Curry + Rice+Masala Chaas+Gulab Jamun (2 pc)+Kheer Cup</v>
      </c>
      <c r="T281" s="54">
        <f>orderlinesTABLE[[#This Row],[Profit]]/orderlinesTABLE[[#This Row],[LineNetAmount]]</f>
        <v>0.58735004844454664</v>
      </c>
      <c r="U281" s="70">
        <f>(orderlinesTABLE[[#This Row],[Qty]]*orderlinesTABLE[[#This Row],[UnitCost]])</f>
        <v>11.84</v>
      </c>
    </row>
    <row r="282" spans="1:21" x14ac:dyDescent="0.3">
      <c r="A282" s="14" t="s">
        <v>152</v>
      </c>
      <c r="B282" s="14" t="s">
        <v>403</v>
      </c>
      <c r="C282" s="14">
        <v>3</v>
      </c>
      <c r="D282" s="37">
        <f>VLOOKUP($B282,Menu!$A$1:$F$20,MATCH($D$1,Menu!$A$1:$F$1,0),0)</f>
        <v>76.55</v>
      </c>
      <c r="E282" s="14" t="str">
        <f>VLOOKUP($B282,Menu!$A$1:$F$20,MATCH(OrderLines!E$1,Menu!$A$1:$F$1,0),0)</f>
        <v>Dessert</v>
      </c>
      <c r="F282" s="37">
        <f>VLOOKUP($B282,Menu!$A$1:$F$20,MATCH(OrderLines!F$1,Menu!$A$1:$F$1,0),0)</f>
        <v>38.229999999999997</v>
      </c>
      <c r="G282" s="28">
        <f>VLOOKUP($A282,Orders!$A$1:$H$361,MATCH($G$1,Orders!$A$1:$H$1,0),0)</f>
        <v>45886</v>
      </c>
      <c r="H282" s="14" t="str">
        <f>VLOOKUP($A282,Orders!$A$1:$H$361,MATCH(OrderLines!$H$1,Orders!$A$1:$H$1,0),0)</f>
        <v>Plant 2 Canteen</v>
      </c>
      <c r="I282" s="14">
        <f>VLOOKUP($A282,Orders!$A$1:$H$361,MATCH(OrderLines!$I$1,Orders!$A$1:$H$1,0),0)</f>
        <v>0.13</v>
      </c>
      <c r="J282" s="14">
        <f t="shared" si="13"/>
        <v>199.79549999999998</v>
      </c>
      <c r="K282" s="28" t="str">
        <f t="shared" si="14"/>
        <v>August</v>
      </c>
      <c r="L282" s="14" t="str">
        <f>VLOOKUP(OrderLines!$A282,Orders!$A$1:$H$361,MATCH(OrderLines!$L$1,Orders!$A$1:$H$1,0),0)</f>
        <v>Dinner</v>
      </c>
      <c r="M282" t="str">
        <f>VLOOKUP($A282,Orders!$A$1:$H$361,MATCH(OrderLines!$M$1,Orders!$A$1:$H$1,0),0)</f>
        <v>Cash</v>
      </c>
      <c r="N282" t="str">
        <f t="shared" si="12"/>
        <v>Combo</v>
      </c>
      <c r="O282" t="str" cm="1">
        <f t="array" ref="O282">IF((SUMPRODUCT((OrderID=OrderLines!$A282)*Qty*UnitPrice*DiscountPct))&gt;40,"HighDisc","OK")</f>
        <v>HighDisc</v>
      </c>
      <c r="P282">
        <f>(orderlinesTABLE[[#This Row],[UnitCost]]*orderlinesTABLE[[#This Row],[Qty]])</f>
        <v>114.69</v>
      </c>
      <c r="Q282">
        <f>(orderlinesTABLE[[#This Row],[LineNetAmount]]-orderlinesTABLE[[#This Row],[totalCOST]])</f>
        <v>85.105499999999978</v>
      </c>
      <c r="R282" t="str">
        <f>VLOOKUP($B282,Menu!$A$1:$F$20,MATCH(OrderLines!R$1,Menu!$A$1:$F$1,0),0)</f>
        <v>Gulab Jamun (2 pc)</v>
      </c>
      <c r="S282" t="str" cm="1">
        <f t="array" ref="S282">_xlfn.TEXTJOIN("+",TRUE,_xlfn._xlws.FILTER(orderlinesTABLE[ItemName],OrderID=orderlinesTABLE[[#This Row],[OrderID]]))</f>
        <v>Egg Curry + Rice+Masala Chaas+Gulab Jamun (2 pc)+Kheer Cup</v>
      </c>
      <c r="T282" s="54">
        <f>orderlinesTABLE[[#This Row],[Profit]]/orderlinesTABLE[[#This Row],[LineNetAmount]]</f>
        <v>0.4259630472157781</v>
      </c>
      <c r="U282" s="70">
        <f>(orderlinesTABLE[[#This Row],[Qty]]*orderlinesTABLE[[#This Row],[UnitCost]])</f>
        <v>114.69</v>
      </c>
    </row>
    <row r="283" spans="1:21" x14ac:dyDescent="0.3">
      <c r="A283" s="15" t="s">
        <v>152</v>
      </c>
      <c r="B283" s="15" t="s">
        <v>413</v>
      </c>
      <c r="C283" s="15">
        <v>2</v>
      </c>
      <c r="D283" s="36">
        <f>VLOOKUP($B283,Menu!$A$1:$F$20,MATCH($D$1,Menu!$A$1:$F$1,0),0)</f>
        <v>54.2</v>
      </c>
      <c r="E283" s="15" t="str">
        <f>VLOOKUP($B283,Menu!$A$1:$F$20,MATCH(OrderLines!E$1,Menu!$A$1:$F$1,0),0)</f>
        <v>Dessert</v>
      </c>
      <c r="F283" s="36">
        <f>VLOOKUP($B283,Menu!$A$1:$F$20,MATCH(OrderLines!F$1,Menu!$A$1:$F$1,0),0)</f>
        <v>21.95</v>
      </c>
      <c r="G283" s="27">
        <f>VLOOKUP($A283,Orders!$A$1:$H$361,MATCH($G$1,Orders!$A$1:$H$1,0),0)</f>
        <v>45886</v>
      </c>
      <c r="H283" s="15" t="str">
        <f>VLOOKUP($A283,Orders!$A$1:$H$361,MATCH(OrderLines!$H$1,Orders!$A$1:$H$1,0),0)</f>
        <v>Plant 2 Canteen</v>
      </c>
      <c r="I283" s="15">
        <f>VLOOKUP($A283,Orders!$A$1:$H$361,MATCH(OrderLines!$I$1,Orders!$A$1:$H$1,0),0)</f>
        <v>0.13</v>
      </c>
      <c r="J283" s="15">
        <f t="shared" si="13"/>
        <v>94.308000000000007</v>
      </c>
      <c r="K283" s="27" t="str">
        <f t="shared" si="14"/>
        <v>August</v>
      </c>
      <c r="L283" s="15" t="str">
        <f>VLOOKUP(OrderLines!$A283,Orders!$A$1:$H$361,MATCH(OrderLines!$L$1,Orders!$A$1:$H$1,0),0)</f>
        <v>Dinner</v>
      </c>
      <c r="M283" t="str">
        <f>VLOOKUP($A283,Orders!$A$1:$H$361,MATCH(OrderLines!$M$1,Orders!$A$1:$H$1,0),0)</f>
        <v>Cash</v>
      </c>
      <c r="N283" t="str">
        <f t="shared" si="12"/>
        <v>Combo</v>
      </c>
      <c r="O283" t="str" cm="1">
        <f t="array" ref="O283">IF((SUMPRODUCT((OrderID=OrderLines!$A283)*Qty*UnitPrice*DiscountPct))&gt;40,"HighDisc","OK")</f>
        <v>HighDisc</v>
      </c>
      <c r="P283">
        <f>(orderlinesTABLE[[#This Row],[UnitCost]]*orderlinesTABLE[[#This Row],[Qty]])</f>
        <v>43.9</v>
      </c>
      <c r="Q283">
        <f>(orderlinesTABLE[[#This Row],[LineNetAmount]]-orderlinesTABLE[[#This Row],[totalCOST]])</f>
        <v>50.408000000000008</v>
      </c>
      <c r="R283" t="str">
        <f>VLOOKUP($B283,Menu!$A$1:$F$20,MATCH(OrderLines!R$1,Menu!$A$1:$F$1,0),0)</f>
        <v>Kheer Cup</v>
      </c>
      <c r="S283" t="str" cm="1">
        <f t="array" ref="S283">_xlfn.TEXTJOIN("+",TRUE,_xlfn._xlws.FILTER(orderlinesTABLE[ItemName],OrderID=orderlinesTABLE[[#This Row],[OrderID]]))</f>
        <v>Egg Curry + Rice+Masala Chaas+Gulab Jamun (2 pc)+Kheer Cup</v>
      </c>
      <c r="T283" s="54">
        <f>orderlinesTABLE[[#This Row],[Profit]]/orderlinesTABLE[[#This Row],[LineNetAmount]]</f>
        <v>0.53450396572931247</v>
      </c>
      <c r="U283" s="70">
        <f>(orderlinesTABLE[[#This Row],[Qty]]*orderlinesTABLE[[#This Row],[UnitCost]])</f>
        <v>43.9</v>
      </c>
    </row>
    <row r="284" spans="1:21" x14ac:dyDescent="0.3">
      <c r="A284" s="14" t="s">
        <v>153</v>
      </c>
      <c r="B284" s="14" t="s">
        <v>418</v>
      </c>
      <c r="C284" s="14">
        <v>3</v>
      </c>
      <c r="D284" s="37">
        <f>VLOOKUP($B284,Menu!$A$1:$F$20,MATCH($D$1,Menu!$A$1:$F$1,0),0)</f>
        <v>39.950000000000003</v>
      </c>
      <c r="E284" s="14" t="str">
        <f>VLOOKUP($B284,Menu!$A$1:$F$20,MATCH(OrderLines!E$1,Menu!$A$1:$F$1,0),0)</f>
        <v>Snack</v>
      </c>
      <c r="F284" s="37">
        <f>VLOOKUP($B284,Menu!$A$1:$F$20,MATCH(OrderLines!F$1,Menu!$A$1:$F$1,0),0)</f>
        <v>15.51</v>
      </c>
      <c r="G284" s="28">
        <f>VLOOKUP($A284,Orders!$A$1:$H$361,MATCH($G$1,Orders!$A$1:$H$1,0),0)</f>
        <v>45860</v>
      </c>
      <c r="H284" s="14" t="str">
        <f>VLOOKUP($A284,Orders!$A$1:$H$361,MATCH(OrderLines!$H$1,Orders!$A$1:$H$1,0),0)</f>
        <v>Plant 2 Canteen</v>
      </c>
      <c r="I284" s="14">
        <f>VLOOKUP($A284,Orders!$A$1:$H$361,MATCH(OrderLines!$I$1,Orders!$A$1:$H$1,0),0)</f>
        <v>0.08</v>
      </c>
      <c r="J284" s="14">
        <f t="shared" si="13"/>
        <v>110.26200000000001</v>
      </c>
      <c r="K284" s="28" t="str">
        <f t="shared" si="14"/>
        <v>July</v>
      </c>
      <c r="L284" s="14" t="str">
        <f>VLOOKUP(OrderLines!$A284,Orders!$A$1:$H$361,MATCH(OrderLines!$L$1,Orders!$A$1:$H$1,0),0)</f>
        <v>Dinner</v>
      </c>
      <c r="M284" t="str">
        <f>VLOOKUP($A284,Orders!$A$1:$H$361,MATCH(OrderLines!$M$1,Orders!$A$1:$H$1,0),0)</f>
        <v>Cash</v>
      </c>
      <c r="N284" t="str">
        <f t="shared" si="12"/>
        <v>Combo</v>
      </c>
      <c r="O284" t="str" cm="1">
        <f t="array" ref="O284">IF((SUMPRODUCT((OrderID=OrderLines!$A284)*Qty*UnitPrice*DiscountPct))&gt;40,"HighDisc","OK")</f>
        <v>OK</v>
      </c>
      <c r="P284">
        <f>(orderlinesTABLE[[#This Row],[UnitCost]]*orderlinesTABLE[[#This Row],[Qty]])</f>
        <v>46.53</v>
      </c>
      <c r="Q284">
        <f>(orderlinesTABLE[[#This Row],[LineNetAmount]]-orderlinesTABLE[[#This Row],[totalCOST]])</f>
        <v>63.732000000000014</v>
      </c>
      <c r="R284" t="str">
        <f>VLOOKUP($B284,Menu!$A$1:$F$20,MATCH(OrderLines!R$1,Menu!$A$1:$F$1,0),0)</f>
        <v>Samosa</v>
      </c>
      <c r="S284" t="str" cm="1">
        <f t="array" ref="S284">_xlfn.TEXTJOIN("+",TRUE,_xlfn._xlws.FILTER(orderlinesTABLE[ItemName],OrderID=orderlinesTABLE[[#This Row],[OrderID]]))</f>
        <v>Samosa+Chicken Thali+Masala Chaas</v>
      </c>
      <c r="T284" s="54">
        <f>orderlinesTABLE[[#This Row],[Profit]]/orderlinesTABLE[[#This Row],[LineNetAmount]]</f>
        <v>0.57800511508951413</v>
      </c>
      <c r="U284" s="70">
        <f>(orderlinesTABLE[[#This Row],[Qty]]*orderlinesTABLE[[#This Row],[UnitCost]])</f>
        <v>46.53</v>
      </c>
    </row>
    <row r="285" spans="1:21" x14ac:dyDescent="0.3">
      <c r="A285" s="15" t="s">
        <v>153</v>
      </c>
      <c r="B285" s="15" t="s">
        <v>415</v>
      </c>
      <c r="C285" s="15">
        <v>1</v>
      </c>
      <c r="D285" s="36">
        <f>VLOOKUP($B285,Menu!$A$1:$F$20,MATCH($D$1,Menu!$A$1:$F$1,0),0)</f>
        <v>256.91000000000003</v>
      </c>
      <c r="E285" s="15" t="str">
        <f>VLOOKUP($B285,Menu!$A$1:$F$20,MATCH(OrderLines!E$1,Menu!$A$1:$F$1,0),0)</f>
        <v>Hot Meal</v>
      </c>
      <c r="F285" s="36">
        <f>VLOOKUP($B285,Menu!$A$1:$F$20,MATCH(OrderLines!F$1,Menu!$A$1:$F$1,0),0)</f>
        <v>121.24</v>
      </c>
      <c r="G285" s="27">
        <f>VLOOKUP($A285,Orders!$A$1:$H$361,MATCH($G$1,Orders!$A$1:$H$1,0),0)</f>
        <v>45860</v>
      </c>
      <c r="H285" s="15" t="str">
        <f>VLOOKUP($A285,Orders!$A$1:$H$361,MATCH(OrderLines!$H$1,Orders!$A$1:$H$1,0),0)</f>
        <v>Plant 2 Canteen</v>
      </c>
      <c r="I285" s="15">
        <f>VLOOKUP($A285,Orders!$A$1:$H$361,MATCH(OrderLines!$I$1,Orders!$A$1:$H$1,0),0)</f>
        <v>0.08</v>
      </c>
      <c r="J285" s="15">
        <f t="shared" si="13"/>
        <v>236.35720000000003</v>
      </c>
      <c r="K285" s="27" t="str">
        <f t="shared" si="14"/>
        <v>July</v>
      </c>
      <c r="L285" s="15" t="str">
        <f>VLOOKUP(OrderLines!$A285,Orders!$A$1:$H$361,MATCH(OrderLines!$L$1,Orders!$A$1:$H$1,0),0)</f>
        <v>Dinner</v>
      </c>
      <c r="M285" t="str">
        <f>VLOOKUP($A285,Orders!$A$1:$H$361,MATCH(OrderLines!$M$1,Orders!$A$1:$H$1,0),0)</f>
        <v>Cash</v>
      </c>
      <c r="N285" t="str">
        <f t="shared" si="12"/>
        <v>Combo</v>
      </c>
      <c r="O285" t="str" cm="1">
        <f t="array" ref="O285">IF((SUMPRODUCT((OrderID=OrderLines!$A285)*Qty*UnitPrice*DiscountPct))&gt;40,"HighDisc","OK")</f>
        <v>OK</v>
      </c>
      <c r="P285">
        <f>(orderlinesTABLE[[#This Row],[UnitCost]]*orderlinesTABLE[[#This Row],[Qty]])</f>
        <v>121.24</v>
      </c>
      <c r="Q285">
        <f>(orderlinesTABLE[[#This Row],[LineNetAmount]]-orderlinesTABLE[[#This Row],[totalCOST]])</f>
        <v>115.11720000000004</v>
      </c>
      <c r="R285" t="str">
        <f>VLOOKUP($B285,Menu!$A$1:$F$20,MATCH(OrderLines!R$1,Menu!$A$1:$F$1,0),0)</f>
        <v>Chicken Thali</v>
      </c>
      <c r="S285" t="str" cm="1">
        <f t="array" ref="S285">_xlfn.TEXTJOIN("+",TRUE,_xlfn._xlws.FILTER(orderlinesTABLE[ItemName],OrderID=orderlinesTABLE[[#This Row],[OrderID]]))</f>
        <v>Samosa+Chicken Thali+Masala Chaas</v>
      </c>
      <c r="T285" s="54">
        <f>orderlinesTABLE[[#This Row],[Profit]]/orderlinesTABLE[[#This Row],[LineNetAmount]]</f>
        <v>0.48704757037230101</v>
      </c>
      <c r="U285" s="70">
        <f>(orderlinesTABLE[[#This Row],[Qty]]*orderlinesTABLE[[#This Row],[UnitCost]])</f>
        <v>121.24</v>
      </c>
    </row>
    <row r="286" spans="1:21" x14ac:dyDescent="0.3">
      <c r="A286" s="14" t="s">
        <v>153</v>
      </c>
      <c r="B286" s="14" t="s">
        <v>404</v>
      </c>
      <c r="C286" s="14">
        <v>1</v>
      </c>
      <c r="D286" s="37">
        <f>VLOOKUP($B286,Menu!$A$1:$F$20,MATCH($D$1,Menu!$A$1:$F$1,0),0)</f>
        <v>32.979999999999997</v>
      </c>
      <c r="E286" s="14" t="str">
        <f>VLOOKUP($B286,Menu!$A$1:$F$20,MATCH(OrderLines!E$1,Menu!$A$1:$F$1,0),0)</f>
        <v>Beverage</v>
      </c>
      <c r="F286" s="37">
        <f>VLOOKUP($B286,Menu!$A$1:$F$20,MATCH(OrderLines!F$1,Menu!$A$1:$F$1,0),0)</f>
        <v>11.84</v>
      </c>
      <c r="G286" s="28">
        <f>VLOOKUP($A286,Orders!$A$1:$H$361,MATCH($G$1,Orders!$A$1:$H$1,0),0)</f>
        <v>45860</v>
      </c>
      <c r="H286" s="14" t="str">
        <f>VLOOKUP($A286,Orders!$A$1:$H$361,MATCH(OrderLines!$H$1,Orders!$A$1:$H$1,0),0)</f>
        <v>Plant 2 Canteen</v>
      </c>
      <c r="I286" s="14">
        <f>VLOOKUP($A286,Orders!$A$1:$H$361,MATCH(OrderLines!$I$1,Orders!$A$1:$H$1,0),0)</f>
        <v>0.08</v>
      </c>
      <c r="J286" s="14">
        <f t="shared" si="13"/>
        <v>30.3416</v>
      </c>
      <c r="K286" s="28" t="str">
        <f t="shared" si="14"/>
        <v>July</v>
      </c>
      <c r="L286" s="14" t="str">
        <f>VLOOKUP(OrderLines!$A286,Orders!$A$1:$H$361,MATCH(OrderLines!$L$1,Orders!$A$1:$H$1,0),0)</f>
        <v>Dinner</v>
      </c>
      <c r="M286" t="str">
        <f>VLOOKUP($A286,Orders!$A$1:$H$361,MATCH(OrderLines!$M$1,Orders!$A$1:$H$1,0),0)</f>
        <v>Cash</v>
      </c>
      <c r="N286" t="str">
        <f t="shared" si="12"/>
        <v>Combo</v>
      </c>
      <c r="O286" t="str" cm="1">
        <f t="array" ref="O286">IF((SUMPRODUCT((OrderID=OrderLines!$A286)*Qty*UnitPrice*DiscountPct))&gt;40,"HighDisc","OK")</f>
        <v>OK</v>
      </c>
      <c r="P286">
        <f>(orderlinesTABLE[[#This Row],[UnitCost]]*orderlinesTABLE[[#This Row],[Qty]])</f>
        <v>11.84</v>
      </c>
      <c r="Q286">
        <f>(orderlinesTABLE[[#This Row],[LineNetAmount]]-orderlinesTABLE[[#This Row],[totalCOST]])</f>
        <v>18.5016</v>
      </c>
      <c r="R286" t="str">
        <f>VLOOKUP($B286,Menu!$A$1:$F$20,MATCH(OrderLines!R$1,Menu!$A$1:$F$1,0),0)</f>
        <v>Masala Chaas</v>
      </c>
      <c r="S286" t="str" cm="1">
        <f t="array" ref="S286">_xlfn.TEXTJOIN("+",TRUE,_xlfn._xlws.FILTER(orderlinesTABLE[ItemName],OrderID=orderlinesTABLE[[#This Row],[OrderID]]))</f>
        <v>Samosa+Chicken Thali+Masala Chaas</v>
      </c>
      <c r="T286" s="54">
        <f>orderlinesTABLE[[#This Row],[Profit]]/orderlinesTABLE[[#This Row],[LineNetAmount]]</f>
        <v>0.60977667624647347</v>
      </c>
      <c r="U286" s="70">
        <f>(orderlinesTABLE[[#This Row],[Qty]]*orderlinesTABLE[[#This Row],[UnitCost]])</f>
        <v>11.84</v>
      </c>
    </row>
    <row r="287" spans="1:21" x14ac:dyDescent="0.3">
      <c r="A287" s="15" t="s">
        <v>154</v>
      </c>
      <c r="B287" s="15" t="s">
        <v>414</v>
      </c>
      <c r="C287" s="15">
        <v>2</v>
      </c>
      <c r="D287" s="36">
        <f>VLOOKUP($B287,Menu!$A$1:$F$20,MATCH($D$1,Menu!$A$1:$F$1,0),0)</f>
        <v>116.8</v>
      </c>
      <c r="E287" s="15" t="str">
        <f>VLOOKUP($B287,Menu!$A$1:$F$20,MATCH(OrderLines!E$1,Menu!$A$1:$F$1,0),0)</f>
        <v>Dessert</v>
      </c>
      <c r="F287" s="36">
        <f>VLOOKUP($B287,Menu!$A$1:$F$20,MATCH(OrderLines!F$1,Menu!$A$1:$F$1,0),0)</f>
        <v>48.97</v>
      </c>
      <c r="G287" s="27">
        <f>VLOOKUP($A287,Orders!$A$1:$H$361,MATCH($G$1,Orders!$A$1:$H$1,0),0)</f>
        <v>45895</v>
      </c>
      <c r="H287" s="15" t="str">
        <f>VLOOKUP($A287,Orders!$A$1:$H$361,MATCH(OrderLines!$H$1,Orders!$A$1:$H$1,0),0)</f>
        <v>Plant 2 Canteen</v>
      </c>
      <c r="I287" s="15">
        <f>VLOOKUP($A287,Orders!$A$1:$H$361,MATCH(OrderLines!$I$1,Orders!$A$1:$H$1,0),0)</f>
        <v>0.01</v>
      </c>
      <c r="J287" s="15">
        <f t="shared" si="13"/>
        <v>231.26399999999998</v>
      </c>
      <c r="K287" s="27" t="str">
        <f t="shared" si="14"/>
        <v>August</v>
      </c>
      <c r="L287" s="15" t="str">
        <f>VLOOKUP(OrderLines!$A287,Orders!$A$1:$H$361,MATCH(OrderLines!$L$1,Orders!$A$1:$H$1,0),0)</f>
        <v>Dinner</v>
      </c>
      <c r="M287" t="str">
        <f>VLOOKUP($A287,Orders!$A$1:$H$361,MATCH(OrderLines!$M$1,Orders!$A$1:$H$1,0),0)</f>
        <v>UPI</v>
      </c>
      <c r="N287" t="str">
        <f t="shared" si="12"/>
        <v>Single</v>
      </c>
      <c r="O287" t="str" cm="1">
        <f t="array" ref="O287">IF((SUMPRODUCT((OrderID=OrderLines!$A287)*Qty*UnitPrice*DiscountPct))&gt;40,"HighDisc","OK")</f>
        <v>OK</v>
      </c>
      <c r="P287">
        <f>(orderlinesTABLE[[#This Row],[UnitCost]]*orderlinesTABLE[[#This Row],[Qty]])</f>
        <v>97.94</v>
      </c>
      <c r="Q287">
        <f>(orderlinesTABLE[[#This Row],[LineNetAmount]]-orderlinesTABLE[[#This Row],[totalCOST]])</f>
        <v>133.32399999999998</v>
      </c>
      <c r="R287" t="str">
        <f>VLOOKUP($B287,Menu!$A$1:$F$20,MATCH(OrderLines!R$1,Menu!$A$1:$F$1,0),0)</f>
        <v>Brownie</v>
      </c>
      <c r="S287" t="str" cm="1">
        <f t="array" ref="S287">_xlfn.TEXTJOIN("+",TRUE,_xlfn._xlws.FILTER(orderlinesTABLE[ItemName],OrderID=orderlinesTABLE[[#This Row],[OrderID]]))</f>
        <v>Brownie+Masala Puff+Nimbu Pani+Gulab Jamun (2 pc)</v>
      </c>
      <c r="T287" s="54">
        <f>orderlinesTABLE[[#This Row],[Profit]]/orderlinesTABLE[[#This Row],[LineNetAmount]]</f>
        <v>0.57650131451501307</v>
      </c>
      <c r="U287" s="70">
        <f>(orderlinesTABLE[[#This Row],[Qty]]*orderlinesTABLE[[#This Row],[UnitCost]])</f>
        <v>97.94</v>
      </c>
    </row>
    <row r="288" spans="1:21" x14ac:dyDescent="0.3">
      <c r="A288" s="14" t="s">
        <v>154</v>
      </c>
      <c r="B288" s="14" t="s">
        <v>419</v>
      </c>
      <c r="C288" s="14">
        <v>3</v>
      </c>
      <c r="D288" s="37">
        <f>VLOOKUP($B288,Menu!$A$1:$F$20,MATCH($D$1,Menu!$A$1:$F$1,0),0)</f>
        <v>50.19</v>
      </c>
      <c r="E288" s="14" t="str">
        <f>VLOOKUP($B288,Menu!$A$1:$F$20,MATCH(OrderLines!E$1,Menu!$A$1:$F$1,0),0)</f>
        <v>Snack</v>
      </c>
      <c r="F288" s="37">
        <f>VLOOKUP($B288,Menu!$A$1:$F$20,MATCH(OrderLines!F$1,Menu!$A$1:$F$1,0),0)</f>
        <v>22.61</v>
      </c>
      <c r="G288" s="28">
        <f>VLOOKUP($A288,Orders!$A$1:$H$361,MATCH($G$1,Orders!$A$1:$H$1,0),0)</f>
        <v>45895</v>
      </c>
      <c r="H288" s="14" t="str">
        <f>VLOOKUP($A288,Orders!$A$1:$H$361,MATCH(OrderLines!$H$1,Orders!$A$1:$H$1,0),0)</f>
        <v>Plant 2 Canteen</v>
      </c>
      <c r="I288" s="14">
        <f>VLOOKUP($A288,Orders!$A$1:$H$361,MATCH(OrderLines!$I$1,Orders!$A$1:$H$1,0),0)</f>
        <v>0.01</v>
      </c>
      <c r="J288" s="14">
        <f t="shared" si="13"/>
        <v>149.0643</v>
      </c>
      <c r="K288" s="28" t="str">
        <f t="shared" si="14"/>
        <v>August</v>
      </c>
      <c r="L288" s="14" t="str">
        <f>VLOOKUP(OrderLines!$A288,Orders!$A$1:$H$361,MATCH(OrderLines!$L$1,Orders!$A$1:$H$1,0),0)</f>
        <v>Dinner</v>
      </c>
      <c r="M288" t="str">
        <f>VLOOKUP($A288,Orders!$A$1:$H$361,MATCH(OrderLines!$M$1,Orders!$A$1:$H$1,0),0)</f>
        <v>UPI</v>
      </c>
      <c r="N288" t="str">
        <f t="shared" si="12"/>
        <v>Single</v>
      </c>
      <c r="O288" t="str" cm="1">
        <f t="array" ref="O288">IF((SUMPRODUCT((OrderID=OrderLines!$A288)*Qty*UnitPrice*DiscountPct))&gt;40,"HighDisc","OK")</f>
        <v>OK</v>
      </c>
      <c r="P288">
        <f>(orderlinesTABLE[[#This Row],[UnitCost]]*orderlinesTABLE[[#This Row],[Qty]])</f>
        <v>67.83</v>
      </c>
      <c r="Q288">
        <f>(orderlinesTABLE[[#This Row],[LineNetAmount]]-orderlinesTABLE[[#This Row],[totalCOST]])</f>
        <v>81.234300000000005</v>
      </c>
      <c r="R288" t="str">
        <f>VLOOKUP($B288,Menu!$A$1:$F$20,MATCH(OrderLines!R$1,Menu!$A$1:$F$1,0),0)</f>
        <v>Masala Puff</v>
      </c>
      <c r="S288" t="str" cm="1">
        <f t="array" ref="S288">_xlfn.TEXTJOIN("+",TRUE,_xlfn._xlws.FILTER(orderlinesTABLE[ItemName],OrderID=orderlinesTABLE[[#This Row],[OrderID]]))</f>
        <v>Brownie+Masala Puff+Nimbu Pani+Gulab Jamun (2 pc)</v>
      </c>
      <c r="T288" s="54">
        <f>orderlinesTABLE[[#This Row],[Profit]]/orderlinesTABLE[[#This Row],[LineNetAmount]]</f>
        <v>0.54496146964766212</v>
      </c>
      <c r="U288" s="70">
        <f>(orderlinesTABLE[[#This Row],[Qty]]*orderlinesTABLE[[#This Row],[UnitCost]])</f>
        <v>67.83</v>
      </c>
    </row>
    <row r="289" spans="1:21" x14ac:dyDescent="0.3">
      <c r="A289" s="15" t="s">
        <v>154</v>
      </c>
      <c r="B289" s="15" t="s">
        <v>410</v>
      </c>
      <c r="C289" s="15">
        <v>3</v>
      </c>
      <c r="D289" s="36">
        <f>VLOOKUP($B289,Menu!$A$1:$F$20,MATCH($D$1,Menu!$A$1:$F$1,0),0)</f>
        <v>20.11</v>
      </c>
      <c r="E289" s="15" t="str">
        <f>VLOOKUP($B289,Menu!$A$1:$F$20,MATCH(OrderLines!E$1,Menu!$A$1:$F$1,0),0)</f>
        <v>Beverage</v>
      </c>
      <c r="F289" s="36">
        <f>VLOOKUP($B289,Menu!$A$1:$F$20,MATCH(OrderLines!F$1,Menu!$A$1:$F$1,0),0)</f>
        <v>8</v>
      </c>
      <c r="G289" s="27">
        <f>VLOOKUP($A289,Orders!$A$1:$H$361,MATCH($G$1,Orders!$A$1:$H$1,0),0)</f>
        <v>45895</v>
      </c>
      <c r="H289" s="15" t="str">
        <f>VLOOKUP($A289,Orders!$A$1:$H$361,MATCH(OrderLines!$H$1,Orders!$A$1:$H$1,0),0)</f>
        <v>Plant 2 Canteen</v>
      </c>
      <c r="I289" s="15">
        <f>VLOOKUP($A289,Orders!$A$1:$H$361,MATCH(OrderLines!$I$1,Orders!$A$1:$H$1,0),0)</f>
        <v>0.01</v>
      </c>
      <c r="J289" s="15">
        <f t="shared" si="13"/>
        <v>59.726700000000001</v>
      </c>
      <c r="K289" s="27" t="str">
        <f t="shared" si="14"/>
        <v>August</v>
      </c>
      <c r="L289" s="15" t="str">
        <f>VLOOKUP(OrderLines!$A289,Orders!$A$1:$H$361,MATCH(OrderLines!$L$1,Orders!$A$1:$H$1,0),0)</f>
        <v>Dinner</v>
      </c>
      <c r="M289" t="str">
        <f>VLOOKUP($A289,Orders!$A$1:$H$361,MATCH(OrderLines!$M$1,Orders!$A$1:$H$1,0),0)</f>
        <v>UPI</v>
      </c>
      <c r="N289" t="str">
        <f t="shared" si="12"/>
        <v>Single</v>
      </c>
      <c r="O289" t="str" cm="1">
        <f t="array" ref="O289">IF((SUMPRODUCT((OrderID=OrderLines!$A289)*Qty*UnitPrice*DiscountPct))&gt;40,"HighDisc","OK")</f>
        <v>OK</v>
      </c>
      <c r="P289">
        <f>(orderlinesTABLE[[#This Row],[UnitCost]]*orderlinesTABLE[[#This Row],[Qty]])</f>
        <v>24</v>
      </c>
      <c r="Q289">
        <f>(orderlinesTABLE[[#This Row],[LineNetAmount]]-orderlinesTABLE[[#This Row],[totalCOST]])</f>
        <v>35.726700000000001</v>
      </c>
      <c r="R289" t="str">
        <f>VLOOKUP($B289,Menu!$A$1:$F$20,MATCH(OrderLines!R$1,Menu!$A$1:$F$1,0),0)</f>
        <v>Nimbu Pani</v>
      </c>
      <c r="S289" t="str" cm="1">
        <f t="array" ref="S289">_xlfn.TEXTJOIN("+",TRUE,_xlfn._xlws.FILTER(orderlinesTABLE[ItemName],OrderID=orderlinesTABLE[[#This Row],[OrderID]]))</f>
        <v>Brownie+Masala Puff+Nimbu Pani+Gulab Jamun (2 pc)</v>
      </c>
      <c r="T289" s="54">
        <f>orderlinesTABLE[[#This Row],[Profit]]/orderlinesTABLE[[#This Row],[LineNetAmount]]</f>
        <v>0.59816966281411832</v>
      </c>
      <c r="U289" s="70">
        <f>(orderlinesTABLE[[#This Row],[Qty]]*orderlinesTABLE[[#This Row],[UnitCost]])</f>
        <v>24</v>
      </c>
    </row>
    <row r="290" spans="1:21" x14ac:dyDescent="0.3">
      <c r="A290" s="14" t="s">
        <v>154</v>
      </c>
      <c r="B290" s="14" t="s">
        <v>403</v>
      </c>
      <c r="C290" s="14">
        <v>3</v>
      </c>
      <c r="D290" s="37">
        <f>VLOOKUP($B290,Menu!$A$1:$F$20,MATCH($D$1,Menu!$A$1:$F$1,0),0)</f>
        <v>76.55</v>
      </c>
      <c r="E290" s="14" t="str">
        <f>VLOOKUP($B290,Menu!$A$1:$F$20,MATCH(OrderLines!E$1,Menu!$A$1:$F$1,0),0)</f>
        <v>Dessert</v>
      </c>
      <c r="F290" s="37">
        <f>VLOOKUP($B290,Menu!$A$1:$F$20,MATCH(OrderLines!F$1,Menu!$A$1:$F$1,0),0)</f>
        <v>38.229999999999997</v>
      </c>
      <c r="G290" s="28">
        <f>VLOOKUP($A290,Orders!$A$1:$H$361,MATCH($G$1,Orders!$A$1:$H$1,0),0)</f>
        <v>45895</v>
      </c>
      <c r="H290" s="14" t="str">
        <f>VLOOKUP($A290,Orders!$A$1:$H$361,MATCH(OrderLines!$H$1,Orders!$A$1:$H$1,0),0)</f>
        <v>Plant 2 Canteen</v>
      </c>
      <c r="I290" s="14">
        <f>VLOOKUP($A290,Orders!$A$1:$H$361,MATCH(OrderLines!$I$1,Orders!$A$1:$H$1,0),0)</f>
        <v>0.01</v>
      </c>
      <c r="J290" s="14">
        <f t="shared" si="13"/>
        <v>227.35349999999997</v>
      </c>
      <c r="K290" s="28" t="str">
        <f t="shared" si="14"/>
        <v>August</v>
      </c>
      <c r="L290" s="14" t="str">
        <f>VLOOKUP(OrderLines!$A290,Orders!$A$1:$H$361,MATCH(OrderLines!$L$1,Orders!$A$1:$H$1,0),0)</f>
        <v>Dinner</v>
      </c>
      <c r="M290" t="str">
        <f>VLOOKUP($A290,Orders!$A$1:$H$361,MATCH(OrderLines!$M$1,Orders!$A$1:$H$1,0),0)</f>
        <v>UPI</v>
      </c>
      <c r="N290" t="str">
        <f t="shared" si="12"/>
        <v>Single</v>
      </c>
      <c r="O290" t="str" cm="1">
        <f t="array" ref="O290">IF((SUMPRODUCT((OrderID=OrderLines!$A290)*Qty*UnitPrice*DiscountPct))&gt;40,"HighDisc","OK")</f>
        <v>OK</v>
      </c>
      <c r="P290">
        <f>(orderlinesTABLE[[#This Row],[UnitCost]]*orderlinesTABLE[[#This Row],[Qty]])</f>
        <v>114.69</v>
      </c>
      <c r="Q290">
        <f>(orderlinesTABLE[[#This Row],[LineNetAmount]]-orderlinesTABLE[[#This Row],[totalCOST]])</f>
        <v>112.66349999999997</v>
      </c>
      <c r="R290" t="str">
        <f>VLOOKUP($B290,Menu!$A$1:$F$20,MATCH(OrderLines!R$1,Menu!$A$1:$F$1,0),0)</f>
        <v>Gulab Jamun (2 pc)</v>
      </c>
      <c r="S290" t="str" cm="1">
        <f t="array" ref="S290">_xlfn.TEXTJOIN("+",TRUE,_xlfn._xlws.FILTER(orderlinesTABLE[ItemName],OrderID=orderlinesTABLE[[#This Row],[OrderID]]))</f>
        <v>Brownie+Masala Puff+Nimbu Pani+Gulab Jamun (2 pc)</v>
      </c>
      <c r="T290" s="54">
        <f>orderlinesTABLE[[#This Row],[Profit]]/orderlinesTABLE[[#This Row],[LineNetAmount]]</f>
        <v>0.49554328391689589</v>
      </c>
      <c r="U290" s="70">
        <f>(orderlinesTABLE[[#This Row],[Qty]]*orderlinesTABLE[[#This Row],[UnitCost]])</f>
        <v>114.69</v>
      </c>
    </row>
    <row r="291" spans="1:21" x14ac:dyDescent="0.3">
      <c r="A291" s="15" t="s">
        <v>155</v>
      </c>
      <c r="B291" s="15" t="s">
        <v>401</v>
      </c>
      <c r="C291" s="15">
        <v>1</v>
      </c>
      <c r="D291" s="36">
        <f>VLOOKUP($B291,Menu!$A$1:$F$20,MATCH($D$1,Menu!$A$1:$F$1,0),0)</f>
        <v>52.45</v>
      </c>
      <c r="E291" s="15" t="str">
        <f>VLOOKUP($B291,Menu!$A$1:$F$20,MATCH(OrderLines!E$1,Menu!$A$1:$F$1,0),0)</f>
        <v>Snack</v>
      </c>
      <c r="F291" s="36">
        <f>VLOOKUP($B291,Menu!$A$1:$F$20,MATCH(OrderLines!F$1,Menu!$A$1:$F$1,0),0)</f>
        <v>25.8</v>
      </c>
      <c r="G291" s="27">
        <f>VLOOKUP($A291,Orders!$A$1:$H$361,MATCH($G$1,Orders!$A$1:$H$1,0),0)</f>
        <v>45872</v>
      </c>
      <c r="H291" s="15" t="str">
        <f>VLOOKUP($A291,Orders!$A$1:$H$361,MATCH(OrderLines!$H$1,Orders!$A$1:$H$1,0),0)</f>
        <v>Plant 2 Canteen</v>
      </c>
      <c r="I291" s="15">
        <f>VLOOKUP($A291,Orders!$A$1:$H$361,MATCH(OrderLines!$I$1,Orders!$A$1:$H$1,0),0)</f>
        <v>0.09</v>
      </c>
      <c r="J291" s="15">
        <f t="shared" si="13"/>
        <v>47.729500000000002</v>
      </c>
      <c r="K291" s="27" t="str">
        <f t="shared" si="14"/>
        <v>August</v>
      </c>
      <c r="L291" s="15" t="str">
        <f>VLOOKUP(OrderLines!$A291,Orders!$A$1:$H$361,MATCH(OrderLines!$L$1,Orders!$A$1:$H$1,0),0)</f>
        <v>Lunch</v>
      </c>
      <c r="M291" t="str">
        <f>VLOOKUP($A291,Orders!$A$1:$H$361,MATCH(OrderLines!$M$1,Orders!$A$1:$H$1,0),0)</f>
        <v>UPI</v>
      </c>
      <c r="N291" t="str">
        <f t="shared" si="12"/>
        <v>Single</v>
      </c>
      <c r="O291" t="str" cm="1">
        <f t="array" ref="O291">IF((SUMPRODUCT((OrderID=OrderLines!$A291)*Qty*UnitPrice*DiscountPct))&gt;40,"HighDisc","OK")</f>
        <v>OK</v>
      </c>
      <c r="P291">
        <f>(orderlinesTABLE[[#This Row],[UnitCost]]*orderlinesTABLE[[#This Row],[Qty]])</f>
        <v>25.8</v>
      </c>
      <c r="Q291">
        <f>(orderlinesTABLE[[#This Row],[LineNetAmount]]-orderlinesTABLE[[#This Row],[totalCOST]])</f>
        <v>21.929500000000001</v>
      </c>
      <c r="R291" t="str">
        <f>VLOOKUP($B291,Menu!$A$1:$F$20,MATCH(OrderLines!R$1,Menu!$A$1:$F$1,0),0)</f>
        <v>Poha</v>
      </c>
      <c r="S291" t="str" cm="1">
        <f t="array" ref="S291">_xlfn.TEXTJOIN("+",TRUE,_xlfn._xlws.FILTER(orderlinesTABLE[ItemName],OrderID=orderlinesTABLE[[#This Row],[OrderID]]))</f>
        <v>Poha</v>
      </c>
      <c r="T291" s="54">
        <f>orderlinesTABLE[[#This Row],[Profit]]/orderlinesTABLE[[#This Row],[LineNetAmount]]</f>
        <v>0.45945379691804861</v>
      </c>
      <c r="U291" s="70">
        <f>(orderlinesTABLE[[#This Row],[Qty]]*orderlinesTABLE[[#This Row],[UnitCost]])</f>
        <v>25.8</v>
      </c>
    </row>
    <row r="292" spans="1:21" x14ac:dyDescent="0.3">
      <c r="A292" s="14" t="s">
        <v>156</v>
      </c>
      <c r="B292" s="14" t="s">
        <v>408</v>
      </c>
      <c r="C292" s="14">
        <v>1</v>
      </c>
      <c r="D292" s="37">
        <f>VLOOKUP($B292,Menu!$A$1:$F$20,MATCH($D$1,Menu!$A$1:$F$1,0),0)</f>
        <v>70.540000000000006</v>
      </c>
      <c r="E292" s="14" t="str">
        <f>VLOOKUP($B292,Menu!$A$1:$F$20,MATCH(OrderLines!E$1,Menu!$A$1:$F$1,0),0)</f>
        <v>Snack</v>
      </c>
      <c r="F292" s="37">
        <f>VLOOKUP($B292,Menu!$A$1:$F$20,MATCH(OrderLines!F$1,Menu!$A$1:$F$1,0),0)</f>
        <v>35.81</v>
      </c>
      <c r="G292" s="28">
        <f>VLOOKUP($A292,Orders!$A$1:$H$361,MATCH($G$1,Orders!$A$1:$H$1,0),0)</f>
        <v>45873</v>
      </c>
      <c r="H292" s="14" t="str">
        <f>VLOOKUP($A292,Orders!$A$1:$H$361,MATCH(OrderLines!$H$1,Orders!$A$1:$H$1,0),0)</f>
        <v>Head Office Café</v>
      </c>
      <c r="I292" s="14">
        <f>VLOOKUP($A292,Orders!$A$1:$H$361,MATCH(OrderLines!$I$1,Orders!$A$1:$H$1,0),0)</f>
        <v>0.02</v>
      </c>
      <c r="J292" s="14">
        <f t="shared" si="13"/>
        <v>69.129200000000012</v>
      </c>
      <c r="K292" s="28" t="str">
        <f t="shared" si="14"/>
        <v>August</v>
      </c>
      <c r="L292" s="14" t="str">
        <f>VLOOKUP(OrderLines!$A292,Orders!$A$1:$H$361,MATCH(OrderLines!$L$1,Orders!$A$1:$H$1,0),0)</f>
        <v>Breakfast</v>
      </c>
      <c r="M292" t="str">
        <f>VLOOKUP($A292,Orders!$A$1:$H$361,MATCH(OrderLines!$M$1,Orders!$A$1:$H$1,0),0)</f>
        <v>Card</v>
      </c>
      <c r="N292" t="str">
        <f t="shared" si="12"/>
        <v>Single</v>
      </c>
      <c r="O292" t="str" cm="1">
        <f t="array" ref="O292">IF((SUMPRODUCT((OrderID=OrderLines!$A292)*Qty*UnitPrice*DiscountPct))&gt;40,"HighDisc","OK")</f>
        <v>OK</v>
      </c>
      <c r="P292">
        <f>(orderlinesTABLE[[#This Row],[UnitCost]]*orderlinesTABLE[[#This Row],[Qty]])</f>
        <v>35.81</v>
      </c>
      <c r="Q292">
        <f>(orderlinesTABLE[[#This Row],[LineNetAmount]]-orderlinesTABLE[[#This Row],[totalCOST]])</f>
        <v>33.319200000000009</v>
      </c>
      <c r="R292" t="str">
        <f>VLOOKUP($B292,Menu!$A$1:$F$20,MATCH(OrderLines!R$1,Menu!$A$1:$F$1,0),0)</f>
        <v>Veg Sandwich</v>
      </c>
      <c r="S292" t="str" cm="1">
        <f t="array" ref="S292">_xlfn.TEXTJOIN("+",TRUE,_xlfn._xlws.FILTER(orderlinesTABLE[ItemName],OrderID=orderlinesTABLE[[#This Row],[OrderID]]))</f>
        <v>Veg Sandwich</v>
      </c>
      <c r="T292" s="54">
        <f>orderlinesTABLE[[#This Row],[Profit]]/orderlinesTABLE[[#This Row],[LineNetAmount]]</f>
        <v>0.48198445808717594</v>
      </c>
      <c r="U292" s="70">
        <f>(orderlinesTABLE[[#This Row],[Qty]]*orderlinesTABLE[[#This Row],[UnitCost]])</f>
        <v>35.81</v>
      </c>
    </row>
    <row r="293" spans="1:21" x14ac:dyDescent="0.3">
      <c r="A293" s="15" t="s">
        <v>157</v>
      </c>
      <c r="B293" s="15" t="s">
        <v>410</v>
      </c>
      <c r="C293" s="15">
        <v>1</v>
      </c>
      <c r="D293" s="36">
        <f>VLOOKUP($B293,Menu!$A$1:$F$20,MATCH($D$1,Menu!$A$1:$F$1,0),0)</f>
        <v>20.11</v>
      </c>
      <c r="E293" s="15" t="str">
        <f>VLOOKUP($B293,Menu!$A$1:$F$20,MATCH(OrderLines!E$1,Menu!$A$1:$F$1,0),0)</f>
        <v>Beverage</v>
      </c>
      <c r="F293" s="36">
        <f>VLOOKUP($B293,Menu!$A$1:$F$20,MATCH(OrderLines!F$1,Menu!$A$1:$F$1,0),0)</f>
        <v>8</v>
      </c>
      <c r="G293" s="27">
        <f>VLOOKUP($A293,Orders!$A$1:$H$361,MATCH($G$1,Orders!$A$1:$H$1,0),0)</f>
        <v>45863</v>
      </c>
      <c r="H293" s="15" t="str">
        <f>VLOOKUP($A293,Orders!$A$1:$H$361,MATCH(OrderLines!$H$1,Orders!$A$1:$H$1,0),0)</f>
        <v>Plant 1 Canteen</v>
      </c>
      <c r="I293" s="15">
        <f>VLOOKUP($A293,Orders!$A$1:$H$361,MATCH(OrderLines!$I$1,Orders!$A$1:$H$1,0),0)</f>
        <v>0.09</v>
      </c>
      <c r="J293" s="15">
        <f t="shared" si="13"/>
        <v>18.3001</v>
      </c>
      <c r="K293" s="27" t="str">
        <f t="shared" si="14"/>
        <v>July</v>
      </c>
      <c r="L293" s="15" t="str">
        <f>VLOOKUP(OrderLines!$A293,Orders!$A$1:$H$361,MATCH(OrderLines!$L$1,Orders!$A$1:$H$1,0),0)</f>
        <v>Lunch</v>
      </c>
      <c r="M293" t="str">
        <f>VLOOKUP($A293,Orders!$A$1:$H$361,MATCH(OrderLines!$M$1,Orders!$A$1:$H$1,0),0)</f>
        <v>UPI</v>
      </c>
      <c r="N293" t="str">
        <f t="shared" si="12"/>
        <v>Single</v>
      </c>
      <c r="O293" t="str" cm="1">
        <f t="array" ref="O293">IF((SUMPRODUCT((OrderID=OrderLines!$A293)*Qty*UnitPrice*DiscountPct))&gt;40,"HighDisc","OK")</f>
        <v>OK</v>
      </c>
      <c r="P293">
        <f>(orderlinesTABLE[[#This Row],[UnitCost]]*orderlinesTABLE[[#This Row],[Qty]])</f>
        <v>8</v>
      </c>
      <c r="Q293">
        <f>(orderlinesTABLE[[#This Row],[LineNetAmount]]-orderlinesTABLE[[#This Row],[totalCOST]])</f>
        <v>10.3001</v>
      </c>
      <c r="R293" t="str">
        <f>VLOOKUP($B293,Menu!$A$1:$F$20,MATCH(OrderLines!R$1,Menu!$A$1:$F$1,0),0)</f>
        <v>Nimbu Pani</v>
      </c>
      <c r="S293" t="str" cm="1">
        <f t="array" ref="S293">_xlfn.TEXTJOIN("+",TRUE,_xlfn._xlws.FILTER(orderlinesTABLE[ItemName],OrderID=orderlinesTABLE[[#This Row],[OrderID]]))</f>
        <v>Nimbu Pani+Veg Sandwich</v>
      </c>
      <c r="T293" s="54">
        <f>orderlinesTABLE[[#This Row],[Profit]]/orderlinesTABLE[[#This Row],[LineNetAmount]]</f>
        <v>0.56284391888568919</v>
      </c>
      <c r="U293" s="70">
        <f>(orderlinesTABLE[[#This Row],[Qty]]*orderlinesTABLE[[#This Row],[UnitCost]])</f>
        <v>8</v>
      </c>
    </row>
    <row r="294" spans="1:21" x14ac:dyDescent="0.3">
      <c r="A294" s="14" t="s">
        <v>157</v>
      </c>
      <c r="B294" s="14" t="s">
        <v>408</v>
      </c>
      <c r="C294" s="14">
        <v>1</v>
      </c>
      <c r="D294" s="37">
        <f>VLOOKUP($B294,Menu!$A$1:$F$20,MATCH($D$1,Menu!$A$1:$F$1,0),0)</f>
        <v>70.540000000000006</v>
      </c>
      <c r="E294" s="14" t="str">
        <f>VLOOKUP($B294,Menu!$A$1:$F$20,MATCH(OrderLines!E$1,Menu!$A$1:$F$1,0),0)</f>
        <v>Snack</v>
      </c>
      <c r="F294" s="37">
        <f>VLOOKUP($B294,Menu!$A$1:$F$20,MATCH(OrderLines!F$1,Menu!$A$1:$F$1,0),0)</f>
        <v>35.81</v>
      </c>
      <c r="G294" s="28">
        <f>VLOOKUP($A294,Orders!$A$1:$H$361,MATCH($G$1,Orders!$A$1:$H$1,0),0)</f>
        <v>45863</v>
      </c>
      <c r="H294" s="14" t="str">
        <f>VLOOKUP($A294,Orders!$A$1:$H$361,MATCH(OrderLines!$H$1,Orders!$A$1:$H$1,0),0)</f>
        <v>Plant 1 Canteen</v>
      </c>
      <c r="I294" s="14">
        <f>VLOOKUP($A294,Orders!$A$1:$H$361,MATCH(OrderLines!$I$1,Orders!$A$1:$H$1,0),0)</f>
        <v>0.09</v>
      </c>
      <c r="J294" s="14">
        <f t="shared" si="13"/>
        <v>64.191400000000002</v>
      </c>
      <c r="K294" s="28" t="str">
        <f t="shared" si="14"/>
        <v>July</v>
      </c>
      <c r="L294" s="14" t="str">
        <f>VLOOKUP(OrderLines!$A294,Orders!$A$1:$H$361,MATCH(OrderLines!$L$1,Orders!$A$1:$H$1,0),0)</f>
        <v>Lunch</v>
      </c>
      <c r="M294" t="str">
        <f>VLOOKUP($A294,Orders!$A$1:$H$361,MATCH(OrderLines!$M$1,Orders!$A$1:$H$1,0),0)</f>
        <v>UPI</v>
      </c>
      <c r="N294" t="str">
        <f t="shared" si="12"/>
        <v>Single</v>
      </c>
      <c r="O294" t="str" cm="1">
        <f t="array" ref="O294">IF((SUMPRODUCT((OrderID=OrderLines!$A294)*Qty*UnitPrice*DiscountPct))&gt;40,"HighDisc","OK")</f>
        <v>OK</v>
      </c>
      <c r="P294">
        <f>(orderlinesTABLE[[#This Row],[UnitCost]]*orderlinesTABLE[[#This Row],[Qty]])</f>
        <v>35.81</v>
      </c>
      <c r="Q294">
        <f>(orderlinesTABLE[[#This Row],[LineNetAmount]]-orderlinesTABLE[[#This Row],[totalCOST]])</f>
        <v>28.381399999999999</v>
      </c>
      <c r="R294" t="str">
        <f>VLOOKUP($B294,Menu!$A$1:$F$20,MATCH(OrderLines!R$1,Menu!$A$1:$F$1,0),0)</f>
        <v>Veg Sandwich</v>
      </c>
      <c r="S294" t="str" cm="1">
        <f t="array" ref="S294">_xlfn.TEXTJOIN("+",TRUE,_xlfn._xlws.FILTER(orderlinesTABLE[ItemName],OrderID=orderlinesTABLE[[#This Row],[OrderID]]))</f>
        <v>Nimbu Pani+Veg Sandwich</v>
      </c>
      <c r="T294" s="54">
        <f>orderlinesTABLE[[#This Row],[Profit]]/orderlinesTABLE[[#This Row],[LineNetAmount]]</f>
        <v>0.44213710870926631</v>
      </c>
      <c r="U294" s="70">
        <f>(orderlinesTABLE[[#This Row],[Qty]]*orderlinesTABLE[[#This Row],[UnitCost]])</f>
        <v>35.81</v>
      </c>
    </row>
    <row r="295" spans="1:21" x14ac:dyDescent="0.3">
      <c r="A295" s="15" t="s">
        <v>158</v>
      </c>
      <c r="B295" s="15" t="s">
        <v>414</v>
      </c>
      <c r="C295" s="15">
        <v>3</v>
      </c>
      <c r="D295" s="36">
        <f>VLOOKUP($B295,Menu!$A$1:$F$20,MATCH($D$1,Menu!$A$1:$F$1,0),0)</f>
        <v>116.8</v>
      </c>
      <c r="E295" s="15" t="str">
        <f>VLOOKUP($B295,Menu!$A$1:$F$20,MATCH(OrderLines!E$1,Menu!$A$1:$F$1,0),0)</f>
        <v>Dessert</v>
      </c>
      <c r="F295" s="36">
        <f>VLOOKUP($B295,Menu!$A$1:$F$20,MATCH(OrderLines!F$1,Menu!$A$1:$F$1,0),0)</f>
        <v>48.97</v>
      </c>
      <c r="G295" s="27">
        <f>VLOOKUP($A295,Orders!$A$1:$H$361,MATCH($G$1,Orders!$A$1:$H$1,0),0)</f>
        <v>45869</v>
      </c>
      <c r="H295" s="15" t="str">
        <f>VLOOKUP($A295,Orders!$A$1:$H$361,MATCH(OrderLines!$H$1,Orders!$A$1:$H$1,0),0)</f>
        <v>Plant 1 Canteen</v>
      </c>
      <c r="I295" s="15">
        <f>VLOOKUP($A295,Orders!$A$1:$H$361,MATCH(OrderLines!$I$1,Orders!$A$1:$H$1,0),0)</f>
        <v>0.11</v>
      </c>
      <c r="J295" s="15">
        <f t="shared" si="13"/>
        <v>311.85599999999999</v>
      </c>
      <c r="K295" s="27" t="str">
        <f t="shared" si="14"/>
        <v>July</v>
      </c>
      <c r="L295" s="15" t="str">
        <f>VLOOKUP(OrderLines!$A295,Orders!$A$1:$H$361,MATCH(OrderLines!$L$1,Orders!$A$1:$H$1,0),0)</f>
        <v>Dinner</v>
      </c>
      <c r="M295" t="str">
        <f>VLOOKUP($A295,Orders!$A$1:$H$361,MATCH(OrderLines!$M$1,Orders!$A$1:$H$1,0),0)</f>
        <v>UPI</v>
      </c>
      <c r="N295" t="str">
        <f t="shared" si="12"/>
        <v>Single</v>
      </c>
      <c r="O295" t="str" cm="1">
        <f t="array" ref="O295">IF((SUMPRODUCT((OrderID=OrderLines!$A295)*Qty*UnitPrice*DiscountPct))&gt;40,"HighDisc","OK")</f>
        <v>HighDisc</v>
      </c>
      <c r="P295">
        <f>(orderlinesTABLE[[#This Row],[UnitCost]]*orderlinesTABLE[[#This Row],[Qty]])</f>
        <v>146.91</v>
      </c>
      <c r="Q295">
        <f>(orderlinesTABLE[[#This Row],[LineNetAmount]]-orderlinesTABLE[[#This Row],[totalCOST]])</f>
        <v>164.946</v>
      </c>
      <c r="R295" t="str">
        <f>VLOOKUP($B295,Menu!$A$1:$F$20,MATCH(OrderLines!R$1,Menu!$A$1:$F$1,0),0)</f>
        <v>Brownie</v>
      </c>
      <c r="S295" t="str" cm="1">
        <f t="array" ref="S295">_xlfn.TEXTJOIN("+",TRUE,_xlfn._xlws.FILTER(orderlinesTABLE[ItemName],OrderID=orderlinesTABLE[[#This Row],[OrderID]]))</f>
        <v>Brownie+Gulab Jamun (2 pc)+Paneer Roll+Poha</v>
      </c>
      <c r="T295" s="54">
        <f>orderlinesTABLE[[#This Row],[Profit]]/orderlinesTABLE[[#This Row],[LineNetAmount]]</f>
        <v>0.52891719255040792</v>
      </c>
      <c r="U295" s="70">
        <f>(orderlinesTABLE[[#This Row],[Qty]]*orderlinesTABLE[[#This Row],[UnitCost]])</f>
        <v>146.91</v>
      </c>
    </row>
    <row r="296" spans="1:21" x14ac:dyDescent="0.3">
      <c r="A296" s="14" t="s">
        <v>158</v>
      </c>
      <c r="B296" s="14" t="s">
        <v>403</v>
      </c>
      <c r="C296" s="14">
        <v>1</v>
      </c>
      <c r="D296" s="37">
        <f>VLOOKUP($B296,Menu!$A$1:$F$20,MATCH($D$1,Menu!$A$1:$F$1,0),0)</f>
        <v>76.55</v>
      </c>
      <c r="E296" s="14" t="str">
        <f>VLOOKUP($B296,Menu!$A$1:$F$20,MATCH(OrderLines!E$1,Menu!$A$1:$F$1,0),0)</f>
        <v>Dessert</v>
      </c>
      <c r="F296" s="37">
        <f>VLOOKUP($B296,Menu!$A$1:$F$20,MATCH(OrderLines!F$1,Menu!$A$1:$F$1,0),0)</f>
        <v>38.229999999999997</v>
      </c>
      <c r="G296" s="28">
        <f>VLOOKUP($A296,Orders!$A$1:$H$361,MATCH($G$1,Orders!$A$1:$H$1,0),0)</f>
        <v>45869</v>
      </c>
      <c r="H296" s="14" t="str">
        <f>VLOOKUP($A296,Orders!$A$1:$H$361,MATCH(OrderLines!$H$1,Orders!$A$1:$H$1,0),0)</f>
        <v>Plant 1 Canteen</v>
      </c>
      <c r="I296" s="14">
        <f>VLOOKUP($A296,Orders!$A$1:$H$361,MATCH(OrderLines!$I$1,Orders!$A$1:$H$1,0),0)</f>
        <v>0.11</v>
      </c>
      <c r="J296" s="14">
        <f t="shared" si="13"/>
        <v>68.129499999999993</v>
      </c>
      <c r="K296" s="28" t="str">
        <f t="shared" si="14"/>
        <v>July</v>
      </c>
      <c r="L296" s="14" t="str">
        <f>VLOOKUP(OrderLines!$A296,Orders!$A$1:$H$361,MATCH(OrderLines!$L$1,Orders!$A$1:$H$1,0),0)</f>
        <v>Dinner</v>
      </c>
      <c r="M296" t="str">
        <f>VLOOKUP($A296,Orders!$A$1:$H$361,MATCH(OrderLines!$M$1,Orders!$A$1:$H$1,0),0)</f>
        <v>UPI</v>
      </c>
      <c r="N296" t="str">
        <f t="shared" si="12"/>
        <v>Single</v>
      </c>
      <c r="O296" t="str" cm="1">
        <f t="array" ref="O296">IF((SUMPRODUCT((OrderID=OrderLines!$A296)*Qty*UnitPrice*DiscountPct))&gt;40,"HighDisc","OK")</f>
        <v>HighDisc</v>
      </c>
      <c r="P296">
        <f>(orderlinesTABLE[[#This Row],[UnitCost]]*orderlinesTABLE[[#This Row],[Qty]])</f>
        <v>38.229999999999997</v>
      </c>
      <c r="Q296">
        <f>(orderlinesTABLE[[#This Row],[LineNetAmount]]-orderlinesTABLE[[#This Row],[totalCOST]])</f>
        <v>29.899499999999996</v>
      </c>
      <c r="R296" t="str">
        <f>VLOOKUP($B296,Menu!$A$1:$F$20,MATCH(OrderLines!R$1,Menu!$A$1:$F$1,0),0)</f>
        <v>Gulab Jamun (2 pc)</v>
      </c>
      <c r="S296" t="str" cm="1">
        <f t="array" ref="S296">_xlfn.TEXTJOIN("+",TRUE,_xlfn._xlws.FILTER(orderlinesTABLE[ItemName],OrderID=orderlinesTABLE[[#This Row],[OrderID]]))</f>
        <v>Brownie+Gulab Jamun (2 pc)+Paneer Roll+Poha</v>
      </c>
      <c r="T296" s="54">
        <f>orderlinesTABLE[[#This Row],[Profit]]/orderlinesTABLE[[#This Row],[LineNetAmount]]</f>
        <v>0.43886275401991792</v>
      </c>
      <c r="U296" s="70">
        <f>(orderlinesTABLE[[#This Row],[Qty]]*orderlinesTABLE[[#This Row],[UnitCost]])</f>
        <v>38.229999999999997</v>
      </c>
    </row>
    <row r="297" spans="1:21" x14ac:dyDescent="0.3">
      <c r="A297" s="15" t="s">
        <v>158</v>
      </c>
      <c r="B297" s="15" t="s">
        <v>406</v>
      </c>
      <c r="C297" s="15">
        <v>2</v>
      </c>
      <c r="D297" s="36">
        <f>VLOOKUP($B297,Menu!$A$1:$F$20,MATCH($D$1,Menu!$A$1:$F$1,0),0)</f>
        <v>38.06</v>
      </c>
      <c r="E297" s="15" t="str">
        <f>VLOOKUP($B297,Menu!$A$1:$F$20,MATCH(OrderLines!E$1,Menu!$A$1:$F$1,0),0)</f>
        <v>Snack</v>
      </c>
      <c r="F297" s="36">
        <f>VLOOKUP($B297,Menu!$A$1:$F$20,MATCH(OrderLines!F$1,Menu!$A$1:$F$1,0),0)</f>
        <v>19.55</v>
      </c>
      <c r="G297" s="27">
        <f>VLOOKUP($A297,Orders!$A$1:$H$361,MATCH($G$1,Orders!$A$1:$H$1,0),0)</f>
        <v>45869</v>
      </c>
      <c r="H297" s="15" t="str">
        <f>VLOOKUP($A297,Orders!$A$1:$H$361,MATCH(OrderLines!$H$1,Orders!$A$1:$H$1,0),0)</f>
        <v>Plant 1 Canteen</v>
      </c>
      <c r="I297" s="15">
        <f>VLOOKUP($A297,Orders!$A$1:$H$361,MATCH(OrderLines!$I$1,Orders!$A$1:$H$1,0),0)</f>
        <v>0.11</v>
      </c>
      <c r="J297" s="15">
        <f t="shared" si="13"/>
        <v>67.746800000000007</v>
      </c>
      <c r="K297" s="27" t="str">
        <f t="shared" si="14"/>
        <v>July</v>
      </c>
      <c r="L297" s="15" t="str">
        <f>VLOOKUP(OrderLines!$A297,Orders!$A$1:$H$361,MATCH(OrderLines!$L$1,Orders!$A$1:$H$1,0),0)</f>
        <v>Dinner</v>
      </c>
      <c r="M297" t="str">
        <f>VLOOKUP($A297,Orders!$A$1:$H$361,MATCH(OrderLines!$M$1,Orders!$A$1:$H$1,0),0)</f>
        <v>UPI</v>
      </c>
      <c r="N297" t="str">
        <f t="shared" si="12"/>
        <v>Single</v>
      </c>
      <c r="O297" t="str" cm="1">
        <f t="array" ref="O297">IF((SUMPRODUCT((OrderID=OrderLines!$A297)*Qty*UnitPrice*DiscountPct))&gt;40,"HighDisc","OK")</f>
        <v>HighDisc</v>
      </c>
      <c r="P297">
        <f>(orderlinesTABLE[[#This Row],[UnitCost]]*orderlinesTABLE[[#This Row],[Qty]])</f>
        <v>39.1</v>
      </c>
      <c r="Q297">
        <f>(orderlinesTABLE[[#This Row],[LineNetAmount]]-orderlinesTABLE[[#This Row],[totalCOST]])</f>
        <v>28.646800000000006</v>
      </c>
      <c r="R297" t="str">
        <f>VLOOKUP($B297,Menu!$A$1:$F$20,MATCH(OrderLines!R$1,Menu!$A$1:$F$1,0),0)</f>
        <v>Paneer Roll</v>
      </c>
      <c r="S297" t="str" cm="1">
        <f t="array" ref="S297">_xlfn.TEXTJOIN("+",TRUE,_xlfn._xlws.FILTER(orderlinesTABLE[ItemName],OrderID=orderlinesTABLE[[#This Row],[OrderID]]))</f>
        <v>Brownie+Gulab Jamun (2 pc)+Paneer Roll+Poha</v>
      </c>
      <c r="T297" s="54">
        <f>orderlinesTABLE[[#This Row],[Profit]]/orderlinesTABLE[[#This Row],[LineNetAmount]]</f>
        <v>0.42285096860663535</v>
      </c>
      <c r="U297" s="70">
        <f>(orderlinesTABLE[[#This Row],[Qty]]*orderlinesTABLE[[#This Row],[UnitCost]])</f>
        <v>39.1</v>
      </c>
    </row>
    <row r="298" spans="1:21" x14ac:dyDescent="0.3">
      <c r="A298" s="14" t="s">
        <v>158</v>
      </c>
      <c r="B298" s="14" t="s">
        <v>401</v>
      </c>
      <c r="C298" s="14">
        <v>2</v>
      </c>
      <c r="D298" s="37">
        <f>VLOOKUP($B298,Menu!$A$1:$F$20,MATCH($D$1,Menu!$A$1:$F$1,0),0)</f>
        <v>52.45</v>
      </c>
      <c r="E298" s="14" t="str">
        <f>VLOOKUP($B298,Menu!$A$1:$F$20,MATCH(OrderLines!E$1,Menu!$A$1:$F$1,0),0)</f>
        <v>Snack</v>
      </c>
      <c r="F298" s="37">
        <f>VLOOKUP($B298,Menu!$A$1:$F$20,MATCH(OrderLines!F$1,Menu!$A$1:$F$1,0),0)</f>
        <v>25.8</v>
      </c>
      <c r="G298" s="28">
        <f>VLOOKUP($A298,Orders!$A$1:$H$361,MATCH($G$1,Orders!$A$1:$H$1,0),0)</f>
        <v>45869</v>
      </c>
      <c r="H298" s="14" t="str">
        <f>VLOOKUP($A298,Orders!$A$1:$H$361,MATCH(OrderLines!$H$1,Orders!$A$1:$H$1,0),0)</f>
        <v>Plant 1 Canteen</v>
      </c>
      <c r="I298" s="14">
        <f>VLOOKUP($A298,Orders!$A$1:$H$361,MATCH(OrderLines!$I$1,Orders!$A$1:$H$1,0),0)</f>
        <v>0.11</v>
      </c>
      <c r="J298" s="14">
        <f t="shared" si="13"/>
        <v>93.361000000000004</v>
      </c>
      <c r="K298" s="28" t="str">
        <f t="shared" si="14"/>
        <v>July</v>
      </c>
      <c r="L298" s="14" t="str">
        <f>VLOOKUP(OrderLines!$A298,Orders!$A$1:$H$361,MATCH(OrderLines!$L$1,Orders!$A$1:$H$1,0),0)</f>
        <v>Dinner</v>
      </c>
      <c r="M298" t="str">
        <f>VLOOKUP($A298,Orders!$A$1:$H$361,MATCH(OrderLines!$M$1,Orders!$A$1:$H$1,0),0)</f>
        <v>UPI</v>
      </c>
      <c r="N298" t="str">
        <f t="shared" si="12"/>
        <v>Single</v>
      </c>
      <c r="O298" t="str" cm="1">
        <f t="array" ref="O298">IF((SUMPRODUCT((OrderID=OrderLines!$A298)*Qty*UnitPrice*DiscountPct))&gt;40,"HighDisc","OK")</f>
        <v>HighDisc</v>
      </c>
      <c r="P298">
        <f>(orderlinesTABLE[[#This Row],[UnitCost]]*orderlinesTABLE[[#This Row],[Qty]])</f>
        <v>51.6</v>
      </c>
      <c r="Q298">
        <f>(orderlinesTABLE[[#This Row],[LineNetAmount]]-orderlinesTABLE[[#This Row],[totalCOST]])</f>
        <v>41.761000000000003</v>
      </c>
      <c r="R298" t="str">
        <f>VLOOKUP($B298,Menu!$A$1:$F$20,MATCH(OrderLines!R$1,Menu!$A$1:$F$1,0),0)</f>
        <v>Poha</v>
      </c>
      <c r="S298" t="str" cm="1">
        <f t="array" ref="S298">_xlfn.TEXTJOIN("+",TRUE,_xlfn._xlws.FILTER(orderlinesTABLE[ItemName],OrderID=orderlinesTABLE[[#This Row],[OrderID]]))</f>
        <v>Brownie+Gulab Jamun (2 pc)+Paneer Roll+Poha</v>
      </c>
      <c r="T298" s="54">
        <f>orderlinesTABLE[[#This Row],[Profit]]/orderlinesTABLE[[#This Row],[LineNetAmount]]</f>
        <v>0.44730669123081374</v>
      </c>
      <c r="U298" s="70">
        <f>(orderlinesTABLE[[#This Row],[Qty]]*orderlinesTABLE[[#This Row],[UnitCost]])</f>
        <v>51.6</v>
      </c>
    </row>
    <row r="299" spans="1:21" x14ac:dyDescent="0.3">
      <c r="A299" s="15" t="s">
        <v>159</v>
      </c>
      <c r="B299" s="15" t="s">
        <v>415</v>
      </c>
      <c r="C299" s="15">
        <v>1</v>
      </c>
      <c r="D299" s="36">
        <f>VLOOKUP($B299,Menu!$A$1:$F$20,MATCH($D$1,Menu!$A$1:$F$1,0),0)</f>
        <v>256.91000000000003</v>
      </c>
      <c r="E299" s="15" t="str">
        <f>VLOOKUP($B299,Menu!$A$1:$F$20,MATCH(OrderLines!E$1,Menu!$A$1:$F$1,0),0)</f>
        <v>Hot Meal</v>
      </c>
      <c r="F299" s="36">
        <f>VLOOKUP($B299,Menu!$A$1:$F$20,MATCH(OrderLines!F$1,Menu!$A$1:$F$1,0),0)</f>
        <v>121.24</v>
      </c>
      <c r="G299" s="27">
        <f>VLOOKUP($A299,Orders!$A$1:$H$361,MATCH($G$1,Orders!$A$1:$H$1,0),0)</f>
        <v>45857</v>
      </c>
      <c r="H299" s="15" t="str">
        <f>VLOOKUP($A299,Orders!$A$1:$H$361,MATCH(OrderLines!$H$1,Orders!$A$1:$H$1,0),0)</f>
        <v>Plant 1 Canteen</v>
      </c>
      <c r="I299" s="15">
        <f>VLOOKUP($A299,Orders!$A$1:$H$361,MATCH(OrderLines!$I$1,Orders!$A$1:$H$1,0),0)</f>
        <v>0.03</v>
      </c>
      <c r="J299" s="15">
        <f t="shared" si="13"/>
        <v>249.20270000000002</v>
      </c>
      <c r="K299" s="27" t="str">
        <f t="shared" si="14"/>
        <v>July</v>
      </c>
      <c r="L299" s="15" t="str">
        <f>VLOOKUP(OrderLines!$A299,Orders!$A$1:$H$361,MATCH(OrderLines!$L$1,Orders!$A$1:$H$1,0),0)</f>
        <v>Dinner</v>
      </c>
      <c r="M299" t="str">
        <f>VLOOKUP($A299,Orders!$A$1:$H$361,MATCH(OrderLines!$M$1,Orders!$A$1:$H$1,0),0)</f>
        <v>Card</v>
      </c>
      <c r="N299" t="str">
        <f t="shared" si="12"/>
        <v>Combo</v>
      </c>
      <c r="O299" t="str" cm="1">
        <f t="array" ref="O299">IF((SUMPRODUCT((OrderID=OrderLines!$A299)*Qty*UnitPrice*DiscountPct))&gt;40,"HighDisc","OK")</f>
        <v>OK</v>
      </c>
      <c r="P299">
        <f>(orderlinesTABLE[[#This Row],[UnitCost]]*orderlinesTABLE[[#This Row],[Qty]])</f>
        <v>121.24</v>
      </c>
      <c r="Q299">
        <f>(orderlinesTABLE[[#This Row],[LineNetAmount]]-orderlinesTABLE[[#This Row],[totalCOST]])</f>
        <v>127.96270000000003</v>
      </c>
      <c r="R299" t="str">
        <f>VLOOKUP($B299,Menu!$A$1:$F$20,MATCH(OrderLines!R$1,Menu!$A$1:$F$1,0),0)</f>
        <v>Chicken Thali</v>
      </c>
      <c r="S299" t="str" cm="1">
        <f t="array" ref="S299">_xlfn.TEXTJOIN("+",TRUE,_xlfn._xlws.FILTER(orderlinesTABLE[ItemName],OrderID=orderlinesTABLE[[#This Row],[OrderID]]))</f>
        <v>Chicken Thali+Tea+Fruit Cup+Brownie</v>
      </c>
      <c r="T299" s="54">
        <f>orderlinesTABLE[[#This Row],[Profit]]/orderlinesTABLE[[#This Row],[LineNetAmount]]</f>
        <v>0.51348841726032668</v>
      </c>
      <c r="U299" s="70">
        <f>(orderlinesTABLE[[#This Row],[Qty]]*orderlinesTABLE[[#This Row],[UnitCost]])</f>
        <v>121.24</v>
      </c>
    </row>
    <row r="300" spans="1:21" x14ac:dyDescent="0.3">
      <c r="A300" s="14" t="s">
        <v>159</v>
      </c>
      <c r="B300" s="14" t="s">
        <v>402</v>
      </c>
      <c r="C300" s="14">
        <v>1</v>
      </c>
      <c r="D300" s="37">
        <f>VLOOKUP($B300,Menu!$A$1:$F$20,MATCH($D$1,Menu!$A$1:$F$1,0),0)</f>
        <v>30.34</v>
      </c>
      <c r="E300" s="14" t="str">
        <f>VLOOKUP($B300,Menu!$A$1:$F$20,MATCH(OrderLines!E$1,Menu!$A$1:$F$1,0),0)</f>
        <v>Beverage</v>
      </c>
      <c r="F300" s="37">
        <f>VLOOKUP($B300,Menu!$A$1:$F$20,MATCH(OrderLines!F$1,Menu!$A$1:$F$1,0),0)</f>
        <v>14.18</v>
      </c>
      <c r="G300" s="28">
        <f>VLOOKUP($A300,Orders!$A$1:$H$361,MATCH($G$1,Orders!$A$1:$H$1,0),0)</f>
        <v>45857</v>
      </c>
      <c r="H300" s="14" t="str">
        <f>VLOOKUP($A300,Orders!$A$1:$H$361,MATCH(OrderLines!$H$1,Orders!$A$1:$H$1,0),0)</f>
        <v>Plant 1 Canteen</v>
      </c>
      <c r="I300" s="14">
        <f>VLOOKUP($A300,Orders!$A$1:$H$361,MATCH(OrderLines!$I$1,Orders!$A$1:$H$1,0),0)</f>
        <v>0.03</v>
      </c>
      <c r="J300" s="14">
        <f t="shared" si="13"/>
        <v>29.4298</v>
      </c>
      <c r="K300" s="28" t="str">
        <f t="shared" si="14"/>
        <v>July</v>
      </c>
      <c r="L300" s="14" t="str">
        <f>VLOOKUP(OrderLines!$A300,Orders!$A$1:$H$361,MATCH(OrderLines!$L$1,Orders!$A$1:$H$1,0),0)</f>
        <v>Dinner</v>
      </c>
      <c r="M300" t="str">
        <f>VLOOKUP($A300,Orders!$A$1:$H$361,MATCH(OrderLines!$M$1,Orders!$A$1:$H$1,0),0)</f>
        <v>Card</v>
      </c>
      <c r="N300" t="str">
        <f t="shared" si="12"/>
        <v>Combo</v>
      </c>
      <c r="O300" t="str" cm="1">
        <f t="array" ref="O300">IF((SUMPRODUCT((OrderID=OrderLines!$A300)*Qty*UnitPrice*DiscountPct))&gt;40,"HighDisc","OK")</f>
        <v>OK</v>
      </c>
      <c r="P300">
        <f>(orderlinesTABLE[[#This Row],[UnitCost]]*orderlinesTABLE[[#This Row],[Qty]])</f>
        <v>14.18</v>
      </c>
      <c r="Q300">
        <f>(orderlinesTABLE[[#This Row],[LineNetAmount]]-orderlinesTABLE[[#This Row],[totalCOST]])</f>
        <v>15.2498</v>
      </c>
      <c r="R300" t="str">
        <f>VLOOKUP($B300,Menu!$A$1:$F$20,MATCH(OrderLines!R$1,Menu!$A$1:$F$1,0),0)</f>
        <v>Tea</v>
      </c>
      <c r="S300" t="str" cm="1">
        <f t="array" ref="S300">_xlfn.TEXTJOIN("+",TRUE,_xlfn._xlws.FILTER(orderlinesTABLE[ItemName],OrderID=orderlinesTABLE[[#This Row],[OrderID]]))</f>
        <v>Chicken Thali+Tea+Fruit Cup+Brownie</v>
      </c>
      <c r="T300" s="54">
        <f>orderlinesTABLE[[#This Row],[Profit]]/orderlinesTABLE[[#This Row],[LineNetAmount]]</f>
        <v>0.51817545481110983</v>
      </c>
      <c r="U300" s="70">
        <f>(orderlinesTABLE[[#This Row],[Qty]]*orderlinesTABLE[[#This Row],[UnitCost]])</f>
        <v>14.18</v>
      </c>
    </row>
    <row r="301" spans="1:21" x14ac:dyDescent="0.3">
      <c r="A301" s="15" t="s">
        <v>159</v>
      </c>
      <c r="B301" s="15" t="s">
        <v>412</v>
      </c>
      <c r="C301" s="15">
        <v>2</v>
      </c>
      <c r="D301" s="36">
        <f>VLOOKUP($B301,Menu!$A$1:$F$20,MATCH($D$1,Menu!$A$1:$F$1,0),0)</f>
        <v>57.07</v>
      </c>
      <c r="E301" s="15" t="str">
        <f>VLOOKUP($B301,Menu!$A$1:$F$20,MATCH(OrderLines!E$1,Menu!$A$1:$F$1,0),0)</f>
        <v>Dessert</v>
      </c>
      <c r="F301" s="36">
        <f>VLOOKUP($B301,Menu!$A$1:$F$20,MATCH(OrderLines!F$1,Menu!$A$1:$F$1,0),0)</f>
        <v>29.14</v>
      </c>
      <c r="G301" s="27">
        <f>VLOOKUP($A301,Orders!$A$1:$H$361,MATCH($G$1,Orders!$A$1:$H$1,0),0)</f>
        <v>45857</v>
      </c>
      <c r="H301" s="15" t="str">
        <f>VLOOKUP($A301,Orders!$A$1:$H$361,MATCH(OrderLines!$H$1,Orders!$A$1:$H$1,0),0)</f>
        <v>Plant 1 Canteen</v>
      </c>
      <c r="I301" s="15">
        <f>VLOOKUP($A301,Orders!$A$1:$H$361,MATCH(OrderLines!$I$1,Orders!$A$1:$H$1,0),0)</f>
        <v>0.03</v>
      </c>
      <c r="J301" s="15">
        <f t="shared" si="13"/>
        <v>110.7158</v>
      </c>
      <c r="K301" s="27" t="str">
        <f t="shared" si="14"/>
        <v>July</v>
      </c>
      <c r="L301" s="15" t="str">
        <f>VLOOKUP(OrderLines!$A301,Orders!$A$1:$H$361,MATCH(OrderLines!$L$1,Orders!$A$1:$H$1,0),0)</f>
        <v>Dinner</v>
      </c>
      <c r="M301" t="str">
        <f>VLOOKUP($A301,Orders!$A$1:$H$361,MATCH(OrderLines!$M$1,Orders!$A$1:$H$1,0),0)</f>
        <v>Card</v>
      </c>
      <c r="N301" t="str">
        <f t="shared" si="12"/>
        <v>Combo</v>
      </c>
      <c r="O301" t="str" cm="1">
        <f t="array" ref="O301">IF((SUMPRODUCT((OrderID=OrderLines!$A301)*Qty*UnitPrice*DiscountPct))&gt;40,"HighDisc","OK")</f>
        <v>OK</v>
      </c>
      <c r="P301">
        <f>(orderlinesTABLE[[#This Row],[UnitCost]]*orderlinesTABLE[[#This Row],[Qty]])</f>
        <v>58.28</v>
      </c>
      <c r="Q301">
        <f>(orderlinesTABLE[[#This Row],[LineNetAmount]]-orderlinesTABLE[[#This Row],[totalCOST]])</f>
        <v>52.4358</v>
      </c>
      <c r="R301" t="str">
        <f>VLOOKUP($B301,Menu!$A$1:$F$20,MATCH(OrderLines!R$1,Menu!$A$1:$F$1,0),0)</f>
        <v>Fruit Cup</v>
      </c>
      <c r="S301" t="str" cm="1">
        <f t="array" ref="S301">_xlfn.TEXTJOIN("+",TRUE,_xlfn._xlws.FILTER(orderlinesTABLE[ItemName],OrderID=orderlinesTABLE[[#This Row],[OrderID]]))</f>
        <v>Chicken Thali+Tea+Fruit Cup+Brownie</v>
      </c>
      <c r="T301" s="54">
        <f>orderlinesTABLE[[#This Row],[Profit]]/orderlinesTABLE[[#This Row],[LineNetAmount]]</f>
        <v>0.47360719969507514</v>
      </c>
      <c r="U301" s="70">
        <f>(orderlinesTABLE[[#This Row],[Qty]]*orderlinesTABLE[[#This Row],[UnitCost]])</f>
        <v>58.28</v>
      </c>
    </row>
    <row r="302" spans="1:21" x14ac:dyDescent="0.3">
      <c r="A302" s="14" t="s">
        <v>159</v>
      </c>
      <c r="B302" s="14" t="s">
        <v>414</v>
      </c>
      <c r="C302" s="14">
        <v>2</v>
      </c>
      <c r="D302" s="37">
        <f>VLOOKUP($B302,Menu!$A$1:$F$20,MATCH($D$1,Menu!$A$1:$F$1,0),0)</f>
        <v>116.8</v>
      </c>
      <c r="E302" s="14" t="str">
        <f>VLOOKUP($B302,Menu!$A$1:$F$20,MATCH(OrderLines!E$1,Menu!$A$1:$F$1,0),0)</f>
        <v>Dessert</v>
      </c>
      <c r="F302" s="37">
        <f>VLOOKUP($B302,Menu!$A$1:$F$20,MATCH(OrderLines!F$1,Menu!$A$1:$F$1,0),0)</f>
        <v>48.97</v>
      </c>
      <c r="G302" s="28">
        <f>VLOOKUP($A302,Orders!$A$1:$H$361,MATCH($G$1,Orders!$A$1:$H$1,0),0)</f>
        <v>45857</v>
      </c>
      <c r="H302" s="14" t="str">
        <f>VLOOKUP($A302,Orders!$A$1:$H$361,MATCH(OrderLines!$H$1,Orders!$A$1:$H$1,0),0)</f>
        <v>Plant 1 Canteen</v>
      </c>
      <c r="I302" s="14">
        <f>VLOOKUP($A302,Orders!$A$1:$H$361,MATCH(OrderLines!$I$1,Orders!$A$1:$H$1,0),0)</f>
        <v>0.03</v>
      </c>
      <c r="J302" s="14">
        <f t="shared" si="13"/>
        <v>226.59199999999998</v>
      </c>
      <c r="K302" s="28" t="str">
        <f t="shared" si="14"/>
        <v>July</v>
      </c>
      <c r="L302" s="14" t="str">
        <f>VLOOKUP(OrderLines!$A302,Orders!$A$1:$H$361,MATCH(OrderLines!$L$1,Orders!$A$1:$H$1,0),0)</f>
        <v>Dinner</v>
      </c>
      <c r="M302" t="str">
        <f>VLOOKUP($A302,Orders!$A$1:$H$361,MATCH(OrderLines!$M$1,Orders!$A$1:$H$1,0),0)</f>
        <v>Card</v>
      </c>
      <c r="N302" t="str">
        <f t="shared" si="12"/>
        <v>Combo</v>
      </c>
      <c r="O302" t="str" cm="1">
        <f t="array" ref="O302">IF((SUMPRODUCT((OrderID=OrderLines!$A302)*Qty*UnitPrice*DiscountPct))&gt;40,"HighDisc","OK")</f>
        <v>OK</v>
      </c>
      <c r="P302">
        <f>(orderlinesTABLE[[#This Row],[UnitCost]]*orderlinesTABLE[[#This Row],[Qty]])</f>
        <v>97.94</v>
      </c>
      <c r="Q302">
        <f>(orderlinesTABLE[[#This Row],[LineNetAmount]]-orderlinesTABLE[[#This Row],[totalCOST]])</f>
        <v>128.65199999999999</v>
      </c>
      <c r="R302" t="str">
        <f>VLOOKUP($B302,Menu!$A$1:$F$20,MATCH(OrderLines!R$1,Menu!$A$1:$F$1,0),0)</f>
        <v>Brownie</v>
      </c>
      <c r="S302" t="str" cm="1">
        <f t="array" ref="S302">_xlfn.TEXTJOIN("+",TRUE,_xlfn._xlws.FILTER(orderlinesTABLE[ItemName],OrderID=orderlinesTABLE[[#This Row],[OrderID]]))</f>
        <v>Chicken Thali+Tea+Fruit Cup+Brownie</v>
      </c>
      <c r="T302" s="54">
        <f>orderlinesTABLE[[#This Row],[Profit]]/orderlinesTABLE[[#This Row],[LineNetAmount]]</f>
        <v>0.56776938285552891</v>
      </c>
      <c r="U302" s="70">
        <f>(orderlinesTABLE[[#This Row],[Qty]]*orderlinesTABLE[[#This Row],[UnitCost]])</f>
        <v>97.94</v>
      </c>
    </row>
    <row r="303" spans="1:21" x14ac:dyDescent="0.3">
      <c r="A303" s="15" t="s">
        <v>160</v>
      </c>
      <c r="B303" s="15" t="s">
        <v>417</v>
      </c>
      <c r="C303" s="15">
        <v>1</v>
      </c>
      <c r="D303" s="36">
        <f>VLOOKUP($B303,Menu!$A$1:$F$20,MATCH($D$1,Menu!$A$1:$F$1,0),0)</f>
        <v>146.4</v>
      </c>
      <c r="E303" s="15" t="str">
        <f>VLOOKUP($B303,Menu!$A$1:$F$20,MATCH(OrderLines!E$1,Menu!$A$1:$F$1,0),0)</f>
        <v>Hot Meal</v>
      </c>
      <c r="F303" s="36">
        <f>VLOOKUP($B303,Menu!$A$1:$F$20,MATCH(OrderLines!F$1,Menu!$A$1:$F$1,0),0)</f>
        <v>80.92</v>
      </c>
      <c r="G303" s="27">
        <f>VLOOKUP($A303,Orders!$A$1:$H$361,MATCH($G$1,Orders!$A$1:$H$1,0),0)</f>
        <v>45896</v>
      </c>
      <c r="H303" s="15" t="str">
        <f>VLOOKUP($A303,Orders!$A$1:$H$361,MATCH(OrderLines!$H$1,Orders!$A$1:$H$1,0),0)</f>
        <v>Head Office Café</v>
      </c>
      <c r="I303" s="15">
        <f>VLOOKUP($A303,Orders!$A$1:$H$361,MATCH(OrderLines!$I$1,Orders!$A$1:$H$1,0),0)</f>
        <v>0.1</v>
      </c>
      <c r="J303" s="15">
        <f t="shared" si="13"/>
        <v>131.76000000000002</v>
      </c>
      <c r="K303" s="27" t="str">
        <f t="shared" si="14"/>
        <v>August</v>
      </c>
      <c r="L303" s="15" t="str">
        <f>VLOOKUP(OrderLines!$A303,Orders!$A$1:$H$361,MATCH(OrderLines!$L$1,Orders!$A$1:$H$1,0),0)</f>
        <v>Lunch</v>
      </c>
      <c r="M303" t="str">
        <f>VLOOKUP($A303,Orders!$A$1:$H$361,MATCH(OrderLines!$M$1,Orders!$A$1:$H$1,0),0)</f>
        <v>Card</v>
      </c>
      <c r="N303" t="str">
        <f t="shared" si="12"/>
        <v>Single</v>
      </c>
      <c r="O303" t="str" cm="1">
        <f t="array" ref="O303">IF((SUMPRODUCT((OrderID=OrderLines!$A303)*Qty*UnitPrice*DiscountPct))&gt;40,"HighDisc","OK")</f>
        <v>HighDisc</v>
      </c>
      <c r="P303">
        <f>(orderlinesTABLE[[#This Row],[UnitCost]]*orderlinesTABLE[[#This Row],[Qty]])</f>
        <v>80.92</v>
      </c>
      <c r="Q303">
        <f>(orderlinesTABLE[[#This Row],[LineNetAmount]]-orderlinesTABLE[[#This Row],[totalCOST]])</f>
        <v>50.840000000000018</v>
      </c>
      <c r="R303" t="str">
        <f>VLOOKUP($B303,Menu!$A$1:$F$20,MATCH(OrderLines!R$1,Menu!$A$1:$F$1,0),0)</f>
        <v>Rajma Chawal</v>
      </c>
      <c r="S303" t="str" cm="1">
        <f t="array" ref="S303">_xlfn.TEXTJOIN("+",TRUE,_xlfn._xlws.FILTER(orderlinesTABLE[ItemName],OrderID=orderlinesTABLE[[#This Row],[OrderID]]))</f>
        <v>Rajma Chawal+Egg Curry + Rice+Poha+Kheer Cup</v>
      </c>
      <c r="T303" s="54">
        <f>orderlinesTABLE[[#This Row],[Profit]]/orderlinesTABLE[[#This Row],[LineNetAmount]]</f>
        <v>0.38585306618093512</v>
      </c>
      <c r="U303" s="70">
        <f>(orderlinesTABLE[[#This Row],[Qty]]*orderlinesTABLE[[#This Row],[UnitCost]])</f>
        <v>80.92</v>
      </c>
    </row>
    <row r="304" spans="1:21" x14ac:dyDescent="0.3">
      <c r="A304" s="14" t="s">
        <v>160</v>
      </c>
      <c r="B304" s="14" t="s">
        <v>407</v>
      </c>
      <c r="C304" s="14">
        <v>3</v>
      </c>
      <c r="D304" s="37">
        <f>VLOOKUP($B304,Menu!$A$1:$F$20,MATCH($D$1,Menu!$A$1:$F$1,0),0)</f>
        <v>246.09</v>
      </c>
      <c r="E304" s="14" t="str">
        <f>VLOOKUP($B304,Menu!$A$1:$F$20,MATCH(OrderLines!E$1,Menu!$A$1:$F$1,0),0)</f>
        <v>Hot Meal</v>
      </c>
      <c r="F304" s="37">
        <f>VLOOKUP($B304,Menu!$A$1:$F$20,MATCH(OrderLines!F$1,Menu!$A$1:$F$1,0),0)</f>
        <v>112.08</v>
      </c>
      <c r="G304" s="28">
        <f>VLOOKUP($A304,Orders!$A$1:$H$361,MATCH($G$1,Orders!$A$1:$H$1,0),0)</f>
        <v>45896</v>
      </c>
      <c r="H304" s="14" t="str">
        <f>VLOOKUP($A304,Orders!$A$1:$H$361,MATCH(OrderLines!$H$1,Orders!$A$1:$H$1,0),0)</f>
        <v>Head Office Café</v>
      </c>
      <c r="I304" s="14">
        <f>VLOOKUP($A304,Orders!$A$1:$H$361,MATCH(OrderLines!$I$1,Orders!$A$1:$H$1,0),0)</f>
        <v>0.1</v>
      </c>
      <c r="J304" s="14">
        <f t="shared" si="13"/>
        <v>664.44299999999998</v>
      </c>
      <c r="K304" s="28" t="str">
        <f t="shared" si="14"/>
        <v>August</v>
      </c>
      <c r="L304" s="14" t="str">
        <f>VLOOKUP(OrderLines!$A304,Orders!$A$1:$H$361,MATCH(OrderLines!$L$1,Orders!$A$1:$H$1,0),0)</f>
        <v>Lunch</v>
      </c>
      <c r="M304" t="str">
        <f>VLOOKUP($A304,Orders!$A$1:$H$361,MATCH(OrderLines!$M$1,Orders!$A$1:$H$1,0),0)</f>
        <v>Card</v>
      </c>
      <c r="N304" t="str">
        <f t="shared" si="12"/>
        <v>Single</v>
      </c>
      <c r="O304" t="str" cm="1">
        <f t="array" ref="O304">IF((SUMPRODUCT((OrderID=OrderLines!$A304)*Qty*UnitPrice*DiscountPct))&gt;40,"HighDisc","OK")</f>
        <v>HighDisc</v>
      </c>
      <c r="P304">
        <f>(orderlinesTABLE[[#This Row],[UnitCost]]*orderlinesTABLE[[#This Row],[Qty]])</f>
        <v>336.24</v>
      </c>
      <c r="Q304">
        <f>(orderlinesTABLE[[#This Row],[LineNetAmount]]-orderlinesTABLE[[#This Row],[totalCOST]])</f>
        <v>328.20299999999997</v>
      </c>
      <c r="R304" t="str">
        <f>VLOOKUP($B304,Menu!$A$1:$F$20,MATCH(OrderLines!R$1,Menu!$A$1:$F$1,0),0)</f>
        <v>Egg Curry + Rice</v>
      </c>
      <c r="S304" t="str" cm="1">
        <f t="array" ref="S304">_xlfn.TEXTJOIN("+",TRUE,_xlfn._xlws.FILTER(orderlinesTABLE[ItemName],OrderID=orderlinesTABLE[[#This Row],[OrderID]]))</f>
        <v>Rajma Chawal+Egg Curry + Rice+Poha+Kheer Cup</v>
      </c>
      <c r="T304" s="54">
        <f>orderlinesTABLE[[#This Row],[Profit]]/orderlinesTABLE[[#This Row],[LineNetAmount]]</f>
        <v>0.49395207715334494</v>
      </c>
      <c r="U304" s="70">
        <f>(orderlinesTABLE[[#This Row],[Qty]]*orderlinesTABLE[[#This Row],[UnitCost]])</f>
        <v>336.24</v>
      </c>
    </row>
    <row r="305" spans="1:21" x14ac:dyDescent="0.3">
      <c r="A305" s="15" t="s">
        <v>160</v>
      </c>
      <c r="B305" s="15" t="s">
        <v>401</v>
      </c>
      <c r="C305" s="15">
        <v>3</v>
      </c>
      <c r="D305" s="36">
        <f>VLOOKUP($B305,Menu!$A$1:$F$20,MATCH($D$1,Menu!$A$1:$F$1,0),0)</f>
        <v>52.45</v>
      </c>
      <c r="E305" s="15" t="str">
        <f>VLOOKUP($B305,Menu!$A$1:$F$20,MATCH(OrderLines!E$1,Menu!$A$1:$F$1,0),0)</f>
        <v>Snack</v>
      </c>
      <c r="F305" s="36">
        <f>VLOOKUP($B305,Menu!$A$1:$F$20,MATCH(OrderLines!F$1,Menu!$A$1:$F$1,0),0)</f>
        <v>25.8</v>
      </c>
      <c r="G305" s="27">
        <f>VLOOKUP($A305,Orders!$A$1:$H$361,MATCH($G$1,Orders!$A$1:$H$1,0),0)</f>
        <v>45896</v>
      </c>
      <c r="H305" s="15" t="str">
        <f>VLOOKUP($A305,Orders!$A$1:$H$361,MATCH(OrderLines!$H$1,Orders!$A$1:$H$1,0),0)</f>
        <v>Head Office Café</v>
      </c>
      <c r="I305" s="15">
        <f>VLOOKUP($A305,Orders!$A$1:$H$361,MATCH(OrderLines!$I$1,Orders!$A$1:$H$1,0),0)</f>
        <v>0.1</v>
      </c>
      <c r="J305" s="15">
        <f t="shared" si="13"/>
        <v>141.61500000000004</v>
      </c>
      <c r="K305" s="27" t="str">
        <f t="shared" si="14"/>
        <v>August</v>
      </c>
      <c r="L305" s="15" t="str">
        <f>VLOOKUP(OrderLines!$A305,Orders!$A$1:$H$361,MATCH(OrderLines!$L$1,Orders!$A$1:$H$1,0),0)</f>
        <v>Lunch</v>
      </c>
      <c r="M305" t="str">
        <f>VLOOKUP($A305,Orders!$A$1:$H$361,MATCH(OrderLines!$M$1,Orders!$A$1:$H$1,0),0)</f>
        <v>Card</v>
      </c>
      <c r="N305" t="str">
        <f t="shared" si="12"/>
        <v>Single</v>
      </c>
      <c r="O305" t="str" cm="1">
        <f t="array" ref="O305">IF((SUMPRODUCT((OrderID=OrderLines!$A305)*Qty*UnitPrice*DiscountPct))&gt;40,"HighDisc","OK")</f>
        <v>HighDisc</v>
      </c>
      <c r="P305">
        <f>(orderlinesTABLE[[#This Row],[UnitCost]]*orderlinesTABLE[[#This Row],[Qty]])</f>
        <v>77.400000000000006</v>
      </c>
      <c r="Q305">
        <f>(orderlinesTABLE[[#This Row],[LineNetAmount]]-orderlinesTABLE[[#This Row],[totalCOST]])</f>
        <v>64.215000000000032</v>
      </c>
      <c r="R305" t="str">
        <f>VLOOKUP($B305,Menu!$A$1:$F$20,MATCH(OrderLines!R$1,Menu!$A$1:$F$1,0),0)</f>
        <v>Poha</v>
      </c>
      <c r="S305" t="str" cm="1">
        <f t="array" ref="S305">_xlfn.TEXTJOIN("+",TRUE,_xlfn._xlws.FILTER(orderlinesTABLE[ItemName],OrderID=orderlinesTABLE[[#This Row],[OrderID]]))</f>
        <v>Rajma Chawal+Egg Curry + Rice+Poha+Kheer Cup</v>
      </c>
      <c r="T305" s="54">
        <f>orderlinesTABLE[[#This Row],[Profit]]/orderlinesTABLE[[#This Row],[LineNetAmount]]</f>
        <v>0.45344772799491589</v>
      </c>
      <c r="U305" s="70">
        <f>(orderlinesTABLE[[#This Row],[Qty]]*orderlinesTABLE[[#This Row],[UnitCost]])</f>
        <v>77.400000000000006</v>
      </c>
    </row>
    <row r="306" spans="1:21" x14ac:dyDescent="0.3">
      <c r="A306" s="14" t="s">
        <v>160</v>
      </c>
      <c r="B306" s="14" t="s">
        <v>413</v>
      </c>
      <c r="C306" s="14">
        <v>1</v>
      </c>
      <c r="D306" s="37">
        <f>VLOOKUP($B306,Menu!$A$1:$F$20,MATCH($D$1,Menu!$A$1:$F$1,0),0)</f>
        <v>54.2</v>
      </c>
      <c r="E306" s="14" t="str">
        <f>VLOOKUP($B306,Menu!$A$1:$F$20,MATCH(OrderLines!E$1,Menu!$A$1:$F$1,0),0)</f>
        <v>Dessert</v>
      </c>
      <c r="F306" s="37">
        <f>VLOOKUP($B306,Menu!$A$1:$F$20,MATCH(OrderLines!F$1,Menu!$A$1:$F$1,0),0)</f>
        <v>21.95</v>
      </c>
      <c r="G306" s="28">
        <f>VLOOKUP($A306,Orders!$A$1:$H$361,MATCH($G$1,Orders!$A$1:$H$1,0),0)</f>
        <v>45896</v>
      </c>
      <c r="H306" s="14" t="str">
        <f>VLOOKUP($A306,Orders!$A$1:$H$361,MATCH(OrderLines!$H$1,Orders!$A$1:$H$1,0),0)</f>
        <v>Head Office Café</v>
      </c>
      <c r="I306" s="14">
        <f>VLOOKUP($A306,Orders!$A$1:$H$361,MATCH(OrderLines!$I$1,Orders!$A$1:$H$1,0),0)</f>
        <v>0.1</v>
      </c>
      <c r="J306" s="14">
        <f t="shared" si="13"/>
        <v>48.78</v>
      </c>
      <c r="K306" s="28" t="str">
        <f t="shared" si="14"/>
        <v>August</v>
      </c>
      <c r="L306" s="14" t="str">
        <f>VLOOKUP(OrderLines!$A306,Orders!$A$1:$H$361,MATCH(OrderLines!$L$1,Orders!$A$1:$H$1,0),0)</f>
        <v>Lunch</v>
      </c>
      <c r="M306" t="str">
        <f>VLOOKUP($A306,Orders!$A$1:$H$361,MATCH(OrderLines!$M$1,Orders!$A$1:$H$1,0),0)</f>
        <v>Card</v>
      </c>
      <c r="N306" t="str">
        <f t="shared" si="12"/>
        <v>Single</v>
      </c>
      <c r="O306" t="str" cm="1">
        <f t="array" ref="O306">IF((SUMPRODUCT((OrderID=OrderLines!$A306)*Qty*UnitPrice*DiscountPct))&gt;40,"HighDisc","OK")</f>
        <v>HighDisc</v>
      </c>
      <c r="P306">
        <f>(orderlinesTABLE[[#This Row],[UnitCost]]*orderlinesTABLE[[#This Row],[Qty]])</f>
        <v>21.95</v>
      </c>
      <c r="Q306">
        <f>(orderlinesTABLE[[#This Row],[LineNetAmount]]-orderlinesTABLE[[#This Row],[totalCOST]])</f>
        <v>26.830000000000002</v>
      </c>
      <c r="R306" t="str">
        <f>VLOOKUP($B306,Menu!$A$1:$F$20,MATCH(OrderLines!R$1,Menu!$A$1:$F$1,0),0)</f>
        <v>Kheer Cup</v>
      </c>
      <c r="S306" t="str" cm="1">
        <f t="array" ref="S306">_xlfn.TEXTJOIN("+",TRUE,_xlfn._xlws.FILTER(orderlinesTABLE[ItemName],OrderID=orderlinesTABLE[[#This Row],[OrderID]]))</f>
        <v>Rajma Chawal+Egg Curry + Rice+Poha+Kheer Cup</v>
      </c>
      <c r="T306" s="54">
        <f>orderlinesTABLE[[#This Row],[Profit]]/orderlinesTABLE[[#This Row],[LineNetAmount]]</f>
        <v>0.55002050020500204</v>
      </c>
      <c r="U306" s="70">
        <f>(orderlinesTABLE[[#This Row],[Qty]]*orderlinesTABLE[[#This Row],[UnitCost]])</f>
        <v>21.95</v>
      </c>
    </row>
    <row r="307" spans="1:21" x14ac:dyDescent="0.3">
      <c r="A307" s="15" t="s">
        <v>161</v>
      </c>
      <c r="B307" s="15" t="s">
        <v>414</v>
      </c>
      <c r="C307" s="15">
        <v>3</v>
      </c>
      <c r="D307" s="36">
        <f>VLOOKUP($B307,Menu!$A$1:$F$20,MATCH($D$1,Menu!$A$1:$F$1,0),0)</f>
        <v>116.8</v>
      </c>
      <c r="E307" s="15" t="str">
        <f>VLOOKUP($B307,Menu!$A$1:$F$20,MATCH(OrderLines!E$1,Menu!$A$1:$F$1,0),0)</f>
        <v>Dessert</v>
      </c>
      <c r="F307" s="36">
        <f>VLOOKUP($B307,Menu!$A$1:$F$20,MATCH(OrderLines!F$1,Menu!$A$1:$F$1,0),0)</f>
        <v>48.97</v>
      </c>
      <c r="G307" s="27">
        <f>VLOOKUP($A307,Orders!$A$1:$H$361,MATCH($G$1,Orders!$A$1:$H$1,0),0)</f>
        <v>45858</v>
      </c>
      <c r="H307" s="15" t="str">
        <f>VLOOKUP($A307,Orders!$A$1:$H$361,MATCH(OrderLines!$H$1,Orders!$A$1:$H$1,0),0)</f>
        <v>Plant 2 Canteen</v>
      </c>
      <c r="I307" s="15">
        <f>VLOOKUP($A307,Orders!$A$1:$H$361,MATCH(OrderLines!$I$1,Orders!$A$1:$H$1,0),0)</f>
        <v>0.08</v>
      </c>
      <c r="J307" s="15">
        <f t="shared" si="13"/>
        <v>322.36799999999999</v>
      </c>
      <c r="K307" s="27" t="str">
        <f t="shared" si="14"/>
        <v>July</v>
      </c>
      <c r="L307" s="15" t="str">
        <f>VLOOKUP(OrderLines!$A307,Orders!$A$1:$H$361,MATCH(OrderLines!$L$1,Orders!$A$1:$H$1,0),0)</f>
        <v>Breakfast</v>
      </c>
      <c r="M307" t="str">
        <f>VLOOKUP($A307,Orders!$A$1:$H$361,MATCH(OrderLines!$M$1,Orders!$A$1:$H$1,0),0)</f>
        <v>Card</v>
      </c>
      <c r="N307" t="str">
        <f t="shared" si="12"/>
        <v>Combo</v>
      </c>
      <c r="O307" t="str" cm="1">
        <f t="array" ref="O307">IF((SUMPRODUCT((OrderID=OrderLines!$A307)*Qty*UnitPrice*DiscountPct))&gt;40,"HighDisc","OK")</f>
        <v>HighDisc</v>
      </c>
      <c r="P307">
        <f>(orderlinesTABLE[[#This Row],[UnitCost]]*orderlinesTABLE[[#This Row],[Qty]])</f>
        <v>146.91</v>
      </c>
      <c r="Q307">
        <f>(orderlinesTABLE[[#This Row],[LineNetAmount]]-orderlinesTABLE[[#This Row],[totalCOST]])</f>
        <v>175.458</v>
      </c>
      <c r="R307" t="str">
        <f>VLOOKUP($B307,Menu!$A$1:$F$20,MATCH(OrderLines!R$1,Menu!$A$1:$F$1,0),0)</f>
        <v>Brownie</v>
      </c>
      <c r="S307" t="str" cm="1">
        <f t="array" ref="S307">_xlfn.TEXTJOIN("+",TRUE,_xlfn._xlws.FILTER(orderlinesTABLE[ItemName],OrderID=orderlinesTABLE[[#This Row],[OrderID]]))</f>
        <v>Brownie+Fruit Cup+Masala Chaas+Egg Curry + Rice</v>
      </c>
      <c r="T307" s="54">
        <f>orderlinesTABLE[[#This Row],[Profit]]/orderlinesTABLE[[#This Row],[LineNetAmount]]</f>
        <v>0.54427858844550325</v>
      </c>
      <c r="U307" s="70">
        <f>(orderlinesTABLE[[#This Row],[Qty]]*orderlinesTABLE[[#This Row],[UnitCost]])</f>
        <v>146.91</v>
      </c>
    </row>
    <row r="308" spans="1:21" x14ac:dyDescent="0.3">
      <c r="A308" s="14" t="s">
        <v>161</v>
      </c>
      <c r="B308" s="14" t="s">
        <v>412</v>
      </c>
      <c r="C308" s="14">
        <v>1</v>
      </c>
      <c r="D308" s="37">
        <f>VLOOKUP($B308,Menu!$A$1:$F$20,MATCH($D$1,Menu!$A$1:$F$1,0),0)</f>
        <v>57.07</v>
      </c>
      <c r="E308" s="14" t="str">
        <f>VLOOKUP($B308,Menu!$A$1:$F$20,MATCH(OrderLines!E$1,Menu!$A$1:$F$1,0),0)</f>
        <v>Dessert</v>
      </c>
      <c r="F308" s="37">
        <f>VLOOKUP($B308,Menu!$A$1:$F$20,MATCH(OrderLines!F$1,Menu!$A$1:$F$1,0),0)</f>
        <v>29.14</v>
      </c>
      <c r="G308" s="28">
        <f>VLOOKUP($A308,Orders!$A$1:$H$361,MATCH($G$1,Orders!$A$1:$H$1,0),0)</f>
        <v>45858</v>
      </c>
      <c r="H308" s="14" t="str">
        <f>VLOOKUP($A308,Orders!$A$1:$H$361,MATCH(OrderLines!$H$1,Orders!$A$1:$H$1,0),0)</f>
        <v>Plant 2 Canteen</v>
      </c>
      <c r="I308" s="14">
        <f>VLOOKUP($A308,Orders!$A$1:$H$361,MATCH(OrderLines!$I$1,Orders!$A$1:$H$1,0),0)</f>
        <v>0.08</v>
      </c>
      <c r="J308" s="14">
        <f t="shared" si="13"/>
        <v>52.504400000000004</v>
      </c>
      <c r="K308" s="28" t="str">
        <f t="shared" si="14"/>
        <v>July</v>
      </c>
      <c r="L308" s="14" t="str">
        <f>VLOOKUP(OrderLines!$A308,Orders!$A$1:$H$361,MATCH(OrderLines!$L$1,Orders!$A$1:$H$1,0),0)</f>
        <v>Breakfast</v>
      </c>
      <c r="M308" t="str">
        <f>VLOOKUP($A308,Orders!$A$1:$H$361,MATCH(OrderLines!$M$1,Orders!$A$1:$H$1,0),0)</f>
        <v>Card</v>
      </c>
      <c r="N308" t="str">
        <f t="shared" si="12"/>
        <v>Combo</v>
      </c>
      <c r="O308" t="str" cm="1">
        <f t="array" ref="O308">IF((SUMPRODUCT((OrderID=OrderLines!$A308)*Qty*UnitPrice*DiscountPct))&gt;40,"HighDisc","OK")</f>
        <v>HighDisc</v>
      </c>
      <c r="P308">
        <f>(orderlinesTABLE[[#This Row],[UnitCost]]*orderlinesTABLE[[#This Row],[Qty]])</f>
        <v>29.14</v>
      </c>
      <c r="Q308">
        <f>(orderlinesTABLE[[#This Row],[LineNetAmount]]-orderlinesTABLE[[#This Row],[totalCOST]])</f>
        <v>23.364400000000003</v>
      </c>
      <c r="R308" t="str">
        <f>VLOOKUP($B308,Menu!$A$1:$F$20,MATCH(OrderLines!R$1,Menu!$A$1:$F$1,0),0)</f>
        <v>Fruit Cup</v>
      </c>
      <c r="S308" t="str" cm="1">
        <f t="array" ref="S308">_xlfn.TEXTJOIN("+",TRUE,_xlfn._xlws.FILTER(orderlinesTABLE[ItemName],OrderID=orderlinesTABLE[[#This Row],[OrderID]]))</f>
        <v>Brownie+Fruit Cup+Masala Chaas+Egg Curry + Rice</v>
      </c>
      <c r="T308" s="54">
        <f>orderlinesTABLE[[#This Row],[Profit]]/orderlinesTABLE[[#This Row],[LineNetAmount]]</f>
        <v>0.4449988953306771</v>
      </c>
      <c r="U308" s="70">
        <f>(orderlinesTABLE[[#This Row],[Qty]]*orderlinesTABLE[[#This Row],[UnitCost]])</f>
        <v>29.14</v>
      </c>
    </row>
    <row r="309" spans="1:21" x14ac:dyDescent="0.3">
      <c r="A309" s="15" t="s">
        <v>161</v>
      </c>
      <c r="B309" s="15" t="s">
        <v>404</v>
      </c>
      <c r="C309" s="15">
        <v>1</v>
      </c>
      <c r="D309" s="36">
        <f>VLOOKUP($B309,Menu!$A$1:$F$20,MATCH($D$1,Menu!$A$1:$F$1,0),0)</f>
        <v>32.979999999999997</v>
      </c>
      <c r="E309" s="15" t="str">
        <f>VLOOKUP($B309,Menu!$A$1:$F$20,MATCH(OrderLines!E$1,Menu!$A$1:$F$1,0),0)</f>
        <v>Beverage</v>
      </c>
      <c r="F309" s="36">
        <f>VLOOKUP($B309,Menu!$A$1:$F$20,MATCH(OrderLines!F$1,Menu!$A$1:$F$1,0),0)</f>
        <v>11.84</v>
      </c>
      <c r="G309" s="27">
        <f>VLOOKUP($A309,Orders!$A$1:$H$361,MATCH($G$1,Orders!$A$1:$H$1,0),0)</f>
        <v>45858</v>
      </c>
      <c r="H309" s="15" t="str">
        <f>VLOOKUP($A309,Orders!$A$1:$H$361,MATCH(OrderLines!$H$1,Orders!$A$1:$H$1,0),0)</f>
        <v>Plant 2 Canteen</v>
      </c>
      <c r="I309" s="15">
        <f>VLOOKUP($A309,Orders!$A$1:$H$361,MATCH(OrderLines!$I$1,Orders!$A$1:$H$1,0),0)</f>
        <v>0.08</v>
      </c>
      <c r="J309" s="15">
        <f t="shared" si="13"/>
        <v>30.3416</v>
      </c>
      <c r="K309" s="27" t="str">
        <f t="shared" si="14"/>
        <v>July</v>
      </c>
      <c r="L309" s="15" t="str">
        <f>VLOOKUP(OrderLines!$A309,Orders!$A$1:$H$361,MATCH(OrderLines!$L$1,Orders!$A$1:$H$1,0),0)</f>
        <v>Breakfast</v>
      </c>
      <c r="M309" t="str">
        <f>VLOOKUP($A309,Orders!$A$1:$H$361,MATCH(OrderLines!$M$1,Orders!$A$1:$H$1,0),0)</f>
        <v>Card</v>
      </c>
      <c r="N309" t="str">
        <f t="shared" si="12"/>
        <v>Combo</v>
      </c>
      <c r="O309" t="str" cm="1">
        <f t="array" ref="O309">IF((SUMPRODUCT((OrderID=OrderLines!$A309)*Qty*UnitPrice*DiscountPct))&gt;40,"HighDisc","OK")</f>
        <v>HighDisc</v>
      </c>
      <c r="P309">
        <f>(orderlinesTABLE[[#This Row],[UnitCost]]*orderlinesTABLE[[#This Row],[Qty]])</f>
        <v>11.84</v>
      </c>
      <c r="Q309">
        <f>(orderlinesTABLE[[#This Row],[LineNetAmount]]-orderlinesTABLE[[#This Row],[totalCOST]])</f>
        <v>18.5016</v>
      </c>
      <c r="R309" t="str">
        <f>VLOOKUP($B309,Menu!$A$1:$F$20,MATCH(OrderLines!R$1,Menu!$A$1:$F$1,0),0)</f>
        <v>Masala Chaas</v>
      </c>
      <c r="S309" t="str" cm="1">
        <f t="array" ref="S309">_xlfn.TEXTJOIN("+",TRUE,_xlfn._xlws.FILTER(orderlinesTABLE[ItemName],OrderID=orderlinesTABLE[[#This Row],[OrderID]]))</f>
        <v>Brownie+Fruit Cup+Masala Chaas+Egg Curry + Rice</v>
      </c>
      <c r="T309" s="54">
        <f>orderlinesTABLE[[#This Row],[Profit]]/orderlinesTABLE[[#This Row],[LineNetAmount]]</f>
        <v>0.60977667624647347</v>
      </c>
      <c r="U309" s="70">
        <f>(orderlinesTABLE[[#This Row],[Qty]]*orderlinesTABLE[[#This Row],[UnitCost]])</f>
        <v>11.84</v>
      </c>
    </row>
    <row r="310" spans="1:21" x14ac:dyDescent="0.3">
      <c r="A310" s="14" t="s">
        <v>161</v>
      </c>
      <c r="B310" s="14" t="s">
        <v>407</v>
      </c>
      <c r="C310" s="14">
        <v>2</v>
      </c>
      <c r="D310" s="37">
        <f>VLOOKUP($B310,Menu!$A$1:$F$20,MATCH($D$1,Menu!$A$1:$F$1,0),0)</f>
        <v>246.09</v>
      </c>
      <c r="E310" s="14" t="str">
        <f>VLOOKUP($B310,Menu!$A$1:$F$20,MATCH(OrderLines!E$1,Menu!$A$1:$F$1,0),0)</f>
        <v>Hot Meal</v>
      </c>
      <c r="F310" s="37">
        <f>VLOOKUP($B310,Menu!$A$1:$F$20,MATCH(OrderLines!F$1,Menu!$A$1:$F$1,0),0)</f>
        <v>112.08</v>
      </c>
      <c r="G310" s="28">
        <f>VLOOKUP($A310,Orders!$A$1:$H$361,MATCH($G$1,Orders!$A$1:$H$1,0),0)</f>
        <v>45858</v>
      </c>
      <c r="H310" s="14" t="str">
        <f>VLOOKUP($A310,Orders!$A$1:$H$361,MATCH(OrderLines!$H$1,Orders!$A$1:$H$1,0),0)</f>
        <v>Plant 2 Canteen</v>
      </c>
      <c r="I310" s="14">
        <f>VLOOKUP($A310,Orders!$A$1:$H$361,MATCH(OrderLines!$I$1,Orders!$A$1:$H$1,0),0)</f>
        <v>0.08</v>
      </c>
      <c r="J310" s="14">
        <f t="shared" si="13"/>
        <v>452.80560000000003</v>
      </c>
      <c r="K310" s="28" t="str">
        <f t="shared" si="14"/>
        <v>July</v>
      </c>
      <c r="L310" s="14" t="str">
        <f>VLOOKUP(OrderLines!$A310,Orders!$A$1:$H$361,MATCH(OrderLines!$L$1,Orders!$A$1:$H$1,0),0)</f>
        <v>Breakfast</v>
      </c>
      <c r="M310" t="str">
        <f>VLOOKUP($A310,Orders!$A$1:$H$361,MATCH(OrderLines!$M$1,Orders!$A$1:$H$1,0),0)</f>
        <v>Card</v>
      </c>
      <c r="N310" t="str">
        <f t="shared" si="12"/>
        <v>Combo</v>
      </c>
      <c r="O310" t="str" cm="1">
        <f t="array" ref="O310">IF((SUMPRODUCT((OrderID=OrderLines!$A310)*Qty*UnitPrice*DiscountPct))&gt;40,"HighDisc","OK")</f>
        <v>HighDisc</v>
      </c>
      <c r="P310">
        <f>(orderlinesTABLE[[#This Row],[UnitCost]]*orderlinesTABLE[[#This Row],[Qty]])</f>
        <v>224.16</v>
      </c>
      <c r="Q310">
        <f>(orderlinesTABLE[[#This Row],[LineNetAmount]]-orderlinesTABLE[[#This Row],[totalCOST]])</f>
        <v>228.64560000000003</v>
      </c>
      <c r="R310" t="str">
        <f>VLOOKUP($B310,Menu!$A$1:$F$20,MATCH(OrderLines!R$1,Menu!$A$1:$F$1,0),0)</f>
        <v>Egg Curry + Rice</v>
      </c>
      <c r="S310" t="str" cm="1">
        <f t="array" ref="S310">_xlfn.TEXTJOIN("+",TRUE,_xlfn._xlws.FILTER(orderlinesTABLE[ItemName],OrderID=orderlinesTABLE[[#This Row],[OrderID]]))</f>
        <v>Brownie+Fruit Cup+Masala Chaas+Egg Curry + Rice</v>
      </c>
      <c r="T310" s="54">
        <f>orderlinesTABLE[[#This Row],[Profit]]/orderlinesTABLE[[#This Row],[LineNetAmount]]</f>
        <v>0.50495311895435924</v>
      </c>
      <c r="U310" s="70">
        <f>(orderlinesTABLE[[#This Row],[Qty]]*orderlinesTABLE[[#This Row],[UnitCost]])</f>
        <v>224.16</v>
      </c>
    </row>
    <row r="311" spans="1:21" x14ac:dyDescent="0.3">
      <c r="A311" s="15" t="s">
        <v>162</v>
      </c>
      <c r="B311" s="15" t="s">
        <v>414</v>
      </c>
      <c r="C311" s="15">
        <v>1</v>
      </c>
      <c r="D311" s="36">
        <f>VLOOKUP($B311,Menu!$A$1:$F$20,MATCH($D$1,Menu!$A$1:$F$1,0),0)</f>
        <v>116.8</v>
      </c>
      <c r="E311" s="15" t="str">
        <f>VLOOKUP($B311,Menu!$A$1:$F$20,MATCH(OrderLines!E$1,Menu!$A$1:$F$1,0),0)</f>
        <v>Dessert</v>
      </c>
      <c r="F311" s="36">
        <f>VLOOKUP($B311,Menu!$A$1:$F$20,MATCH(OrderLines!F$1,Menu!$A$1:$F$1,0),0)</f>
        <v>48.97</v>
      </c>
      <c r="G311" s="27">
        <f>VLOOKUP($A311,Orders!$A$1:$H$361,MATCH($G$1,Orders!$A$1:$H$1,0),0)</f>
        <v>45868</v>
      </c>
      <c r="H311" s="15" t="str">
        <f>VLOOKUP($A311,Orders!$A$1:$H$361,MATCH(OrderLines!$H$1,Orders!$A$1:$H$1,0),0)</f>
        <v>Plant 1 Canteen</v>
      </c>
      <c r="I311" s="15">
        <f>VLOOKUP($A311,Orders!$A$1:$H$361,MATCH(OrderLines!$I$1,Orders!$A$1:$H$1,0),0)</f>
        <v>0.09</v>
      </c>
      <c r="J311" s="15">
        <f t="shared" si="13"/>
        <v>106.288</v>
      </c>
      <c r="K311" s="27" t="str">
        <f t="shared" si="14"/>
        <v>July</v>
      </c>
      <c r="L311" s="15" t="str">
        <f>VLOOKUP(OrderLines!$A311,Orders!$A$1:$H$361,MATCH(OrderLines!$L$1,Orders!$A$1:$H$1,0),0)</f>
        <v>Lunch</v>
      </c>
      <c r="M311" t="str">
        <f>VLOOKUP($A311,Orders!$A$1:$H$361,MATCH(OrderLines!$M$1,Orders!$A$1:$H$1,0),0)</f>
        <v>UPI</v>
      </c>
      <c r="N311" t="str">
        <f t="shared" si="12"/>
        <v>Single</v>
      </c>
      <c r="O311" t="str" cm="1">
        <f t="array" ref="O311">IF((SUMPRODUCT((OrderID=OrderLines!$A311)*Qty*UnitPrice*DiscountPct))&gt;40,"HighDisc","OK")</f>
        <v>OK</v>
      </c>
      <c r="P311">
        <f>(orderlinesTABLE[[#This Row],[UnitCost]]*orderlinesTABLE[[#This Row],[Qty]])</f>
        <v>48.97</v>
      </c>
      <c r="Q311">
        <f>(orderlinesTABLE[[#This Row],[LineNetAmount]]-orderlinesTABLE[[#This Row],[totalCOST]])</f>
        <v>57.317999999999998</v>
      </c>
      <c r="R311" t="str">
        <f>VLOOKUP($B311,Menu!$A$1:$F$20,MATCH(OrderLines!R$1,Menu!$A$1:$F$1,0),0)</f>
        <v>Brownie</v>
      </c>
      <c r="S311" t="str" cm="1">
        <f t="array" ref="S311">_xlfn.TEXTJOIN("+",TRUE,_xlfn._xlws.FILTER(orderlinesTABLE[ItemName],OrderID=orderlinesTABLE[[#This Row],[OrderID]]))</f>
        <v>Brownie+Kheer Cup</v>
      </c>
      <c r="T311" s="54">
        <f>orderlinesTABLE[[#This Row],[Profit]]/orderlinesTABLE[[#This Row],[LineNetAmount]]</f>
        <v>0.53927066084600328</v>
      </c>
      <c r="U311" s="70">
        <f>(orderlinesTABLE[[#This Row],[Qty]]*orderlinesTABLE[[#This Row],[UnitCost]])</f>
        <v>48.97</v>
      </c>
    </row>
    <row r="312" spans="1:21" x14ac:dyDescent="0.3">
      <c r="A312" s="14" t="s">
        <v>162</v>
      </c>
      <c r="B312" s="14" t="s">
        <v>413</v>
      </c>
      <c r="C312" s="14">
        <v>1</v>
      </c>
      <c r="D312" s="37">
        <f>VLOOKUP($B312,Menu!$A$1:$F$20,MATCH($D$1,Menu!$A$1:$F$1,0),0)</f>
        <v>54.2</v>
      </c>
      <c r="E312" s="14" t="str">
        <f>VLOOKUP($B312,Menu!$A$1:$F$20,MATCH(OrderLines!E$1,Menu!$A$1:$F$1,0),0)</f>
        <v>Dessert</v>
      </c>
      <c r="F312" s="37">
        <f>VLOOKUP($B312,Menu!$A$1:$F$20,MATCH(OrderLines!F$1,Menu!$A$1:$F$1,0),0)</f>
        <v>21.95</v>
      </c>
      <c r="G312" s="28">
        <f>VLOOKUP($A312,Orders!$A$1:$H$361,MATCH($G$1,Orders!$A$1:$H$1,0),0)</f>
        <v>45868</v>
      </c>
      <c r="H312" s="14" t="str">
        <f>VLOOKUP($A312,Orders!$A$1:$H$361,MATCH(OrderLines!$H$1,Orders!$A$1:$H$1,0),0)</f>
        <v>Plant 1 Canteen</v>
      </c>
      <c r="I312" s="14">
        <f>VLOOKUP($A312,Orders!$A$1:$H$361,MATCH(OrderLines!$I$1,Orders!$A$1:$H$1,0),0)</f>
        <v>0.09</v>
      </c>
      <c r="J312" s="14">
        <f t="shared" si="13"/>
        <v>49.322000000000003</v>
      </c>
      <c r="K312" s="28" t="str">
        <f t="shared" si="14"/>
        <v>July</v>
      </c>
      <c r="L312" s="14" t="str">
        <f>VLOOKUP(OrderLines!$A312,Orders!$A$1:$H$361,MATCH(OrderLines!$L$1,Orders!$A$1:$H$1,0),0)</f>
        <v>Lunch</v>
      </c>
      <c r="M312" t="str">
        <f>VLOOKUP($A312,Orders!$A$1:$H$361,MATCH(OrderLines!$M$1,Orders!$A$1:$H$1,0),0)</f>
        <v>UPI</v>
      </c>
      <c r="N312" t="str">
        <f t="shared" si="12"/>
        <v>Single</v>
      </c>
      <c r="O312" t="str" cm="1">
        <f t="array" ref="O312">IF((SUMPRODUCT((OrderID=OrderLines!$A312)*Qty*UnitPrice*DiscountPct))&gt;40,"HighDisc","OK")</f>
        <v>OK</v>
      </c>
      <c r="P312">
        <f>(orderlinesTABLE[[#This Row],[UnitCost]]*orderlinesTABLE[[#This Row],[Qty]])</f>
        <v>21.95</v>
      </c>
      <c r="Q312">
        <f>(orderlinesTABLE[[#This Row],[LineNetAmount]]-orderlinesTABLE[[#This Row],[totalCOST]])</f>
        <v>27.372000000000003</v>
      </c>
      <c r="R312" t="str">
        <f>VLOOKUP($B312,Menu!$A$1:$F$20,MATCH(OrderLines!R$1,Menu!$A$1:$F$1,0),0)</f>
        <v>Kheer Cup</v>
      </c>
      <c r="S312" t="str" cm="1">
        <f t="array" ref="S312">_xlfn.TEXTJOIN("+",TRUE,_xlfn._xlws.FILTER(orderlinesTABLE[ItemName],OrderID=orderlinesTABLE[[#This Row],[OrderID]]))</f>
        <v>Brownie+Kheer Cup</v>
      </c>
      <c r="T312" s="54">
        <f>orderlinesTABLE[[#This Row],[Profit]]/orderlinesTABLE[[#This Row],[LineNetAmount]]</f>
        <v>0.55496532987307901</v>
      </c>
      <c r="U312" s="70">
        <f>(orderlinesTABLE[[#This Row],[Qty]]*orderlinesTABLE[[#This Row],[UnitCost]])</f>
        <v>21.95</v>
      </c>
    </row>
    <row r="313" spans="1:21" x14ac:dyDescent="0.3">
      <c r="A313" s="15" t="s">
        <v>163</v>
      </c>
      <c r="B313" s="15" t="s">
        <v>401</v>
      </c>
      <c r="C313" s="15">
        <v>1</v>
      </c>
      <c r="D313" s="36">
        <f>VLOOKUP($B313,Menu!$A$1:$F$20,MATCH($D$1,Menu!$A$1:$F$1,0),0)</f>
        <v>52.45</v>
      </c>
      <c r="E313" s="15" t="str">
        <f>VLOOKUP($B313,Menu!$A$1:$F$20,MATCH(OrderLines!E$1,Menu!$A$1:$F$1,0),0)</f>
        <v>Snack</v>
      </c>
      <c r="F313" s="36">
        <f>VLOOKUP($B313,Menu!$A$1:$F$20,MATCH(OrderLines!F$1,Menu!$A$1:$F$1,0),0)</f>
        <v>25.8</v>
      </c>
      <c r="G313" s="27">
        <f>VLOOKUP($A313,Orders!$A$1:$H$361,MATCH($G$1,Orders!$A$1:$H$1,0),0)</f>
        <v>45865</v>
      </c>
      <c r="H313" s="15" t="str">
        <f>VLOOKUP($A313,Orders!$A$1:$H$361,MATCH(OrderLines!$H$1,Orders!$A$1:$H$1,0),0)</f>
        <v>Plant 1 Canteen</v>
      </c>
      <c r="I313" s="15">
        <f>VLOOKUP($A313,Orders!$A$1:$H$361,MATCH(OrderLines!$I$1,Orders!$A$1:$H$1,0),0)</f>
        <v>0.14000000000000001</v>
      </c>
      <c r="J313" s="15">
        <f t="shared" si="13"/>
        <v>45.106999999999999</v>
      </c>
      <c r="K313" s="27" t="str">
        <f t="shared" si="14"/>
        <v>July</v>
      </c>
      <c r="L313" s="15" t="str">
        <f>VLOOKUP(OrderLines!$A313,Orders!$A$1:$H$361,MATCH(OrderLines!$L$1,Orders!$A$1:$H$1,0),0)</f>
        <v>Dinner</v>
      </c>
      <c r="M313" t="str">
        <f>VLOOKUP($A313,Orders!$A$1:$H$361,MATCH(OrderLines!$M$1,Orders!$A$1:$H$1,0),0)</f>
        <v>UPI</v>
      </c>
      <c r="N313" t="str">
        <f t="shared" si="12"/>
        <v>Single</v>
      </c>
      <c r="O313" t="str" cm="1">
        <f t="array" ref="O313">IF((SUMPRODUCT((OrderID=OrderLines!$A313)*Qty*UnitPrice*DiscountPct))&gt;40,"HighDisc","OK")</f>
        <v>HighDisc</v>
      </c>
      <c r="P313">
        <f>(orderlinesTABLE[[#This Row],[UnitCost]]*orderlinesTABLE[[#This Row],[Qty]])</f>
        <v>25.8</v>
      </c>
      <c r="Q313">
        <f>(orderlinesTABLE[[#This Row],[LineNetAmount]]-orderlinesTABLE[[#This Row],[totalCOST]])</f>
        <v>19.306999999999999</v>
      </c>
      <c r="R313" t="str">
        <f>VLOOKUP($B313,Menu!$A$1:$F$20,MATCH(OrderLines!R$1,Menu!$A$1:$F$1,0),0)</f>
        <v>Poha</v>
      </c>
      <c r="S313" t="str" cm="1">
        <f t="array" ref="S313">_xlfn.TEXTJOIN("+",TRUE,_xlfn._xlws.FILTER(orderlinesTABLE[ItemName],OrderID=orderlinesTABLE[[#This Row],[OrderID]]))</f>
        <v>Poha+Rajma Chawal+Fruit Cup</v>
      </c>
      <c r="T313" s="54">
        <f>orderlinesTABLE[[#This Row],[Profit]]/orderlinesTABLE[[#This Row],[LineNetAmount]]</f>
        <v>0.42802669208770255</v>
      </c>
      <c r="U313" s="70">
        <f>(orderlinesTABLE[[#This Row],[Qty]]*orderlinesTABLE[[#This Row],[UnitCost]])</f>
        <v>25.8</v>
      </c>
    </row>
    <row r="314" spans="1:21" x14ac:dyDescent="0.3">
      <c r="A314" s="14" t="s">
        <v>163</v>
      </c>
      <c r="B314" s="14" t="s">
        <v>417</v>
      </c>
      <c r="C314" s="14">
        <v>1</v>
      </c>
      <c r="D314" s="37">
        <f>VLOOKUP($B314,Menu!$A$1:$F$20,MATCH($D$1,Menu!$A$1:$F$1,0),0)</f>
        <v>146.4</v>
      </c>
      <c r="E314" s="14" t="str">
        <f>VLOOKUP($B314,Menu!$A$1:$F$20,MATCH(OrderLines!E$1,Menu!$A$1:$F$1,0),0)</f>
        <v>Hot Meal</v>
      </c>
      <c r="F314" s="37">
        <f>VLOOKUP($B314,Menu!$A$1:$F$20,MATCH(OrderLines!F$1,Menu!$A$1:$F$1,0),0)</f>
        <v>80.92</v>
      </c>
      <c r="G314" s="28">
        <f>VLOOKUP($A314,Orders!$A$1:$H$361,MATCH($G$1,Orders!$A$1:$H$1,0),0)</f>
        <v>45865</v>
      </c>
      <c r="H314" s="14" t="str">
        <f>VLOOKUP($A314,Orders!$A$1:$H$361,MATCH(OrderLines!$H$1,Orders!$A$1:$H$1,0),0)</f>
        <v>Plant 1 Canteen</v>
      </c>
      <c r="I314" s="14">
        <f>VLOOKUP($A314,Orders!$A$1:$H$361,MATCH(OrderLines!$I$1,Orders!$A$1:$H$1,0),0)</f>
        <v>0.14000000000000001</v>
      </c>
      <c r="J314" s="14">
        <f t="shared" si="13"/>
        <v>125.904</v>
      </c>
      <c r="K314" s="28" t="str">
        <f t="shared" si="14"/>
        <v>July</v>
      </c>
      <c r="L314" s="14" t="str">
        <f>VLOOKUP(OrderLines!$A314,Orders!$A$1:$H$361,MATCH(OrderLines!$L$1,Orders!$A$1:$H$1,0),0)</f>
        <v>Dinner</v>
      </c>
      <c r="M314" t="str">
        <f>VLOOKUP($A314,Orders!$A$1:$H$361,MATCH(OrderLines!$M$1,Orders!$A$1:$H$1,0),0)</f>
        <v>UPI</v>
      </c>
      <c r="N314" t="str">
        <f t="shared" si="12"/>
        <v>Single</v>
      </c>
      <c r="O314" t="str" cm="1">
        <f t="array" ref="O314">IF((SUMPRODUCT((OrderID=OrderLines!$A314)*Qty*UnitPrice*DiscountPct))&gt;40,"HighDisc","OK")</f>
        <v>HighDisc</v>
      </c>
      <c r="P314">
        <f>(orderlinesTABLE[[#This Row],[UnitCost]]*orderlinesTABLE[[#This Row],[Qty]])</f>
        <v>80.92</v>
      </c>
      <c r="Q314">
        <f>(orderlinesTABLE[[#This Row],[LineNetAmount]]-orderlinesTABLE[[#This Row],[totalCOST]])</f>
        <v>44.983999999999995</v>
      </c>
      <c r="R314" t="str">
        <f>VLOOKUP($B314,Menu!$A$1:$F$20,MATCH(OrderLines!R$1,Menu!$A$1:$F$1,0),0)</f>
        <v>Rajma Chawal</v>
      </c>
      <c r="S314" t="str" cm="1">
        <f t="array" ref="S314">_xlfn.TEXTJOIN("+",TRUE,_xlfn._xlws.FILTER(orderlinesTABLE[ItemName],OrderID=orderlinesTABLE[[#This Row],[OrderID]]))</f>
        <v>Poha+Rajma Chawal+Fruit Cup</v>
      </c>
      <c r="T314" s="54">
        <f>orderlinesTABLE[[#This Row],[Profit]]/orderlinesTABLE[[#This Row],[LineNetAmount]]</f>
        <v>0.35728809251493199</v>
      </c>
      <c r="U314" s="70">
        <f>(orderlinesTABLE[[#This Row],[Qty]]*orderlinesTABLE[[#This Row],[UnitCost]])</f>
        <v>80.92</v>
      </c>
    </row>
    <row r="315" spans="1:21" x14ac:dyDescent="0.3">
      <c r="A315" s="15" t="s">
        <v>163</v>
      </c>
      <c r="B315" s="15" t="s">
        <v>412</v>
      </c>
      <c r="C315" s="15">
        <v>3</v>
      </c>
      <c r="D315" s="36">
        <f>VLOOKUP($B315,Menu!$A$1:$F$20,MATCH($D$1,Menu!$A$1:$F$1,0),0)</f>
        <v>57.07</v>
      </c>
      <c r="E315" s="15" t="str">
        <f>VLOOKUP($B315,Menu!$A$1:$F$20,MATCH(OrderLines!E$1,Menu!$A$1:$F$1,0),0)</f>
        <v>Dessert</v>
      </c>
      <c r="F315" s="36">
        <f>VLOOKUP($B315,Menu!$A$1:$F$20,MATCH(OrderLines!F$1,Menu!$A$1:$F$1,0),0)</f>
        <v>29.14</v>
      </c>
      <c r="G315" s="27">
        <f>VLOOKUP($A315,Orders!$A$1:$H$361,MATCH($G$1,Orders!$A$1:$H$1,0),0)</f>
        <v>45865</v>
      </c>
      <c r="H315" s="15" t="str">
        <f>VLOOKUP($A315,Orders!$A$1:$H$361,MATCH(OrderLines!$H$1,Orders!$A$1:$H$1,0),0)</f>
        <v>Plant 1 Canteen</v>
      </c>
      <c r="I315" s="15">
        <f>VLOOKUP($A315,Orders!$A$1:$H$361,MATCH(OrderLines!$I$1,Orders!$A$1:$H$1,0),0)</f>
        <v>0.14000000000000001</v>
      </c>
      <c r="J315" s="15">
        <f t="shared" si="13"/>
        <v>147.2406</v>
      </c>
      <c r="K315" s="27" t="str">
        <f t="shared" si="14"/>
        <v>July</v>
      </c>
      <c r="L315" s="15" t="str">
        <f>VLOOKUP(OrderLines!$A315,Orders!$A$1:$H$361,MATCH(OrderLines!$L$1,Orders!$A$1:$H$1,0),0)</f>
        <v>Dinner</v>
      </c>
      <c r="M315" t="str">
        <f>VLOOKUP($A315,Orders!$A$1:$H$361,MATCH(OrderLines!$M$1,Orders!$A$1:$H$1,0),0)</f>
        <v>UPI</v>
      </c>
      <c r="N315" t="str">
        <f t="shared" si="12"/>
        <v>Single</v>
      </c>
      <c r="O315" t="str" cm="1">
        <f t="array" ref="O315">IF((SUMPRODUCT((OrderID=OrderLines!$A315)*Qty*UnitPrice*DiscountPct))&gt;40,"HighDisc","OK")</f>
        <v>HighDisc</v>
      </c>
      <c r="P315">
        <f>(orderlinesTABLE[[#This Row],[UnitCost]]*orderlinesTABLE[[#This Row],[Qty]])</f>
        <v>87.42</v>
      </c>
      <c r="Q315">
        <f>(orderlinesTABLE[[#This Row],[LineNetAmount]]-orderlinesTABLE[[#This Row],[totalCOST]])</f>
        <v>59.820599999999999</v>
      </c>
      <c r="R315" t="str">
        <f>VLOOKUP($B315,Menu!$A$1:$F$20,MATCH(OrderLines!R$1,Menu!$A$1:$F$1,0),0)</f>
        <v>Fruit Cup</v>
      </c>
      <c r="S315" t="str" cm="1">
        <f t="array" ref="S315">_xlfn.TEXTJOIN("+",TRUE,_xlfn._xlws.FILTER(orderlinesTABLE[ItemName],OrderID=orderlinesTABLE[[#This Row],[OrderID]]))</f>
        <v>Poha+Rajma Chawal+Fruit Cup</v>
      </c>
      <c r="T315" s="54">
        <f>orderlinesTABLE[[#This Row],[Profit]]/orderlinesTABLE[[#This Row],[LineNetAmount]]</f>
        <v>0.40627788802816611</v>
      </c>
      <c r="U315" s="70">
        <f>(orderlinesTABLE[[#This Row],[Qty]]*orderlinesTABLE[[#This Row],[UnitCost]])</f>
        <v>87.42</v>
      </c>
    </row>
    <row r="316" spans="1:21" x14ac:dyDescent="0.3">
      <c r="A316" s="14" t="s">
        <v>164</v>
      </c>
      <c r="B316" s="14" t="s">
        <v>408</v>
      </c>
      <c r="C316" s="14">
        <v>2</v>
      </c>
      <c r="D316" s="37">
        <f>VLOOKUP($B316,Menu!$A$1:$F$20,MATCH($D$1,Menu!$A$1:$F$1,0),0)</f>
        <v>70.540000000000006</v>
      </c>
      <c r="E316" s="14" t="str">
        <f>VLOOKUP($B316,Menu!$A$1:$F$20,MATCH(OrderLines!E$1,Menu!$A$1:$F$1,0),0)</f>
        <v>Snack</v>
      </c>
      <c r="F316" s="37">
        <f>VLOOKUP($B316,Menu!$A$1:$F$20,MATCH(OrderLines!F$1,Menu!$A$1:$F$1,0),0)</f>
        <v>35.81</v>
      </c>
      <c r="G316" s="28">
        <f>VLOOKUP($A316,Orders!$A$1:$H$361,MATCH($G$1,Orders!$A$1:$H$1,0),0)</f>
        <v>45851</v>
      </c>
      <c r="H316" s="14" t="str">
        <f>VLOOKUP($A316,Orders!$A$1:$H$361,MATCH(OrderLines!$H$1,Orders!$A$1:$H$1,0),0)</f>
        <v>Head Office Café</v>
      </c>
      <c r="I316" s="14">
        <f>VLOOKUP($A316,Orders!$A$1:$H$361,MATCH(OrderLines!$I$1,Orders!$A$1:$H$1,0),0)</f>
        <v>0.05</v>
      </c>
      <c r="J316" s="14">
        <f t="shared" si="13"/>
        <v>134.02600000000001</v>
      </c>
      <c r="K316" s="28" t="str">
        <f t="shared" si="14"/>
        <v>July</v>
      </c>
      <c r="L316" s="14" t="str">
        <f>VLOOKUP(OrderLines!$A316,Orders!$A$1:$H$361,MATCH(OrderLines!$L$1,Orders!$A$1:$H$1,0),0)</f>
        <v>Lunch</v>
      </c>
      <c r="M316" t="str">
        <f>VLOOKUP($A316,Orders!$A$1:$H$361,MATCH(OrderLines!$M$1,Orders!$A$1:$H$1,0),0)</f>
        <v>Cash</v>
      </c>
      <c r="N316" t="str">
        <f t="shared" si="12"/>
        <v>Single</v>
      </c>
      <c r="O316" t="str" cm="1">
        <f t="array" ref="O316">IF((SUMPRODUCT((OrderID=OrderLines!$A316)*Qty*UnitPrice*DiscountPct))&gt;40,"HighDisc","OK")</f>
        <v>OK</v>
      </c>
      <c r="P316">
        <f>(orderlinesTABLE[[#This Row],[UnitCost]]*orderlinesTABLE[[#This Row],[Qty]])</f>
        <v>71.62</v>
      </c>
      <c r="Q316">
        <f>(orderlinesTABLE[[#This Row],[LineNetAmount]]-orderlinesTABLE[[#This Row],[totalCOST]])</f>
        <v>62.406000000000006</v>
      </c>
      <c r="R316" t="str">
        <f>VLOOKUP($B316,Menu!$A$1:$F$20,MATCH(OrderLines!R$1,Menu!$A$1:$F$1,0),0)</f>
        <v>Veg Sandwich</v>
      </c>
      <c r="S316" t="str" cm="1">
        <f t="array" ref="S316">_xlfn.TEXTJOIN("+",TRUE,_xlfn._xlws.FILTER(orderlinesTABLE[ItemName],OrderID=orderlinesTABLE[[#This Row],[OrderID]]))</f>
        <v>Veg Sandwich+Tea</v>
      </c>
      <c r="T316" s="54">
        <f>orderlinesTABLE[[#This Row],[Profit]]/orderlinesTABLE[[#This Row],[LineNetAmount]]</f>
        <v>0.46562607255308675</v>
      </c>
      <c r="U316" s="70">
        <f>(orderlinesTABLE[[#This Row],[Qty]]*orderlinesTABLE[[#This Row],[UnitCost]])</f>
        <v>71.62</v>
      </c>
    </row>
    <row r="317" spans="1:21" x14ac:dyDescent="0.3">
      <c r="A317" s="15" t="s">
        <v>164</v>
      </c>
      <c r="B317" s="15" t="s">
        <v>402</v>
      </c>
      <c r="C317" s="15">
        <v>2</v>
      </c>
      <c r="D317" s="36">
        <f>VLOOKUP($B317,Menu!$A$1:$F$20,MATCH($D$1,Menu!$A$1:$F$1,0),0)</f>
        <v>30.34</v>
      </c>
      <c r="E317" s="15" t="str">
        <f>VLOOKUP($B317,Menu!$A$1:$F$20,MATCH(OrderLines!E$1,Menu!$A$1:$F$1,0),0)</f>
        <v>Beverage</v>
      </c>
      <c r="F317" s="36">
        <f>VLOOKUP($B317,Menu!$A$1:$F$20,MATCH(OrderLines!F$1,Menu!$A$1:$F$1,0),0)</f>
        <v>14.18</v>
      </c>
      <c r="G317" s="27">
        <f>VLOOKUP($A317,Orders!$A$1:$H$361,MATCH($G$1,Orders!$A$1:$H$1,0),0)</f>
        <v>45851</v>
      </c>
      <c r="H317" s="15" t="str">
        <f>VLOOKUP($A317,Orders!$A$1:$H$361,MATCH(OrderLines!$H$1,Orders!$A$1:$H$1,0),0)</f>
        <v>Head Office Café</v>
      </c>
      <c r="I317" s="15">
        <f>VLOOKUP($A317,Orders!$A$1:$H$361,MATCH(OrderLines!$I$1,Orders!$A$1:$H$1,0),0)</f>
        <v>0.05</v>
      </c>
      <c r="J317" s="15">
        <f t="shared" si="13"/>
        <v>57.645999999999994</v>
      </c>
      <c r="K317" s="27" t="str">
        <f t="shared" si="14"/>
        <v>July</v>
      </c>
      <c r="L317" s="15" t="str">
        <f>VLOOKUP(OrderLines!$A317,Orders!$A$1:$H$361,MATCH(OrderLines!$L$1,Orders!$A$1:$H$1,0),0)</f>
        <v>Lunch</v>
      </c>
      <c r="M317" t="str">
        <f>VLOOKUP($A317,Orders!$A$1:$H$361,MATCH(OrderLines!$M$1,Orders!$A$1:$H$1,0),0)</f>
        <v>Cash</v>
      </c>
      <c r="N317" t="str">
        <f t="shared" si="12"/>
        <v>Single</v>
      </c>
      <c r="O317" t="str" cm="1">
        <f t="array" ref="O317">IF((SUMPRODUCT((OrderID=OrderLines!$A317)*Qty*UnitPrice*DiscountPct))&gt;40,"HighDisc","OK")</f>
        <v>OK</v>
      </c>
      <c r="P317">
        <f>(orderlinesTABLE[[#This Row],[UnitCost]]*orderlinesTABLE[[#This Row],[Qty]])</f>
        <v>28.36</v>
      </c>
      <c r="Q317">
        <f>(orderlinesTABLE[[#This Row],[LineNetAmount]]-orderlinesTABLE[[#This Row],[totalCOST]])</f>
        <v>29.285999999999994</v>
      </c>
      <c r="R317" t="str">
        <f>VLOOKUP($B317,Menu!$A$1:$F$20,MATCH(OrderLines!R$1,Menu!$A$1:$F$1,0),0)</f>
        <v>Tea</v>
      </c>
      <c r="S317" t="str" cm="1">
        <f t="array" ref="S317">_xlfn.TEXTJOIN("+",TRUE,_xlfn._xlws.FILTER(orderlinesTABLE[ItemName],OrderID=orderlinesTABLE[[#This Row],[OrderID]]))</f>
        <v>Veg Sandwich+Tea</v>
      </c>
      <c r="T317" s="54">
        <f>orderlinesTABLE[[#This Row],[Profit]]/orderlinesTABLE[[#This Row],[LineNetAmount]]</f>
        <v>0.50803178017555417</v>
      </c>
      <c r="U317" s="70">
        <f>(orderlinesTABLE[[#This Row],[Qty]]*orderlinesTABLE[[#This Row],[UnitCost]])</f>
        <v>28.36</v>
      </c>
    </row>
    <row r="318" spans="1:21" x14ac:dyDescent="0.3">
      <c r="A318" s="14" t="s">
        <v>165</v>
      </c>
      <c r="B318" s="14" t="s">
        <v>408</v>
      </c>
      <c r="C318" s="14">
        <v>2</v>
      </c>
      <c r="D318" s="37">
        <f>VLOOKUP($B318,Menu!$A$1:$F$20,MATCH($D$1,Menu!$A$1:$F$1,0),0)</f>
        <v>70.540000000000006</v>
      </c>
      <c r="E318" s="14" t="str">
        <f>VLOOKUP($B318,Menu!$A$1:$F$20,MATCH(OrderLines!E$1,Menu!$A$1:$F$1,0),0)</f>
        <v>Snack</v>
      </c>
      <c r="F318" s="37">
        <f>VLOOKUP($B318,Menu!$A$1:$F$20,MATCH(OrderLines!F$1,Menu!$A$1:$F$1,0),0)</f>
        <v>35.81</v>
      </c>
      <c r="G318" s="28">
        <f>VLOOKUP($A318,Orders!$A$1:$H$361,MATCH($G$1,Orders!$A$1:$H$1,0),0)</f>
        <v>45894</v>
      </c>
      <c r="H318" s="14" t="str">
        <f>VLOOKUP($A318,Orders!$A$1:$H$361,MATCH(OrderLines!$H$1,Orders!$A$1:$H$1,0),0)</f>
        <v>Plant 2 Canteen</v>
      </c>
      <c r="I318" s="14">
        <f>VLOOKUP($A318,Orders!$A$1:$H$361,MATCH(OrderLines!$I$1,Orders!$A$1:$H$1,0),0)</f>
        <v>0.03</v>
      </c>
      <c r="J318" s="14">
        <f t="shared" si="13"/>
        <v>136.8476</v>
      </c>
      <c r="K318" s="28" t="str">
        <f t="shared" si="14"/>
        <v>August</v>
      </c>
      <c r="L318" s="14" t="str">
        <f>VLOOKUP(OrderLines!$A318,Orders!$A$1:$H$361,MATCH(OrderLines!$L$1,Orders!$A$1:$H$1,0),0)</f>
        <v>Dinner</v>
      </c>
      <c r="M318" t="str">
        <f>VLOOKUP($A318,Orders!$A$1:$H$361,MATCH(OrderLines!$M$1,Orders!$A$1:$H$1,0),0)</f>
        <v>Card</v>
      </c>
      <c r="N318" t="str">
        <f t="shared" si="12"/>
        <v>Combo</v>
      </c>
      <c r="O318" t="str" cm="1">
        <f t="array" ref="O318">IF((SUMPRODUCT((OrderID=OrderLines!$A318)*Qty*UnitPrice*DiscountPct))&gt;40,"HighDisc","OK")</f>
        <v>OK</v>
      </c>
      <c r="P318">
        <f>(orderlinesTABLE[[#This Row],[UnitCost]]*orderlinesTABLE[[#This Row],[Qty]])</f>
        <v>71.62</v>
      </c>
      <c r="Q318">
        <f>(orderlinesTABLE[[#This Row],[LineNetAmount]]-orderlinesTABLE[[#This Row],[totalCOST]])</f>
        <v>65.227599999999995</v>
      </c>
      <c r="R318" t="str">
        <f>VLOOKUP($B318,Menu!$A$1:$F$20,MATCH(OrderLines!R$1,Menu!$A$1:$F$1,0),0)</f>
        <v>Veg Sandwich</v>
      </c>
      <c r="S318" t="str" cm="1">
        <f t="array" ref="S318">_xlfn.TEXTJOIN("+",TRUE,_xlfn._xlws.FILTER(orderlinesTABLE[ItemName],OrderID=orderlinesTABLE[[#This Row],[OrderID]]))</f>
        <v>Veg Sandwich+Chicken Thali+Masala Chaas</v>
      </c>
      <c r="T318" s="54">
        <f>orderlinesTABLE[[#This Row],[Profit]]/orderlinesTABLE[[#This Row],[LineNetAmount]]</f>
        <v>0.47664409167570343</v>
      </c>
      <c r="U318" s="70">
        <f>(orderlinesTABLE[[#This Row],[Qty]]*orderlinesTABLE[[#This Row],[UnitCost]])</f>
        <v>71.62</v>
      </c>
    </row>
    <row r="319" spans="1:21" x14ac:dyDescent="0.3">
      <c r="A319" s="15" t="s">
        <v>165</v>
      </c>
      <c r="B319" s="15" t="s">
        <v>415</v>
      </c>
      <c r="C319" s="15">
        <v>2</v>
      </c>
      <c r="D319" s="36">
        <f>VLOOKUP($B319,Menu!$A$1:$F$20,MATCH($D$1,Menu!$A$1:$F$1,0),0)</f>
        <v>256.91000000000003</v>
      </c>
      <c r="E319" s="15" t="str">
        <f>VLOOKUP($B319,Menu!$A$1:$F$20,MATCH(OrderLines!E$1,Menu!$A$1:$F$1,0),0)</f>
        <v>Hot Meal</v>
      </c>
      <c r="F319" s="36">
        <f>VLOOKUP($B319,Menu!$A$1:$F$20,MATCH(OrderLines!F$1,Menu!$A$1:$F$1,0),0)</f>
        <v>121.24</v>
      </c>
      <c r="G319" s="27">
        <f>VLOOKUP($A319,Orders!$A$1:$H$361,MATCH($G$1,Orders!$A$1:$H$1,0),0)</f>
        <v>45894</v>
      </c>
      <c r="H319" s="15" t="str">
        <f>VLOOKUP($A319,Orders!$A$1:$H$361,MATCH(OrderLines!$H$1,Orders!$A$1:$H$1,0),0)</f>
        <v>Plant 2 Canteen</v>
      </c>
      <c r="I319" s="15">
        <f>VLOOKUP($A319,Orders!$A$1:$H$361,MATCH(OrderLines!$I$1,Orders!$A$1:$H$1,0),0)</f>
        <v>0.03</v>
      </c>
      <c r="J319" s="15">
        <f t="shared" si="13"/>
        <v>498.40540000000004</v>
      </c>
      <c r="K319" s="27" t="str">
        <f t="shared" si="14"/>
        <v>August</v>
      </c>
      <c r="L319" s="15" t="str">
        <f>VLOOKUP(OrderLines!$A319,Orders!$A$1:$H$361,MATCH(OrderLines!$L$1,Orders!$A$1:$H$1,0),0)</f>
        <v>Dinner</v>
      </c>
      <c r="M319" t="str">
        <f>VLOOKUP($A319,Orders!$A$1:$H$361,MATCH(OrderLines!$M$1,Orders!$A$1:$H$1,0),0)</f>
        <v>Card</v>
      </c>
      <c r="N319" t="str">
        <f t="shared" si="12"/>
        <v>Combo</v>
      </c>
      <c r="O319" t="str" cm="1">
        <f t="array" ref="O319">IF((SUMPRODUCT((OrderID=OrderLines!$A319)*Qty*UnitPrice*DiscountPct))&gt;40,"HighDisc","OK")</f>
        <v>OK</v>
      </c>
      <c r="P319">
        <f>(orderlinesTABLE[[#This Row],[UnitCost]]*orderlinesTABLE[[#This Row],[Qty]])</f>
        <v>242.48</v>
      </c>
      <c r="Q319">
        <f>(orderlinesTABLE[[#This Row],[LineNetAmount]]-orderlinesTABLE[[#This Row],[totalCOST]])</f>
        <v>255.92540000000005</v>
      </c>
      <c r="R319" t="str">
        <f>VLOOKUP($B319,Menu!$A$1:$F$20,MATCH(OrderLines!R$1,Menu!$A$1:$F$1,0),0)</f>
        <v>Chicken Thali</v>
      </c>
      <c r="S319" t="str" cm="1">
        <f t="array" ref="S319">_xlfn.TEXTJOIN("+",TRUE,_xlfn._xlws.FILTER(orderlinesTABLE[ItemName],OrderID=orderlinesTABLE[[#This Row],[OrderID]]))</f>
        <v>Veg Sandwich+Chicken Thali+Masala Chaas</v>
      </c>
      <c r="T319" s="54">
        <f>orderlinesTABLE[[#This Row],[Profit]]/orderlinesTABLE[[#This Row],[LineNetAmount]]</f>
        <v>0.51348841726032668</v>
      </c>
      <c r="U319" s="70">
        <f>(orderlinesTABLE[[#This Row],[Qty]]*orderlinesTABLE[[#This Row],[UnitCost]])</f>
        <v>242.48</v>
      </c>
    </row>
    <row r="320" spans="1:21" x14ac:dyDescent="0.3">
      <c r="A320" s="14" t="s">
        <v>165</v>
      </c>
      <c r="B320" s="14" t="s">
        <v>404</v>
      </c>
      <c r="C320" s="14">
        <v>2</v>
      </c>
      <c r="D320" s="37">
        <f>VLOOKUP($B320,Menu!$A$1:$F$20,MATCH($D$1,Menu!$A$1:$F$1,0),0)</f>
        <v>32.979999999999997</v>
      </c>
      <c r="E320" s="14" t="str">
        <f>VLOOKUP($B320,Menu!$A$1:$F$20,MATCH(OrderLines!E$1,Menu!$A$1:$F$1,0),0)</f>
        <v>Beverage</v>
      </c>
      <c r="F320" s="37">
        <f>VLOOKUP($B320,Menu!$A$1:$F$20,MATCH(OrderLines!F$1,Menu!$A$1:$F$1,0),0)</f>
        <v>11.84</v>
      </c>
      <c r="G320" s="28">
        <f>VLOOKUP($A320,Orders!$A$1:$H$361,MATCH($G$1,Orders!$A$1:$H$1,0),0)</f>
        <v>45894</v>
      </c>
      <c r="H320" s="14" t="str">
        <f>VLOOKUP($A320,Orders!$A$1:$H$361,MATCH(OrderLines!$H$1,Orders!$A$1:$H$1,0),0)</f>
        <v>Plant 2 Canteen</v>
      </c>
      <c r="I320" s="14">
        <f>VLOOKUP($A320,Orders!$A$1:$H$361,MATCH(OrderLines!$I$1,Orders!$A$1:$H$1,0),0)</f>
        <v>0.03</v>
      </c>
      <c r="J320" s="14">
        <f t="shared" si="13"/>
        <v>63.981199999999994</v>
      </c>
      <c r="K320" s="28" t="str">
        <f t="shared" si="14"/>
        <v>August</v>
      </c>
      <c r="L320" s="14" t="str">
        <f>VLOOKUP(OrderLines!$A320,Orders!$A$1:$H$361,MATCH(OrderLines!$L$1,Orders!$A$1:$H$1,0),0)</f>
        <v>Dinner</v>
      </c>
      <c r="M320" t="str">
        <f>VLOOKUP($A320,Orders!$A$1:$H$361,MATCH(OrderLines!$M$1,Orders!$A$1:$H$1,0),0)</f>
        <v>Card</v>
      </c>
      <c r="N320" t="str">
        <f t="shared" si="12"/>
        <v>Combo</v>
      </c>
      <c r="O320" t="str" cm="1">
        <f t="array" ref="O320">IF((SUMPRODUCT((OrderID=OrderLines!$A320)*Qty*UnitPrice*DiscountPct))&gt;40,"HighDisc","OK")</f>
        <v>OK</v>
      </c>
      <c r="P320">
        <f>(orderlinesTABLE[[#This Row],[UnitCost]]*orderlinesTABLE[[#This Row],[Qty]])</f>
        <v>23.68</v>
      </c>
      <c r="Q320">
        <f>(orderlinesTABLE[[#This Row],[LineNetAmount]]-orderlinesTABLE[[#This Row],[totalCOST]])</f>
        <v>40.301199999999994</v>
      </c>
      <c r="R320" t="str">
        <f>VLOOKUP($B320,Menu!$A$1:$F$20,MATCH(OrderLines!R$1,Menu!$A$1:$F$1,0),0)</f>
        <v>Masala Chaas</v>
      </c>
      <c r="S320" t="str" cm="1">
        <f t="array" ref="S320">_xlfn.TEXTJOIN("+",TRUE,_xlfn._xlws.FILTER(orderlinesTABLE[ItemName],OrderID=orderlinesTABLE[[#This Row],[OrderID]]))</f>
        <v>Veg Sandwich+Chicken Thali+Masala Chaas</v>
      </c>
      <c r="T320" s="54">
        <f>orderlinesTABLE[[#This Row],[Profit]]/orderlinesTABLE[[#This Row],[LineNetAmount]]</f>
        <v>0.6298912805636655</v>
      </c>
      <c r="U320" s="70">
        <f>(orderlinesTABLE[[#This Row],[Qty]]*orderlinesTABLE[[#This Row],[UnitCost]])</f>
        <v>23.68</v>
      </c>
    </row>
    <row r="321" spans="1:21" x14ac:dyDescent="0.3">
      <c r="A321" s="15" t="s">
        <v>166</v>
      </c>
      <c r="B321" s="15" t="s">
        <v>405</v>
      </c>
      <c r="C321" s="15">
        <v>2</v>
      </c>
      <c r="D321" s="36">
        <f>VLOOKUP($B321,Menu!$A$1:$F$20,MATCH($D$1,Menu!$A$1:$F$1,0),0)</f>
        <v>170.83</v>
      </c>
      <c r="E321" s="15" t="str">
        <f>VLOOKUP($B321,Menu!$A$1:$F$20,MATCH(OrderLines!E$1,Menu!$A$1:$F$1,0),0)</f>
        <v>Hot Meal</v>
      </c>
      <c r="F321" s="36">
        <f>VLOOKUP($B321,Menu!$A$1:$F$20,MATCH(OrderLines!F$1,Menu!$A$1:$F$1,0),0)</f>
        <v>74.069999999999993</v>
      </c>
      <c r="G321" s="27">
        <f>VLOOKUP($A321,Orders!$A$1:$H$361,MATCH($G$1,Orders!$A$1:$H$1,0),0)</f>
        <v>45872</v>
      </c>
      <c r="H321" s="15" t="str">
        <f>VLOOKUP($A321,Orders!$A$1:$H$361,MATCH(OrderLines!$H$1,Orders!$A$1:$H$1,0),0)</f>
        <v>Plant 1 Canteen</v>
      </c>
      <c r="I321" s="15">
        <f>VLOOKUP($A321,Orders!$A$1:$H$361,MATCH(OrderLines!$I$1,Orders!$A$1:$H$1,0),0)</f>
        <v>0.02</v>
      </c>
      <c r="J321" s="15">
        <f t="shared" si="13"/>
        <v>334.82679999999999</v>
      </c>
      <c r="K321" s="27" t="str">
        <f t="shared" si="14"/>
        <v>August</v>
      </c>
      <c r="L321" s="15" t="str">
        <f>VLOOKUP(OrderLines!$A321,Orders!$A$1:$H$361,MATCH(OrderLines!$L$1,Orders!$A$1:$H$1,0),0)</f>
        <v>Breakfast</v>
      </c>
      <c r="M321" t="str">
        <f>VLOOKUP($A321,Orders!$A$1:$H$361,MATCH(OrderLines!$M$1,Orders!$A$1:$H$1,0),0)</f>
        <v>Card</v>
      </c>
      <c r="N321" t="str">
        <f t="shared" si="12"/>
        <v>Single</v>
      </c>
      <c r="O321" t="str" cm="1">
        <f t="array" ref="O321">IF((SUMPRODUCT((OrderID=OrderLines!$A321)*Qty*UnitPrice*DiscountPct))&gt;40,"HighDisc","OK")</f>
        <v>OK</v>
      </c>
      <c r="P321">
        <f>(orderlinesTABLE[[#This Row],[UnitCost]]*orderlinesTABLE[[#This Row],[Qty]])</f>
        <v>148.13999999999999</v>
      </c>
      <c r="Q321">
        <f>(orderlinesTABLE[[#This Row],[LineNetAmount]]-orderlinesTABLE[[#This Row],[totalCOST]])</f>
        <v>186.68680000000001</v>
      </c>
      <c r="R321" t="str">
        <f>VLOOKUP($B321,Menu!$A$1:$F$20,MATCH(OrderLines!R$1,Menu!$A$1:$F$1,0),0)</f>
        <v>Paneer Butter Masala + Naan</v>
      </c>
      <c r="S321" t="str" cm="1">
        <f t="array" ref="S321">_xlfn.TEXTJOIN("+",TRUE,_xlfn._xlws.FILTER(orderlinesTABLE[ItemName],OrderID=orderlinesTABLE[[#This Row],[OrderID]]))</f>
        <v>Paneer Butter Masala + Naan+Kheer Cup+Egg Curry + Rice</v>
      </c>
      <c r="T321" s="54">
        <f>orderlinesTABLE[[#This Row],[Profit]]/orderlinesTABLE[[#This Row],[LineNetAmount]]</f>
        <v>0.55756229788057587</v>
      </c>
      <c r="U321" s="70">
        <f>(orderlinesTABLE[[#This Row],[Qty]]*orderlinesTABLE[[#This Row],[UnitCost]])</f>
        <v>148.13999999999999</v>
      </c>
    </row>
    <row r="322" spans="1:21" x14ac:dyDescent="0.3">
      <c r="A322" s="14" t="s">
        <v>166</v>
      </c>
      <c r="B322" s="14" t="s">
        <v>413</v>
      </c>
      <c r="C322" s="14">
        <v>3</v>
      </c>
      <c r="D322" s="37">
        <f>VLOOKUP($B322,Menu!$A$1:$F$20,MATCH($D$1,Menu!$A$1:$F$1,0),0)</f>
        <v>54.2</v>
      </c>
      <c r="E322" s="14" t="str">
        <f>VLOOKUP($B322,Menu!$A$1:$F$20,MATCH(OrderLines!E$1,Menu!$A$1:$F$1,0),0)</f>
        <v>Dessert</v>
      </c>
      <c r="F322" s="37">
        <f>VLOOKUP($B322,Menu!$A$1:$F$20,MATCH(OrderLines!F$1,Menu!$A$1:$F$1,0),0)</f>
        <v>21.95</v>
      </c>
      <c r="G322" s="28">
        <f>VLOOKUP($A322,Orders!$A$1:$H$361,MATCH($G$1,Orders!$A$1:$H$1,0),0)</f>
        <v>45872</v>
      </c>
      <c r="H322" s="14" t="str">
        <f>VLOOKUP($A322,Orders!$A$1:$H$361,MATCH(OrderLines!$H$1,Orders!$A$1:$H$1,0),0)</f>
        <v>Plant 1 Canteen</v>
      </c>
      <c r="I322" s="14">
        <f>VLOOKUP($A322,Orders!$A$1:$H$361,MATCH(OrderLines!$I$1,Orders!$A$1:$H$1,0),0)</f>
        <v>0.02</v>
      </c>
      <c r="J322" s="14">
        <f t="shared" si="13"/>
        <v>159.34800000000001</v>
      </c>
      <c r="K322" s="28" t="str">
        <f t="shared" si="14"/>
        <v>August</v>
      </c>
      <c r="L322" s="14" t="str">
        <f>VLOOKUP(OrderLines!$A322,Orders!$A$1:$H$361,MATCH(OrderLines!$L$1,Orders!$A$1:$H$1,0),0)</f>
        <v>Breakfast</v>
      </c>
      <c r="M322" t="str">
        <f>VLOOKUP($A322,Orders!$A$1:$H$361,MATCH(OrderLines!$M$1,Orders!$A$1:$H$1,0),0)</f>
        <v>Card</v>
      </c>
      <c r="N322" t="str">
        <f t="shared" ref="N322:N385" si="15">IF(AND(COUNTIFS(OrderID,$A322,Category,"hot meal")&gt;=1,COUNTIFS(OrderID,$A322,Category,"beverage")&gt;=1),"Combo","Single")</f>
        <v>Single</v>
      </c>
      <c r="O322" t="str" cm="1">
        <f t="array" ref="O322">IF((SUMPRODUCT((OrderID=OrderLines!$A322)*Qty*UnitPrice*DiscountPct))&gt;40,"HighDisc","OK")</f>
        <v>OK</v>
      </c>
      <c r="P322">
        <f>(orderlinesTABLE[[#This Row],[UnitCost]]*orderlinesTABLE[[#This Row],[Qty]])</f>
        <v>65.849999999999994</v>
      </c>
      <c r="Q322">
        <f>(orderlinesTABLE[[#This Row],[LineNetAmount]]-orderlinesTABLE[[#This Row],[totalCOST]])</f>
        <v>93.498000000000019</v>
      </c>
      <c r="R322" t="str">
        <f>VLOOKUP($B322,Menu!$A$1:$F$20,MATCH(OrderLines!R$1,Menu!$A$1:$F$1,0),0)</f>
        <v>Kheer Cup</v>
      </c>
      <c r="S322" t="str" cm="1">
        <f t="array" ref="S322">_xlfn.TEXTJOIN("+",TRUE,_xlfn._xlws.FILTER(orderlinesTABLE[ItemName],OrderID=orderlinesTABLE[[#This Row],[OrderID]]))</f>
        <v>Paneer Butter Masala + Naan+Kheer Cup+Egg Curry + Rice</v>
      </c>
      <c r="T322" s="54">
        <f>orderlinesTABLE[[#This Row],[Profit]]/orderlinesTABLE[[#This Row],[LineNetAmount]]</f>
        <v>0.58675352059643049</v>
      </c>
      <c r="U322" s="70">
        <f>(orderlinesTABLE[[#This Row],[Qty]]*orderlinesTABLE[[#This Row],[UnitCost]])</f>
        <v>65.849999999999994</v>
      </c>
    </row>
    <row r="323" spans="1:21" x14ac:dyDescent="0.3">
      <c r="A323" s="15" t="s">
        <v>166</v>
      </c>
      <c r="B323" s="15" t="s">
        <v>407</v>
      </c>
      <c r="C323" s="15">
        <v>1</v>
      </c>
      <c r="D323" s="36">
        <f>VLOOKUP($B323,Menu!$A$1:$F$20,MATCH($D$1,Menu!$A$1:$F$1,0),0)</f>
        <v>246.09</v>
      </c>
      <c r="E323" s="15" t="str">
        <f>VLOOKUP($B323,Menu!$A$1:$F$20,MATCH(OrderLines!E$1,Menu!$A$1:$F$1,0),0)</f>
        <v>Hot Meal</v>
      </c>
      <c r="F323" s="36">
        <f>VLOOKUP($B323,Menu!$A$1:$F$20,MATCH(OrderLines!F$1,Menu!$A$1:$F$1,0),0)</f>
        <v>112.08</v>
      </c>
      <c r="G323" s="27">
        <f>VLOOKUP($A323,Orders!$A$1:$H$361,MATCH($G$1,Orders!$A$1:$H$1,0),0)</f>
        <v>45872</v>
      </c>
      <c r="H323" s="15" t="str">
        <f>VLOOKUP($A323,Orders!$A$1:$H$361,MATCH(OrderLines!$H$1,Orders!$A$1:$H$1,0),0)</f>
        <v>Plant 1 Canteen</v>
      </c>
      <c r="I323" s="15">
        <f>VLOOKUP($A323,Orders!$A$1:$H$361,MATCH(OrderLines!$I$1,Orders!$A$1:$H$1,0),0)</f>
        <v>0.02</v>
      </c>
      <c r="J323" s="15">
        <f t="shared" ref="J323:J386" si="16">$C323*$D323*(1-$I323)</f>
        <v>241.16820000000001</v>
      </c>
      <c r="K323" s="27" t="str">
        <f t="shared" ref="K323:K386" si="17">TEXT($G323,"mmmm")</f>
        <v>August</v>
      </c>
      <c r="L323" s="15" t="str">
        <f>VLOOKUP(OrderLines!$A323,Orders!$A$1:$H$361,MATCH(OrderLines!$L$1,Orders!$A$1:$H$1,0),0)</f>
        <v>Breakfast</v>
      </c>
      <c r="M323" t="str">
        <f>VLOOKUP($A323,Orders!$A$1:$H$361,MATCH(OrderLines!$M$1,Orders!$A$1:$H$1,0),0)</f>
        <v>Card</v>
      </c>
      <c r="N323" t="str">
        <f t="shared" si="15"/>
        <v>Single</v>
      </c>
      <c r="O323" t="str" cm="1">
        <f t="array" ref="O323">IF((SUMPRODUCT((OrderID=OrderLines!$A323)*Qty*UnitPrice*DiscountPct))&gt;40,"HighDisc","OK")</f>
        <v>OK</v>
      </c>
      <c r="P323">
        <f>(orderlinesTABLE[[#This Row],[UnitCost]]*orderlinesTABLE[[#This Row],[Qty]])</f>
        <v>112.08</v>
      </c>
      <c r="Q323">
        <f>(orderlinesTABLE[[#This Row],[LineNetAmount]]-orderlinesTABLE[[#This Row],[totalCOST]])</f>
        <v>129.08820000000003</v>
      </c>
      <c r="R323" t="str">
        <f>VLOOKUP($B323,Menu!$A$1:$F$20,MATCH(OrderLines!R$1,Menu!$A$1:$F$1,0),0)</f>
        <v>Egg Curry + Rice</v>
      </c>
      <c r="S323" t="str" cm="1">
        <f t="array" ref="S323">_xlfn.TEXTJOIN("+",TRUE,_xlfn._xlws.FILTER(orderlinesTABLE[ItemName],OrderID=orderlinesTABLE[[#This Row],[OrderID]]))</f>
        <v>Paneer Butter Masala + Naan+Kheer Cup+Egg Curry + Rice</v>
      </c>
      <c r="T323" s="54">
        <f>orderlinesTABLE[[#This Row],[Profit]]/orderlinesTABLE[[#This Row],[LineNetAmount]]</f>
        <v>0.53526211167143933</v>
      </c>
      <c r="U323" s="70">
        <f>(orderlinesTABLE[[#This Row],[Qty]]*orderlinesTABLE[[#This Row],[UnitCost]])</f>
        <v>112.08</v>
      </c>
    </row>
    <row r="324" spans="1:21" x14ac:dyDescent="0.3">
      <c r="A324" s="14" t="s">
        <v>167</v>
      </c>
      <c r="B324" s="14" t="s">
        <v>414</v>
      </c>
      <c r="C324" s="14">
        <v>1</v>
      </c>
      <c r="D324" s="37">
        <f>VLOOKUP($B324,Menu!$A$1:$F$20,MATCH($D$1,Menu!$A$1:$F$1,0),0)</f>
        <v>116.8</v>
      </c>
      <c r="E324" s="14" t="str">
        <f>VLOOKUP($B324,Menu!$A$1:$F$20,MATCH(OrderLines!E$1,Menu!$A$1:$F$1,0),0)</f>
        <v>Dessert</v>
      </c>
      <c r="F324" s="37">
        <f>VLOOKUP($B324,Menu!$A$1:$F$20,MATCH(OrderLines!F$1,Menu!$A$1:$F$1,0),0)</f>
        <v>48.97</v>
      </c>
      <c r="G324" s="28">
        <f>VLOOKUP($A324,Orders!$A$1:$H$361,MATCH($G$1,Orders!$A$1:$H$1,0),0)</f>
        <v>45850</v>
      </c>
      <c r="H324" s="14" t="str">
        <f>VLOOKUP($A324,Orders!$A$1:$H$361,MATCH(OrderLines!$H$1,Orders!$A$1:$H$1,0),0)</f>
        <v>Plant 1 Canteen</v>
      </c>
      <c r="I324" s="14">
        <f>VLOOKUP($A324,Orders!$A$1:$H$361,MATCH(OrderLines!$I$1,Orders!$A$1:$H$1,0),0)</f>
        <v>0.03</v>
      </c>
      <c r="J324" s="14">
        <f t="shared" si="16"/>
        <v>113.29599999999999</v>
      </c>
      <c r="K324" s="28" t="str">
        <f t="shared" si="17"/>
        <v>July</v>
      </c>
      <c r="L324" s="14" t="str">
        <f>VLOOKUP(OrderLines!$A324,Orders!$A$1:$H$361,MATCH(OrderLines!$L$1,Orders!$A$1:$H$1,0),0)</f>
        <v>Breakfast</v>
      </c>
      <c r="M324" t="str">
        <f>VLOOKUP($A324,Orders!$A$1:$H$361,MATCH(OrderLines!$M$1,Orders!$A$1:$H$1,0),0)</f>
        <v>Card</v>
      </c>
      <c r="N324" t="str">
        <f t="shared" si="15"/>
        <v>Single</v>
      </c>
      <c r="O324" t="str" cm="1">
        <f t="array" ref="O324">IF((SUMPRODUCT((OrderID=OrderLines!$A324)*Qty*UnitPrice*DiscountPct))&gt;40,"HighDisc","OK")</f>
        <v>OK</v>
      </c>
      <c r="P324">
        <f>(orderlinesTABLE[[#This Row],[UnitCost]]*orderlinesTABLE[[#This Row],[Qty]])</f>
        <v>48.97</v>
      </c>
      <c r="Q324">
        <f>(orderlinesTABLE[[#This Row],[LineNetAmount]]-orderlinesTABLE[[#This Row],[totalCOST]])</f>
        <v>64.325999999999993</v>
      </c>
      <c r="R324" t="str">
        <f>VLOOKUP($B324,Menu!$A$1:$F$20,MATCH(OrderLines!R$1,Menu!$A$1:$F$1,0),0)</f>
        <v>Brownie</v>
      </c>
      <c r="S324" t="str" cm="1">
        <f t="array" ref="S324">_xlfn.TEXTJOIN("+",TRUE,_xlfn._xlws.FILTER(orderlinesTABLE[ItemName],OrderID=orderlinesTABLE[[#This Row],[OrderID]]))</f>
        <v>Brownie+Gulab Jamun (2 pc)+Veg Sandwich</v>
      </c>
      <c r="T324" s="54">
        <f>orderlinesTABLE[[#This Row],[Profit]]/orderlinesTABLE[[#This Row],[LineNetAmount]]</f>
        <v>0.56776938285552891</v>
      </c>
      <c r="U324" s="70">
        <f>(orderlinesTABLE[[#This Row],[Qty]]*orderlinesTABLE[[#This Row],[UnitCost]])</f>
        <v>48.97</v>
      </c>
    </row>
    <row r="325" spans="1:21" x14ac:dyDescent="0.3">
      <c r="A325" s="15" t="s">
        <v>167</v>
      </c>
      <c r="B325" s="15" t="s">
        <v>403</v>
      </c>
      <c r="C325" s="15">
        <v>3</v>
      </c>
      <c r="D325" s="36">
        <f>VLOOKUP($B325,Menu!$A$1:$F$20,MATCH($D$1,Menu!$A$1:$F$1,0),0)</f>
        <v>76.55</v>
      </c>
      <c r="E325" s="15" t="str">
        <f>VLOOKUP($B325,Menu!$A$1:$F$20,MATCH(OrderLines!E$1,Menu!$A$1:$F$1,0),0)</f>
        <v>Dessert</v>
      </c>
      <c r="F325" s="36">
        <f>VLOOKUP($B325,Menu!$A$1:$F$20,MATCH(OrderLines!F$1,Menu!$A$1:$F$1,0),0)</f>
        <v>38.229999999999997</v>
      </c>
      <c r="G325" s="27">
        <f>VLOOKUP($A325,Orders!$A$1:$H$361,MATCH($G$1,Orders!$A$1:$H$1,0),0)</f>
        <v>45850</v>
      </c>
      <c r="H325" s="15" t="str">
        <f>VLOOKUP($A325,Orders!$A$1:$H$361,MATCH(OrderLines!$H$1,Orders!$A$1:$H$1,0),0)</f>
        <v>Plant 1 Canteen</v>
      </c>
      <c r="I325" s="15">
        <f>VLOOKUP($A325,Orders!$A$1:$H$361,MATCH(OrderLines!$I$1,Orders!$A$1:$H$1,0),0)</f>
        <v>0.03</v>
      </c>
      <c r="J325" s="15">
        <f t="shared" si="16"/>
        <v>222.76049999999998</v>
      </c>
      <c r="K325" s="27" t="str">
        <f t="shared" si="17"/>
        <v>July</v>
      </c>
      <c r="L325" s="15" t="str">
        <f>VLOOKUP(OrderLines!$A325,Orders!$A$1:$H$361,MATCH(OrderLines!$L$1,Orders!$A$1:$H$1,0),0)</f>
        <v>Breakfast</v>
      </c>
      <c r="M325" t="str">
        <f>VLOOKUP($A325,Orders!$A$1:$H$361,MATCH(OrderLines!$M$1,Orders!$A$1:$H$1,0),0)</f>
        <v>Card</v>
      </c>
      <c r="N325" t="str">
        <f t="shared" si="15"/>
        <v>Single</v>
      </c>
      <c r="O325" t="str" cm="1">
        <f t="array" ref="O325">IF((SUMPRODUCT((OrderID=OrderLines!$A325)*Qty*UnitPrice*DiscountPct))&gt;40,"HighDisc","OK")</f>
        <v>OK</v>
      </c>
      <c r="P325">
        <f>(orderlinesTABLE[[#This Row],[UnitCost]]*orderlinesTABLE[[#This Row],[Qty]])</f>
        <v>114.69</v>
      </c>
      <c r="Q325">
        <f>(orderlinesTABLE[[#This Row],[LineNetAmount]]-orderlinesTABLE[[#This Row],[totalCOST]])</f>
        <v>108.07049999999998</v>
      </c>
      <c r="R325" t="str">
        <f>VLOOKUP($B325,Menu!$A$1:$F$20,MATCH(OrderLines!R$1,Menu!$A$1:$F$1,0),0)</f>
        <v>Gulab Jamun (2 pc)</v>
      </c>
      <c r="S325" t="str" cm="1">
        <f t="array" ref="S325">_xlfn.TEXTJOIN("+",TRUE,_xlfn._xlws.FILTER(orderlinesTABLE[ItemName],OrderID=orderlinesTABLE[[#This Row],[OrderID]]))</f>
        <v>Brownie+Gulab Jamun (2 pc)+Veg Sandwich</v>
      </c>
      <c r="T325" s="54">
        <f>orderlinesTABLE[[#This Row],[Profit]]/orderlinesTABLE[[#This Row],[LineNetAmount]]</f>
        <v>0.48514211451312056</v>
      </c>
      <c r="U325" s="70">
        <f>(orderlinesTABLE[[#This Row],[Qty]]*orderlinesTABLE[[#This Row],[UnitCost]])</f>
        <v>114.69</v>
      </c>
    </row>
    <row r="326" spans="1:21" x14ac:dyDescent="0.3">
      <c r="A326" s="14" t="s">
        <v>167</v>
      </c>
      <c r="B326" s="14" t="s">
        <v>408</v>
      </c>
      <c r="C326" s="14">
        <v>1</v>
      </c>
      <c r="D326" s="37">
        <f>VLOOKUP($B326,Menu!$A$1:$F$20,MATCH($D$1,Menu!$A$1:$F$1,0),0)</f>
        <v>70.540000000000006</v>
      </c>
      <c r="E326" s="14" t="str">
        <f>VLOOKUP($B326,Menu!$A$1:$F$20,MATCH(OrderLines!E$1,Menu!$A$1:$F$1,0),0)</f>
        <v>Snack</v>
      </c>
      <c r="F326" s="37">
        <f>VLOOKUP($B326,Menu!$A$1:$F$20,MATCH(OrderLines!F$1,Menu!$A$1:$F$1,0),0)</f>
        <v>35.81</v>
      </c>
      <c r="G326" s="28">
        <f>VLOOKUP($A326,Orders!$A$1:$H$361,MATCH($G$1,Orders!$A$1:$H$1,0),0)</f>
        <v>45850</v>
      </c>
      <c r="H326" s="14" t="str">
        <f>VLOOKUP($A326,Orders!$A$1:$H$361,MATCH(OrderLines!$H$1,Orders!$A$1:$H$1,0),0)</f>
        <v>Plant 1 Canteen</v>
      </c>
      <c r="I326" s="14">
        <f>VLOOKUP($A326,Orders!$A$1:$H$361,MATCH(OrderLines!$I$1,Orders!$A$1:$H$1,0),0)</f>
        <v>0.03</v>
      </c>
      <c r="J326" s="14">
        <f t="shared" si="16"/>
        <v>68.4238</v>
      </c>
      <c r="K326" s="28" t="str">
        <f t="shared" si="17"/>
        <v>July</v>
      </c>
      <c r="L326" s="14" t="str">
        <f>VLOOKUP(OrderLines!$A326,Orders!$A$1:$H$361,MATCH(OrderLines!$L$1,Orders!$A$1:$H$1,0),0)</f>
        <v>Breakfast</v>
      </c>
      <c r="M326" t="str">
        <f>VLOOKUP($A326,Orders!$A$1:$H$361,MATCH(OrderLines!$M$1,Orders!$A$1:$H$1,0),0)</f>
        <v>Card</v>
      </c>
      <c r="N326" t="str">
        <f t="shared" si="15"/>
        <v>Single</v>
      </c>
      <c r="O326" t="str" cm="1">
        <f t="array" ref="O326">IF((SUMPRODUCT((OrderID=OrderLines!$A326)*Qty*UnitPrice*DiscountPct))&gt;40,"HighDisc","OK")</f>
        <v>OK</v>
      </c>
      <c r="P326">
        <f>(orderlinesTABLE[[#This Row],[UnitCost]]*orderlinesTABLE[[#This Row],[Qty]])</f>
        <v>35.81</v>
      </c>
      <c r="Q326">
        <f>(orderlinesTABLE[[#This Row],[LineNetAmount]]-orderlinesTABLE[[#This Row],[totalCOST]])</f>
        <v>32.613799999999998</v>
      </c>
      <c r="R326" t="str">
        <f>VLOOKUP($B326,Menu!$A$1:$F$20,MATCH(OrderLines!R$1,Menu!$A$1:$F$1,0),0)</f>
        <v>Veg Sandwich</v>
      </c>
      <c r="S326" t="str" cm="1">
        <f t="array" ref="S326">_xlfn.TEXTJOIN("+",TRUE,_xlfn._xlws.FILTER(orderlinesTABLE[ItemName],OrderID=orderlinesTABLE[[#This Row],[OrderID]]))</f>
        <v>Brownie+Gulab Jamun (2 pc)+Veg Sandwich</v>
      </c>
      <c r="T326" s="54">
        <f>orderlinesTABLE[[#This Row],[Profit]]/orderlinesTABLE[[#This Row],[LineNetAmount]]</f>
        <v>0.47664409167570343</v>
      </c>
      <c r="U326" s="70">
        <f>(orderlinesTABLE[[#This Row],[Qty]]*orderlinesTABLE[[#This Row],[UnitCost]])</f>
        <v>35.81</v>
      </c>
    </row>
    <row r="327" spans="1:21" x14ac:dyDescent="0.3">
      <c r="A327" s="15" t="s">
        <v>168</v>
      </c>
      <c r="B327" s="15" t="s">
        <v>415</v>
      </c>
      <c r="C327" s="15">
        <v>1</v>
      </c>
      <c r="D327" s="36">
        <f>VLOOKUP($B327,Menu!$A$1:$F$20,MATCH($D$1,Menu!$A$1:$F$1,0),0)</f>
        <v>256.91000000000003</v>
      </c>
      <c r="E327" s="15" t="str">
        <f>VLOOKUP($B327,Menu!$A$1:$F$20,MATCH(OrderLines!E$1,Menu!$A$1:$F$1,0),0)</f>
        <v>Hot Meal</v>
      </c>
      <c r="F327" s="36">
        <f>VLOOKUP($B327,Menu!$A$1:$F$20,MATCH(OrderLines!F$1,Menu!$A$1:$F$1,0),0)</f>
        <v>121.24</v>
      </c>
      <c r="G327" s="27">
        <f>VLOOKUP($A327,Orders!$A$1:$H$361,MATCH($G$1,Orders!$A$1:$H$1,0),0)</f>
        <v>45895</v>
      </c>
      <c r="H327" s="15" t="str">
        <f>VLOOKUP($A327,Orders!$A$1:$H$361,MATCH(OrderLines!$H$1,Orders!$A$1:$H$1,0),0)</f>
        <v>Head Office Café</v>
      </c>
      <c r="I327" s="15">
        <f>VLOOKUP($A327,Orders!$A$1:$H$361,MATCH(OrderLines!$I$1,Orders!$A$1:$H$1,0),0)</f>
        <v>0.06</v>
      </c>
      <c r="J327" s="15">
        <f t="shared" si="16"/>
        <v>241.49540000000002</v>
      </c>
      <c r="K327" s="27" t="str">
        <f t="shared" si="17"/>
        <v>August</v>
      </c>
      <c r="L327" s="15" t="str">
        <f>VLOOKUP(OrderLines!$A327,Orders!$A$1:$H$361,MATCH(OrderLines!$L$1,Orders!$A$1:$H$1,0),0)</f>
        <v>Breakfast</v>
      </c>
      <c r="M327" t="str">
        <f>VLOOKUP($A327,Orders!$A$1:$H$361,MATCH(OrderLines!$M$1,Orders!$A$1:$H$1,0),0)</f>
        <v>Cash</v>
      </c>
      <c r="N327" t="str">
        <f t="shared" si="15"/>
        <v>Combo</v>
      </c>
      <c r="O327" t="str" cm="1">
        <f t="array" ref="O327">IF((SUMPRODUCT((OrderID=OrderLines!$A327)*Qty*UnitPrice*DiscountPct))&gt;40,"HighDisc","OK")</f>
        <v>OK</v>
      </c>
      <c r="P327">
        <f>(orderlinesTABLE[[#This Row],[UnitCost]]*orderlinesTABLE[[#This Row],[Qty]])</f>
        <v>121.24</v>
      </c>
      <c r="Q327">
        <f>(orderlinesTABLE[[#This Row],[LineNetAmount]]-orderlinesTABLE[[#This Row],[totalCOST]])</f>
        <v>120.25540000000002</v>
      </c>
      <c r="R327" t="str">
        <f>VLOOKUP($B327,Menu!$A$1:$F$20,MATCH(OrderLines!R$1,Menu!$A$1:$F$1,0),0)</f>
        <v>Chicken Thali</v>
      </c>
      <c r="S327" t="str" cm="1">
        <f t="array" ref="S327">_xlfn.TEXTJOIN("+",TRUE,_xlfn._xlws.FILTER(orderlinesTABLE[ItemName],OrderID=orderlinesTABLE[[#This Row],[OrderID]]))</f>
        <v>Chicken Thali+Rajma Chawal+Bottled Water+Paneer Butter Masala + Naan</v>
      </c>
      <c r="T327" s="54">
        <f>orderlinesTABLE[[#This Row],[Profit]]/orderlinesTABLE[[#This Row],[LineNetAmount]]</f>
        <v>0.49796145185374135</v>
      </c>
      <c r="U327" s="70">
        <f>(orderlinesTABLE[[#This Row],[Qty]]*orderlinesTABLE[[#This Row],[UnitCost]])</f>
        <v>121.24</v>
      </c>
    </row>
    <row r="328" spans="1:21" x14ac:dyDescent="0.3">
      <c r="A328" s="14" t="s">
        <v>168</v>
      </c>
      <c r="B328" s="14" t="s">
        <v>417</v>
      </c>
      <c r="C328" s="14">
        <v>1</v>
      </c>
      <c r="D328" s="37">
        <f>VLOOKUP($B328,Menu!$A$1:$F$20,MATCH($D$1,Menu!$A$1:$F$1,0),0)</f>
        <v>146.4</v>
      </c>
      <c r="E328" s="14" t="str">
        <f>VLOOKUP($B328,Menu!$A$1:$F$20,MATCH(OrderLines!E$1,Menu!$A$1:$F$1,0),0)</f>
        <v>Hot Meal</v>
      </c>
      <c r="F328" s="37">
        <f>VLOOKUP($B328,Menu!$A$1:$F$20,MATCH(OrderLines!F$1,Menu!$A$1:$F$1,0),0)</f>
        <v>80.92</v>
      </c>
      <c r="G328" s="28">
        <f>VLOOKUP($A328,Orders!$A$1:$H$361,MATCH($G$1,Orders!$A$1:$H$1,0),0)</f>
        <v>45895</v>
      </c>
      <c r="H328" s="14" t="str">
        <f>VLOOKUP($A328,Orders!$A$1:$H$361,MATCH(OrderLines!$H$1,Orders!$A$1:$H$1,0),0)</f>
        <v>Head Office Café</v>
      </c>
      <c r="I328" s="14">
        <f>VLOOKUP($A328,Orders!$A$1:$H$361,MATCH(OrderLines!$I$1,Orders!$A$1:$H$1,0),0)</f>
        <v>0.06</v>
      </c>
      <c r="J328" s="14">
        <f t="shared" si="16"/>
        <v>137.61599999999999</v>
      </c>
      <c r="K328" s="28" t="str">
        <f t="shared" si="17"/>
        <v>August</v>
      </c>
      <c r="L328" s="14" t="str">
        <f>VLOOKUP(OrderLines!$A328,Orders!$A$1:$H$361,MATCH(OrderLines!$L$1,Orders!$A$1:$H$1,0),0)</f>
        <v>Breakfast</v>
      </c>
      <c r="M328" t="str">
        <f>VLOOKUP($A328,Orders!$A$1:$H$361,MATCH(OrderLines!$M$1,Orders!$A$1:$H$1,0),0)</f>
        <v>Cash</v>
      </c>
      <c r="N328" t="str">
        <f t="shared" si="15"/>
        <v>Combo</v>
      </c>
      <c r="O328" t="str" cm="1">
        <f t="array" ref="O328">IF((SUMPRODUCT((OrderID=OrderLines!$A328)*Qty*UnitPrice*DiscountPct))&gt;40,"HighDisc","OK")</f>
        <v>OK</v>
      </c>
      <c r="P328">
        <f>(orderlinesTABLE[[#This Row],[UnitCost]]*orderlinesTABLE[[#This Row],[Qty]])</f>
        <v>80.92</v>
      </c>
      <c r="Q328">
        <f>(orderlinesTABLE[[#This Row],[LineNetAmount]]-orderlinesTABLE[[#This Row],[totalCOST]])</f>
        <v>56.695999999999984</v>
      </c>
      <c r="R328" t="str">
        <f>VLOOKUP($B328,Menu!$A$1:$F$20,MATCH(OrderLines!R$1,Menu!$A$1:$F$1,0),0)</f>
        <v>Rajma Chawal</v>
      </c>
      <c r="S328" t="str" cm="1">
        <f t="array" ref="S328">_xlfn.TEXTJOIN("+",TRUE,_xlfn._xlws.FILTER(orderlinesTABLE[ItemName],OrderID=orderlinesTABLE[[#This Row],[OrderID]]))</f>
        <v>Chicken Thali+Rajma Chawal+Bottled Water+Paneer Butter Masala + Naan</v>
      </c>
      <c r="T328" s="54">
        <f>orderlinesTABLE[[#This Row],[Profit]]/orderlinesTABLE[[#This Row],[LineNetAmount]]</f>
        <v>0.41198697825834196</v>
      </c>
      <c r="U328" s="70">
        <f>(orderlinesTABLE[[#This Row],[Qty]]*orderlinesTABLE[[#This Row],[UnitCost]])</f>
        <v>80.92</v>
      </c>
    </row>
    <row r="329" spans="1:21" x14ac:dyDescent="0.3">
      <c r="A329" s="15" t="s">
        <v>168</v>
      </c>
      <c r="B329" s="15" t="s">
        <v>409</v>
      </c>
      <c r="C329" s="15">
        <v>2</v>
      </c>
      <c r="D329" s="36">
        <f>VLOOKUP($B329,Menu!$A$1:$F$20,MATCH($D$1,Menu!$A$1:$F$1,0),0)</f>
        <v>28.43</v>
      </c>
      <c r="E329" s="15" t="str">
        <f>VLOOKUP($B329,Menu!$A$1:$F$20,MATCH(OrderLines!E$1,Menu!$A$1:$F$1,0),0)</f>
        <v>Beverage</v>
      </c>
      <c r="F329" s="36">
        <f>VLOOKUP($B329,Menu!$A$1:$F$20,MATCH(OrderLines!F$1,Menu!$A$1:$F$1,0),0)</f>
        <v>13.89</v>
      </c>
      <c r="G329" s="27">
        <f>VLOOKUP($A329,Orders!$A$1:$H$361,MATCH($G$1,Orders!$A$1:$H$1,0),0)</f>
        <v>45895</v>
      </c>
      <c r="H329" s="15" t="str">
        <f>VLOOKUP($A329,Orders!$A$1:$H$361,MATCH(OrderLines!$H$1,Orders!$A$1:$H$1,0),0)</f>
        <v>Head Office Café</v>
      </c>
      <c r="I329" s="15">
        <f>VLOOKUP($A329,Orders!$A$1:$H$361,MATCH(OrderLines!$I$1,Orders!$A$1:$H$1,0),0)</f>
        <v>0.06</v>
      </c>
      <c r="J329" s="15">
        <f t="shared" si="16"/>
        <v>53.448399999999999</v>
      </c>
      <c r="K329" s="27" t="str">
        <f t="shared" si="17"/>
        <v>August</v>
      </c>
      <c r="L329" s="15" t="str">
        <f>VLOOKUP(OrderLines!$A329,Orders!$A$1:$H$361,MATCH(OrderLines!$L$1,Orders!$A$1:$H$1,0),0)</f>
        <v>Breakfast</v>
      </c>
      <c r="M329" t="str">
        <f>VLOOKUP($A329,Orders!$A$1:$H$361,MATCH(OrderLines!$M$1,Orders!$A$1:$H$1,0),0)</f>
        <v>Cash</v>
      </c>
      <c r="N329" t="str">
        <f t="shared" si="15"/>
        <v>Combo</v>
      </c>
      <c r="O329" t="str" cm="1">
        <f t="array" ref="O329">IF((SUMPRODUCT((OrderID=OrderLines!$A329)*Qty*UnitPrice*DiscountPct))&gt;40,"HighDisc","OK")</f>
        <v>OK</v>
      </c>
      <c r="P329">
        <f>(orderlinesTABLE[[#This Row],[UnitCost]]*orderlinesTABLE[[#This Row],[Qty]])</f>
        <v>27.78</v>
      </c>
      <c r="Q329">
        <f>(orderlinesTABLE[[#This Row],[LineNetAmount]]-orderlinesTABLE[[#This Row],[totalCOST]])</f>
        <v>25.668399999999998</v>
      </c>
      <c r="R329" t="str">
        <f>VLOOKUP($B329,Menu!$A$1:$F$20,MATCH(OrderLines!R$1,Menu!$A$1:$F$1,0),0)</f>
        <v>Bottled Water</v>
      </c>
      <c r="S329" t="str" cm="1">
        <f t="array" ref="S329">_xlfn.TEXTJOIN("+",TRUE,_xlfn._xlws.FILTER(orderlinesTABLE[ItemName],OrderID=orderlinesTABLE[[#This Row],[OrderID]]))</f>
        <v>Chicken Thali+Rajma Chawal+Bottled Water+Paneer Butter Masala + Naan</v>
      </c>
      <c r="T329" s="54">
        <f>orderlinesTABLE[[#This Row],[Profit]]/orderlinesTABLE[[#This Row],[LineNetAmount]]</f>
        <v>0.48024636846004742</v>
      </c>
      <c r="U329" s="70">
        <f>(orderlinesTABLE[[#This Row],[Qty]]*orderlinesTABLE[[#This Row],[UnitCost]])</f>
        <v>27.78</v>
      </c>
    </row>
    <row r="330" spans="1:21" x14ac:dyDescent="0.3">
      <c r="A330" s="14" t="s">
        <v>168</v>
      </c>
      <c r="B330" s="14" t="s">
        <v>405</v>
      </c>
      <c r="C330" s="14">
        <v>1</v>
      </c>
      <c r="D330" s="37">
        <f>VLOOKUP($B330,Menu!$A$1:$F$20,MATCH($D$1,Menu!$A$1:$F$1,0),0)</f>
        <v>170.83</v>
      </c>
      <c r="E330" s="14" t="str">
        <f>VLOOKUP($B330,Menu!$A$1:$F$20,MATCH(OrderLines!E$1,Menu!$A$1:$F$1,0),0)</f>
        <v>Hot Meal</v>
      </c>
      <c r="F330" s="37">
        <f>VLOOKUP($B330,Menu!$A$1:$F$20,MATCH(OrderLines!F$1,Menu!$A$1:$F$1,0),0)</f>
        <v>74.069999999999993</v>
      </c>
      <c r="G330" s="28">
        <f>VLOOKUP($A330,Orders!$A$1:$H$361,MATCH($G$1,Orders!$A$1:$H$1,0),0)</f>
        <v>45895</v>
      </c>
      <c r="H330" s="14" t="str">
        <f>VLOOKUP($A330,Orders!$A$1:$H$361,MATCH(OrderLines!$H$1,Orders!$A$1:$H$1,0),0)</f>
        <v>Head Office Café</v>
      </c>
      <c r="I330" s="14">
        <f>VLOOKUP($A330,Orders!$A$1:$H$361,MATCH(OrderLines!$I$1,Orders!$A$1:$H$1,0),0)</f>
        <v>0.06</v>
      </c>
      <c r="J330" s="14">
        <f t="shared" si="16"/>
        <v>160.58019999999999</v>
      </c>
      <c r="K330" s="28" t="str">
        <f t="shared" si="17"/>
        <v>August</v>
      </c>
      <c r="L330" s="14" t="str">
        <f>VLOOKUP(OrderLines!$A330,Orders!$A$1:$H$361,MATCH(OrderLines!$L$1,Orders!$A$1:$H$1,0),0)</f>
        <v>Breakfast</v>
      </c>
      <c r="M330" t="str">
        <f>VLOOKUP($A330,Orders!$A$1:$H$361,MATCH(OrderLines!$M$1,Orders!$A$1:$H$1,0),0)</f>
        <v>Cash</v>
      </c>
      <c r="N330" t="str">
        <f t="shared" si="15"/>
        <v>Combo</v>
      </c>
      <c r="O330" t="str" cm="1">
        <f t="array" ref="O330">IF((SUMPRODUCT((OrderID=OrderLines!$A330)*Qty*UnitPrice*DiscountPct))&gt;40,"HighDisc","OK")</f>
        <v>OK</v>
      </c>
      <c r="P330">
        <f>(orderlinesTABLE[[#This Row],[UnitCost]]*orderlinesTABLE[[#This Row],[Qty]])</f>
        <v>74.069999999999993</v>
      </c>
      <c r="Q330">
        <f>(orderlinesTABLE[[#This Row],[LineNetAmount]]-orderlinesTABLE[[#This Row],[totalCOST]])</f>
        <v>86.510199999999998</v>
      </c>
      <c r="R330" t="str">
        <f>VLOOKUP($B330,Menu!$A$1:$F$20,MATCH(OrderLines!R$1,Menu!$A$1:$F$1,0),0)</f>
        <v>Paneer Butter Masala + Naan</v>
      </c>
      <c r="S330" t="str" cm="1">
        <f t="array" ref="S330">_xlfn.TEXTJOIN("+",TRUE,_xlfn._xlws.FILTER(orderlinesTABLE[ItemName],OrderID=orderlinesTABLE[[#This Row],[OrderID]]))</f>
        <v>Chicken Thali+Rajma Chawal+Bottled Water+Paneer Butter Masala + Naan</v>
      </c>
      <c r="T330" s="54">
        <f>orderlinesTABLE[[#This Row],[Profit]]/orderlinesTABLE[[#This Row],[LineNetAmount]]</f>
        <v>0.53873516162017487</v>
      </c>
      <c r="U330" s="70">
        <f>(orderlinesTABLE[[#This Row],[Qty]]*orderlinesTABLE[[#This Row],[UnitCost]])</f>
        <v>74.069999999999993</v>
      </c>
    </row>
    <row r="331" spans="1:21" x14ac:dyDescent="0.3">
      <c r="A331" s="15" t="s">
        <v>169</v>
      </c>
      <c r="B331" s="15" t="s">
        <v>415</v>
      </c>
      <c r="C331" s="15">
        <v>1</v>
      </c>
      <c r="D331" s="36">
        <f>VLOOKUP($B331,Menu!$A$1:$F$20,MATCH($D$1,Menu!$A$1:$F$1,0),0)</f>
        <v>256.91000000000003</v>
      </c>
      <c r="E331" s="15" t="str">
        <f>VLOOKUP($B331,Menu!$A$1:$F$20,MATCH(OrderLines!E$1,Menu!$A$1:$F$1,0),0)</f>
        <v>Hot Meal</v>
      </c>
      <c r="F331" s="36">
        <f>VLOOKUP($B331,Menu!$A$1:$F$20,MATCH(OrderLines!F$1,Menu!$A$1:$F$1,0),0)</f>
        <v>121.24</v>
      </c>
      <c r="G331" s="27">
        <f>VLOOKUP($A331,Orders!$A$1:$H$361,MATCH($G$1,Orders!$A$1:$H$1,0),0)</f>
        <v>45853</v>
      </c>
      <c r="H331" s="15" t="str">
        <f>VLOOKUP($A331,Orders!$A$1:$H$361,MATCH(OrderLines!$H$1,Orders!$A$1:$H$1,0),0)</f>
        <v>Head Office Café</v>
      </c>
      <c r="I331" s="15">
        <f>VLOOKUP($A331,Orders!$A$1:$H$361,MATCH(OrderLines!$I$1,Orders!$A$1:$H$1,0),0)</f>
        <v>7.0000000000000007E-2</v>
      </c>
      <c r="J331" s="15">
        <f t="shared" si="16"/>
        <v>238.9263</v>
      </c>
      <c r="K331" s="27" t="str">
        <f t="shared" si="17"/>
        <v>July</v>
      </c>
      <c r="L331" s="15" t="str">
        <f>VLOOKUP(OrderLines!$A331,Orders!$A$1:$H$361,MATCH(OrderLines!$L$1,Orders!$A$1:$H$1,0),0)</f>
        <v>Dinner</v>
      </c>
      <c r="M331" t="str">
        <f>VLOOKUP($A331,Orders!$A$1:$H$361,MATCH(OrderLines!$M$1,Orders!$A$1:$H$1,0),0)</f>
        <v>Cash</v>
      </c>
      <c r="N331" t="str">
        <f t="shared" si="15"/>
        <v>Single</v>
      </c>
      <c r="O331" t="str" cm="1">
        <f t="array" ref="O331">IF((SUMPRODUCT((OrderID=OrderLines!$A331)*Qty*UnitPrice*DiscountPct))&gt;40,"HighDisc","OK")</f>
        <v>OK</v>
      </c>
      <c r="P331">
        <f>(orderlinesTABLE[[#This Row],[UnitCost]]*orderlinesTABLE[[#This Row],[Qty]])</f>
        <v>121.24</v>
      </c>
      <c r="Q331">
        <f>(orderlinesTABLE[[#This Row],[LineNetAmount]]-orderlinesTABLE[[#This Row],[totalCOST]])</f>
        <v>117.6863</v>
      </c>
      <c r="R331" t="str">
        <f>VLOOKUP($B331,Menu!$A$1:$F$20,MATCH(OrderLines!R$1,Menu!$A$1:$F$1,0),0)</f>
        <v>Chicken Thali</v>
      </c>
      <c r="S331" t="str" cm="1">
        <f t="array" ref="S331">_xlfn.TEXTJOIN("+",TRUE,_xlfn._xlws.FILTER(orderlinesTABLE[ItemName],OrderID=orderlinesTABLE[[#This Row],[OrderID]]))</f>
        <v>Chicken Thali+Brownie</v>
      </c>
      <c r="T331" s="54">
        <f>orderlinesTABLE[[#This Row],[Profit]]/orderlinesTABLE[[#This Row],[LineNetAmount]]</f>
        <v>0.49256318789517939</v>
      </c>
      <c r="U331" s="70">
        <f>(orderlinesTABLE[[#This Row],[Qty]]*orderlinesTABLE[[#This Row],[UnitCost]])</f>
        <v>121.24</v>
      </c>
    </row>
    <row r="332" spans="1:21" x14ac:dyDescent="0.3">
      <c r="A332" s="14" t="s">
        <v>169</v>
      </c>
      <c r="B332" s="14" t="s">
        <v>414</v>
      </c>
      <c r="C332" s="14">
        <v>2</v>
      </c>
      <c r="D332" s="37">
        <f>VLOOKUP($B332,Menu!$A$1:$F$20,MATCH($D$1,Menu!$A$1:$F$1,0),0)</f>
        <v>116.8</v>
      </c>
      <c r="E332" s="14" t="str">
        <f>VLOOKUP($B332,Menu!$A$1:$F$20,MATCH(OrderLines!E$1,Menu!$A$1:$F$1,0),0)</f>
        <v>Dessert</v>
      </c>
      <c r="F332" s="37">
        <f>VLOOKUP($B332,Menu!$A$1:$F$20,MATCH(OrderLines!F$1,Menu!$A$1:$F$1,0),0)</f>
        <v>48.97</v>
      </c>
      <c r="G332" s="28">
        <f>VLOOKUP($A332,Orders!$A$1:$H$361,MATCH($G$1,Orders!$A$1:$H$1,0),0)</f>
        <v>45853</v>
      </c>
      <c r="H332" s="14" t="str">
        <f>VLOOKUP($A332,Orders!$A$1:$H$361,MATCH(OrderLines!$H$1,Orders!$A$1:$H$1,0),0)</f>
        <v>Head Office Café</v>
      </c>
      <c r="I332" s="14">
        <f>VLOOKUP($A332,Orders!$A$1:$H$361,MATCH(OrderLines!$I$1,Orders!$A$1:$H$1,0),0)</f>
        <v>7.0000000000000007E-2</v>
      </c>
      <c r="J332" s="14">
        <f t="shared" si="16"/>
        <v>217.24799999999999</v>
      </c>
      <c r="K332" s="28" t="str">
        <f t="shared" si="17"/>
        <v>July</v>
      </c>
      <c r="L332" s="14" t="str">
        <f>VLOOKUP(OrderLines!$A332,Orders!$A$1:$H$361,MATCH(OrderLines!$L$1,Orders!$A$1:$H$1,0),0)</f>
        <v>Dinner</v>
      </c>
      <c r="M332" t="str">
        <f>VLOOKUP($A332,Orders!$A$1:$H$361,MATCH(OrderLines!$M$1,Orders!$A$1:$H$1,0),0)</f>
        <v>Cash</v>
      </c>
      <c r="N332" t="str">
        <f t="shared" si="15"/>
        <v>Single</v>
      </c>
      <c r="O332" t="str" cm="1">
        <f t="array" ref="O332">IF((SUMPRODUCT((OrderID=OrderLines!$A332)*Qty*UnitPrice*DiscountPct))&gt;40,"HighDisc","OK")</f>
        <v>OK</v>
      </c>
      <c r="P332">
        <f>(orderlinesTABLE[[#This Row],[UnitCost]]*orderlinesTABLE[[#This Row],[Qty]])</f>
        <v>97.94</v>
      </c>
      <c r="Q332">
        <f>(orderlinesTABLE[[#This Row],[LineNetAmount]]-orderlinesTABLE[[#This Row],[totalCOST]])</f>
        <v>119.30799999999999</v>
      </c>
      <c r="R332" t="str">
        <f>VLOOKUP($B332,Menu!$A$1:$F$20,MATCH(OrderLines!R$1,Menu!$A$1:$F$1,0),0)</f>
        <v>Brownie</v>
      </c>
      <c r="S332" t="str" cm="1">
        <f t="array" ref="S332">_xlfn.TEXTJOIN("+",TRUE,_xlfn._xlws.FILTER(orderlinesTABLE[ItemName],OrderID=orderlinesTABLE[[#This Row],[OrderID]]))</f>
        <v>Chicken Thali+Brownie</v>
      </c>
      <c r="T332" s="54">
        <f>orderlinesTABLE[[#This Row],[Profit]]/orderlinesTABLE[[#This Row],[LineNetAmount]]</f>
        <v>0.54917881867727203</v>
      </c>
      <c r="U332" s="70">
        <f>(orderlinesTABLE[[#This Row],[Qty]]*orderlinesTABLE[[#This Row],[UnitCost]])</f>
        <v>97.94</v>
      </c>
    </row>
    <row r="333" spans="1:21" x14ac:dyDescent="0.3">
      <c r="A333" s="15" t="s">
        <v>170</v>
      </c>
      <c r="B333" s="15" t="s">
        <v>409</v>
      </c>
      <c r="C333" s="15">
        <v>1</v>
      </c>
      <c r="D333" s="36">
        <f>VLOOKUP($B333,Menu!$A$1:$F$20,MATCH($D$1,Menu!$A$1:$F$1,0),0)</f>
        <v>28.43</v>
      </c>
      <c r="E333" s="15" t="str">
        <f>VLOOKUP($B333,Menu!$A$1:$F$20,MATCH(OrderLines!E$1,Menu!$A$1:$F$1,0),0)</f>
        <v>Beverage</v>
      </c>
      <c r="F333" s="36">
        <f>VLOOKUP($B333,Menu!$A$1:$F$20,MATCH(OrderLines!F$1,Menu!$A$1:$F$1,0),0)</f>
        <v>13.89</v>
      </c>
      <c r="G333" s="27">
        <f>VLOOKUP($A333,Orders!$A$1:$H$361,MATCH($G$1,Orders!$A$1:$H$1,0),0)</f>
        <v>45850</v>
      </c>
      <c r="H333" s="15" t="str">
        <f>VLOOKUP($A333,Orders!$A$1:$H$361,MATCH(OrderLines!$H$1,Orders!$A$1:$H$1,0),0)</f>
        <v>Head Office Café</v>
      </c>
      <c r="I333" s="15">
        <f>VLOOKUP($A333,Orders!$A$1:$H$361,MATCH(OrderLines!$I$1,Orders!$A$1:$H$1,0),0)</f>
        <v>7.0000000000000007E-2</v>
      </c>
      <c r="J333" s="15">
        <f t="shared" si="16"/>
        <v>26.439899999999998</v>
      </c>
      <c r="K333" s="27" t="str">
        <f t="shared" si="17"/>
        <v>July</v>
      </c>
      <c r="L333" s="15" t="str">
        <f>VLOOKUP(OrderLines!$A333,Orders!$A$1:$H$361,MATCH(OrderLines!$L$1,Orders!$A$1:$H$1,0),0)</f>
        <v>Dinner</v>
      </c>
      <c r="M333" t="str">
        <f>VLOOKUP($A333,Orders!$A$1:$H$361,MATCH(OrderLines!$M$1,Orders!$A$1:$H$1,0),0)</f>
        <v>UPI</v>
      </c>
      <c r="N333" t="str">
        <f t="shared" si="15"/>
        <v>Single</v>
      </c>
      <c r="O333" t="str" cm="1">
        <f t="array" ref="O333">IF((SUMPRODUCT((OrderID=OrderLines!$A333)*Qty*UnitPrice*DiscountPct))&gt;40,"HighDisc","OK")</f>
        <v>OK</v>
      </c>
      <c r="P333">
        <f>(orderlinesTABLE[[#This Row],[UnitCost]]*orderlinesTABLE[[#This Row],[Qty]])</f>
        <v>13.89</v>
      </c>
      <c r="Q333">
        <f>(orderlinesTABLE[[#This Row],[LineNetAmount]]-orderlinesTABLE[[#This Row],[totalCOST]])</f>
        <v>12.549899999999997</v>
      </c>
      <c r="R333" t="str">
        <f>VLOOKUP($B333,Menu!$A$1:$F$20,MATCH(OrderLines!R$1,Menu!$A$1:$F$1,0),0)</f>
        <v>Bottled Water</v>
      </c>
      <c r="S333" t="str" cm="1">
        <f t="array" ref="S333">_xlfn.TEXTJOIN("+",TRUE,_xlfn._xlws.FILTER(orderlinesTABLE[ItemName],OrderID=orderlinesTABLE[[#This Row],[OrderID]]))</f>
        <v>Bottled Water+Fruit Cup+Brownie</v>
      </c>
      <c r="T333" s="54">
        <f>orderlinesTABLE[[#This Row],[Profit]]/orderlinesTABLE[[#This Row],[LineNetAmount]]</f>
        <v>0.47465761973381132</v>
      </c>
      <c r="U333" s="70">
        <f>(orderlinesTABLE[[#This Row],[Qty]]*orderlinesTABLE[[#This Row],[UnitCost]])</f>
        <v>13.89</v>
      </c>
    </row>
    <row r="334" spans="1:21" x14ac:dyDescent="0.3">
      <c r="A334" s="14" t="s">
        <v>170</v>
      </c>
      <c r="B334" s="14" t="s">
        <v>412</v>
      </c>
      <c r="C334" s="14">
        <v>2</v>
      </c>
      <c r="D334" s="37">
        <f>VLOOKUP($B334,Menu!$A$1:$F$20,MATCH($D$1,Menu!$A$1:$F$1,0),0)</f>
        <v>57.07</v>
      </c>
      <c r="E334" s="14" t="str">
        <f>VLOOKUP($B334,Menu!$A$1:$F$20,MATCH(OrderLines!E$1,Menu!$A$1:$F$1,0),0)</f>
        <v>Dessert</v>
      </c>
      <c r="F334" s="37">
        <f>VLOOKUP($B334,Menu!$A$1:$F$20,MATCH(OrderLines!F$1,Menu!$A$1:$F$1,0),0)</f>
        <v>29.14</v>
      </c>
      <c r="G334" s="28">
        <f>VLOOKUP($A334,Orders!$A$1:$H$361,MATCH($G$1,Orders!$A$1:$H$1,0),0)</f>
        <v>45850</v>
      </c>
      <c r="H334" s="14" t="str">
        <f>VLOOKUP($A334,Orders!$A$1:$H$361,MATCH(OrderLines!$H$1,Orders!$A$1:$H$1,0),0)</f>
        <v>Head Office Café</v>
      </c>
      <c r="I334" s="14">
        <f>VLOOKUP($A334,Orders!$A$1:$H$361,MATCH(OrderLines!$I$1,Orders!$A$1:$H$1,0),0)</f>
        <v>7.0000000000000007E-2</v>
      </c>
      <c r="J334" s="14">
        <f t="shared" si="16"/>
        <v>106.1502</v>
      </c>
      <c r="K334" s="28" t="str">
        <f t="shared" si="17"/>
        <v>July</v>
      </c>
      <c r="L334" s="14" t="str">
        <f>VLOOKUP(OrderLines!$A334,Orders!$A$1:$H$361,MATCH(OrderLines!$L$1,Orders!$A$1:$H$1,0),0)</f>
        <v>Dinner</v>
      </c>
      <c r="M334" t="str">
        <f>VLOOKUP($A334,Orders!$A$1:$H$361,MATCH(OrderLines!$M$1,Orders!$A$1:$H$1,0),0)</f>
        <v>UPI</v>
      </c>
      <c r="N334" t="str">
        <f t="shared" si="15"/>
        <v>Single</v>
      </c>
      <c r="O334" t="str" cm="1">
        <f t="array" ref="O334">IF((SUMPRODUCT((OrderID=OrderLines!$A334)*Qty*UnitPrice*DiscountPct))&gt;40,"HighDisc","OK")</f>
        <v>OK</v>
      </c>
      <c r="P334">
        <f>(orderlinesTABLE[[#This Row],[UnitCost]]*orderlinesTABLE[[#This Row],[Qty]])</f>
        <v>58.28</v>
      </c>
      <c r="Q334">
        <f>(orderlinesTABLE[[#This Row],[LineNetAmount]]-orderlinesTABLE[[#This Row],[totalCOST]])</f>
        <v>47.870199999999997</v>
      </c>
      <c r="R334" t="str">
        <f>VLOOKUP($B334,Menu!$A$1:$F$20,MATCH(OrderLines!R$1,Menu!$A$1:$F$1,0),0)</f>
        <v>Fruit Cup</v>
      </c>
      <c r="S334" t="str" cm="1">
        <f t="array" ref="S334">_xlfn.TEXTJOIN("+",TRUE,_xlfn._xlws.FILTER(orderlinesTABLE[ItemName],OrderID=orderlinesTABLE[[#This Row],[OrderID]]))</f>
        <v>Bottled Water+Fruit Cup+Brownie</v>
      </c>
      <c r="T334" s="54">
        <f>orderlinesTABLE[[#This Row],[Profit]]/orderlinesTABLE[[#This Row],[LineNetAmount]]</f>
        <v>0.45096664914432566</v>
      </c>
      <c r="U334" s="70">
        <f>(orderlinesTABLE[[#This Row],[Qty]]*orderlinesTABLE[[#This Row],[UnitCost]])</f>
        <v>58.28</v>
      </c>
    </row>
    <row r="335" spans="1:21" x14ac:dyDescent="0.3">
      <c r="A335" s="15" t="s">
        <v>170</v>
      </c>
      <c r="B335" s="15" t="s">
        <v>414</v>
      </c>
      <c r="C335" s="15">
        <v>2</v>
      </c>
      <c r="D335" s="36">
        <f>VLOOKUP($B335,Menu!$A$1:$F$20,MATCH($D$1,Menu!$A$1:$F$1,0),0)</f>
        <v>116.8</v>
      </c>
      <c r="E335" s="15" t="str">
        <f>VLOOKUP($B335,Menu!$A$1:$F$20,MATCH(OrderLines!E$1,Menu!$A$1:$F$1,0),0)</f>
        <v>Dessert</v>
      </c>
      <c r="F335" s="36">
        <f>VLOOKUP($B335,Menu!$A$1:$F$20,MATCH(OrderLines!F$1,Menu!$A$1:$F$1,0),0)</f>
        <v>48.97</v>
      </c>
      <c r="G335" s="27">
        <f>VLOOKUP($A335,Orders!$A$1:$H$361,MATCH($G$1,Orders!$A$1:$H$1,0),0)</f>
        <v>45850</v>
      </c>
      <c r="H335" s="15" t="str">
        <f>VLOOKUP($A335,Orders!$A$1:$H$361,MATCH(OrderLines!$H$1,Orders!$A$1:$H$1,0),0)</f>
        <v>Head Office Café</v>
      </c>
      <c r="I335" s="15">
        <f>VLOOKUP($A335,Orders!$A$1:$H$361,MATCH(OrderLines!$I$1,Orders!$A$1:$H$1,0),0)</f>
        <v>7.0000000000000007E-2</v>
      </c>
      <c r="J335" s="15">
        <f t="shared" si="16"/>
        <v>217.24799999999999</v>
      </c>
      <c r="K335" s="27" t="str">
        <f t="shared" si="17"/>
        <v>July</v>
      </c>
      <c r="L335" s="15" t="str">
        <f>VLOOKUP(OrderLines!$A335,Orders!$A$1:$H$361,MATCH(OrderLines!$L$1,Orders!$A$1:$H$1,0),0)</f>
        <v>Dinner</v>
      </c>
      <c r="M335" t="str">
        <f>VLOOKUP($A335,Orders!$A$1:$H$361,MATCH(OrderLines!$M$1,Orders!$A$1:$H$1,0),0)</f>
        <v>UPI</v>
      </c>
      <c r="N335" t="str">
        <f t="shared" si="15"/>
        <v>Single</v>
      </c>
      <c r="O335" t="str" cm="1">
        <f t="array" ref="O335">IF((SUMPRODUCT((OrderID=OrderLines!$A335)*Qty*UnitPrice*DiscountPct))&gt;40,"HighDisc","OK")</f>
        <v>OK</v>
      </c>
      <c r="P335">
        <f>(orderlinesTABLE[[#This Row],[UnitCost]]*orderlinesTABLE[[#This Row],[Qty]])</f>
        <v>97.94</v>
      </c>
      <c r="Q335">
        <f>(orderlinesTABLE[[#This Row],[LineNetAmount]]-orderlinesTABLE[[#This Row],[totalCOST]])</f>
        <v>119.30799999999999</v>
      </c>
      <c r="R335" t="str">
        <f>VLOOKUP($B335,Menu!$A$1:$F$20,MATCH(OrderLines!R$1,Menu!$A$1:$F$1,0),0)</f>
        <v>Brownie</v>
      </c>
      <c r="S335" t="str" cm="1">
        <f t="array" ref="S335">_xlfn.TEXTJOIN("+",TRUE,_xlfn._xlws.FILTER(orderlinesTABLE[ItemName],OrderID=orderlinesTABLE[[#This Row],[OrderID]]))</f>
        <v>Bottled Water+Fruit Cup+Brownie</v>
      </c>
      <c r="T335" s="54">
        <f>orderlinesTABLE[[#This Row],[Profit]]/orderlinesTABLE[[#This Row],[LineNetAmount]]</f>
        <v>0.54917881867727203</v>
      </c>
      <c r="U335" s="70">
        <f>(orderlinesTABLE[[#This Row],[Qty]]*orderlinesTABLE[[#This Row],[UnitCost]])</f>
        <v>97.94</v>
      </c>
    </row>
    <row r="336" spans="1:21" x14ac:dyDescent="0.3">
      <c r="A336" s="14" t="s">
        <v>171</v>
      </c>
      <c r="B336" s="14" t="s">
        <v>404</v>
      </c>
      <c r="C336" s="14">
        <v>3</v>
      </c>
      <c r="D336" s="37">
        <f>VLOOKUP($B336,Menu!$A$1:$F$20,MATCH($D$1,Menu!$A$1:$F$1,0),0)</f>
        <v>32.979999999999997</v>
      </c>
      <c r="E336" s="14" t="str">
        <f>VLOOKUP($B336,Menu!$A$1:$F$20,MATCH(OrderLines!E$1,Menu!$A$1:$F$1,0),0)</f>
        <v>Beverage</v>
      </c>
      <c r="F336" s="37">
        <f>VLOOKUP($B336,Menu!$A$1:$F$20,MATCH(OrderLines!F$1,Menu!$A$1:$F$1,0),0)</f>
        <v>11.84</v>
      </c>
      <c r="G336" s="28">
        <f>VLOOKUP($A336,Orders!$A$1:$H$361,MATCH($G$1,Orders!$A$1:$H$1,0),0)</f>
        <v>45889</v>
      </c>
      <c r="H336" s="14" t="str">
        <f>VLOOKUP($A336,Orders!$A$1:$H$361,MATCH(OrderLines!$H$1,Orders!$A$1:$H$1,0),0)</f>
        <v>Plant 2 Canteen</v>
      </c>
      <c r="I336" s="14">
        <f>VLOOKUP($A336,Orders!$A$1:$H$361,MATCH(OrderLines!$I$1,Orders!$A$1:$H$1,0),0)</f>
        <v>0.09</v>
      </c>
      <c r="J336" s="14">
        <f t="shared" si="16"/>
        <v>90.035399999999996</v>
      </c>
      <c r="K336" s="28" t="str">
        <f t="shared" si="17"/>
        <v>August</v>
      </c>
      <c r="L336" s="14" t="str">
        <f>VLOOKUP(OrderLines!$A336,Orders!$A$1:$H$361,MATCH(OrderLines!$L$1,Orders!$A$1:$H$1,0),0)</f>
        <v>Dinner</v>
      </c>
      <c r="M336" t="str">
        <f>VLOOKUP($A336,Orders!$A$1:$H$361,MATCH(OrderLines!$M$1,Orders!$A$1:$H$1,0),0)</f>
        <v>Card</v>
      </c>
      <c r="N336" t="str">
        <f t="shared" si="15"/>
        <v>Single</v>
      </c>
      <c r="O336" t="str" cm="1">
        <f t="array" ref="O336">IF((SUMPRODUCT((OrderID=OrderLines!$A336)*Qty*UnitPrice*DiscountPct))&gt;40,"HighDisc","OK")</f>
        <v>OK</v>
      </c>
      <c r="P336">
        <f>(orderlinesTABLE[[#This Row],[UnitCost]]*orderlinesTABLE[[#This Row],[Qty]])</f>
        <v>35.519999999999996</v>
      </c>
      <c r="Q336">
        <f>(orderlinesTABLE[[#This Row],[LineNetAmount]]-orderlinesTABLE[[#This Row],[totalCOST]])</f>
        <v>54.5154</v>
      </c>
      <c r="R336" t="str">
        <f>VLOOKUP($B336,Menu!$A$1:$F$20,MATCH(OrderLines!R$1,Menu!$A$1:$F$1,0),0)</f>
        <v>Masala Chaas</v>
      </c>
      <c r="S336" t="str" cm="1">
        <f t="array" ref="S336">_xlfn.TEXTJOIN("+",TRUE,_xlfn._xlws.FILTER(orderlinesTABLE[ItemName],OrderID=orderlinesTABLE[[#This Row],[OrderID]]))</f>
        <v>Masala Chaas</v>
      </c>
      <c r="T336" s="54">
        <f>orderlinesTABLE[[#This Row],[Profit]]/orderlinesTABLE[[#This Row],[LineNetAmount]]</f>
        <v>0.60548850785357766</v>
      </c>
      <c r="U336" s="70">
        <f>(orderlinesTABLE[[#This Row],[Qty]]*orderlinesTABLE[[#This Row],[UnitCost]])</f>
        <v>35.519999999999996</v>
      </c>
    </row>
    <row r="337" spans="1:21" x14ac:dyDescent="0.3">
      <c r="A337" s="15" t="s">
        <v>172</v>
      </c>
      <c r="B337" s="15" t="s">
        <v>412</v>
      </c>
      <c r="C337" s="15">
        <v>2</v>
      </c>
      <c r="D337" s="36">
        <f>VLOOKUP($B337,Menu!$A$1:$F$20,MATCH($D$1,Menu!$A$1:$F$1,0),0)</f>
        <v>57.07</v>
      </c>
      <c r="E337" s="15" t="str">
        <f>VLOOKUP($B337,Menu!$A$1:$F$20,MATCH(OrderLines!E$1,Menu!$A$1:$F$1,0),0)</f>
        <v>Dessert</v>
      </c>
      <c r="F337" s="36">
        <f>VLOOKUP($B337,Menu!$A$1:$F$20,MATCH(OrderLines!F$1,Menu!$A$1:$F$1,0),0)</f>
        <v>29.14</v>
      </c>
      <c r="G337" s="27">
        <f>VLOOKUP($A337,Orders!$A$1:$H$361,MATCH($G$1,Orders!$A$1:$H$1,0),0)</f>
        <v>45896</v>
      </c>
      <c r="H337" s="15" t="str">
        <f>VLOOKUP($A337,Orders!$A$1:$H$361,MATCH(OrderLines!$H$1,Orders!$A$1:$H$1,0),0)</f>
        <v>Plant 2 Canteen</v>
      </c>
      <c r="I337" s="15">
        <f>VLOOKUP($A337,Orders!$A$1:$H$361,MATCH(OrderLines!$I$1,Orders!$A$1:$H$1,0),0)</f>
        <v>0.06</v>
      </c>
      <c r="J337" s="15">
        <f t="shared" si="16"/>
        <v>107.29159999999999</v>
      </c>
      <c r="K337" s="27" t="str">
        <f t="shared" si="17"/>
        <v>August</v>
      </c>
      <c r="L337" s="15" t="str">
        <f>VLOOKUP(OrderLines!$A337,Orders!$A$1:$H$361,MATCH(OrderLines!$L$1,Orders!$A$1:$H$1,0),0)</f>
        <v>Breakfast</v>
      </c>
      <c r="M337" t="str">
        <f>VLOOKUP($A337,Orders!$A$1:$H$361,MATCH(OrderLines!$M$1,Orders!$A$1:$H$1,0),0)</f>
        <v>UPI</v>
      </c>
      <c r="N337" t="str">
        <f t="shared" si="15"/>
        <v>Single</v>
      </c>
      <c r="O337" t="str" cm="1">
        <f t="array" ref="O337">IF((SUMPRODUCT((OrderID=OrderLines!$A337)*Qty*UnitPrice*DiscountPct))&gt;40,"HighDisc","OK")</f>
        <v>OK</v>
      </c>
      <c r="P337">
        <f>(orderlinesTABLE[[#This Row],[UnitCost]]*orderlinesTABLE[[#This Row],[Qty]])</f>
        <v>58.28</v>
      </c>
      <c r="Q337">
        <f>(orderlinesTABLE[[#This Row],[LineNetAmount]]-orderlinesTABLE[[#This Row],[totalCOST]])</f>
        <v>49.011599999999987</v>
      </c>
      <c r="R337" t="str">
        <f>VLOOKUP($B337,Menu!$A$1:$F$20,MATCH(OrderLines!R$1,Menu!$A$1:$F$1,0),0)</f>
        <v>Fruit Cup</v>
      </c>
      <c r="S337" t="str" cm="1">
        <f t="array" ref="S337">_xlfn.TEXTJOIN("+",TRUE,_xlfn._xlws.FILTER(orderlinesTABLE[ItemName],OrderID=orderlinesTABLE[[#This Row],[OrderID]]))</f>
        <v>Fruit Cup+Nimbu Pani+Masala Chaas</v>
      </c>
      <c r="T337" s="54">
        <f>orderlinesTABLE[[#This Row],[Profit]]/orderlinesTABLE[[#This Row],[LineNetAmount]]</f>
        <v>0.45680742947257746</v>
      </c>
      <c r="U337" s="70">
        <f>(orderlinesTABLE[[#This Row],[Qty]]*orderlinesTABLE[[#This Row],[UnitCost]])</f>
        <v>58.28</v>
      </c>
    </row>
    <row r="338" spans="1:21" x14ac:dyDescent="0.3">
      <c r="A338" s="14" t="s">
        <v>172</v>
      </c>
      <c r="B338" s="14" t="s">
        <v>410</v>
      </c>
      <c r="C338" s="14">
        <v>1</v>
      </c>
      <c r="D338" s="37">
        <f>VLOOKUP($B338,Menu!$A$1:$F$20,MATCH($D$1,Menu!$A$1:$F$1,0),0)</f>
        <v>20.11</v>
      </c>
      <c r="E338" s="14" t="str">
        <f>VLOOKUP($B338,Menu!$A$1:$F$20,MATCH(OrderLines!E$1,Menu!$A$1:$F$1,0),0)</f>
        <v>Beverage</v>
      </c>
      <c r="F338" s="37">
        <f>VLOOKUP($B338,Menu!$A$1:$F$20,MATCH(OrderLines!F$1,Menu!$A$1:$F$1,0),0)</f>
        <v>8</v>
      </c>
      <c r="G338" s="28">
        <f>VLOOKUP($A338,Orders!$A$1:$H$361,MATCH($G$1,Orders!$A$1:$H$1,0),0)</f>
        <v>45896</v>
      </c>
      <c r="H338" s="14" t="str">
        <f>VLOOKUP($A338,Orders!$A$1:$H$361,MATCH(OrderLines!$H$1,Orders!$A$1:$H$1,0),0)</f>
        <v>Plant 2 Canteen</v>
      </c>
      <c r="I338" s="14">
        <f>VLOOKUP($A338,Orders!$A$1:$H$361,MATCH(OrderLines!$I$1,Orders!$A$1:$H$1,0),0)</f>
        <v>0.06</v>
      </c>
      <c r="J338" s="14">
        <f t="shared" si="16"/>
        <v>18.903399999999998</v>
      </c>
      <c r="K338" s="28" t="str">
        <f t="shared" si="17"/>
        <v>August</v>
      </c>
      <c r="L338" s="14" t="str">
        <f>VLOOKUP(OrderLines!$A338,Orders!$A$1:$H$361,MATCH(OrderLines!$L$1,Orders!$A$1:$H$1,0),0)</f>
        <v>Breakfast</v>
      </c>
      <c r="M338" t="str">
        <f>VLOOKUP($A338,Orders!$A$1:$H$361,MATCH(OrderLines!$M$1,Orders!$A$1:$H$1,0),0)</f>
        <v>UPI</v>
      </c>
      <c r="N338" t="str">
        <f t="shared" si="15"/>
        <v>Single</v>
      </c>
      <c r="O338" t="str" cm="1">
        <f t="array" ref="O338">IF((SUMPRODUCT((OrderID=OrderLines!$A338)*Qty*UnitPrice*DiscountPct))&gt;40,"HighDisc","OK")</f>
        <v>OK</v>
      </c>
      <c r="P338">
        <f>(orderlinesTABLE[[#This Row],[UnitCost]]*orderlinesTABLE[[#This Row],[Qty]])</f>
        <v>8</v>
      </c>
      <c r="Q338">
        <f>(orderlinesTABLE[[#This Row],[LineNetAmount]]-orderlinesTABLE[[#This Row],[totalCOST]])</f>
        <v>10.903399999999998</v>
      </c>
      <c r="R338" t="str">
        <f>VLOOKUP($B338,Menu!$A$1:$F$20,MATCH(OrderLines!R$1,Menu!$A$1:$F$1,0),0)</f>
        <v>Nimbu Pani</v>
      </c>
      <c r="S338" t="str" cm="1">
        <f t="array" ref="S338">_xlfn.TEXTJOIN("+",TRUE,_xlfn._xlws.FILTER(orderlinesTABLE[ItemName],OrderID=orderlinesTABLE[[#This Row],[OrderID]]))</f>
        <v>Fruit Cup+Nimbu Pani+Masala Chaas</v>
      </c>
      <c r="T338" s="54">
        <f>orderlinesTABLE[[#This Row],[Profit]]/orderlinesTABLE[[#This Row],[LineNetAmount]]</f>
        <v>0.57679570870848629</v>
      </c>
      <c r="U338" s="70">
        <f>(orderlinesTABLE[[#This Row],[Qty]]*orderlinesTABLE[[#This Row],[UnitCost]])</f>
        <v>8</v>
      </c>
    </row>
    <row r="339" spans="1:21" x14ac:dyDescent="0.3">
      <c r="A339" s="15" t="s">
        <v>172</v>
      </c>
      <c r="B339" s="15" t="s">
        <v>404</v>
      </c>
      <c r="C339" s="15">
        <v>2</v>
      </c>
      <c r="D339" s="36">
        <f>VLOOKUP($B339,Menu!$A$1:$F$20,MATCH($D$1,Menu!$A$1:$F$1,0),0)</f>
        <v>32.979999999999997</v>
      </c>
      <c r="E339" s="15" t="str">
        <f>VLOOKUP($B339,Menu!$A$1:$F$20,MATCH(OrderLines!E$1,Menu!$A$1:$F$1,0),0)</f>
        <v>Beverage</v>
      </c>
      <c r="F339" s="36">
        <f>VLOOKUP($B339,Menu!$A$1:$F$20,MATCH(OrderLines!F$1,Menu!$A$1:$F$1,0),0)</f>
        <v>11.84</v>
      </c>
      <c r="G339" s="27">
        <f>VLOOKUP($A339,Orders!$A$1:$H$361,MATCH($G$1,Orders!$A$1:$H$1,0),0)</f>
        <v>45896</v>
      </c>
      <c r="H339" s="15" t="str">
        <f>VLOOKUP($A339,Orders!$A$1:$H$361,MATCH(OrderLines!$H$1,Orders!$A$1:$H$1,0),0)</f>
        <v>Plant 2 Canteen</v>
      </c>
      <c r="I339" s="15">
        <f>VLOOKUP($A339,Orders!$A$1:$H$361,MATCH(OrderLines!$I$1,Orders!$A$1:$H$1,0),0)</f>
        <v>0.06</v>
      </c>
      <c r="J339" s="15">
        <f t="shared" si="16"/>
        <v>62.002399999999987</v>
      </c>
      <c r="K339" s="27" t="str">
        <f t="shared" si="17"/>
        <v>August</v>
      </c>
      <c r="L339" s="15" t="str">
        <f>VLOOKUP(OrderLines!$A339,Orders!$A$1:$H$361,MATCH(OrderLines!$L$1,Orders!$A$1:$H$1,0),0)</f>
        <v>Breakfast</v>
      </c>
      <c r="M339" t="str">
        <f>VLOOKUP($A339,Orders!$A$1:$H$361,MATCH(OrderLines!$M$1,Orders!$A$1:$H$1,0),0)</f>
        <v>UPI</v>
      </c>
      <c r="N339" t="str">
        <f t="shared" si="15"/>
        <v>Single</v>
      </c>
      <c r="O339" t="str" cm="1">
        <f t="array" ref="O339">IF((SUMPRODUCT((OrderID=OrderLines!$A339)*Qty*UnitPrice*DiscountPct))&gt;40,"HighDisc","OK")</f>
        <v>OK</v>
      </c>
      <c r="P339">
        <f>(orderlinesTABLE[[#This Row],[UnitCost]]*orderlinesTABLE[[#This Row],[Qty]])</f>
        <v>23.68</v>
      </c>
      <c r="Q339">
        <f>(orderlinesTABLE[[#This Row],[LineNetAmount]]-orderlinesTABLE[[#This Row],[totalCOST]])</f>
        <v>38.322399999999988</v>
      </c>
      <c r="R339" t="str">
        <f>VLOOKUP($B339,Menu!$A$1:$F$20,MATCH(OrderLines!R$1,Menu!$A$1:$F$1,0),0)</f>
        <v>Masala Chaas</v>
      </c>
      <c r="S339" t="str" cm="1">
        <f t="array" ref="S339">_xlfn.TEXTJOIN("+",TRUE,_xlfn._xlws.FILTER(orderlinesTABLE[ItemName],OrderID=orderlinesTABLE[[#This Row],[OrderID]]))</f>
        <v>Fruit Cup+Nimbu Pani+Masala Chaas</v>
      </c>
      <c r="T339" s="54">
        <f>orderlinesTABLE[[#This Row],[Profit]]/orderlinesTABLE[[#This Row],[LineNetAmount]]</f>
        <v>0.61807930015612289</v>
      </c>
      <c r="U339" s="70">
        <f>(orderlinesTABLE[[#This Row],[Qty]]*orderlinesTABLE[[#This Row],[UnitCost]])</f>
        <v>23.68</v>
      </c>
    </row>
    <row r="340" spans="1:21" x14ac:dyDescent="0.3">
      <c r="A340" s="14" t="s">
        <v>173</v>
      </c>
      <c r="B340" s="14" t="s">
        <v>401</v>
      </c>
      <c r="C340" s="14">
        <v>2</v>
      </c>
      <c r="D340" s="37">
        <f>VLOOKUP($B340,Menu!$A$1:$F$20,MATCH($D$1,Menu!$A$1:$F$1,0),0)</f>
        <v>52.45</v>
      </c>
      <c r="E340" s="14" t="str">
        <f>VLOOKUP($B340,Menu!$A$1:$F$20,MATCH(OrderLines!E$1,Menu!$A$1:$F$1,0),0)</f>
        <v>Snack</v>
      </c>
      <c r="F340" s="37">
        <f>VLOOKUP($B340,Menu!$A$1:$F$20,MATCH(OrderLines!F$1,Menu!$A$1:$F$1,0),0)</f>
        <v>25.8</v>
      </c>
      <c r="G340" s="28">
        <f>VLOOKUP($A340,Orders!$A$1:$H$361,MATCH($G$1,Orders!$A$1:$H$1,0),0)</f>
        <v>45898</v>
      </c>
      <c r="H340" s="14" t="str">
        <f>VLOOKUP($A340,Orders!$A$1:$H$361,MATCH(OrderLines!$H$1,Orders!$A$1:$H$1,0),0)</f>
        <v>Head Office Café</v>
      </c>
      <c r="I340" s="14">
        <f>VLOOKUP($A340,Orders!$A$1:$H$361,MATCH(OrderLines!$I$1,Orders!$A$1:$H$1,0),0)</f>
        <v>0.12</v>
      </c>
      <c r="J340" s="14">
        <f t="shared" si="16"/>
        <v>92.312000000000012</v>
      </c>
      <c r="K340" s="28" t="str">
        <f t="shared" si="17"/>
        <v>August</v>
      </c>
      <c r="L340" s="14" t="str">
        <f>VLOOKUP(OrderLines!$A340,Orders!$A$1:$H$361,MATCH(OrderLines!$L$1,Orders!$A$1:$H$1,0),0)</f>
        <v>Breakfast</v>
      </c>
      <c r="M340" t="str">
        <f>VLOOKUP($A340,Orders!$A$1:$H$361,MATCH(OrderLines!$M$1,Orders!$A$1:$H$1,0),0)</f>
        <v>Cash</v>
      </c>
      <c r="N340" t="str">
        <f t="shared" si="15"/>
        <v>Single</v>
      </c>
      <c r="O340" t="str" cm="1">
        <f t="array" ref="O340">IF((SUMPRODUCT((OrderID=OrderLines!$A340)*Qty*UnitPrice*DiscountPct))&gt;40,"HighDisc","OK")</f>
        <v>HighDisc</v>
      </c>
      <c r="P340">
        <f>(orderlinesTABLE[[#This Row],[UnitCost]]*orderlinesTABLE[[#This Row],[Qty]])</f>
        <v>51.6</v>
      </c>
      <c r="Q340">
        <f>(orderlinesTABLE[[#This Row],[LineNetAmount]]-orderlinesTABLE[[#This Row],[totalCOST]])</f>
        <v>40.71200000000001</v>
      </c>
      <c r="R340" t="str">
        <f>VLOOKUP($B340,Menu!$A$1:$F$20,MATCH(OrderLines!R$1,Menu!$A$1:$F$1,0),0)</f>
        <v>Poha</v>
      </c>
      <c r="S340" t="str" cm="1">
        <f t="array" ref="S340">_xlfn.TEXTJOIN("+",TRUE,_xlfn._xlws.FILTER(orderlinesTABLE[ItemName],OrderID=orderlinesTABLE[[#This Row],[OrderID]]))</f>
        <v>Poha+Veg Thali</v>
      </c>
      <c r="T340" s="54">
        <f>orderlinesTABLE[[#This Row],[Profit]]/orderlinesTABLE[[#This Row],[LineNetAmount]]</f>
        <v>0.44102608544934574</v>
      </c>
      <c r="U340" s="70">
        <f>(orderlinesTABLE[[#This Row],[Qty]]*orderlinesTABLE[[#This Row],[UnitCost]])</f>
        <v>51.6</v>
      </c>
    </row>
    <row r="341" spans="1:21" x14ac:dyDescent="0.3">
      <c r="A341" s="15" t="s">
        <v>173</v>
      </c>
      <c r="B341" s="15" t="s">
        <v>416</v>
      </c>
      <c r="C341" s="15">
        <v>2</v>
      </c>
      <c r="D341" s="36">
        <f>VLOOKUP($B341,Menu!$A$1:$F$20,MATCH($D$1,Menu!$A$1:$F$1,0),0)</f>
        <v>227.61</v>
      </c>
      <c r="E341" s="15" t="str">
        <f>VLOOKUP($B341,Menu!$A$1:$F$20,MATCH(OrderLines!E$1,Menu!$A$1:$F$1,0),0)</f>
        <v>Hot Meal</v>
      </c>
      <c r="F341" s="36">
        <f>VLOOKUP($B341,Menu!$A$1:$F$20,MATCH(OrderLines!F$1,Menu!$A$1:$F$1,0),0)</f>
        <v>96.22</v>
      </c>
      <c r="G341" s="27">
        <f>VLOOKUP($A341,Orders!$A$1:$H$361,MATCH($G$1,Orders!$A$1:$H$1,0),0)</f>
        <v>45898</v>
      </c>
      <c r="H341" s="15" t="str">
        <f>VLOOKUP($A341,Orders!$A$1:$H$361,MATCH(OrderLines!$H$1,Orders!$A$1:$H$1,0),0)</f>
        <v>Head Office Café</v>
      </c>
      <c r="I341" s="15">
        <f>VLOOKUP($A341,Orders!$A$1:$H$361,MATCH(OrderLines!$I$1,Orders!$A$1:$H$1,0),0)</f>
        <v>0.12</v>
      </c>
      <c r="J341" s="15">
        <f t="shared" si="16"/>
        <v>400.59360000000004</v>
      </c>
      <c r="K341" s="27" t="str">
        <f t="shared" si="17"/>
        <v>August</v>
      </c>
      <c r="L341" s="15" t="str">
        <f>VLOOKUP(OrderLines!$A341,Orders!$A$1:$H$361,MATCH(OrderLines!$L$1,Orders!$A$1:$H$1,0),0)</f>
        <v>Breakfast</v>
      </c>
      <c r="M341" t="str">
        <f>VLOOKUP($A341,Orders!$A$1:$H$361,MATCH(OrderLines!$M$1,Orders!$A$1:$H$1,0),0)</f>
        <v>Cash</v>
      </c>
      <c r="N341" t="str">
        <f t="shared" si="15"/>
        <v>Single</v>
      </c>
      <c r="O341" t="str" cm="1">
        <f t="array" ref="O341">IF((SUMPRODUCT((OrderID=OrderLines!$A341)*Qty*UnitPrice*DiscountPct))&gt;40,"HighDisc","OK")</f>
        <v>HighDisc</v>
      </c>
      <c r="P341">
        <f>(orderlinesTABLE[[#This Row],[UnitCost]]*orderlinesTABLE[[#This Row],[Qty]])</f>
        <v>192.44</v>
      </c>
      <c r="Q341">
        <f>(orderlinesTABLE[[#This Row],[LineNetAmount]]-orderlinesTABLE[[#This Row],[totalCOST]])</f>
        <v>208.15360000000004</v>
      </c>
      <c r="R341" t="str">
        <f>VLOOKUP($B341,Menu!$A$1:$F$20,MATCH(OrderLines!R$1,Menu!$A$1:$F$1,0),0)</f>
        <v>Veg Thali</v>
      </c>
      <c r="S341" t="str" cm="1">
        <f t="array" ref="S341">_xlfn.TEXTJOIN("+",TRUE,_xlfn._xlws.FILTER(orderlinesTABLE[ItemName],OrderID=orderlinesTABLE[[#This Row],[OrderID]]))</f>
        <v>Poha+Veg Thali</v>
      </c>
      <c r="T341" s="54">
        <f>orderlinesTABLE[[#This Row],[Profit]]/orderlinesTABLE[[#This Row],[LineNetAmount]]</f>
        <v>0.51961289446461456</v>
      </c>
      <c r="U341" s="70">
        <f>(orderlinesTABLE[[#This Row],[Qty]]*orderlinesTABLE[[#This Row],[UnitCost]])</f>
        <v>192.44</v>
      </c>
    </row>
    <row r="342" spans="1:21" x14ac:dyDescent="0.3">
      <c r="A342" s="14" t="s">
        <v>174</v>
      </c>
      <c r="B342" s="14" t="s">
        <v>411</v>
      </c>
      <c r="C342" s="14">
        <v>1</v>
      </c>
      <c r="D342" s="37">
        <f>VLOOKUP($B342,Menu!$A$1:$F$20,MATCH($D$1,Menu!$A$1:$F$1,0),0)</f>
        <v>22.2</v>
      </c>
      <c r="E342" s="14" t="str">
        <f>VLOOKUP($B342,Menu!$A$1:$F$20,MATCH(OrderLines!E$1,Menu!$A$1:$F$1,0),0)</f>
        <v>Beverage</v>
      </c>
      <c r="F342" s="37">
        <f>VLOOKUP($B342,Menu!$A$1:$F$20,MATCH(OrderLines!F$1,Menu!$A$1:$F$1,0),0)</f>
        <v>9.3800000000000008</v>
      </c>
      <c r="G342" s="28">
        <f>VLOOKUP($A342,Orders!$A$1:$H$361,MATCH($G$1,Orders!$A$1:$H$1,0),0)</f>
        <v>45864</v>
      </c>
      <c r="H342" s="14" t="str">
        <f>VLOOKUP($A342,Orders!$A$1:$H$361,MATCH(OrderLines!$H$1,Orders!$A$1:$H$1,0),0)</f>
        <v>Head Office Café</v>
      </c>
      <c r="I342" s="14">
        <f>VLOOKUP($A342,Orders!$A$1:$H$361,MATCH(OrderLines!$I$1,Orders!$A$1:$H$1,0),0)</f>
        <v>0.05</v>
      </c>
      <c r="J342" s="14">
        <f t="shared" si="16"/>
        <v>21.09</v>
      </c>
      <c r="K342" s="28" t="str">
        <f t="shared" si="17"/>
        <v>July</v>
      </c>
      <c r="L342" s="14" t="str">
        <f>VLOOKUP(OrderLines!$A342,Orders!$A$1:$H$361,MATCH(OrderLines!$L$1,Orders!$A$1:$H$1,0),0)</f>
        <v>Dinner</v>
      </c>
      <c r="M342" t="str">
        <f>VLOOKUP($A342,Orders!$A$1:$H$361,MATCH(OrderLines!$M$1,Orders!$A$1:$H$1,0),0)</f>
        <v>Cash</v>
      </c>
      <c r="N342" t="str">
        <f t="shared" si="15"/>
        <v>Combo</v>
      </c>
      <c r="O342" t="str" cm="1">
        <f t="array" ref="O342">IF((SUMPRODUCT((OrderID=OrderLines!$A342)*Qty*UnitPrice*DiscountPct))&gt;40,"HighDisc","OK")</f>
        <v>OK</v>
      </c>
      <c r="P342">
        <f>(orderlinesTABLE[[#This Row],[UnitCost]]*orderlinesTABLE[[#This Row],[Qty]])</f>
        <v>9.3800000000000008</v>
      </c>
      <c r="Q342">
        <f>(orderlinesTABLE[[#This Row],[LineNetAmount]]-orderlinesTABLE[[#This Row],[totalCOST]])</f>
        <v>11.709999999999999</v>
      </c>
      <c r="R342" t="str">
        <f>VLOOKUP($B342,Menu!$A$1:$F$20,MATCH(OrderLines!R$1,Menu!$A$1:$F$1,0),0)</f>
        <v>Coffee</v>
      </c>
      <c r="S342" t="str" cm="1">
        <f t="array" ref="S342">_xlfn.TEXTJOIN("+",TRUE,_xlfn._xlws.FILTER(orderlinesTABLE[ItemName],OrderID=orderlinesTABLE[[#This Row],[OrderID]]))</f>
        <v>Coffee+Masala Chaas+Fruit Cup+Rajma Chawal</v>
      </c>
      <c r="T342" s="54">
        <f>orderlinesTABLE[[#This Row],[Profit]]/orderlinesTABLE[[#This Row],[LineNetAmount]]</f>
        <v>0.55523944997629204</v>
      </c>
      <c r="U342" s="70">
        <f>(orderlinesTABLE[[#This Row],[Qty]]*orderlinesTABLE[[#This Row],[UnitCost]])</f>
        <v>9.3800000000000008</v>
      </c>
    </row>
    <row r="343" spans="1:21" x14ac:dyDescent="0.3">
      <c r="A343" s="15" t="s">
        <v>174</v>
      </c>
      <c r="B343" s="15" t="s">
        <v>404</v>
      </c>
      <c r="C343" s="15">
        <v>1</v>
      </c>
      <c r="D343" s="36">
        <f>VLOOKUP($B343,Menu!$A$1:$F$20,MATCH($D$1,Menu!$A$1:$F$1,0),0)</f>
        <v>32.979999999999997</v>
      </c>
      <c r="E343" s="15" t="str">
        <f>VLOOKUP($B343,Menu!$A$1:$F$20,MATCH(OrderLines!E$1,Menu!$A$1:$F$1,0),0)</f>
        <v>Beverage</v>
      </c>
      <c r="F343" s="36">
        <f>VLOOKUP($B343,Menu!$A$1:$F$20,MATCH(OrderLines!F$1,Menu!$A$1:$F$1,0),0)</f>
        <v>11.84</v>
      </c>
      <c r="G343" s="27">
        <f>VLOOKUP($A343,Orders!$A$1:$H$361,MATCH($G$1,Orders!$A$1:$H$1,0),0)</f>
        <v>45864</v>
      </c>
      <c r="H343" s="15" t="str">
        <f>VLOOKUP($A343,Orders!$A$1:$H$361,MATCH(OrderLines!$H$1,Orders!$A$1:$H$1,0),0)</f>
        <v>Head Office Café</v>
      </c>
      <c r="I343" s="15">
        <f>VLOOKUP($A343,Orders!$A$1:$H$361,MATCH(OrderLines!$I$1,Orders!$A$1:$H$1,0),0)</f>
        <v>0.05</v>
      </c>
      <c r="J343" s="15">
        <f t="shared" si="16"/>
        <v>31.330999999999996</v>
      </c>
      <c r="K343" s="27" t="str">
        <f t="shared" si="17"/>
        <v>July</v>
      </c>
      <c r="L343" s="15" t="str">
        <f>VLOOKUP(OrderLines!$A343,Orders!$A$1:$H$361,MATCH(OrderLines!$L$1,Orders!$A$1:$H$1,0),0)</f>
        <v>Dinner</v>
      </c>
      <c r="M343" t="str">
        <f>VLOOKUP($A343,Orders!$A$1:$H$361,MATCH(OrderLines!$M$1,Orders!$A$1:$H$1,0),0)</f>
        <v>Cash</v>
      </c>
      <c r="N343" t="str">
        <f t="shared" si="15"/>
        <v>Combo</v>
      </c>
      <c r="O343" t="str" cm="1">
        <f t="array" ref="O343">IF((SUMPRODUCT((OrderID=OrderLines!$A343)*Qty*UnitPrice*DiscountPct))&gt;40,"HighDisc","OK")</f>
        <v>OK</v>
      </c>
      <c r="P343">
        <f>(orderlinesTABLE[[#This Row],[UnitCost]]*orderlinesTABLE[[#This Row],[Qty]])</f>
        <v>11.84</v>
      </c>
      <c r="Q343">
        <f>(orderlinesTABLE[[#This Row],[LineNetAmount]]-orderlinesTABLE[[#This Row],[totalCOST]])</f>
        <v>19.490999999999996</v>
      </c>
      <c r="R343" t="str">
        <f>VLOOKUP($B343,Menu!$A$1:$F$20,MATCH(OrderLines!R$1,Menu!$A$1:$F$1,0),0)</f>
        <v>Masala Chaas</v>
      </c>
      <c r="S343" t="str" cm="1">
        <f t="array" ref="S343">_xlfn.TEXTJOIN("+",TRUE,_xlfn._xlws.FILTER(orderlinesTABLE[ItemName],OrderID=orderlinesTABLE[[#This Row],[OrderID]]))</f>
        <v>Coffee+Masala Chaas+Fruit Cup+Rajma Chawal</v>
      </c>
      <c r="T343" s="54">
        <f>orderlinesTABLE[[#This Row],[Profit]]/orderlinesTABLE[[#This Row],[LineNetAmount]]</f>
        <v>0.62209951804921637</v>
      </c>
      <c r="U343" s="70">
        <f>(orderlinesTABLE[[#This Row],[Qty]]*orderlinesTABLE[[#This Row],[UnitCost]])</f>
        <v>11.84</v>
      </c>
    </row>
    <row r="344" spans="1:21" x14ac:dyDescent="0.3">
      <c r="A344" s="14" t="s">
        <v>174</v>
      </c>
      <c r="B344" s="14" t="s">
        <v>412</v>
      </c>
      <c r="C344" s="14">
        <v>2</v>
      </c>
      <c r="D344" s="37">
        <f>VLOOKUP($B344,Menu!$A$1:$F$20,MATCH($D$1,Menu!$A$1:$F$1,0),0)</f>
        <v>57.07</v>
      </c>
      <c r="E344" s="14" t="str">
        <f>VLOOKUP($B344,Menu!$A$1:$F$20,MATCH(OrderLines!E$1,Menu!$A$1:$F$1,0),0)</f>
        <v>Dessert</v>
      </c>
      <c r="F344" s="37">
        <f>VLOOKUP($B344,Menu!$A$1:$F$20,MATCH(OrderLines!F$1,Menu!$A$1:$F$1,0),0)</f>
        <v>29.14</v>
      </c>
      <c r="G344" s="28">
        <f>VLOOKUP($A344,Orders!$A$1:$H$361,MATCH($G$1,Orders!$A$1:$H$1,0),0)</f>
        <v>45864</v>
      </c>
      <c r="H344" s="14" t="str">
        <f>VLOOKUP($A344,Orders!$A$1:$H$361,MATCH(OrderLines!$H$1,Orders!$A$1:$H$1,0),0)</f>
        <v>Head Office Café</v>
      </c>
      <c r="I344" s="14">
        <f>VLOOKUP($A344,Orders!$A$1:$H$361,MATCH(OrderLines!$I$1,Orders!$A$1:$H$1,0),0)</f>
        <v>0.05</v>
      </c>
      <c r="J344" s="14">
        <f t="shared" si="16"/>
        <v>108.43299999999999</v>
      </c>
      <c r="K344" s="28" t="str">
        <f t="shared" si="17"/>
        <v>July</v>
      </c>
      <c r="L344" s="14" t="str">
        <f>VLOOKUP(OrderLines!$A344,Orders!$A$1:$H$361,MATCH(OrderLines!$L$1,Orders!$A$1:$H$1,0),0)</f>
        <v>Dinner</v>
      </c>
      <c r="M344" t="str">
        <f>VLOOKUP($A344,Orders!$A$1:$H$361,MATCH(OrderLines!$M$1,Orders!$A$1:$H$1,0),0)</f>
        <v>Cash</v>
      </c>
      <c r="N344" t="str">
        <f t="shared" si="15"/>
        <v>Combo</v>
      </c>
      <c r="O344" t="str" cm="1">
        <f t="array" ref="O344">IF((SUMPRODUCT((OrderID=OrderLines!$A344)*Qty*UnitPrice*DiscountPct))&gt;40,"HighDisc","OK")</f>
        <v>OK</v>
      </c>
      <c r="P344">
        <f>(orderlinesTABLE[[#This Row],[UnitCost]]*orderlinesTABLE[[#This Row],[Qty]])</f>
        <v>58.28</v>
      </c>
      <c r="Q344">
        <f>(orderlinesTABLE[[#This Row],[LineNetAmount]]-orderlinesTABLE[[#This Row],[totalCOST]])</f>
        <v>50.152999999999992</v>
      </c>
      <c r="R344" t="str">
        <f>VLOOKUP($B344,Menu!$A$1:$F$20,MATCH(OrderLines!R$1,Menu!$A$1:$F$1,0),0)</f>
        <v>Fruit Cup</v>
      </c>
      <c r="S344" t="str" cm="1">
        <f t="array" ref="S344">_xlfn.TEXTJOIN("+",TRUE,_xlfn._xlws.FILTER(orderlinesTABLE[ItemName],OrderID=orderlinesTABLE[[#This Row],[OrderID]]))</f>
        <v>Coffee+Masala Chaas+Fruit Cup+Rajma Chawal</v>
      </c>
      <c r="T344" s="54">
        <f>orderlinesTABLE[[#This Row],[Profit]]/orderlinesTABLE[[#This Row],[LineNetAmount]]</f>
        <v>0.46252524600444511</v>
      </c>
      <c r="U344" s="70">
        <f>(orderlinesTABLE[[#This Row],[Qty]]*orderlinesTABLE[[#This Row],[UnitCost]])</f>
        <v>58.28</v>
      </c>
    </row>
    <row r="345" spans="1:21" x14ac:dyDescent="0.3">
      <c r="A345" s="15" t="s">
        <v>174</v>
      </c>
      <c r="B345" s="15" t="s">
        <v>417</v>
      </c>
      <c r="C345" s="15">
        <v>1</v>
      </c>
      <c r="D345" s="36">
        <f>VLOOKUP($B345,Menu!$A$1:$F$20,MATCH($D$1,Menu!$A$1:$F$1,0),0)</f>
        <v>146.4</v>
      </c>
      <c r="E345" s="15" t="str">
        <f>VLOOKUP($B345,Menu!$A$1:$F$20,MATCH(OrderLines!E$1,Menu!$A$1:$F$1,0),0)</f>
        <v>Hot Meal</v>
      </c>
      <c r="F345" s="36">
        <f>VLOOKUP($B345,Menu!$A$1:$F$20,MATCH(OrderLines!F$1,Menu!$A$1:$F$1,0),0)</f>
        <v>80.92</v>
      </c>
      <c r="G345" s="27">
        <f>VLOOKUP($A345,Orders!$A$1:$H$361,MATCH($G$1,Orders!$A$1:$H$1,0),0)</f>
        <v>45864</v>
      </c>
      <c r="H345" s="15" t="str">
        <f>VLOOKUP($A345,Orders!$A$1:$H$361,MATCH(OrderLines!$H$1,Orders!$A$1:$H$1,0),0)</f>
        <v>Head Office Café</v>
      </c>
      <c r="I345" s="15">
        <f>VLOOKUP($A345,Orders!$A$1:$H$361,MATCH(OrderLines!$I$1,Orders!$A$1:$H$1,0),0)</f>
        <v>0.05</v>
      </c>
      <c r="J345" s="15">
        <f t="shared" si="16"/>
        <v>139.08000000000001</v>
      </c>
      <c r="K345" s="27" t="str">
        <f t="shared" si="17"/>
        <v>July</v>
      </c>
      <c r="L345" s="15" t="str">
        <f>VLOOKUP(OrderLines!$A345,Orders!$A$1:$H$361,MATCH(OrderLines!$L$1,Orders!$A$1:$H$1,0),0)</f>
        <v>Dinner</v>
      </c>
      <c r="M345" t="str">
        <f>VLOOKUP($A345,Orders!$A$1:$H$361,MATCH(OrderLines!$M$1,Orders!$A$1:$H$1,0),0)</f>
        <v>Cash</v>
      </c>
      <c r="N345" t="str">
        <f t="shared" si="15"/>
        <v>Combo</v>
      </c>
      <c r="O345" t="str" cm="1">
        <f t="array" ref="O345">IF((SUMPRODUCT((OrderID=OrderLines!$A345)*Qty*UnitPrice*DiscountPct))&gt;40,"HighDisc","OK")</f>
        <v>OK</v>
      </c>
      <c r="P345">
        <f>(orderlinesTABLE[[#This Row],[UnitCost]]*orderlinesTABLE[[#This Row],[Qty]])</f>
        <v>80.92</v>
      </c>
      <c r="Q345">
        <f>(orderlinesTABLE[[#This Row],[LineNetAmount]]-orderlinesTABLE[[#This Row],[totalCOST]])</f>
        <v>58.160000000000011</v>
      </c>
      <c r="R345" t="str">
        <f>VLOOKUP($B345,Menu!$A$1:$F$20,MATCH(OrderLines!R$1,Menu!$A$1:$F$1,0),0)</f>
        <v>Rajma Chawal</v>
      </c>
      <c r="S345" t="str" cm="1">
        <f t="array" ref="S345">_xlfn.TEXTJOIN("+",TRUE,_xlfn._xlws.FILTER(orderlinesTABLE[ItemName],OrderID=orderlinesTABLE[[#This Row],[OrderID]]))</f>
        <v>Coffee+Masala Chaas+Fruit Cup+Rajma Chawal</v>
      </c>
      <c r="T345" s="54">
        <f>orderlinesTABLE[[#This Row],[Profit]]/orderlinesTABLE[[#This Row],[LineNetAmount]]</f>
        <v>0.41817658901351745</v>
      </c>
      <c r="U345" s="70">
        <f>(orderlinesTABLE[[#This Row],[Qty]]*orderlinesTABLE[[#This Row],[UnitCost]])</f>
        <v>80.92</v>
      </c>
    </row>
    <row r="346" spans="1:21" x14ac:dyDescent="0.3">
      <c r="A346" s="14" t="s">
        <v>175</v>
      </c>
      <c r="B346" s="14" t="s">
        <v>419</v>
      </c>
      <c r="C346" s="14">
        <v>2</v>
      </c>
      <c r="D346" s="37">
        <f>VLOOKUP($B346,Menu!$A$1:$F$20,MATCH($D$1,Menu!$A$1:$F$1,0),0)</f>
        <v>50.19</v>
      </c>
      <c r="E346" s="14" t="str">
        <f>VLOOKUP($B346,Menu!$A$1:$F$20,MATCH(OrderLines!E$1,Menu!$A$1:$F$1,0),0)</f>
        <v>Snack</v>
      </c>
      <c r="F346" s="37">
        <f>VLOOKUP($B346,Menu!$A$1:$F$20,MATCH(OrderLines!F$1,Menu!$A$1:$F$1,0),0)</f>
        <v>22.61</v>
      </c>
      <c r="G346" s="28">
        <f>VLOOKUP($A346,Orders!$A$1:$H$361,MATCH($G$1,Orders!$A$1:$H$1,0),0)</f>
        <v>45856</v>
      </c>
      <c r="H346" s="14" t="str">
        <f>VLOOKUP($A346,Orders!$A$1:$H$361,MATCH(OrderLines!$H$1,Orders!$A$1:$H$1,0),0)</f>
        <v>Head Office Café</v>
      </c>
      <c r="I346" s="14">
        <f>VLOOKUP($A346,Orders!$A$1:$H$361,MATCH(OrderLines!$I$1,Orders!$A$1:$H$1,0),0)</f>
        <v>0.17</v>
      </c>
      <c r="J346" s="14">
        <f t="shared" si="16"/>
        <v>83.315399999999997</v>
      </c>
      <c r="K346" s="28" t="str">
        <f t="shared" si="17"/>
        <v>July</v>
      </c>
      <c r="L346" s="14" t="str">
        <f>VLOOKUP(OrderLines!$A346,Orders!$A$1:$H$361,MATCH(OrderLines!$L$1,Orders!$A$1:$H$1,0),0)</f>
        <v>Breakfast</v>
      </c>
      <c r="M346" t="str">
        <f>VLOOKUP($A346,Orders!$A$1:$H$361,MATCH(OrderLines!$M$1,Orders!$A$1:$H$1,0),0)</f>
        <v>Cash</v>
      </c>
      <c r="N346" t="str">
        <f t="shared" si="15"/>
        <v>Single</v>
      </c>
      <c r="O346" t="str" cm="1">
        <f t="array" ref="O346">IF((SUMPRODUCT((OrderID=OrderLines!$A346)*Qty*UnitPrice*DiscountPct))&gt;40,"HighDisc","OK")</f>
        <v>OK</v>
      </c>
      <c r="P346">
        <f>(orderlinesTABLE[[#This Row],[UnitCost]]*orderlinesTABLE[[#This Row],[Qty]])</f>
        <v>45.22</v>
      </c>
      <c r="Q346">
        <f>(orderlinesTABLE[[#This Row],[LineNetAmount]]-orderlinesTABLE[[#This Row],[totalCOST]])</f>
        <v>38.095399999999998</v>
      </c>
      <c r="R346" t="str">
        <f>VLOOKUP($B346,Menu!$A$1:$F$20,MATCH(OrderLines!R$1,Menu!$A$1:$F$1,0),0)</f>
        <v>Masala Puff</v>
      </c>
      <c r="S346" t="str" cm="1">
        <f t="array" ref="S346">_xlfn.TEXTJOIN("+",TRUE,_xlfn._xlws.FILTER(orderlinesTABLE[ItemName],OrderID=orderlinesTABLE[[#This Row],[OrderID]]))</f>
        <v>Masala Puff</v>
      </c>
      <c r="T346" s="54">
        <f>orderlinesTABLE[[#This Row],[Profit]]/orderlinesTABLE[[#This Row],[LineNetAmount]]</f>
        <v>0.45724319873636804</v>
      </c>
      <c r="U346" s="70">
        <f>(orderlinesTABLE[[#This Row],[Qty]]*orderlinesTABLE[[#This Row],[UnitCost]])</f>
        <v>45.22</v>
      </c>
    </row>
    <row r="347" spans="1:21" x14ac:dyDescent="0.3">
      <c r="A347" s="15" t="s">
        <v>176</v>
      </c>
      <c r="B347" s="15" t="s">
        <v>412</v>
      </c>
      <c r="C347" s="15">
        <v>2</v>
      </c>
      <c r="D347" s="36">
        <f>VLOOKUP($B347,Menu!$A$1:$F$20,MATCH($D$1,Menu!$A$1:$F$1,0),0)</f>
        <v>57.07</v>
      </c>
      <c r="E347" s="15" t="str">
        <f>VLOOKUP($B347,Menu!$A$1:$F$20,MATCH(OrderLines!E$1,Menu!$A$1:$F$1,0),0)</f>
        <v>Dessert</v>
      </c>
      <c r="F347" s="36">
        <f>VLOOKUP($B347,Menu!$A$1:$F$20,MATCH(OrderLines!F$1,Menu!$A$1:$F$1,0),0)</f>
        <v>29.14</v>
      </c>
      <c r="G347" s="27">
        <f>VLOOKUP($A347,Orders!$A$1:$H$361,MATCH($G$1,Orders!$A$1:$H$1,0),0)</f>
        <v>45878</v>
      </c>
      <c r="H347" s="15" t="str">
        <f>VLOOKUP($A347,Orders!$A$1:$H$361,MATCH(OrderLines!$H$1,Orders!$A$1:$H$1,0),0)</f>
        <v>Plant 2 Canteen</v>
      </c>
      <c r="I347" s="15">
        <f>VLOOKUP($A347,Orders!$A$1:$H$361,MATCH(OrderLines!$I$1,Orders!$A$1:$H$1,0),0)</f>
        <v>0.09</v>
      </c>
      <c r="J347" s="15">
        <f t="shared" si="16"/>
        <v>103.8674</v>
      </c>
      <c r="K347" s="27" t="str">
        <f t="shared" si="17"/>
        <v>August</v>
      </c>
      <c r="L347" s="15" t="str">
        <f>VLOOKUP(OrderLines!$A347,Orders!$A$1:$H$361,MATCH(OrderLines!$L$1,Orders!$A$1:$H$1,0),0)</f>
        <v>Dinner</v>
      </c>
      <c r="M347" t="str">
        <f>VLOOKUP($A347,Orders!$A$1:$H$361,MATCH(OrderLines!$M$1,Orders!$A$1:$H$1,0),0)</f>
        <v>UPI</v>
      </c>
      <c r="N347" t="str">
        <f t="shared" si="15"/>
        <v>Single</v>
      </c>
      <c r="O347" t="str" cm="1">
        <f t="array" ref="O347">IF((SUMPRODUCT((OrderID=OrderLines!$A347)*Qty*UnitPrice*DiscountPct))&gt;40,"HighDisc","OK")</f>
        <v>HighDisc</v>
      </c>
      <c r="P347">
        <f>(orderlinesTABLE[[#This Row],[UnitCost]]*orderlinesTABLE[[#This Row],[Qty]])</f>
        <v>58.28</v>
      </c>
      <c r="Q347">
        <f>(orderlinesTABLE[[#This Row],[LineNetAmount]]-orderlinesTABLE[[#This Row],[totalCOST]])</f>
        <v>45.587400000000002</v>
      </c>
      <c r="R347" t="str">
        <f>VLOOKUP($B347,Menu!$A$1:$F$20,MATCH(OrderLines!R$1,Menu!$A$1:$F$1,0),0)</f>
        <v>Fruit Cup</v>
      </c>
      <c r="S347" t="str" cm="1">
        <f t="array" ref="S347">_xlfn.TEXTJOIN("+",TRUE,_xlfn._xlws.FILTER(orderlinesTABLE[ItemName],OrderID=orderlinesTABLE[[#This Row],[OrderID]]))</f>
        <v>Fruit Cup+Veg Thali+Poha</v>
      </c>
      <c r="T347" s="54">
        <f>orderlinesTABLE[[#This Row],[Profit]]/orderlinesTABLE[[#This Row],[LineNetAmount]]</f>
        <v>0.43889998209255265</v>
      </c>
      <c r="U347" s="70">
        <f>(orderlinesTABLE[[#This Row],[Qty]]*orderlinesTABLE[[#This Row],[UnitCost]])</f>
        <v>58.28</v>
      </c>
    </row>
    <row r="348" spans="1:21" x14ac:dyDescent="0.3">
      <c r="A348" s="14" t="s">
        <v>176</v>
      </c>
      <c r="B348" s="14" t="s">
        <v>416</v>
      </c>
      <c r="C348" s="14">
        <v>2</v>
      </c>
      <c r="D348" s="37">
        <f>VLOOKUP($B348,Menu!$A$1:$F$20,MATCH($D$1,Menu!$A$1:$F$1,0),0)</f>
        <v>227.61</v>
      </c>
      <c r="E348" s="14" t="str">
        <f>VLOOKUP($B348,Menu!$A$1:$F$20,MATCH(OrderLines!E$1,Menu!$A$1:$F$1,0),0)</f>
        <v>Hot Meal</v>
      </c>
      <c r="F348" s="37">
        <f>VLOOKUP($B348,Menu!$A$1:$F$20,MATCH(OrderLines!F$1,Menu!$A$1:$F$1,0),0)</f>
        <v>96.22</v>
      </c>
      <c r="G348" s="28">
        <f>VLOOKUP($A348,Orders!$A$1:$H$361,MATCH($G$1,Orders!$A$1:$H$1,0),0)</f>
        <v>45878</v>
      </c>
      <c r="H348" s="14" t="str">
        <f>VLOOKUP($A348,Orders!$A$1:$H$361,MATCH(OrderLines!$H$1,Orders!$A$1:$H$1,0),0)</f>
        <v>Plant 2 Canteen</v>
      </c>
      <c r="I348" s="14">
        <f>VLOOKUP($A348,Orders!$A$1:$H$361,MATCH(OrderLines!$I$1,Orders!$A$1:$H$1,0),0)</f>
        <v>0.09</v>
      </c>
      <c r="J348" s="14">
        <f t="shared" si="16"/>
        <v>414.25020000000006</v>
      </c>
      <c r="K348" s="28" t="str">
        <f t="shared" si="17"/>
        <v>August</v>
      </c>
      <c r="L348" s="14" t="str">
        <f>VLOOKUP(OrderLines!$A348,Orders!$A$1:$H$361,MATCH(OrderLines!$L$1,Orders!$A$1:$H$1,0),0)</f>
        <v>Dinner</v>
      </c>
      <c r="M348" t="str">
        <f>VLOOKUP($A348,Orders!$A$1:$H$361,MATCH(OrderLines!$M$1,Orders!$A$1:$H$1,0),0)</f>
        <v>UPI</v>
      </c>
      <c r="N348" t="str">
        <f t="shared" si="15"/>
        <v>Single</v>
      </c>
      <c r="O348" t="str" cm="1">
        <f t="array" ref="O348">IF((SUMPRODUCT((OrderID=OrderLines!$A348)*Qty*UnitPrice*DiscountPct))&gt;40,"HighDisc","OK")</f>
        <v>HighDisc</v>
      </c>
      <c r="P348">
        <f>(orderlinesTABLE[[#This Row],[UnitCost]]*orderlinesTABLE[[#This Row],[Qty]])</f>
        <v>192.44</v>
      </c>
      <c r="Q348">
        <f>(orderlinesTABLE[[#This Row],[LineNetAmount]]-orderlinesTABLE[[#This Row],[totalCOST]])</f>
        <v>221.81020000000007</v>
      </c>
      <c r="R348" t="str">
        <f>VLOOKUP($B348,Menu!$A$1:$F$20,MATCH(OrderLines!R$1,Menu!$A$1:$F$1,0),0)</f>
        <v>Veg Thali</v>
      </c>
      <c r="S348" t="str" cm="1">
        <f t="array" ref="S348">_xlfn.TEXTJOIN("+",TRUE,_xlfn._xlws.FILTER(orderlinesTABLE[ItemName],OrderID=orderlinesTABLE[[#This Row],[OrderID]]))</f>
        <v>Fruit Cup+Veg Thali+Poha</v>
      </c>
      <c r="T348" s="54">
        <f>orderlinesTABLE[[#This Row],[Profit]]/orderlinesTABLE[[#This Row],[LineNetAmount]]</f>
        <v>0.53544983200973717</v>
      </c>
      <c r="U348" s="70">
        <f>(orderlinesTABLE[[#This Row],[Qty]]*orderlinesTABLE[[#This Row],[UnitCost]])</f>
        <v>192.44</v>
      </c>
    </row>
    <row r="349" spans="1:21" x14ac:dyDescent="0.3">
      <c r="A349" s="15" t="s">
        <v>176</v>
      </c>
      <c r="B349" s="15" t="s">
        <v>401</v>
      </c>
      <c r="C349" s="15">
        <v>3</v>
      </c>
      <c r="D349" s="36">
        <f>VLOOKUP($B349,Menu!$A$1:$F$20,MATCH($D$1,Menu!$A$1:$F$1,0),0)</f>
        <v>52.45</v>
      </c>
      <c r="E349" s="15" t="str">
        <f>VLOOKUP($B349,Menu!$A$1:$F$20,MATCH(OrderLines!E$1,Menu!$A$1:$F$1,0),0)</f>
        <v>Snack</v>
      </c>
      <c r="F349" s="36">
        <f>VLOOKUP($B349,Menu!$A$1:$F$20,MATCH(OrderLines!F$1,Menu!$A$1:$F$1,0),0)</f>
        <v>25.8</v>
      </c>
      <c r="G349" s="27">
        <f>VLOOKUP($A349,Orders!$A$1:$H$361,MATCH($G$1,Orders!$A$1:$H$1,0),0)</f>
        <v>45878</v>
      </c>
      <c r="H349" s="15" t="str">
        <f>VLOOKUP($A349,Orders!$A$1:$H$361,MATCH(OrderLines!$H$1,Orders!$A$1:$H$1,0),0)</f>
        <v>Plant 2 Canteen</v>
      </c>
      <c r="I349" s="15">
        <f>VLOOKUP($A349,Orders!$A$1:$H$361,MATCH(OrderLines!$I$1,Orders!$A$1:$H$1,0),0)</f>
        <v>0.09</v>
      </c>
      <c r="J349" s="15">
        <f t="shared" si="16"/>
        <v>143.18850000000003</v>
      </c>
      <c r="K349" s="27" t="str">
        <f t="shared" si="17"/>
        <v>August</v>
      </c>
      <c r="L349" s="15" t="str">
        <f>VLOOKUP(OrderLines!$A349,Orders!$A$1:$H$361,MATCH(OrderLines!$L$1,Orders!$A$1:$H$1,0),0)</f>
        <v>Dinner</v>
      </c>
      <c r="M349" t="str">
        <f>VLOOKUP($A349,Orders!$A$1:$H$361,MATCH(OrderLines!$M$1,Orders!$A$1:$H$1,0),0)</f>
        <v>UPI</v>
      </c>
      <c r="N349" t="str">
        <f t="shared" si="15"/>
        <v>Single</v>
      </c>
      <c r="O349" t="str" cm="1">
        <f t="array" ref="O349">IF((SUMPRODUCT((OrderID=OrderLines!$A349)*Qty*UnitPrice*DiscountPct))&gt;40,"HighDisc","OK")</f>
        <v>HighDisc</v>
      </c>
      <c r="P349">
        <f>(orderlinesTABLE[[#This Row],[UnitCost]]*orderlinesTABLE[[#This Row],[Qty]])</f>
        <v>77.400000000000006</v>
      </c>
      <c r="Q349">
        <f>(orderlinesTABLE[[#This Row],[LineNetAmount]]-orderlinesTABLE[[#This Row],[totalCOST]])</f>
        <v>65.788500000000028</v>
      </c>
      <c r="R349" t="str">
        <f>VLOOKUP($B349,Menu!$A$1:$F$20,MATCH(OrderLines!R$1,Menu!$A$1:$F$1,0),0)</f>
        <v>Poha</v>
      </c>
      <c r="S349" t="str" cm="1">
        <f t="array" ref="S349">_xlfn.TEXTJOIN("+",TRUE,_xlfn._xlws.FILTER(orderlinesTABLE[ItemName],OrderID=orderlinesTABLE[[#This Row],[OrderID]]))</f>
        <v>Fruit Cup+Veg Thali+Poha</v>
      </c>
      <c r="T349" s="54">
        <f>orderlinesTABLE[[#This Row],[Profit]]/orderlinesTABLE[[#This Row],[LineNetAmount]]</f>
        <v>0.45945379691804866</v>
      </c>
      <c r="U349" s="70">
        <f>(orderlinesTABLE[[#This Row],[Qty]]*orderlinesTABLE[[#This Row],[UnitCost]])</f>
        <v>77.400000000000006</v>
      </c>
    </row>
    <row r="350" spans="1:21" x14ac:dyDescent="0.3">
      <c r="A350" s="14" t="s">
        <v>177</v>
      </c>
      <c r="B350" s="14" t="s">
        <v>419</v>
      </c>
      <c r="C350" s="14">
        <v>3</v>
      </c>
      <c r="D350" s="37">
        <f>VLOOKUP($B350,Menu!$A$1:$F$20,MATCH($D$1,Menu!$A$1:$F$1,0),0)</f>
        <v>50.19</v>
      </c>
      <c r="E350" s="14" t="str">
        <f>VLOOKUP($B350,Menu!$A$1:$F$20,MATCH(OrderLines!E$1,Menu!$A$1:$F$1,0),0)</f>
        <v>Snack</v>
      </c>
      <c r="F350" s="37">
        <f>VLOOKUP($B350,Menu!$A$1:$F$20,MATCH(OrderLines!F$1,Menu!$A$1:$F$1,0),0)</f>
        <v>22.61</v>
      </c>
      <c r="G350" s="28">
        <f>VLOOKUP($A350,Orders!$A$1:$H$361,MATCH($G$1,Orders!$A$1:$H$1,0),0)</f>
        <v>45867</v>
      </c>
      <c r="H350" s="14" t="str">
        <f>VLOOKUP($A350,Orders!$A$1:$H$361,MATCH(OrderLines!$H$1,Orders!$A$1:$H$1,0),0)</f>
        <v>Plant 1 Canteen</v>
      </c>
      <c r="I350" s="14">
        <f>VLOOKUP($A350,Orders!$A$1:$H$361,MATCH(OrderLines!$I$1,Orders!$A$1:$H$1,0),0)</f>
        <v>0.03</v>
      </c>
      <c r="J350" s="14">
        <f t="shared" si="16"/>
        <v>146.05289999999999</v>
      </c>
      <c r="K350" s="28" t="str">
        <f t="shared" si="17"/>
        <v>July</v>
      </c>
      <c r="L350" s="14" t="str">
        <f>VLOOKUP(OrderLines!$A350,Orders!$A$1:$H$361,MATCH(OrderLines!$L$1,Orders!$A$1:$H$1,0),0)</f>
        <v>Lunch</v>
      </c>
      <c r="M350" t="str">
        <f>VLOOKUP($A350,Orders!$A$1:$H$361,MATCH(OrderLines!$M$1,Orders!$A$1:$H$1,0),0)</f>
        <v>Card</v>
      </c>
      <c r="N350" t="str">
        <f t="shared" si="15"/>
        <v>Single</v>
      </c>
      <c r="O350" t="str" cm="1">
        <f t="array" ref="O350">IF((SUMPRODUCT((OrderID=OrderLines!$A350)*Qty*UnitPrice*DiscountPct))&gt;40,"HighDisc","OK")</f>
        <v>OK</v>
      </c>
      <c r="P350">
        <f>(orderlinesTABLE[[#This Row],[UnitCost]]*orderlinesTABLE[[#This Row],[Qty]])</f>
        <v>67.83</v>
      </c>
      <c r="Q350">
        <f>(orderlinesTABLE[[#This Row],[LineNetAmount]]-orderlinesTABLE[[#This Row],[totalCOST]])</f>
        <v>78.222899999999996</v>
      </c>
      <c r="R350" t="str">
        <f>VLOOKUP($B350,Menu!$A$1:$F$20,MATCH(OrderLines!R$1,Menu!$A$1:$F$1,0),0)</f>
        <v>Masala Puff</v>
      </c>
      <c r="S350" t="str" cm="1">
        <f t="array" ref="S350">_xlfn.TEXTJOIN("+",TRUE,_xlfn._xlws.FILTER(orderlinesTABLE[ItemName],OrderID=orderlinesTABLE[[#This Row],[OrderID]]))</f>
        <v>Masala Puff+Paneer Roll+Masala Chaas+Tea</v>
      </c>
      <c r="T350" s="54">
        <f>orderlinesTABLE[[#This Row],[Profit]]/orderlinesTABLE[[#This Row],[LineNetAmount]]</f>
        <v>0.5355792319084387</v>
      </c>
      <c r="U350" s="70">
        <f>(orderlinesTABLE[[#This Row],[Qty]]*orderlinesTABLE[[#This Row],[UnitCost]])</f>
        <v>67.83</v>
      </c>
    </row>
    <row r="351" spans="1:21" x14ac:dyDescent="0.3">
      <c r="A351" s="15" t="s">
        <v>177</v>
      </c>
      <c r="B351" s="15" t="s">
        <v>406</v>
      </c>
      <c r="C351" s="15">
        <v>2</v>
      </c>
      <c r="D351" s="36">
        <f>VLOOKUP($B351,Menu!$A$1:$F$20,MATCH($D$1,Menu!$A$1:$F$1,0),0)</f>
        <v>38.06</v>
      </c>
      <c r="E351" s="15" t="str">
        <f>VLOOKUP($B351,Menu!$A$1:$F$20,MATCH(OrderLines!E$1,Menu!$A$1:$F$1,0),0)</f>
        <v>Snack</v>
      </c>
      <c r="F351" s="36">
        <f>VLOOKUP($B351,Menu!$A$1:$F$20,MATCH(OrderLines!F$1,Menu!$A$1:$F$1,0),0)</f>
        <v>19.55</v>
      </c>
      <c r="G351" s="27">
        <f>VLOOKUP($A351,Orders!$A$1:$H$361,MATCH($G$1,Orders!$A$1:$H$1,0),0)</f>
        <v>45867</v>
      </c>
      <c r="H351" s="15" t="str">
        <f>VLOOKUP($A351,Orders!$A$1:$H$361,MATCH(OrderLines!$H$1,Orders!$A$1:$H$1,0),0)</f>
        <v>Plant 1 Canteen</v>
      </c>
      <c r="I351" s="15">
        <f>VLOOKUP($A351,Orders!$A$1:$H$361,MATCH(OrderLines!$I$1,Orders!$A$1:$H$1,0),0)</f>
        <v>0.03</v>
      </c>
      <c r="J351" s="15">
        <f t="shared" si="16"/>
        <v>73.836399999999998</v>
      </c>
      <c r="K351" s="27" t="str">
        <f t="shared" si="17"/>
        <v>July</v>
      </c>
      <c r="L351" s="15" t="str">
        <f>VLOOKUP(OrderLines!$A351,Orders!$A$1:$H$361,MATCH(OrderLines!$L$1,Orders!$A$1:$H$1,0),0)</f>
        <v>Lunch</v>
      </c>
      <c r="M351" t="str">
        <f>VLOOKUP($A351,Orders!$A$1:$H$361,MATCH(OrderLines!$M$1,Orders!$A$1:$H$1,0),0)</f>
        <v>Card</v>
      </c>
      <c r="N351" t="str">
        <f t="shared" si="15"/>
        <v>Single</v>
      </c>
      <c r="O351" t="str" cm="1">
        <f t="array" ref="O351">IF((SUMPRODUCT((OrderID=OrderLines!$A351)*Qty*UnitPrice*DiscountPct))&gt;40,"HighDisc","OK")</f>
        <v>OK</v>
      </c>
      <c r="P351">
        <f>(orderlinesTABLE[[#This Row],[UnitCost]]*orderlinesTABLE[[#This Row],[Qty]])</f>
        <v>39.1</v>
      </c>
      <c r="Q351">
        <f>(orderlinesTABLE[[#This Row],[LineNetAmount]]-orderlinesTABLE[[#This Row],[totalCOST]])</f>
        <v>34.736399999999996</v>
      </c>
      <c r="R351" t="str">
        <f>VLOOKUP($B351,Menu!$A$1:$F$20,MATCH(OrderLines!R$1,Menu!$A$1:$F$1,0),0)</f>
        <v>Paneer Roll</v>
      </c>
      <c r="S351" t="str" cm="1">
        <f t="array" ref="S351">_xlfn.TEXTJOIN("+",TRUE,_xlfn._xlws.FILTER(orderlinesTABLE[ItemName],OrderID=orderlinesTABLE[[#This Row],[OrderID]]))</f>
        <v>Masala Puff+Paneer Roll+Masala Chaas+Tea</v>
      </c>
      <c r="T351" s="54">
        <f>orderlinesTABLE[[#This Row],[Profit]]/orderlinesTABLE[[#This Row],[LineNetAmount]]</f>
        <v>0.47045088872155194</v>
      </c>
      <c r="U351" s="70">
        <f>(orderlinesTABLE[[#This Row],[Qty]]*orderlinesTABLE[[#This Row],[UnitCost]])</f>
        <v>39.1</v>
      </c>
    </row>
    <row r="352" spans="1:21" x14ac:dyDescent="0.3">
      <c r="A352" s="14" t="s">
        <v>177</v>
      </c>
      <c r="B352" s="14" t="s">
        <v>404</v>
      </c>
      <c r="C352" s="14">
        <v>1</v>
      </c>
      <c r="D352" s="37">
        <f>VLOOKUP($B352,Menu!$A$1:$F$20,MATCH($D$1,Menu!$A$1:$F$1,0),0)</f>
        <v>32.979999999999997</v>
      </c>
      <c r="E352" s="14" t="str">
        <f>VLOOKUP($B352,Menu!$A$1:$F$20,MATCH(OrderLines!E$1,Menu!$A$1:$F$1,0),0)</f>
        <v>Beverage</v>
      </c>
      <c r="F352" s="37">
        <f>VLOOKUP($B352,Menu!$A$1:$F$20,MATCH(OrderLines!F$1,Menu!$A$1:$F$1,0),0)</f>
        <v>11.84</v>
      </c>
      <c r="G352" s="28">
        <f>VLOOKUP($A352,Orders!$A$1:$H$361,MATCH($G$1,Orders!$A$1:$H$1,0),0)</f>
        <v>45867</v>
      </c>
      <c r="H352" s="14" t="str">
        <f>VLOOKUP($A352,Orders!$A$1:$H$361,MATCH(OrderLines!$H$1,Orders!$A$1:$H$1,0),0)</f>
        <v>Plant 1 Canteen</v>
      </c>
      <c r="I352" s="14">
        <f>VLOOKUP($A352,Orders!$A$1:$H$361,MATCH(OrderLines!$I$1,Orders!$A$1:$H$1,0),0)</f>
        <v>0.03</v>
      </c>
      <c r="J352" s="14">
        <f t="shared" si="16"/>
        <v>31.990599999999997</v>
      </c>
      <c r="K352" s="28" t="str">
        <f t="shared" si="17"/>
        <v>July</v>
      </c>
      <c r="L352" s="14" t="str">
        <f>VLOOKUP(OrderLines!$A352,Orders!$A$1:$H$361,MATCH(OrderLines!$L$1,Orders!$A$1:$H$1,0),0)</f>
        <v>Lunch</v>
      </c>
      <c r="M352" t="str">
        <f>VLOOKUP($A352,Orders!$A$1:$H$361,MATCH(OrderLines!$M$1,Orders!$A$1:$H$1,0),0)</f>
        <v>Card</v>
      </c>
      <c r="N352" t="str">
        <f t="shared" si="15"/>
        <v>Single</v>
      </c>
      <c r="O352" t="str" cm="1">
        <f t="array" ref="O352">IF((SUMPRODUCT((OrderID=OrderLines!$A352)*Qty*UnitPrice*DiscountPct))&gt;40,"HighDisc","OK")</f>
        <v>OK</v>
      </c>
      <c r="P352">
        <f>(orderlinesTABLE[[#This Row],[UnitCost]]*orderlinesTABLE[[#This Row],[Qty]])</f>
        <v>11.84</v>
      </c>
      <c r="Q352">
        <f>(orderlinesTABLE[[#This Row],[LineNetAmount]]-orderlinesTABLE[[#This Row],[totalCOST]])</f>
        <v>20.150599999999997</v>
      </c>
      <c r="R352" t="str">
        <f>VLOOKUP($B352,Menu!$A$1:$F$20,MATCH(OrderLines!R$1,Menu!$A$1:$F$1,0),0)</f>
        <v>Masala Chaas</v>
      </c>
      <c r="S352" t="str" cm="1">
        <f t="array" ref="S352">_xlfn.TEXTJOIN("+",TRUE,_xlfn._xlws.FILTER(orderlinesTABLE[ItemName],OrderID=orderlinesTABLE[[#This Row],[OrderID]]))</f>
        <v>Masala Puff+Paneer Roll+Masala Chaas+Tea</v>
      </c>
      <c r="T352" s="54">
        <f>orderlinesTABLE[[#This Row],[Profit]]/orderlinesTABLE[[#This Row],[LineNetAmount]]</f>
        <v>0.6298912805636655</v>
      </c>
      <c r="U352" s="70">
        <f>(orderlinesTABLE[[#This Row],[Qty]]*orderlinesTABLE[[#This Row],[UnitCost]])</f>
        <v>11.84</v>
      </c>
    </row>
    <row r="353" spans="1:21" x14ac:dyDescent="0.3">
      <c r="A353" s="15" t="s">
        <v>177</v>
      </c>
      <c r="B353" s="15" t="s">
        <v>402</v>
      </c>
      <c r="C353" s="15">
        <v>2</v>
      </c>
      <c r="D353" s="36">
        <f>VLOOKUP($B353,Menu!$A$1:$F$20,MATCH($D$1,Menu!$A$1:$F$1,0),0)</f>
        <v>30.34</v>
      </c>
      <c r="E353" s="15" t="str">
        <f>VLOOKUP($B353,Menu!$A$1:$F$20,MATCH(OrderLines!E$1,Menu!$A$1:$F$1,0),0)</f>
        <v>Beverage</v>
      </c>
      <c r="F353" s="36">
        <f>VLOOKUP($B353,Menu!$A$1:$F$20,MATCH(OrderLines!F$1,Menu!$A$1:$F$1,0),0)</f>
        <v>14.18</v>
      </c>
      <c r="G353" s="27">
        <f>VLOOKUP($A353,Orders!$A$1:$H$361,MATCH($G$1,Orders!$A$1:$H$1,0),0)</f>
        <v>45867</v>
      </c>
      <c r="H353" s="15" t="str">
        <f>VLOOKUP($A353,Orders!$A$1:$H$361,MATCH(OrderLines!$H$1,Orders!$A$1:$H$1,0),0)</f>
        <v>Plant 1 Canteen</v>
      </c>
      <c r="I353" s="15">
        <f>VLOOKUP($A353,Orders!$A$1:$H$361,MATCH(OrderLines!$I$1,Orders!$A$1:$H$1,0),0)</f>
        <v>0.03</v>
      </c>
      <c r="J353" s="15">
        <f t="shared" si="16"/>
        <v>58.8596</v>
      </c>
      <c r="K353" s="27" t="str">
        <f t="shared" si="17"/>
        <v>July</v>
      </c>
      <c r="L353" s="15" t="str">
        <f>VLOOKUP(OrderLines!$A353,Orders!$A$1:$H$361,MATCH(OrderLines!$L$1,Orders!$A$1:$H$1,0),0)</f>
        <v>Lunch</v>
      </c>
      <c r="M353" t="str">
        <f>VLOOKUP($A353,Orders!$A$1:$H$361,MATCH(OrderLines!$M$1,Orders!$A$1:$H$1,0),0)</f>
        <v>Card</v>
      </c>
      <c r="N353" t="str">
        <f t="shared" si="15"/>
        <v>Single</v>
      </c>
      <c r="O353" t="str" cm="1">
        <f t="array" ref="O353">IF((SUMPRODUCT((OrderID=OrderLines!$A353)*Qty*UnitPrice*DiscountPct))&gt;40,"HighDisc","OK")</f>
        <v>OK</v>
      </c>
      <c r="P353">
        <f>(orderlinesTABLE[[#This Row],[UnitCost]]*orderlinesTABLE[[#This Row],[Qty]])</f>
        <v>28.36</v>
      </c>
      <c r="Q353">
        <f>(orderlinesTABLE[[#This Row],[LineNetAmount]]-orderlinesTABLE[[#This Row],[totalCOST]])</f>
        <v>30.499600000000001</v>
      </c>
      <c r="R353" t="str">
        <f>VLOOKUP($B353,Menu!$A$1:$F$20,MATCH(OrderLines!R$1,Menu!$A$1:$F$1,0),0)</f>
        <v>Tea</v>
      </c>
      <c r="S353" t="str" cm="1">
        <f t="array" ref="S353">_xlfn.TEXTJOIN("+",TRUE,_xlfn._xlws.FILTER(orderlinesTABLE[ItemName],OrderID=orderlinesTABLE[[#This Row],[OrderID]]))</f>
        <v>Masala Puff+Paneer Roll+Masala Chaas+Tea</v>
      </c>
      <c r="T353" s="54">
        <f>orderlinesTABLE[[#This Row],[Profit]]/orderlinesTABLE[[#This Row],[LineNetAmount]]</f>
        <v>0.51817545481110983</v>
      </c>
      <c r="U353" s="70">
        <f>(orderlinesTABLE[[#This Row],[Qty]]*orderlinesTABLE[[#This Row],[UnitCost]])</f>
        <v>28.36</v>
      </c>
    </row>
    <row r="354" spans="1:21" x14ac:dyDescent="0.3">
      <c r="A354" s="14" t="s">
        <v>178</v>
      </c>
      <c r="B354" s="14" t="s">
        <v>401</v>
      </c>
      <c r="C354" s="14">
        <v>1</v>
      </c>
      <c r="D354" s="37">
        <f>VLOOKUP($B354,Menu!$A$1:$F$20,MATCH($D$1,Menu!$A$1:$F$1,0),0)</f>
        <v>52.45</v>
      </c>
      <c r="E354" s="14" t="str">
        <f>VLOOKUP($B354,Menu!$A$1:$F$20,MATCH(OrderLines!E$1,Menu!$A$1:$F$1,0),0)</f>
        <v>Snack</v>
      </c>
      <c r="F354" s="37">
        <f>VLOOKUP($B354,Menu!$A$1:$F$20,MATCH(OrderLines!F$1,Menu!$A$1:$F$1,0),0)</f>
        <v>25.8</v>
      </c>
      <c r="G354" s="28">
        <f>VLOOKUP($A354,Orders!$A$1:$H$361,MATCH($G$1,Orders!$A$1:$H$1,0),0)</f>
        <v>45883</v>
      </c>
      <c r="H354" s="14" t="str">
        <f>VLOOKUP($A354,Orders!$A$1:$H$361,MATCH(OrderLines!$H$1,Orders!$A$1:$H$1,0),0)</f>
        <v>Plant 1 Canteen</v>
      </c>
      <c r="I354" s="14">
        <f>VLOOKUP($A354,Orders!$A$1:$H$361,MATCH(OrderLines!$I$1,Orders!$A$1:$H$1,0),0)</f>
        <v>0.02</v>
      </c>
      <c r="J354" s="14">
        <f t="shared" si="16"/>
        <v>51.401000000000003</v>
      </c>
      <c r="K354" s="28" t="str">
        <f t="shared" si="17"/>
        <v>August</v>
      </c>
      <c r="L354" s="14" t="str">
        <f>VLOOKUP(OrderLines!$A354,Orders!$A$1:$H$361,MATCH(OrderLines!$L$1,Orders!$A$1:$H$1,0),0)</f>
        <v>Breakfast</v>
      </c>
      <c r="M354" t="str">
        <f>VLOOKUP($A354,Orders!$A$1:$H$361,MATCH(OrderLines!$M$1,Orders!$A$1:$H$1,0),0)</f>
        <v>Cash</v>
      </c>
      <c r="N354" t="str">
        <f t="shared" si="15"/>
        <v>Single</v>
      </c>
      <c r="O354" t="str" cm="1">
        <f t="array" ref="O354">IF((SUMPRODUCT((OrderID=OrderLines!$A354)*Qty*UnitPrice*DiscountPct))&gt;40,"HighDisc","OK")</f>
        <v>OK</v>
      </c>
      <c r="P354">
        <f>(orderlinesTABLE[[#This Row],[UnitCost]]*orderlinesTABLE[[#This Row],[Qty]])</f>
        <v>25.8</v>
      </c>
      <c r="Q354">
        <f>(orderlinesTABLE[[#This Row],[LineNetAmount]]-orderlinesTABLE[[#This Row],[totalCOST]])</f>
        <v>25.601000000000003</v>
      </c>
      <c r="R354" t="str">
        <f>VLOOKUP($B354,Menu!$A$1:$F$20,MATCH(OrderLines!R$1,Menu!$A$1:$F$1,0),0)</f>
        <v>Poha</v>
      </c>
      <c r="S354" t="str" cm="1">
        <f t="array" ref="S354">_xlfn.TEXTJOIN("+",TRUE,_xlfn._xlws.FILTER(orderlinesTABLE[ItemName],OrderID=orderlinesTABLE[[#This Row],[OrderID]]))</f>
        <v>Poha+Bottled Water</v>
      </c>
      <c r="T354" s="54">
        <f>orderlinesTABLE[[#This Row],[Profit]]/orderlinesTABLE[[#This Row],[LineNetAmount]]</f>
        <v>0.49806423999533084</v>
      </c>
      <c r="U354" s="70">
        <f>(orderlinesTABLE[[#This Row],[Qty]]*orderlinesTABLE[[#This Row],[UnitCost]])</f>
        <v>25.8</v>
      </c>
    </row>
    <row r="355" spans="1:21" x14ac:dyDescent="0.3">
      <c r="A355" s="15" t="s">
        <v>178</v>
      </c>
      <c r="B355" s="15" t="s">
        <v>409</v>
      </c>
      <c r="C355" s="15">
        <v>1</v>
      </c>
      <c r="D355" s="36">
        <f>VLOOKUP($B355,Menu!$A$1:$F$20,MATCH($D$1,Menu!$A$1:$F$1,0),0)</f>
        <v>28.43</v>
      </c>
      <c r="E355" s="15" t="str">
        <f>VLOOKUP($B355,Menu!$A$1:$F$20,MATCH(OrderLines!E$1,Menu!$A$1:$F$1,0),0)</f>
        <v>Beverage</v>
      </c>
      <c r="F355" s="36">
        <f>VLOOKUP($B355,Menu!$A$1:$F$20,MATCH(OrderLines!F$1,Menu!$A$1:$F$1,0),0)</f>
        <v>13.89</v>
      </c>
      <c r="G355" s="27">
        <f>VLOOKUP($A355,Orders!$A$1:$H$361,MATCH($G$1,Orders!$A$1:$H$1,0),0)</f>
        <v>45883</v>
      </c>
      <c r="H355" s="15" t="str">
        <f>VLOOKUP($A355,Orders!$A$1:$H$361,MATCH(OrderLines!$H$1,Orders!$A$1:$H$1,0),0)</f>
        <v>Plant 1 Canteen</v>
      </c>
      <c r="I355" s="15">
        <f>VLOOKUP($A355,Orders!$A$1:$H$361,MATCH(OrderLines!$I$1,Orders!$A$1:$H$1,0),0)</f>
        <v>0.02</v>
      </c>
      <c r="J355" s="15">
        <f t="shared" si="16"/>
        <v>27.8614</v>
      </c>
      <c r="K355" s="27" t="str">
        <f t="shared" si="17"/>
        <v>August</v>
      </c>
      <c r="L355" s="15" t="str">
        <f>VLOOKUP(OrderLines!$A355,Orders!$A$1:$H$361,MATCH(OrderLines!$L$1,Orders!$A$1:$H$1,0),0)</f>
        <v>Breakfast</v>
      </c>
      <c r="M355" t="str">
        <f>VLOOKUP($A355,Orders!$A$1:$H$361,MATCH(OrderLines!$M$1,Orders!$A$1:$H$1,0),0)</f>
        <v>Cash</v>
      </c>
      <c r="N355" t="str">
        <f t="shared" si="15"/>
        <v>Single</v>
      </c>
      <c r="O355" t="str" cm="1">
        <f t="array" ref="O355">IF((SUMPRODUCT((OrderID=OrderLines!$A355)*Qty*UnitPrice*DiscountPct))&gt;40,"HighDisc","OK")</f>
        <v>OK</v>
      </c>
      <c r="P355">
        <f>(orderlinesTABLE[[#This Row],[UnitCost]]*orderlinesTABLE[[#This Row],[Qty]])</f>
        <v>13.89</v>
      </c>
      <c r="Q355">
        <f>(orderlinesTABLE[[#This Row],[LineNetAmount]]-orderlinesTABLE[[#This Row],[totalCOST]])</f>
        <v>13.971399999999999</v>
      </c>
      <c r="R355" t="str">
        <f>VLOOKUP($B355,Menu!$A$1:$F$20,MATCH(OrderLines!R$1,Menu!$A$1:$F$1,0),0)</f>
        <v>Bottled Water</v>
      </c>
      <c r="S355" t="str" cm="1">
        <f t="array" ref="S355">_xlfn.TEXTJOIN("+",TRUE,_xlfn._xlws.FILTER(orderlinesTABLE[ItemName],OrderID=orderlinesTABLE[[#This Row],[OrderID]]))</f>
        <v>Poha+Bottled Water</v>
      </c>
      <c r="T355" s="54">
        <f>orderlinesTABLE[[#This Row],[Profit]]/orderlinesTABLE[[#This Row],[LineNetAmount]]</f>
        <v>0.50146080240045365</v>
      </c>
      <c r="U355" s="70">
        <f>(orderlinesTABLE[[#This Row],[Qty]]*orderlinesTABLE[[#This Row],[UnitCost]])</f>
        <v>13.89</v>
      </c>
    </row>
    <row r="356" spans="1:21" x14ac:dyDescent="0.3">
      <c r="A356" s="14" t="s">
        <v>179</v>
      </c>
      <c r="B356" s="14" t="s">
        <v>409</v>
      </c>
      <c r="C356" s="14">
        <v>1</v>
      </c>
      <c r="D356" s="37">
        <f>VLOOKUP($B356,Menu!$A$1:$F$20,MATCH($D$1,Menu!$A$1:$F$1,0),0)</f>
        <v>28.43</v>
      </c>
      <c r="E356" s="14" t="str">
        <f>VLOOKUP($B356,Menu!$A$1:$F$20,MATCH(OrderLines!E$1,Menu!$A$1:$F$1,0),0)</f>
        <v>Beverage</v>
      </c>
      <c r="F356" s="37">
        <f>VLOOKUP($B356,Menu!$A$1:$F$20,MATCH(OrderLines!F$1,Menu!$A$1:$F$1,0),0)</f>
        <v>13.89</v>
      </c>
      <c r="G356" s="28">
        <f>VLOOKUP($A356,Orders!$A$1:$H$361,MATCH($G$1,Orders!$A$1:$H$1,0),0)</f>
        <v>45896</v>
      </c>
      <c r="H356" s="14" t="str">
        <f>VLOOKUP($A356,Orders!$A$1:$H$361,MATCH(OrderLines!$H$1,Orders!$A$1:$H$1,0),0)</f>
        <v>Head Office Café</v>
      </c>
      <c r="I356" s="14">
        <f>VLOOKUP($A356,Orders!$A$1:$H$361,MATCH(OrderLines!$I$1,Orders!$A$1:$H$1,0),0)</f>
        <v>0.08</v>
      </c>
      <c r="J356" s="14">
        <f t="shared" si="16"/>
        <v>26.1556</v>
      </c>
      <c r="K356" s="28" t="str">
        <f t="shared" si="17"/>
        <v>August</v>
      </c>
      <c r="L356" s="14" t="str">
        <f>VLOOKUP(OrderLines!$A356,Orders!$A$1:$H$361,MATCH(OrderLines!$L$1,Orders!$A$1:$H$1,0),0)</f>
        <v>Lunch</v>
      </c>
      <c r="M356" t="str">
        <f>VLOOKUP($A356,Orders!$A$1:$H$361,MATCH(OrderLines!$M$1,Orders!$A$1:$H$1,0),0)</f>
        <v>Card</v>
      </c>
      <c r="N356" t="str">
        <f t="shared" si="15"/>
        <v>Single</v>
      </c>
      <c r="O356" t="str" cm="1">
        <f t="array" ref="O356">IF((SUMPRODUCT((OrderID=OrderLines!$A356)*Qty*UnitPrice*DiscountPct))&gt;40,"HighDisc","OK")</f>
        <v>OK</v>
      </c>
      <c r="P356">
        <f>(orderlinesTABLE[[#This Row],[UnitCost]]*orderlinesTABLE[[#This Row],[Qty]])</f>
        <v>13.89</v>
      </c>
      <c r="Q356">
        <f>(orderlinesTABLE[[#This Row],[LineNetAmount]]-orderlinesTABLE[[#This Row],[totalCOST]])</f>
        <v>12.265599999999999</v>
      </c>
      <c r="R356" t="str">
        <f>VLOOKUP($B356,Menu!$A$1:$F$20,MATCH(OrderLines!R$1,Menu!$A$1:$F$1,0),0)</f>
        <v>Bottled Water</v>
      </c>
      <c r="S356" t="str" cm="1">
        <f t="array" ref="S356">_xlfn.TEXTJOIN("+",TRUE,_xlfn._xlws.FILTER(orderlinesTABLE[ItemName],OrderID=orderlinesTABLE[[#This Row],[OrderID]]))</f>
        <v>Bottled Water+Masala Puff</v>
      </c>
      <c r="T356" s="54">
        <f>orderlinesTABLE[[#This Row],[Profit]]/orderlinesTABLE[[#This Row],[LineNetAmount]]</f>
        <v>0.46894737647004847</v>
      </c>
      <c r="U356" s="70">
        <f>(orderlinesTABLE[[#This Row],[Qty]]*orderlinesTABLE[[#This Row],[UnitCost]])</f>
        <v>13.89</v>
      </c>
    </row>
    <row r="357" spans="1:21" x14ac:dyDescent="0.3">
      <c r="A357" s="15" t="s">
        <v>179</v>
      </c>
      <c r="B357" s="15" t="s">
        <v>419</v>
      </c>
      <c r="C357" s="15">
        <v>3</v>
      </c>
      <c r="D357" s="36">
        <f>VLOOKUP($B357,Menu!$A$1:$F$20,MATCH($D$1,Menu!$A$1:$F$1,0),0)</f>
        <v>50.19</v>
      </c>
      <c r="E357" s="15" t="str">
        <f>VLOOKUP($B357,Menu!$A$1:$F$20,MATCH(OrderLines!E$1,Menu!$A$1:$F$1,0),0)</f>
        <v>Snack</v>
      </c>
      <c r="F357" s="36">
        <f>VLOOKUP($B357,Menu!$A$1:$F$20,MATCH(OrderLines!F$1,Menu!$A$1:$F$1,0),0)</f>
        <v>22.61</v>
      </c>
      <c r="G357" s="27">
        <f>VLOOKUP($A357,Orders!$A$1:$H$361,MATCH($G$1,Orders!$A$1:$H$1,0),0)</f>
        <v>45896</v>
      </c>
      <c r="H357" s="15" t="str">
        <f>VLOOKUP($A357,Orders!$A$1:$H$361,MATCH(OrderLines!$H$1,Orders!$A$1:$H$1,0),0)</f>
        <v>Head Office Café</v>
      </c>
      <c r="I357" s="15">
        <f>VLOOKUP($A357,Orders!$A$1:$H$361,MATCH(OrderLines!$I$1,Orders!$A$1:$H$1,0),0)</f>
        <v>0.08</v>
      </c>
      <c r="J357" s="15">
        <f t="shared" si="16"/>
        <v>138.52439999999999</v>
      </c>
      <c r="K357" s="27" t="str">
        <f t="shared" si="17"/>
        <v>August</v>
      </c>
      <c r="L357" s="15" t="str">
        <f>VLOOKUP(OrderLines!$A357,Orders!$A$1:$H$361,MATCH(OrderLines!$L$1,Orders!$A$1:$H$1,0),0)</f>
        <v>Lunch</v>
      </c>
      <c r="M357" t="str">
        <f>VLOOKUP($A357,Orders!$A$1:$H$361,MATCH(OrderLines!$M$1,Orders!$A$1:$H$1,0),0)</f>
        <v>Card</v>
      </c>
      <c r="N357" t="str">
        <f t="shared" si="15"/>
        <v>Single</v>
      </c>
      <c r="O357" t="str" cm="1">
        <f t="array" ref="O357">IF((SUMPRODUCT((OrderID=OrderLines!$A357)*Qty*UnitPrice*DiscountPct))&gt;40,"HighDisc","OK")</f>
        <v>OK</v>
      </c>
      <c r="P357">
        <f>(orderlinesTABLE[[#This Row],[UnitCost]]*orderlinesTABLE[[#This Row],[Qty]])</f>
        <v>67.83</v>
      </c>
      <c r="Q357">
        <f>(orderlinesTABLE[[#This Row],[LineNetAmount]]-orderlinesTABLE[[#This Row],[totalCOST]])</f>
        <v>70.694399999999987</v>
      </c>
      <c r="R357" t="str">
        <f>VLOOKUP($B357,Menu!$A$1:$F$20,MATCH(OrderLines!R$1,Menu!$A$1:$F$1,0),0)</f>
        <v>Masala Puff</v>
      </c>
      <c r="S357" t="str" cm="1">
        <f t="array" ref="S357">_xlfn.TEXTJOIN("+",TRUE,_xlfn._xlws.FILTER(orderlinesTABLE[ItemName],OrderID=orderlinesTABLE[[#This Row],[OrderID]]))</f>
        <v>Bottled Water+Masala Puff</v>
      </c>
      <c r="T357" s="54">
        <f>orderlinesTABLE[[#This Row],[Profit]]/orderlinesTABLE[[#This Row],[LineNetAmount]]</f>
        <v>0.51033897277302764</v>
      </c>
      <c r="U357" s="70">
        <f>(orderlinesTABLE[[#This Row],[Qty]]*orderlinesTABLE[[#This Row],[UnitCost]])</f>
        <v>67.83</v>
      </c>
    </row>
    <row r="358" spans="1:21" x14ac:dyDescent="0.3">
      <c r="A358" s="14" t="s">
        <v>180</v>
      </c>
      <c r="B358" s="14" t="s">
        <v>410</v>
      </c>
      <c r="C358" s="14">
        <v>2</v>
      </c>
      <c r="D358" s="37">
        <f>VLOOKUP($B358,Menu!$A$1:$F$20,MATCH($D$1,Menu!$A$1:$F$1,0),0)</f>
        <v>20.11</v>
      </c>
      <c r="E358" s="14" t="str">
        <f>VLOOKUP($B358,Menu!$A$1:$F$20,MATCH(OrderLines!E$1,Menu!$A$1:$F$1,0),0)</f>
        <v>Beverage</v>
      </c>
      <c r="F358" s="37">
        <f>VLOOKUP($B358,Menu!$A$1:$F$20,MATCH(OrderLines!F$1,Menu!$A$1:$F$1,0),0)</f>
        <v>8</v>
      </c>
      <c r="G358" s="28">
        <f>VLOOKUP($A358,Orders!$A$1:$H$361,MATCH($G$1,Orders!$A$1:$H$1,0),0)</f>
        <v>45892</v>
      </c>
      <c r="H358" s="14" t="str">
        <f>VLOOKUP($A358,Orders!$A$1:$H$361,MATCH(OrderLines!$H$1,Orders!$A$1:$H$1,0),0)</f>
        <v>Plant 1 Canteen</v>
      </c>
      <c r="I358" s="14">
        <f>VLOOKUP($A358,Orders!$A$1:$H$361,MATCH(OrderLines!$I$1,Orders!$A$1:$H$1,0),0)</f>
        <v>0.05</v>
      </c>
      <c r="J358" s="14">
        <f t="shared" si="16"/>
        <v>38.208999999999996</v>
      </c>
      <c r="K358" s="28" t="str">
        <f t="shared" si="17"/>
        <v>August</v>
      </c>
      <c r="L358" s="14" t="str">
        <f>VLOOKUP(OrderLines!$A358,Orders!$A$1:$H$361,MATCH(OrderLines!$L$1,Orders!$A$1:$H$1,0),0)</f>
        <v>Breakfast</v>
      </c>
      <c r="M358" t="str">
        <f>VLOOKUP($A358,Orders!$A$1:$H$361,MATCH(OrderLines!$M$1,Orders!$A$1:$H$1,0),0)</f>
        <v>Cash</v>
      </c>
      <c r="N358" t="str">
        <f t="shared" si="15"/>
        <v>Single</v>
      </c>
      <c r="O358" t="str" cm="1">
        <f t="array" ref="O358">IF((SUMPRODUCT((OrderID=OrderLines!$A358)*Qty*UnitPrice*DiscountPct))&gt;40,"HighDisc","OK")</f>
        <v>OK</v>
      </c>
      <c r="P358">
        <f>(orderlinesTABLE[[#This Row],[UnitCost]]*orderlinesTABLE[[#This Row],[Qty]])</f>
        <v>16</v>
      </c>
      <c r="Q358">
        <f>(orderlinesTABLE[[#This Row],[LineNetAmount]]-orderlinesTABLE[[#This Row],[totalCOST]])</f>
        <v>22.208999999999996</v>
      </c>
      <c r="R358" t="str">
        <f>VLOOKUP($B358,Menu!$A$1:$F$20,MATCH(OrderLines!R$1,Menu!$A$1:$F$1,0),0)</f>
        <v>Nimbu Pani</v>
      </c>
      <c r="S358" t="str" cm="1">
        <f t="array" ref="S358">_xlfn.TEXTJOIN("+",TRUE,_xlfn._xlws.FILTER(orderlinesTABLE[ItemName],OrderID=orderlinesTABLE[[#This Row],[OrderID]]))</f>
        <v>Nimbu Pani</v>
      </c>
      <c r="T358" s="54">
        <f>orderlinesTABLE[[#This Row],[Profit]]/orderlinesTABLE[[#This Row],[LineNetAmount]]</f>
        <v>0.58125049072208113</v>
      </c>
      <c r="U358" s="70">
        <f>(orderlinesTABLE[[#This Row],[Qty]]*orderlinesTABLE[[#This Row],[UnitCost]])</f>
        <v>16</v>
      </c>
    </row>
    <row r="359" spans="1:21" x14ac:dyDescent="0.3">
      <c r="A359" s="15" t="s">
        <v>181</v>
      </c>
      <c r="B359" s="15" t="s">
        <v>401</v>
      </c>
      <c r="C359" s="15">
        <v>1</v>
      </c>
      <c r="D359" s="36">
        <f>VLOOKUP($B359,Menu!$A$1:$F$20,MATCH($D$1,Menu!$A$1:$F$1,0),0)</f>
        <v>52.45</v>
      </c>
      <c r="E359" s="15" t="str">
        <f>VLOOKUP($B359,Menu!$A$1:$F$20,MATCH(OrderLines!E$1,Menu!$A$1:$F$1,0),0)</f>
        <v>Snack</v>
      </c>
      <c r="F359" s="36">
        <f>VLOOKUP($B359,Menu!$A$1:$F$20,MATCH(OrderLines!F$1,Menu!$A$1:$F$1,0),0)</f>
        <v>25.8</v>
      </c>
      <c r="G359" s="27">
        <f>VLOOKUP($A359,Orders!$A$1:$H$361,MATCH($G$1,Orders!$A$1:$H$1,0),0)</f>
        <v>45853</v>
      </c>
      <c r="H359" s="15" t="str">
        <f>VLOOKUP($A359,Orders!$A$1:$H$361,MATCH(OrderLines!$H$1,Orders!$A$1:$H$1,0),0)</f>
        <v>Plant 1 Canteen</v>
      </c>
      <c r="I359" s="15">
        <f>VLOOKUP($A359,Orders!$A$1:$H$361,MATCH(OrderLines!$I$1,Orders!$A$1:$H$1,0),0)</f>
        <v>0.09</v>
      </c>
      <c r="J359" s="15">
        <f t="shared" si="16"/>
        <v>47.729500000000002</v>
      </c>
      <c r="K359" s="27" t="str">
        <f t="shared" si="17"/>
        <v>July</v>
      </c>
      <c r="L359" s="15" t="str">
        <f>VLOOKUP(OrderLines!$A359,Orders!$A$1:$H$361,MATCH(OrderLines!$L$1,Orders!$A$1:$H$1,0),0)</f>
        <v>Breakfast</v>
      </c>
      <c r="M359" t="str">
        <f>VLOOKUP($A359,Orders!$A$1:$H$361,MATCH(OrderLines!$M$1,Orders!$A$1:$H$1,0),0)</f>
        <v>Cash</v>
      </c>
      <c r="N359" t="str">
        <f t="shared" si="15"/>
        <v>Single</v>
      </c>
      <c r="O359" t="str" cm="1">
        <f t="array" ref="O359">IF((SUMPRODUCT((OrderID=OrderLines!$A359)*Qty*UnitPrice*DiscountPct))&gt;40,"HighDisc","OK")</f>
        <v>OK</v>
      </c>
      <c r="P359">
        <f>(orderlinesTABLE[[#This Row],[UnitCost]]*orderlinesTABLE[[#This Row],[Qty]])</f>
        <v>25.8</v>
      </c>
      <c r="Q359">
        <f>(orderlinesTABLE[[#This Row],[LineNetAmount]]-orderlinesTABLE[[#This Row],[totalCOST]])</f>
        <v>21.929500000000001</v>
      </c>
      <c r="R359" t="str">
        <f>VLOOKUP($B359,Menu!$A$1:$F$20,MATCH(OrderLines!R$1,Menu!$A$1:$F$1,0),0)</f>
        <v>Poha</v>
      </c>
      <c r="S359" t="str" cm="1">
        <f t="array" ref="S359">_xlfn.TEXTJOIN("+",TRUE,_xlfn._xlws.FILTER(orderlinesTABLE[ItemName],OrderID=orderlinesTABLE[[#This Row],[OrderID]]))</f>
        <v>Poha</v>
      </c>
      <c r="T359" s="54">
        <f>orderlinesTABLE[[#This Row],[Profit]]/orderlinesTABLE[[#This Row],[LineNetAmount]]</f>
        <v>0.45945379691804861</v>
      </c>
      <c r="U359" s="70">
        <f>(orderlinesTABLE[[#This Row],[Qty]]*orderlinesTABLE[[#This Row],[UnitCost]])</f>
        <v>25.8</v>
      </c>
    </row>
    <row r="360" spans="1:21" x14ac:dyDescent="0.3">
      <c r="A360" s="14" t="s">
        <v>182</v>
      </c>
      <c r="B360" s="14" t="s">
        <v>404</v>
      </c>
      <c r="C360" s="14">
        <v>2</v>
      </c>
      <c r="D360" s="37">
        <f>VLOOKUP($B360,Menu!$A$1:$F$20,MATCH($D$1,Menu!$A$1:$F$1,0),0)</f>
        <v>32.979999999999997</v>
      </c>
      <c r="E360" s="14" t="str">
        <f>VLOOKUP($B360,Menu!$A$1:$F$20,MATCH(OrderLines!E$1,Menu!$A$1:$F$1,0),0)</f>
        <v>Beverage</v>
      </c>
      <c r="F360" s="37">
        <f>VLOOKUP($B360,Menu!$A$1:$F$20,MATCH(OrderLines!F$1,Menu!$A$1:$F$1,0),0)</f>
        <v>11.84</v>
      </c>
      <c r="G360" s="28">
        <f>VLOOKUP($A360,Orders!$A$1:$H$361,MATCH($G$1,Orders!$A$1:$H$1,0),0)</f>
        <v>45897</v>
      </c>
      <c r="H360" s="14" t="str">
        <f>VLOOKUP($A360,Orders!$A$1:$H$361,MATCH(OrderLines!$H$1,Orders!$A$1:$H$1,0),0)</f>
        <v>Head Office Café</v>
      </c>
      <c r="I360" s="14">
        <f>VLOOKUP($A360,Orders!$A$1:$H$361,MATCH(OrderLines!$I$1,Orders!$A$1:$H$1,0),0)</f>
        <v>0.08</v>
      </c>
      <c r="J360" s="14">
        <f t="shared" si="16"/>
        <v>60.683199999999999</v>
      </c>
      <c r="K360" s="28" t="str">
        <f t="shared" si="17"/>
        <v>August</v>
      </c>
      <c r="L360" s="14" t="str">
        <f>VLOOKUP(OrderLines!$A360,Orders!$A$1:$H$361,MATCH(OrderLines!$L$1,Orders!$A$1:$H$1,0),0)</f>
        <v>Breakfast</v>
      </c>
      <c r="M360" t="str">
        <f>VLOOKUP($A360,Orders!$A$1:$H$361,MATCH(OrderLines!$M$1,Orders!$A$1:$H$1,0),0)</f>
        <v>Card</v>
      </c>
      <c r="N360" t="str">
        <f t="shared" si="15"/>
        <v>Single</v>
      </c>
      <c r="O360" t="str" cm="1">
        <f t="array" ref="O360">IF((SUMPRODUCT((OrderID=OrderLines!$A360)*Qty*UnitPrice*DiscountPct))&gt;40,"HighDisc","OK")</f>
        <v>OK</v>
      </c>
      <c r="P360">
        <f>(orderlinesTABLE[[#This Row],[UnitCost]]*orderlinesTABLE[[#This Row],[Qty]])</f>
        <v>23.68</v>
      </c>
      <c r="Q360">
        <f>(orderlinesTABLE[[#This Row],[LineNetAmount]]-orderlinesTABLE[[#This Row],[totalCOST]])</f>
        <v>37.0032</v>
      </c>
      <c r="R360" t="str">
        <f>VLOOKUP($B360,Menu!$A$1:$F$20,MATCH(OrderLines!R$1,Menu!$A$1:$F$1,0),0)</f>
        <v>Masala Chaas</v>
      </c>
      <c r="S360" t="str" cm="1">
        <f t="array" ref="S360">_xlfn.TEXTJOIN("+",TRUE,_xlfn._xlws.FILTER(orderlinesTABLE[ItemName],OrderID=orderlinesTABLE[[#This Row],[OrderID]]))</f>
        <v>Masala Chaas+Fruit Cup+Brownie</v>
      </c>
      <c r="T360" s="54">
        <f>orderlinesTABLE[[#This Row],[Profit]]/orderlinesTABLE[[#This Row],[LineNetAmount]]</f>
        <v>0.60977667624647347</v>
      </c>
      <c r="U360" s="70">
        <f>(orderlinesTABLE[[#This Row],[Qty]]*orderlinesTABLE[[#This Row],[UnitCost]])</f>
        <v>23.68</v>
      </c>
    </row>
    <row r="361" spans="1:21" x14ac:dyDescent="0.3">
      <c r="A361" s="15" t="s">
        <v>182</v>
      </c>
      <c r="B361" s="15" t="s">
        <v>412</v>
      </c>
      <c r="C361" s="15">
        <v>1</v>
      </c>
      <c r="D361" s="36">
        <f>VLOOKUP($B361,Menu!$A$1:$F$20,MATCH($D$1,Menu!$A$1:$F$1,0),0)</f>
        <v>57.07</v>
      </c>
      <c r="E361" s="15" t="str">
        <f>VLOOKUP($B361,Menu!$A$1:$F$20,MATCH(OrderLines!E$1,Menu!$A$1:$F$1,0),0)</f>
        <v>Dessert</v>
      </c>
      <c r="F361" s="36">
        <f>VLOOKUP($B361,Menu!$A$1:$F$20,MATCH(OrderLines!F$1,Menu!$A$1:$F$1,0),0)</f>
        <v>29.14</v>
      </c>
      <c r="G361" s="27">
        <f>VLOOKUP($A361,Orders!$A$1:$H$361,MATCH($G$1,Orders!$A$1:$H$1,0),0)</f>
        <v>45897</v>
      </c>
      <c r="H361" s="15" t="str">
        <f>VLOOKUP($A361,Orders!$A$1:$H$361,MATCH(OrderLines!$H$1,Orders!$A$1:$H$1,0),0)</f>
        <v>Head Office Café</v>
      </c>
      <c r="I361" s="15">
        <f>VLOOKUP($A361,Orders!$A$1:$H$361,MATCH(OrderLines!$I$1,Orders!$A$1:$H$1,0),0)</f>
        <v>0.08</v>
      </c>
      <c r="J361" s="15">
        <f t="shared" si="16"/>
        <v>52.504400000000004</v>
      </c>
      <c r="K361" s="27" t="str">
        <f t="shared" si="17"/>
        <v>August</v>
      </c>
      <c r="L361" s="15" t="str">
        <f>VLOOKUP(OrderLines!$A361,Orders!$A$1:$H$361,MATCH(OrderLines!$L$1,Orders!$A$1:$H$1,0),0)</f>
        <v>Breakfast</v>
      </c>
      <c r="M361" t="str">
        <f>VLOOKUP($A361,Orders!$A$1:$H$361,MATCH(OrderLines!$M$1,Orders!$A$1:$H$1,0),0)</f>
        <v>Card</v>
      </c>
      <c r="N361" t="str">
        <f t="shared" si="15"/>
        <v>Single</v>
      </c>
      <c r="O361" t="str" cm="1">
        <f t="array" ref="O361">IF((SUMPRODUCT((OrderID=OrderLines!$A361)*Qty*UnitPrice*DiscountPct))&gt;40,"HighDisc","OK")</f>
        <v>OK</v>
      </c>
      <c r="P361">
        <f>(orderlinesTABLE[[#This Row],[UnitCost]]*orderlinesTABLE[[#This Row],[Qty]])</f>
        <v>29.14</v>
      </c>
      <c r="Q361">
        <f>(orderlinesTABLE[[#This Row],[LineNetAmount]]-orderlinesTABLE[[#This Row],[totalCOST]])</f>
        <v>23.364400000000003</v>
      </c>
      <c r="R361" t="str">
        <f>VLOOKUP($B361,Menu!$A$1:$F$20,MATCH(OrderLines!R$1,Menu!$A$1:$F$1,0),0)</f>
        <v>Fruit Cup</v>
      </c>
      <c r="S361" t="str" cm="1">
        <f t="array" ref="S361">_xlfn.TEXTJOIN("+",TRUE,_xlfn._xlws.FILTER(orderlinesTABLE[ItemName],OrderID=orderlinesTABLE[[#This Row],[OrderID]]))</f>
        <v>Masala Chaas+Fruit Cup+Brownie</v>
      </c>
      <c r="T361" s="54">
        <f>orderlinesTABLE[[#This Row],[Profit]]/orderlinesTABLE[[#This Row],[LineNetAmount]]</f>
        <v>0.4449988953306771</v>
      </c>
      <c r="U361" s="70">
        <f>(orderlinesTABLE[[#This Row],[Qty]]*orderlinesTABLE[[#This Row],[UnitCost]])</f>
        <v>29.14</v>
      </c>
    </row>
    <row r="362" spans="1:21" x14ac:dyDescent="0.3">
      <c r="A362" s="14" t="s">
        <v>182</v>
      </c>
      <c r="B362" s="14" t="s">
        <v>414</v>
      </c>
      <c r="C362" s="14">
        <v>2</v>
      </c>
      <c r="D362" s="37">
        <f>VLOOKUP($B362,Menu!$A$1:$F$20,MATCH($D$1,Menu!$A$1:$F$1,0),0)</f>
        <v>116.8</v>
      </c>
      <c r="E362" s="14" t="str">
        <f>VLOOKUP($B362,Menu!$A$1:$F$20,MATCH(OrderLines!E$1,Menu!$A$1:$F$1,0),0)</f>
        <v>Dessert</v>
      </c>
      <c r="F362" s="37">
        <f>VLOOKUP($B362,Menu!$A$1:$F$20,MATCH(OrderLines!F$1,Menu!$A$1:$F$1,0),0)</f>
        <v>48.97</v>
      </c>
      <c r="G362" s="28">
        <f>VLOOKUP($A362,Orders!$A$1:$H$361,MATCH($G$1,Orders!$A$1:$H$1,0),0)</f>
        <v>45897</v>
      </c>
      <c r="H362" s="14" t="str">
        <f>VLOOKUP($A362,Orders!$A$1:$H$361,MATCH(OrderLines!$H$1,Orders!$A$1:$H$1,0),0)</f>
        <v>Head Office Café</v>
      </c>
      <c r="I362" s="14">
        <f>VLOOKUP($A362,Orders!$A$1:$H$361,MATCH(OrderLines!$I$1,Orders!$A$1:$H$1,0),0)</f>
        <v>0.08</v>
      </c>
      <c r="J362" s="14">
        <f t="shared" si="16"/>
        <v>214.91200000000001</v>
      </c>
      <c r="K362" s="28" t="str">
        <f t="shared" si="17"/>
        <v>August</v>
      </c>
      <c r="L362" s="14" t="str">
        <f>VLOOKUP(OrderLines!$A362,Orders!$A$1:$H$361,MATCH(OrderLines!$L$1,Orders!$A$1:$H$1,0),0)</f>
        <v>Breakfast</v>
      </c>
      <c r="M362" t="str">
        <f>VLOOKUP($A362,Orders!$A$1:$H$361,MATCH(OrderLines!$M$1,Orders!$A$1:$H$1,0),0)</f>
        <v>Card</v>
      </c>
      <c r="N362" t="str">
        <f t="shared" si="15"/>
        <v>Single</v>
      </c>
      <c r="O362" t="str" cm="1">
        <f t="array" ref="O362">IF((SUMPRODUCT((OrderID=OrderLines!$A362)*Qty*UnitPrice*DiscountPct))&gt;40,"HighDisc","OK")</f>
        <v>OK</v>
      </c>
      <c r="P362">
        <f>(orderlinesTABLE[[#This Row],[UnitCost]]*orderlinesTABLE[[#This Row],[Qty]])</f>
        <v>97.94</v>
      </c>
      <c r="Q362">
        <f>(orderlinesTABLE[[#This Row],[LineNetAmount]]-orderlinesTABLE[[#This Row],[totalCOST]])</f>
        <v>116.97200000000001</v>
      </c>
      <c r="R362" t="str">
        <f>VLOOKUP($B362,Menu!$A$1:$F$20,MATCH(OrderLines!R$1,Menu!$A$1:$F$1,0),0)</f>
        <v>Brownie</v>
      </c>
      <c r="S362" t="str" cm="1">
        <f t="array" ref="S362">_xlfn.TEXTJOIN("+",TRUE,_xlfn._xlws.FILTER(orderlinesTABLE[ItemName],OrderID=orderlinesTABLE[[#This Row],[OrderID]]))</f>
        <v>Masala Chaas+Fruit Cup+Brownie</v>
      </c>
      <c r="T362" s="54">
        <f>orderlinesTABLE[[#This Row],[Profit]]/orderlinesTABLE[[#This Row],[LineNetAmount]]</f>
        <v>0.54427858844550325</v>
      </c>
      <c r="U362" s="70">
        <f>(orderlinesTABLE[[#This Row],[Qty]]*orderlinesTABLE[[#This Row],[UnitCost]])</f>
        <v>97.94</v>
      </c>
    </row>
    <row r="363" spans="1:21" x14ac:dyDescent="0.3">
      <c r="A363" s="15" t="s">
        <v>183</v>
      </c>
      <c r="B363" s="15" t="s">
        <v>415</v>
      </c>
      <c r="C363" s="15">
        <v>3</v>
      </c>
      <c r="D363" s="36">
        <f>VLOOKUP($B363,Menu!$A$1:$F$20,MATCH($D$1,Menu!$A$1:$F$1,0),0)</f>
        <v>256.91000000000003</v>
      </c>
      <c r="E363" s="15" t="str">
        <f>VLOOKUP($B363,Menu!$A$1:$F$20,MATCH(OrderLines!E$1,Menu!$A$1:$F$1,0),0)</f>
        <v>Hot Meal</v>
      </c>
      <c r="F363" s="36">
        <f>VLOOKUP($B363,Menu!$A$1:$F$20,MATCH(OrderLines!F$1,Menu!$A$1:$F$1,0),0)</f>
        <v>121.24</v>
      </c>
      <c r="G363" s="27">
        <f>VLOOKUP($A363,Orders!$A$1:$H$361,MATCH($G$1,Orders!$A$1:$H$1,0),0)</f>
        <v>45851</v>
      </c>
      <c r="H363" s="15" t="str">
        <f>VLOOKUP($A363,Orders!$A$1:$H$361,MATCH(OrderLines!$H$1,Orders!$A$1:$H$1,0),0)</f>
        <v>Plant 2 Canteen</v>
      </c>
      <c r="I363" s="15">
        <f>VLOOKUP($A363,Orders!$A$1:$H$361,MATCH(OrderLines!$I$1,Orders!$A$1:$H$1,0),0)</f>
        <v>0.06</v>
      </c>
      <c r="J363" s="15">
        <f t="shared" si="16"/>
        <v>724.48619999999994</v>
      </c>
      <c r="K363" s="27" t="str">
        <f t="shared" si="17"/>
        <v>July</v>
      </c>
      <c r="L363" s="15" t="str">
        <f>VLOOKUP(OrderLines!$A363,Orders!$A$1:$H$361,MATCH(OrderLines!$L$1,Orders!$A$1:$H$1,0),0)</f>
        <v>Breakfast</v>
      </c>
      <c r="M363" t="str">
        <f>VLOOKUP($A363,Orders!$A$1:$H$361,MATCH(OrderLines!$M$1,Orders!$A$1:$H$1,0),0)</f>
        <v>Card</v>
      </c>
      <c r="N363" t="str">
        <f t="shared" si="15"/>
        <v>Combo</v>
      </c>
      <c r="O363" t="str" cm="1">
        <f t="array" ref="O363">IF((SUMPRODUCT((OrderID=OrderLines!$A363)*Qty*UnitPrice*DiscountPct))&gt;40,"HighDisc","OK")</f>
        <v>HighDisc</v>
      </c>
      <c r="P363">
        <f>(orderlinesTABLE[[#This Row],[UnitCost]]*orderlinesTABLE[[#This Row],[Qty]])</f>
        <v>363.71999999999997</v>
      </c>
      <c r="Q363">
        <f>(orderlinesTABLE[[#This Row],[LineNetAmount]]-orderlinesTABLE[[#This Row],[totalCOST]])</f>
        <v>360.76619999999997</v>
      </c>
      <c r="R363" t="str">
        <f>VLOOKUP($B363,Menu!$A$1:$F$20,MATCH(OrderLines!R$1,Menu!$A$1:$F$1,0),0)</f>
        <v>Chicken Thali</v>
      </c>
      <c r="S363" t="str" cm="1">
        <f t="array" ref="S363">_xlfn.TEXTJOIN("+",TRUE,_xlfn._xlws.FILTER(orderlinesTABLE[ItemName],OrderID=orderlinesTABLE[[#This Row],[OrderID]]))</f>
        <v>Chicken Thali+Coffee+Brownie+Egg Curry + Rice</v>
      </c>
      <c r="T363" s="54">
        <f>orderlinesTABLE[[#This Row],[Profit]]/orderlinesTABLE[[#This Row],[LineNetAmount]]</f>
        <v>0.4979614518537413</v>
      </c>
      <c r="U363" s="70">
        <f>(orderlinesTABLE[[#This Row],[Qty]]*orderlinesTABLE[[#This Row],[UnitCost]])</f>
        <v>363.71999999999997</v>
      </c>
    </row>
    <row r="364" spans="1:21" x14ac:dyDescent="0.3">
      <c r="A364" s="14" t="s">
        <v>183</v>
      </c>
      <c r="B364" s="14" t="s">
        <v>411</v>
      </c>
      <c r="C364" s="14">
        <v>2</v>
      </c>
      <c r="D364" s="37">
        <f>VLOOKUP($B364,Menu!$A$1:$F$20,MATCH($D$1,Menu!$A$1:$F$1,0),0)</f>
        <v>22.2</v>
      </c>
      <c r="E364" s="14" t="str">
        <f>VLOOKUP($B364,Menu!$A$1:$F$20,MATCH(OrderLines!E$1,Menu!$A$1:$F$1,0),0)</f>
        <v>Beverage</v>
      </c>
      <c r="F364" s="37">
        <f>VLOOKUP($B364,Menu!$A$1:$F$20,MATCH(OrderLines!F$1,Menu!$A$1:$F$1,0),0)</f>
        <v>9.3800000000000008</v>
      </c>
      <c r="G364" s="28">
        <f>VLOOKUP($A364,Orders!$A$1:$H$361,MATCH($G$1,Orders!$A$1:$H$1,0),0)</f>
        <v>45851</v>
      </c>
      <c r="H364" s="14" t="str">
        <f>VLOOKUP($A364,Orders!$A$1:$H$361,MATCH(OrderLines!$H$1,Orders!$A$1:$H$1,0),0)</f>
        <v>Plant 2 Canteen</v>
      </c>
      <c r="I364" s="14">
        <f>VLOOKUP($A364,Orders!$A$1:$H$361,MATCH(OrderLines!$I$1,Orders!$A$1:$H$1,0),0)</f>
        <v>0.06</v>
      </c>
      <c r="J364" s="14">
        <f t="shared" si="16"/>
        <v>41.735999999999997</v>
      </c>
      <c r="K364" s="28" t="str">
        <f t="shared" si="17"/>
        <v>July</v>
      </c>
      <c r="L364" s="14" t="str">
        <f>VLOOKUP(OrderLines!$A364,Orders!$A$1:$H$361,MATCH(OrderLines!$L$1,Orders!$A$1:$H$1,0),0)</f>
        <v>Breakfast</v>
      </c>
      <c r="M364" t="str">
        <f>VLOOKUP($A364,Orders!$A$1:$H$361,MATCH(OrderLines!$M$1,Orders!$A$1:$H$1,0),0)</f>
        <v>Card</v>
      </c>
      <c r="N364" t="str">
        <f t="shared" si="15"/>
        <v>Combo</v>
      </c>
      <c r="O364" t="str" cm="1">
        <f t="array" ref="O364">IF((SUMPRODUCT((OrderID=OrderLines!$A364)*Qty*UnitPrice*DiscountPct))&gt;40,"HighDisc","OK")</f>
        <v>HighDisc</v>
      </c>
      <c r="P364">
        <f>(orderlinesTABLE[[#This Row],[UnitCost]]*orderlinesTABLE[[#This Row],[Qty]])</f>
        <v>18.760000000000002</v>
      </c>
      <c r="Q364">
        <f>(orderlinesTABLE[[#This Row],[LineNetAmount]]-orderlinesTABLE[[#This Row],[totalCOST]])</f>
        <v>22.975999999999996</v>
      </c>
      <c r="R364" t="str">
        <f>VLOOKUP($B364,Menu!$A$1:$F$20,MATCH(OrderLines!R$1,Menu!$A$1:$F$1,0),0)</f>
        <v>Coffee</v>
      </c>
      <c r="S364" t="str" cm="1">
        <f t="array" ref="S364">_xlfn.TEXTJOIN("+",TRUE,_xlfn._xlws.FILTER(orderlinesTABLE[ItemName],OrderID=orderlinesTABLE[[#This Row],[OrderID]]))</f>
        <v>Chicken Thali+Coffee+Brownie+Egg Curry + Rice</v>
      </c>
      <c r="T364" s="54">
        <f>orderlinesTABLE[[#This Row],[Profit]]/orderlinesTABLE[[#This Row],[LineNetAmount]]</f>
        <v>0.55050795476327385</v>
      </c>
      <c r="U364" s="70">
        <f>(orderlinesTABLE[[#This Row],[Qty]]*orderlinesTABLE[[#This Row],[UnitCost]])</f>
        <v>18.760000000000002</v>
      </c>
    </row>
    <row r="365" spans="1:21" x14ac:dyDescent="0.3">
      <c r="A365" s="15" t="s">
        <v>183</v>
      </c>
      <c r="B365" s="15" t="s">
        <v>414</v>
      </c>
      <c r="C365" s="15">
        <v>1</v>
      </c>
      <c r="D365" s="36">
        <f>VLOOKUP($B365,Menu!$A$1:$F$20,MATCH($D$1,Menu!$A$1:$F$1,0),0)</f>
        <v>116.8</v>
      </c>
      <c r="E365" s="15" t="str">
        <f>VLOOKUP($B365,Menu!$A$1:$F$20,MATCH(OrderLines!E$1,Menu!$A$1:$F$1,0),0)</f>
        <v>Dessert</v>
      </c>
      <c r="F365" s="36">
        <f>VLOOKUP($B365,Menu!$A$1:$F$20,MATCH(OrderLines!F$1,Menu!$A$1:$F$1,0),0)</f>
        <v>48.97</v>
      </c>
      <c r="G365" s="27">
        <f>VLOOKUP($A365,Orders!$A$1:$H$361,MATCH($G$1,Orders!$A$1:$H$1,0),0)</f>
        <v>45851</v>
      </c>
      <c r="H365" s="15" t="str">
        <f>VLOOKUP($A365,Orders!$A$1:$H$361,MATCH(OrderLines!$H$1,Orders!$A$1:$H$1,0),0)</f>
        <v>Plant 2 Canteen</v>
      </c>
      <c r="I365" s="15">
        <f>VLOOKUP($A365,Orders!$A$1:$H$361,MATCH(OrderLines!$I$1,Orders!$A$1:$H$1,0),0)</f>
        <v>0.06</v>
      </c>
      <c r="J365" s="15">
        <f t="shared" si="16"/>
        <v>109.79199999999999</v>
      </c>
      <c r="K365" s="27" t="str">
        <f t="shared" si="17"/>
        <v>July</v>
      </c>
      <c r="L365" s="15" t="str">
        <f>VLOOKUP(OrderLines!$A365,Orders!$A$1:$H$361,MATCH(OrderLines!$L$1,Orders!$A$1:$H$1,0),0)</f>
        <v>Breakfast</v>
      </c>
      <c r="M365" t="str">
        <f>VLOOKUP($A365,Orders!$A$1:$H$361,MATCH(OrderLines!$M$1,Orders!$A$1:$H$1,0),0)</f>
        <v>Card</v>
      </c>
      <c r="N365" t="str">
        <f t="shared" si="15"/>
        <v>Combo</v>
      </c>
      <c r="O365" t="str" cm="1">
        <f t="array" ref="O365">IF((SUMPRODUCT((OrderID=OrderLines!$A365)*Qty*UnitPrice*DiscountPct))&gt;40,"HighDisc","OK")</f>
        <v>HighDisc</v>
      </c>
      <c r="P365">
        <f>(orderlinesTABLE[[#This Row],[UnitCost]]*orderlinesTABLE[[#This Row],[Qty]])</f>
        <v>48.97</v>
      </c>
      <c r="Q365">
        <f>(orderlinesTABLE[[#This Row],[LineNetAmount]]-orderlinesTABLE[[#This Row],[totalCOST]])</f>
        <v>60.821999999999989</v>
      </c>
      <c r="R365" t="str">
        <f>VLOOKUP($B365,Menu!$A$1:$F$20,MATCH(OrderLines!R$1,Menu!$A$1:$F$1,0),0)</f>
        <v>Brownie</v>
      </c>
      <c r="S365" t="str" cm="1">
        <f t="array" ref="S365">_xlfn.TEXTJOIN("+",TRUE,_xlfn._xlws.FILTER(orderlinesTABLE[ItemName],OrderID=orderlinesTABLE[[#This Row],[OrderID]]))</f>
        <v>Chicken Thali+Coffee+Brownie+Egg Curry + Rice</v>
      </c>
      <c r="T365" s="54">
        <f>orderlinesTABLE[[#This Row],[Profit]]/orderlinesTABLE[[#This Row],[LineNetAmount]]</f>
        <v>0.55397478869134364</v>
      </c>
      <c r="U365" s="70">
        <f>(orderlinesTABLE[[#This Row],[Qty]]*orderlinesTABLE[[#This Row],[UnitCost]])</f>
        <v>48.97</v>
      </c>
    </row>
    <row r="366" spans="1:21" x14ac:dyDescent="0.3">
      <c r="A366" s="14" t="s">
        <v>183</v>
      </c>
      <c r="B366" s="14" t="s">
        <v>407</v>
      </c>
      <c r="C366" s="14">
        <v>3</v>
      </c>
      <c r="D366" s="37">
        <f>VLOOKUP($B366,Menu!$A$1:$F$20,MATCH($D$1,Menu!$A$1:$F$1,0),0)</f>
        <v>246.09</v>
      </c>
      <c r="E366" s="14" t="str">
        <f>VLOOKUP($B366,Menu!$A$1:$F$20,MATCH(OrderLines!E$1,Menu!$A$1:$F$1,0),0)</f>
        <v>Hot Meal</v>
      </c>
      <c r="F366" s="37">
        <f>VLOOKUP($B366,Menu!$A$1:$F$20,MATCH(OrderLines!F$1,Menu!$A$1:$F$1,0),0)</f>
        <v>112.08</v>
      </c>
      <c r="G366" s="28">
        <f>VLOOKUP($A366,Orders!$A$1:$H$361,MATCH($G$1,Orders!$A$1:$H$1,0),0)</f>
        <v>45851</v>
      </c>
      <c r="H366" s="14" t="str">
        <f>VLOOKUP($A366,Orders!$A$1:$H$361,MATCH(OrderLines!$H$1,Orders!$A$1:$H$1,0),0)</f>
        <v>Plant 2 Canteen</v>
      </c>
      <c r="I366" s="14">
        <f>VLOOKUP($A366,Orders!$A$1:$H$361,MATCH(OrderLines!$I$1,Orders!$A$1:$H$1,0),0)</f>
        <v>0.06</v>
      </c>
      <c r="J366" s="14">
        <f t="shared" si="16"/>
        <v>693.97379999999998</v>
      </c>
      <c r="K366" s="28" t="str">
        <f t="shared" si="17"/>
        <v>July</v>
      </c>
      <c r="L366" s="14" t="str">
        <f>VLOOKUP(OrderLines!$A366,Orders!$A$1:$H$361,MATCH(OrderLines!$L$1,Orders!$A$1:$H$1,0),0)</f>
        <v>Breakfast</v>
      </c>
      <c r="M366" t="str">
        <f>VLOOKUP($A366,Orders!$A$1:$H$361,MATCH(OrderLines!$M$1,Orders!$A$1:$H$1,0),0)</f>
        <v>Card</v>
      </c>
      <c r="N366" t="str">
        <f t="shared" si="15"/>
        <v>Combo</v>
      </c>
      <c r="O366" t="str" cm="1">
        <f t="array" ref="O366">IF((SUMPRODUCT((OrderID=OrderLines!$A366)*Qty*UnitPrice*DiscountPct))&gt;40,"HighDisc","OK")</f>
        <v>HighDisc</v>
      </c>
      <c r="P366">
        <f>(orderlinesTABLE[[#This Row],[UnitCost]]*orderlinesTABLE[[#This Row],[Qty]])</f>
        <v>336.24</v>
      </c>
      <c r="Q366">
        <f>(orderlinesTABLE[[#This Row],[LineNetAmount]]-orderlinesTABLE[[#This Row],[totalCOST]])</f>
        <v>357.73379999999997</v>
      </c>
      <c r="R366" t="str">
        <f>VLOOKUP($B366,Menu!$A$1:$F$20,MATCH(OrderLines!R$1,Menu!$A$1:$F$1,0),0)</f>
        <v>Egg Curry + Rice</v>
      </c>
      <c r="S366" t="str" cm="1">
        <f t="array" ref="S366">_xlfn.TEXTJOIN("+",TRUE,_xlfn._xlws.FILTER(orderlinesTABLE[ItemName],OrderID=orderlinesTABLE[[#This Row],[OrderID]]))</f>
        <v>Chicken Thali+Coffee+Brownie+Egg Curry + Rice</v>
      </c>
      <c r="T366" s="54">
        <f>orderlinesTABLE[[#This Row],[Profit]]/orderlinesTABLE[[#This Row],[LineNetAmount]]</f>
        <v>0.51548603131703241</v>
      </c>
      <c r="U366" s="70">
        <f>(orderlinesTABLE[[#This Row],[Qty]]*orderlinesTABLE[[#This Row],[UnitCost]])</f>
        <v>336.24</v>
      </c>
    </row>
    <row r="367" spans="1:21" x14ac:dyDescent="0.3">
      <c r="A367" s="15" t="s">
        <v>184</v>
      </c>
      <c r="B367" s="15" t="s">
        <v>408</v>
      </c>
      <c r="C367" s="15">
        <v>1</v>
      </c>
      <c r="D367" s="36">
        <f>VLOOKUP($B367,Menu!$A$1:$F$20,MATCH($D$1,Menu!$A$1:$F$1,0),0)</f>
        <v>70.540000000000006</v>
      </c>
      <c r="E367" s="15" t="str">
        <f>VLOOKUP($B367,Menu!$A$1:$F$20,MATCH(OrderLines!E$1,Menu!$A$1:$F$1,0),0)</f>
        <v>Snack</v>
      </c>
      <c r="F367" s="36">
        <f>VLOOKUP($B367,Menu!$A$1:$F$20,MATCH(OrderLines!F$1,Menu!$A$1:$F$1,0),0)</f>
        <v>35.81</v>
      </c>
      <c r="G367" s="27">
        <f>VLOOKUP($A367,Orders!$A$1:$H$361,MATCH($G$1,Orders!$A$1:$H$1,0),0)</f>
        <v>45865</v>
      </c>
      <c r="H367" s="15" t="str">
        <f>VLOOKUP($A367,Orders!$A$1:$H$361,MATCH(OrderLines!$H$1,Orders!$A$1:$H$1,0),0)</f>
        <v>Head Office Café</v>
      </c>
      <c r="I367" s="15">
        <f>VLOOKUP($A367,Orders!$A$1:$H$361,MATCH(OrderLines!$I$1,Orders!$A$1:$H$1,0),0)</f>
        <v>0.03</v>
      </c>
      <c r="J367" s="15">
        <f t="shared" si="16"/>
        <v>68.4238</v>
      </c>
      <c r="K367" s="27" t="str">
        <f t="shared" si="17"/>
        <v>July</v>
      </c>
      <c r="L367" s="15" t="str">
        <f>VLOOKUP(OrderLines!$A367,Orders!$A$1:$H$361,MATCH(OrderLines!$L$1,Orders!$A$1:$H$1,0),0)</f>
        <v>Dinner</v>
      </c>
      <c r="M367" t="str">
        <f>VLOOKUP($A367,Orders!$A$1:$H$361,MATCH(OrderLines!$M$1,Orders!$A$1:$H$1,0),0)</f>
        <v>Card</v>
      </c>
      <c r="N367" t="str">
        <f t="shared" si="15"/>
        <v>Combo</v>
      </c>
      <c r="O367" t="str" cm="1">
        <f t="array" ref="O367">IF((SUMPRODUCT((OrderID=OrderLines!$A367)*Qty*UnitPrice*DiscountPct))&gt;40,"HighDisc","OK")</f>
        <v>OK</v>
      </c>
      <c r="P367">
        <f>(orderlinesTABLE[[#This Row],[UnitCost]]*orderlinesTABLE[[#This Row],[Qty]])</f>
        <v>35.81</v>
      </c>
      <c r="Q367">
        <f>(orderlinesTABLE[[#This Row],[LineNetAmount]]-orderlinesTABLE[[#This Row],[totalCOST]])</f>
        <v>32.613799999999998</v>
      </c>
      <c r="R367" t="str">
        <f>VLOOKUP($B367,Menu!$A$1:$F$20,MATCH(OrderLines!R$1,Menu!$A$1:$F$1,0),0)</f>
        <v>Veg Sandwich</v>
      </c>
      <c r="S367" t="str" cm="1">
        <f t="array" ref="S367">_xlfn.TEXTJOIN("+",TRUE,_xlfn._xlws.FILTER(orderlinesTABLE[ItemName],OrderID=orderlinesTABLE[[#This Row],[OrderID]]))</f>
        <v>Veg Sandwich+Paneer Butter Masala + Naan+Masala Chaas+Bottled Water</v>
      </c>
      <c r="T367" s="54">
        <f>orderlinesTABLE[[#This Row],[Profit]]/orderlinesTABLE[[#This Row],[LineNetAmount]]</f>
        <v>0.47664409167570343</v>
      </c>
      <c r="U367" s="70">
        <f>(orderlinesTABLE[[#This Row],[Qty]]*orderlinesTABLE[[#This Row],[UnitCost]])</f>
        <v>35.81</v>
      </c>
    </row>
    <row r="368" spans="1:21" x14ac:dyDescent="0.3">
      <c r="A368" s="14" t="s">
        <v>184</v>
      </c>
      <c r="B368" s="14" t="s">
        <v>405</v>
      </c>
      <c r="C368" s="14">
        <v>1</v>
      </c>
      <c r="D368" s="37">
        <f>VLOOKUP($B368,Menu!$A$1:$F$20,MATCH($D$1,Menu!$A$1:$F$1,0),0)</f>
        <v>170.83</v>
      </c>
      <c r="E368" s="14" t="str">
        <f>VLOOKUP($B368,Menu!$A$1:$F$20,MATCH(OrderLines!E$1,Menu!$A$1:$F$1,0),0)</f>
        <v>Hot Meal</v>
      </c>
      <c r="F368" s="37">
        <f>VLOOKUP($B368,Menu!$A$1:$F$20,MATCH(OrderLines!F$1,Menu!$A$1:$F$1,0),0)</f>
        <v>74.069999999999993</v>
      </c>
      <c r="G368" s="28">
        <f>VLOOKUP($A368,Orders!$A$1:$H$361,MATCH($G$1,Orders!$A$1:$H$1,0),0)</f>
        <v>45865</v>
      </c>
      <c r="H368" s="14" t="str">
        <f>VLOOKUP($A368,Orders!$A$1:$H$361,MATCH(OrderLines!$H$1,Orders!$A$1:$H$1,0),0)</f>
        <v>Head Office Café</v>
      </c>
      <c r="I368" s="14">
        <f>VLOOKUP($A368,Orders!$A$1:$H$361,MATCH(OrderLines!$I$1,Orders!$A$1:$H$1,0),0)</f>
        <v>0.03</v>
      </c>
      <c r="J368" s="14">
        <f t="shared" si="16"/>
        <v>165.70510000000002</v>
      </c>
      <c r="K368" s="28" t="str">
        <f t="shared" si="17"/>
        <v>July</v>
      </c>
      <c r="L368" s="14" t="str">
        <f>VLOOKUP(OrderLines!$A368,Orders!$A$1:$H$361,MATCH(OrderLines!$L$1,Orders!$A$1:$H$1,0),0)</f>
        <v>Dinner</v>
      </c>
      <c r="M368" t="str">
        <f>VLOOKUP($A368,Orders!$A$1:$H$361,MATCH(OrderLines!$M$1,Orders!$A$1:$H$1,0),0)</f>
        <v>Card</v>
      </c>
      <c r="N368" t="str">
        <f t="shared" si="15"/>
        <v>Combo</v>
      </c>
      <c r="O368" t="str" cm="1">
        <f t="array" ref="O368">IF((SUMPRODUCT((OrderID=OrderLines!$A368)*Qty*UnitPrice*DiscountPct))&gt;40,"HighDisc","OK")</f>
        <v>OK</v>
      </c>
      <c r="P368">
        <f>(orderlinesTABLE[[#This Row],[UnitCost]]*orderlinesTABLE[[#This Row],[Qty]])</f>
        <v>74.069999999999993</v>
      </c>
      <c r="Q368">
        <f>(orderlinesTABLE[[#This Row],[LineNetAmount]]-orderlinesTABLE[[#This Row],[totalCOST]])</f>
        <v>91.635100000000023</v>
      </c>
      <c r="R368" t="str">
        <f>VLOOKUP($B368,Menu!$A$1:$F$20,MATCH(OrderLines!R$1,Menu!$A$1:$F$1,0),0)</f>
        <v>Paneer Butter Masala + Naan</v>
      </c>
      <c r="S368" t="str" cm="1">
        <f t="array" ref="S368">_xlfn.TEXTJOIN("+",TRUE,_xlfn._xlws.FILTER(orderlinesTABLE[ItemName],OrderID=orderlinesTABLE[[#This Row],[OrderID]]))</f>
        <v>Veg Sandwich+Paneer Butter Masala + Naan+Masala Chaas+Bottled Water</v>
      </c>
      <c r="T368" s="54">
        <f>orderlinesTABLE[[#This Row],[Profit]]/orderlinesTABLE[[#This Row],[LineNetAmount]]</f>
        <v>0.5530010844566644</v>
      </c>
      <c r="U368" s="70">
        <f>(orderlinesTABLE[[#This Row],[Qty]]*orderlinesTABLE[[#This Row],[UnitCost]])</f>
        <v>74.069999999999993</v>
      </c>
    </row>
    <row r="369" spans="1:21" x14ac:dyDescent="0.3">
      <c r="A369" s="15" t="s">
        <v>184</v>
      </c>
      <c r="B369" s="15" t="s">
        <v>404</v>
      </c>
      <c r="C369" s="15">
        <v>3</v>
      </c>
      <c r="D369" s="36">
        <f>VLOOKUP($B369,Menu!$A$1:$F$20,MATCH($D$1,Menu!$A$1:$F$1,0),0)</f>
        <v>32.979999999999997</v>
      </c>
      <c r="E369" s="15" t="str">
        <f>VLOOKUP($B369,Menu!$A$1:$F$20,MATCH(OrderLines!E$1,Menu!$A$1:$F$1,0),0)</f>
        <v>Beverage</v>
      </c>
      <c r="F369" s="36">
        <f>VLOOKUP($B369,Menu!$A$1:$F$20,MATCH(OrderLines!F$1,Menu!$A$1:$F$1,0),0)</f>
        <v>11.84</v>
      </c>
      <c r="G369" s="27">
        <f>VLOOKUP($A369,Orders!$A$1:$H$361,MATCH($G$1,Orders!$A$1:$H$1,0),0)</f>
        <v>45865</v>
      </c>
      <c r="H369" s="15" t="str">
        <f>VLOOKUP($A369,Orders!$A$1:$H$361,MATCH(OrderLines!$H$1,Orders!$A$1:$H$1,0),0)</f>
        <v>Head Office Café</v>
      </c>
      <c r="I369" s="15">
        <f>VLOOKUP($A369,Orders!$A$1:$H$361,MATCH(OrderLines!$I$1,Orders!$A$1:$H$1,0),0)</f>
        <v>0.03</v>
      </c>
      <c r="J369" s="15">
        <f t="shared" si="16"/>
        <v>95.971800000000002</v>
      </c>
      <c r="K369" s="27" t="str">
        <f t="shared" si="17"/>
        <v>July</v>
      </c>
      <c r="L369" s="15" t="str">
        <f>VLOOKUP(OrderLines!$A369,Orders!$A$1:$H$361,MATCH(OrderLines!$L$1,Orders!$A$1:$H$1,0),0)</f>
        <v>Dinner</v>
      </c>
      <c r="M369" t="str">
        <f>VLOOKUP($A369,Orders!$A$1:$H$361,MATCH(OrderLines!$M$1,Orders!$A$1:$H$1,0),0)</f>
        <v>Card</v>
      </c>
      <c r="N369" t="str">
        <f t="shared" si="15"/>
        <v>Combo</v>
      </c>
      <c r="O369" t="str" cm="1">
        <f t="array" ref="O369">IF((SUMPRODUCT((OrderID=OrderLines!$A369)*Qty*UnitPrice*DiscountPct))&gt;40,"HighDisc","OK")</f>
        <v>OK</v>
      </c>
      <c r="P369">
        <f>(orderlinesTABLE[[#This Row],[UnitCost]]*orderlinesTABLE[[#This Row],[Qty]])</f>
        <v>35.519999999999996</v>
      </c>
      <c r="Q369">
        <f>(orderlinesTABLE[[#This Row],[LineNetAmount]]-orderlinesTABLE[[#This Row],[totalCOST]])</f>
        <v>60.451800000000006</v>
      </c>
      <c r="R369" t="str">
        <f>VLOOKUP($B369,Menu!$A$1:$F$20,MATCH(OrderLines!R$1,Menu!$A$1:$F$1,0),0)</f>
        <v>Masala Chaas</v>
      </c>
      <c r="S369" t="str" cm="1">
        <f t="array" ref="S369">_xlfn.TEXTJOIN("+",TRUE,_xlfn._xlws.FILTER(orderlinesTABLE[ItemName],OrderID=orderlinesTABLE[[#This Row],[OrderID]]))</f>
        <v>Veg Sandwich+Paneer Butter Masala + Naan+Masala Chaas+Bottled Water</v>
      </c>
      <c r="T369" s="54">
        <f>orderlinesTABLE[[#This Row],[Profit]]/orderlinesTABLE[[#This Row],[LineNetAmount]]</f>
        <v>0.62989128056366561</v>
      </c>
      <c r="U369" s="70">
        <f>(orderlinesTABLE[[#This Row],[Qty]]*orderlinesTABLE[[#This Row],[UnitCost]])</f>
        <v>35.519999999999996</v>
      </c>
    </row>
    <row r="370" spans="1:21" x14ac:dyDescent="0.3">
      <c r="A370" s="14" t="s">
        <v>184</v>
      </c>
      <c r="B370" s="14" t="s">
        <v>409</v>
      </c>
      <c r="C370" s="14">
        <v>1</v>
      </c>
      <c r="D370" s="37">
        <f>VLOOKUP($B370,Menu!$A$1:$F$20,MATCH($D$1,Menu!$A$1:$F$1,0),0)</f>
        <v>28.43</v>
      </c>
      <c r="E370" s="14" t="str">
        <f>VLOOKUP($B370,Menu!$A$1:$F$20,MATCH(OrderLines!E$1,Menu!$A$1:$F$1,0),0)</f>
        <v>Beverage</v>
      </c>
      <c r="F370" s="37">
        <f>VLOOKUP($B370,Menu!$A$1:$F$20,MATCH(OrderLines!F$1,Menu!$A$1:$F$1,0),0)</f>
        <v>13.89</v>
      </c>
      <c r="G370" s="28">
        <f>VLOOKUP($A370,Orders!$A$1:$H$361,MATCH($G$1,Orders!$A$1:$H$1,0),0)</f>
        <v>45865</v>
      </c>
      <c r="H370" s="14" t="str">
        <f>VLOOKUP($A370,Orders!$A$1:$H$361,MATCH(OrderLines!$H$1,Orders!$A$1:$H$1,0),0)</f>
        <v>Head Office Café</v>
      </c>
      <c r="I370" s="14">
        <f>VLOOKUP($A370,Orders!$A$1:$H$361,MATCH(OrderLines!$I$1,Orders!$A$1:$H$1,0),0)</f>
        <v>0.03</v>
      </c>
      <c r="J370" s="14">
        <f t="shared" si="16"/>
        <v>27.577099999999998</v>
      </c>
      <c r="K370" s="28" t="str">
        <f t="shared" si="17"/>
        <v>July</v>
      </c>
      <c r="L370" s="14" t="str">
        <f>VLOOKUP(OrderLines!$A370,Orders!$A$1:$H$361,MATCH(OrderLines!$L$1,Orders!$A$1:$H$1,0),0)</f>
        <v>Dinner</v>
      </c>
      <c r="M370" t="str">
        <f>VLOOKUP($A370,Orders!$A$1:$H$361,MATCH(OrderLines!$M$1,Orders!$A$1:$H$1,0),0)</f>
        <v>Card</v>
      </c>
      <c r="N370" t="str">
        <f t="shared" si="15"/>
        <v>Combo</v>
      </c>
      <c r="O370" t="str" cm="1">
        <f t="array" ref="O370">IF((SUMPRODUCT((OrderID=OrderLines!$A370)*Qty*UnitPrice*DiscountPct))&gt;40,"HighDisc","OK")</f>
        <v>OK</v>
      </c>
      <c r="P370">
        <f>(orderlinesTABLE[[#This Row],[UnitCost]]*orderlinesTABLE[[#This Row],[Qty]])</f>
        <v>13.89</v>
      </c>
      <c r="Q370">
        <f>(orderlinesTABLE[[#This Row],[LineNetAmount]]-orderlinesTABLE[[#This Row],[totalCOST]])</f>
        <v>13.687099999999997</v>
      </c>
      <c r="R370" t="str">
        <f>VLOOKUP($B370,Menu!$A$1:$F$20,MATCH(OrderLines!R$1,Menu!$A$1:$F$1,0),0)</f>
        <v>Bottled Water</v>
      </c>
      <c r="S370" t="str" cm="1">
        <f t="array" ref="S370">_xlfn.TEXTJOIN("+",TRUE,_xlfn._xlws.FILTER(orderlinesTABLE[ItemName],OrderID=orderlinesTABLE[[#This Row],[OrderID]]))</f>
        <v>Veg Sandwich+Paneer Butter Masala + Naan+Masala Chaas+Bottled Water</v>
      </c>
      <c r="T370" s="54">
        <f>orderlinesTABLE[[#This Row],[Profit]]/orderlinesTABLE[[#This Row],[LineNetAmount]]</f>
        <v>0.49632122304375725</v>
      </c>
      <c r="U370" s="70">
        <f>(orderlinesTABLE[[#This Row],[Qty]]*orderlinesTABLE[[#This Row],[UnitCost]])</f>
        <v>13.89</v>
      </c>
    </row>
    <row r="371" spans="1:21" x14ac:dyDescent="0.3">
      <c r="A371" s="15" t="s">
        <v>185</v>
      </c>
      <c r="B371" s="15" t="s">
        <v>402</v>
      </c>
      <c r="C371" s="15">
        <v>1</v>
      </c>
      <c r="D371" s="36">
        <f>VLOOKUP($B371,Menu!$A$1:$F$20,MATCH($D$1,Menu!$A$1:$F$1,0),0)</f>
        <v>30.34</v>
      </c>
      <c r="E371" s="15" t="str">
        <f>VLOOKUP($B371,Menu!$A$1:$F$20,MATCH(OrderLines!E$1,Menu!$A$1:$F$1,0),0)</f>
        <v>Beverage</v>
      </c>
      <c r="F371" s="36">
        <f>VLOOKUP($B371,Menu!$A$1:$F$20,MATCH(OrderLines!F$1,Menu!$A$1:$F$1,0),0)</f>
        <v>14.18</v>
      </c>
      <c r="G371" s="27">
        <f>VLOOKUP($A371,Orders!$A$1:$H$361,MATCH($G$1,Orders!$A$1:$H$1,0),0)</f>
        <v>45847</v>
      </c>
      <c r="H371" s="15" t="str">
        <f>VLOOKUP($A371,Orders!$A$1:$H$361,MATCH(OrderLines!$H$1,Orders!$A$1:$H$1,0),0)</f>
        <v>Head Office Café</v>
      </c>
      <c r="I371" s="15">
        <f>VLOOKUP($A371,Orders!$A$1:$H$361,MATCH(OrderLines!$I$1,Orders!$A$1:$H$1,0),0)</f>
        <v>0</v>
      </c>
      <c r="J371" s="15">
        <f t="shared" si="16"/>
        <v>30.34</v>
      </c>
      <c r="K371" s="27" t="str">
        <f t="shared" si="17"/>
        <v>July</v>
      </c>
      <c r="L371" s="15" t="str">
        <f>VLOOKUP(OrderLines!$A371,Orders!$A$1:$H$361,MATCH(OrderLines!$L$1,Orders!$A$1:$H$1,0),0)</f>
        <v>Breakfast</v>
      </c>
      <c r="M371" t="str">
        <f>VLOOKUP($A371,Orders!$A$1:$H$361,MATCH(OrderLines!$M$1,Orders!$A$1:$H$1,0),0)</f>
        <v>Card</v>
      </c>
      <c r="N371" t="str">
        <f t="shared" si="15"/>
        <v>Single</v>
      </c>
      <c r="O371" t="str" cm="1">
        <f t="array" ref="O371">IF((SUMPRODUCT((OrderID=OrderLines!$A371)*Qty*UnitPrice*DiscountPct))&gt;40,"HighDisc","OK")</f>
        <v>OK</v>
      </c>
      <c r="P371">
        <f>(orderlinesTABLE[[#This Row],[UnitCost]]*orderlinesTABLE[[#This Row],[Qty]])</f>
        <v>14.18</v>
      </c>
      <c r="Q371">
        <f>(orderlinesTABLE[[#This Row],[LineNetAmount]]-orderlinesTABLE[[#This Row],[totalCOST]])</f>
        <v>16.16</v>
      </c>
      <c r="R371" t="str">
        <f>VLOOKUP($B371,Menu!$A$1:$F$20,MATCH(OrderLines!R$1,Menu!$A$1:$F$1,0),0)</f>
        <v>Tea</v>
      </c>
      <c r="S371" t="str" cm="1">
        <f t="array" ref="S371">_xlfn.TEXTJOIN("+",TRUE,_xlfn._xlws.FILTER(orderlinesTABLE[ItemName],OrderID=orderlinesTABLE[[#This Row],[OrderID]]))</f>
        <v>Tea+Samosa</v>
      </c>
      <c r="T371" s="54">
        <f>orderlinesTABLE[[#This Row],[Profit]]/orderlinesTABLE[[#This Row],[LineNetAmount]]</f>
        <v>0.53263019116677657</v>
      </c>
      <c r="U371" s="70">
        <f>(orderlinesTABLE[[#This Row],[Qty]]*orderlinesTABLE[[#This Row],[UnitCost]])</f>
        <v>14.18</v>
      </c>
    </row>
    <row r="372" spans="1:21" x14ac:dyDescent="0.3">
      <c r="A372" s="14" t="s">
        <v>185</v>
      </c>
      <c r="B372" s="14" t="s">
        <v>418</v>
      </c>
      <c r="C372" s="14">
        <v>1</v>
      </c>
      <c r="D372" s="37">
        <f>VLOOKUP($B372,Menu!$A$1:$F$20,MATCH($D$1,Menu!$A$1:$F$1,0),0)</f>
        <v>39.950000000000003</v>
      </c>
      <c r="E372" s="14" t="str">
        <f>VLOOKUP($B372,Menu!$A$1:$F$20,MATCH(OrderLines!E$1,Menu!$A$1:$F$1,0),0)</f>
        <v>Snack</v>
      </c>
      <c r="F372" s="37">
        <f>VLOOKUP($B372,Menu!$A$1:$F$20,MATCH(OrderLines!F$1,Menu!$A$1:$F$1,0),0)</f>
        <v>15.51</v>
      </c>
      <c r="G372" s="28">
        <f>VLOOKUP($A372,Orders!$A$1:$H$361,MATCH($G$1,Orders!$A$1:$H$1,0),0)</f>
        <v>45847</v>
      </c>
      <c r="H372" s="14" t="str">
        <f>VLOOKUP($A372,Orders!$A$1:$H$361,MATCH(OrderLines!$H$1,Orders!$A$1:$H$1,0),0)</f>
        <v>Head Office Café</v>
      </c>
      <c r="I372" s="14">
        <f>VLOOKUP($A372,Orders!$A$1:$H$361,MATCH(OrderLines!$I$1,Orders!$A$1:$H$1,0),0)</f>
        <v>0</v>
      </c>
      <c r="J372" s="14">
        <f t="shared" si="16"/>
        <v>39.950000000000003</v>
      </c>
      <c r="K372" s="28" t="str">
        <f t="shared" si="17"/>
        <v>July</v>
      </c>
      <c r="L372" s="14" t="str">
        <f>VLOOKUP(OrderLines!$A372,Orders!$A$1:$H$361,MATCH(OrderLines!$L$1,Orders!$A$1:$H$1,0),0)</f>
        <v>Breakfast</v>
      </c>
      <c r="M372" t="str">
        <f>VLOOKUP($A372,Orders!$A$1:$H$361,MATCH(OrderLines!$M$1,Orders!$A$1:$H$1,0),0)</f>
        <v>Card</v>
      </c>
      <c r="N372" t="str">
        <f t="shared" si="15"/>
        <v>Single</v>
      </c>
      <c r="O372" t="str" cm="1">
        <f t="array" ref="O372">IF((SUMPRODUCT((OrderID=OrderLines!$A372)*Qty*UnitPrice*DiscountPct))&gt;40,"HighDisc","OK")</f>
        <v>OK</v>
      </c>
      <c r="P372">
        <f>(orderlinesTABLE[[#This Row],[UnitCost]]*orderlinesTABLE[[#This Row],[Qty]])</f>
        <v>15.51</v>
      </c>
      <c r="Q372">
        <f>(orderlinesTABLE[[#This Row],[LineNetAmount]]-orderlinesTABLE[[#This Row],[totalCOST]])</f>
        <v>24.440000000000005</v>
      </c>
      <c r="R372" t="str">
        <f>VLOOKUP($B372,Menu!$A$1:$F$20,MATCH(OrderLines!R$1,Menu!$A$1:$F$1,0),0)</f>
        <v>Samosa</v>
      </c>
      <c r="S372" t="str" cm="1">
        <f t="array" ref="S372">_xlfn.TEXTJOIN("+",TRUE,_xlfn._xlws.FILTER(orderlinesTABLE[ItemName],OrderID=orderlinesTABLE[[#This Row],[OrderID]]))</f>
        <v>Tea+Samosa</v>
      </c>
      <c r="T372" s="54">
        <f>orderlinesTABLE[[#This Row],[Profit]]/orderlinesTABLE[[#This Row],[LineNetAmount]]</f>
        <v>0.61176470588235299</v>
      </c>
      <c r="U372" s="70">
        <f>(orderlinesTABLE[[#This Row],[Qty]]*orderlinesTABLE[[#This Row],[UnitCost]])</f>
        <v>15.51</v>
      </c>
    </row>
    <row r="373" spans="1:21" x14ac:dyDescent="0.3">
      <c r="A373" s="15" t="s">
        <v>186</v>
      </c>
      <c r="B373" s="15" t="s">
        <v>416</v>
      </c>
      <c r="C373" s="15">
        <v>1</v>
      </c>
      <c r="D373" s="36">
        <f>VLOOKUP($B373,Menu!$A$1:$F$20,MATCH($D$1,Menu!$A$1:$F$1,0),0)</f>
        <v>227.61</v>
      </c>
      <c r="E373" s="15" t="str">
        <f>VLOOKUP($B373,Menu!$A$1:$F$20,MATCH(OrderLines!E$1,Menu!$A$1:$F$1,0),0)</f>
        <v>Hot Meal</v>
      </c>
      <c r="F373" s="36">
        <f>VLOOKUP($B373,Menu!$A$1:$F$20,MATCH(OrderLines!F$1,Menu!$A$1:$F$1,0),0)</f>
        <v>96.22</v>
      </c>
      <c r="G373" s="27">
        <f>VLOOKUP($A373,Orders!$A$1:$H$361,MATCH($G$1,Orders!$A$1:$H$1,0),0)</f>
        <v>45897</v>
      </c>
      <c r="H373" s="15" t="str">
        <f>VLOOKUP($A373,Orders!$A$1:$H$361,MATCH(OrderLines!$H$1,Orders!$A$1:$H$1,0),0)</f>
        <v>Plant 2 Canteen</v>
      </c>
      <c r="I373" s="15">
        <f>VLOOKUP($A373,Orders!$A$1:$H$361,MATCH(OrderLines!$I$1,Orders!$A$1:$H$1,0),0)</f>
        <v>0.04</v>
      </c>
      <c r="J373" s="15">
        <f t="shared" si="16"/>
        <v>218.50560000000002</v>
      </c>
      <c r="K373" s="27" t="str">
        <f t="shared" si="17"/>
        <v>August</v>
      </c>
      <c r="L373" s="15" t="str">
        <f>VLOOKUP(OrderLines!$A373,Orders!$A$1:$H$361,MATCH(OrderLines!$L$1,Orders!$A$1:$H$1,0),0)</f>
        <v>Dinner</v>
      </c>
      <c r="M373" t="str">
        <f>VLOOKUP($A373,Orders!$A$1:$H$361,MATCH(OrderLines!$M$1,Orders!$A$1:$H$1,0),0)</f>
        <v>Cash</v>
      </c>
      <c r="N373" t="str">
        <f t="shared" si="15"/>
        <v>Single</v>
      </c>
      <c r="O373" t="str" cm="1">
        <f t="array" ref="O373">IF((SUMPRODUCT((OrderID=OrderLines!$A373)*Qty*UnitPrice*DiscountPct))&gt;40,"HighDisc","OK")</f>
        <v>OK</v>
      </c>
      <c r="P373">
        <f>(orderlinesTABLE[[#This Row],[UnitCost]]*orderlinesTABLE[[#This Row],[Qty]])</f>
        <v>96.22</v>
      </c>
      <c r="Q373">
        <f>(orderlinesTABLE[[#This Row],[LineNetAmount]]-orderlinesTABLE[[#This Row],[totalCOST]])</f>
        <v>122.28560000000002</v>
      </c>
      <c r="R373" t="str">
        <f>VLOOKUP($B373,Menu!$A$1:$F$20,MATCH(OrderLines!R$1,Menu!$A$1:$F$1,0),0)</f>
        <v>Veg Thali</v>
      </c>
      <c r="S373" t="str" cm="1">
        <f t="array" ref="S373">_xlfn.TEXTJOIN("+",TRUE,_xlfn._xlws.FILTER(orderlinesTABLE[ItemName],OrderID=orderlinesTABLE[[#This Row],[OrderID]]))</f>
        <v>Veg Thali+Veg Sandwich</v>
      </c>
      <c r="T373" s="54">
        <f>orderlinesTABLE[[#This Row],[Profit]]/orderlinesTABLE[[#This Row],[LineNetAmount]]</f>
        <v>0.55964515325923003</v>
      </c>
      <c r="U373" s="70">
        <f>(orderlinesTABLE[[#This Row],[Qty]]*orderlinesTABLE[[#This Row],[UnitCost]])</f>
        <v>96.22</v>
      </c>
    </row>
    <row r="374" spans="1:21" x14ac:dyDescent="0.3">
      <c r="A374" s="14" t="s">
        <v>186</v>
      </c>
      <c r="B374" s="14" t="s">
        <v>408</v>
      </c>
      <c r="C374" s="14">
        <v>1</v>
      </c>
      <c r="D374" s="37">
        <f>VLOOKUP($B374,Menu!$A$1:$F$20,MATCH($D$1,Menu!$A$1:$F$1,0),0)</f>
        <v>70.540000000000006</v>
      </c>
      <c r="E374" s="14" t="str">
        <f>VLOOKUP($B374,Menu!$A$1:$F$20,MATCH(OrderLines!E$1,Menu!$A$1:$F$1,0),0)</f>
        <v>Snack</v>
      </c>
      <c r="F374" s="37">
        <f>VLOOKUP($B374,Menu!$A$1:$F$20,MATCH(OrderLines!F$1,Menu!$A$1:$F$1,0),0)</f>
        <v>35.81</v>
      </c>
      <c r="G374" s="28">
        <f>VLOOKUP($A374,Orders!$A$1:$H$361,MATCH($G$1,Orders!$A$1:$H$1,0),0)</f>
        <v>45897</v>
      </c>
      <c r="H374" s="14" t="str">
        <f>VLOOKUP($A374,Orders!$A$1:$H$361,MATCH(OrderLines!$H$1,Orders!$A$1:$H$1,0),0)</f>
        <v>Plant 2 Canteen</v>
      </c>
      <c r="I374" s="14">
        <f>VLOOKUP($A374,Orders!$A$1:$H$361,MATCH(OrderLines!$I$1,Orders!$A$1:$H$1,0),0)</f>
        <v>0.04</v>
      </c>
      <c r="J374" s="14">
        <f t="shared" si="16"/>
        <v>67.718400000000003</v>
      </c>
      <c r="K374" s="28" t="str">
        <f t="shared" si="17"/>
        <v>August</v>
      </c>
      <c r="L374" s="14" t="str">
        <f>VLOOKUP(OrderLines!$A374,Orders!$A$1:$H$361,MATCH(OrderLines!$L$1,Orders!$A$1:$H$1,0),0)</f>
        <v>Dinner</v>
      </c>
      <c r="M374" t="str">
        <f>VLOOKUP($A374,Orders!$A$1:$H$361,MATCH(OrderLines!$M$1,Orders!$A$1:$H$1,0),0)</f>
        <v>Cash</v>
      </c>
      <c r="N374" t="str">
        <f t="shared" si="15"/>
        <v>Single</v>
      </c>
      <c r="O374" t="str" cm="1">
        <f t="array" ref="O374">IF((SUMPRODUCT((OrderID=OrderLines!$A374)*Qty*UnitPrice*DiscountPct))&gt;40,"HighDisc","OK")</f>
        <v>OK</v>
      </c>
      <c r="P374">
        <f>(orderlinesTABLE[[#This Row],[UnitCost]]*orderlinesTABLE[[#This Row],[Qty]])</f>
        <v>35.81</v>
      </c>
      <c r="Q374">
        <f>(orderlinesTABLE[[#This Row],[LineNetAmount]]-orderlinesTABLE[[#This Row],[totalCOST]])</f>
        <v>31.9084</v>
      </c>
      <c r="R374" t="str">
        <f>VLOOKUP($B374,Menu!$A$1:$F$20,MATCH(OrderLines!R$1,Menu!$A$1:$F$1,0),0)</f>
        <v>Veg Sandwich</v>
      </c>
      <c r="S374" t="str" cm="1">
        <f t="array" ref="S374">_xlfn.TEXTJOIN("+",TRUE,_xlfn._xlws.FILTER(orderlinesTABLE[ItemName],OrderID=orderlinesTABLE[[#This Row],[OrderID]]))</f>
        <v>Veg Thali+Veg Sandwich</v>
      </c>
      <c r="T374" s="54">
        <f>orderlinesTABLE[[#This Row],[Profit]]/orderlinesTABLE[[#This Row],[LineNetAmount]]</f>
        <v>0.4711924676306587</v>
      </c>
      <c r="U374" s="70">
        <f>(orderlinesTABLE[[#This Row],[Qty]]*orderlinesTABLE[[#This Row],[UnitCost]])</f>
        <v>35.81</v>
      </c>
    </row>
    <row r="375" spans="1:21" x14ac:dyDescent="0.3">
      <c r="A375" s="15" t="s">
        <v>187</v>
      </c>
      <c r="B375" s="15" t="s">
        <v>405</v>
      </c>
      <c r="C375" s="15">
        <v>2</v>
      </c>
      <c r="D375" s="36">
        <f>VLOOKUP($B375,Menu!$A$1:$F$20,MATCH($D$1,Menu!$A$1:$F$1,0),0)</f>
        <v>170.83</v>
      </c>
      <c r="E375" s="15" t="str">
        <f>VLOOKUP($B375,Menu!$A$1:$F$20,MATCH(OrderLines!E$1,Menu!$A$1:$F$1,0),0)</f>
        <v>Hot Meal</v>
      </c>
      <c r="F375" s="36">
        <f>VLOOKUP($B375,Menu!$A$1:$F$20,MATCH(OrderLines!F$1,Menu!$A$1:$F$1,0),0)</f>
        <v>74.069999999999993</v>
      </c>
      <c r="G375" s="27">
        <f>VLOOKUP($A375,Orders!$A$1:$H$361,MATCH($G$1,Orders!$A$1:$H$1,0),0)</f>
        <v>45895</v>
      </c>
      <c r="H375" s="15" t="str">
        <f>VLOOKUP($A375,Orders!$A$1:$H$361,MATCH(OrderLines!$H$1,Orders!$A$1:$H$1,0),0)</f>
        <v>Head Office Café</v>
      </c>
      <c r="I375" s="15">
        <f>VLOOKUP($A375,Orders!$A$1:$H$361,MATCH(OrderLines!$I$1,Orders!$A$1:$H$1,0),0)</f>
        <v>0.09</v>
      </c>
      <c r="J375" s="15">
        <f t="shared" si="16"/>
        <v>310.91060000000004</v>
      </c>
      <c r="K375" s="27" t="str">
        <f t="shared" si="17"/>
        <v>August</v>
      </c>
      <c r="L375" s="15" t="str">
        <f>VLOOKUP(OrderLines!$A375,Orders!$A$1:$H$361,MATCH(OrderLines!$L$1,Orders!$A$1:$H$1,0),0)</f>
        <v>Breakfast</v>
      </c>
      <c r="M375" t="str">
        <f>VLOOKUP($A375,Orders!$A$1:$H$361,MATCH(OrderLines!$M$1,Orders!$A$1:$H$1,0),0)</f>
        <v>UPI</v>
      </c>
      <c r="N375" t="str">
        <f t="shared" si="15"/>
        <v>Single</v>
      </c>
      <c r="O375" t="str" cm="1">
        <f t="array" ref="O375">IF((SUMPRODUCT((OrderID=OrderLines!$A375)*Qty*UnitPrice*DiscountPct))&gt;40,"HighDisc","OK")</f>
        <v>HighDisc</v>
      </c>
      <c r="P375">
        <f>(orderlinesTABLE[[#This Row],[UnitCost]]*orderlinesTABLE[[#This Row],[Qty]])</f>
        <v>148.13999999999999</v>
      </c>
      <c r="Q375">
        <f>(orderlinesTABLE[[#This Row],[LineNetAmount]]-orderlinesTABLE[[#This Row],[totalCOST]])</f>
        <v>162.77060000000006</v>
      </c>
      <c r="R375" t="str">
        <f>VLOOKUP($B375,Menu!$A$1:$F$20,MATCH(OrderLines!R$1,Menu!$A$1:$F$1,0),0)</f>
        <v>Paneer Butter Masala + Naan</v>
      </c>
      <c r="S375" t="str" cm="1">
        <f t="array" ref="S375">_xlfn.TEXTJOIN("+",TRUE,_xlfn._xlws.FILTER(orderlinesTABLE[ItemName],OrderID=orderlinesTABLE[[#This Row],[OrderID]]))</f>
        <v>Paneer Butter Masala + Naan+Egg Curry + Rice+Veg Thali</v>
      </c>
      <c r="T375" s="54">
        <f>orderlinesTABLE[[#This Row],[Profit]]/orderlinesTABLE[[#This Row],[LineNetAmount]]</f>
        <v>0.52352862848677417</v>
      </c>
      <c r="U375" s="70">
        <f>(orderlinesTABLE[[#This Row],[Qty]]*orderlinesTABLE[[#This Row],[UnitCost]])</f>
        <v>148.13999999999999</v>
      </c>
    </row>
    <row r="376" spans="1:21" x14ac:dyDescent="0.3">
      <c r="A376" s="14" t="s">
        <v>187</v>
      </c>
      <c r="B376" s="14" t="s">
        <v>407</v>
      </c>
      <c r="C376" s="14">
        <v>1</v>
      </c>
      <c r="D376" s="37">
        <f>VLOOKUP($B376,Menu!$A$1:$F$20,MATCH($D$1,Menu!$A$1:$F$1,0),0)</f>
        <v>246.09</v>
      </c>
      <c r="E376" s="14" t="str">
        <f>VLOOKUP($B376,Menu!$A$1:$F$20,MATCH(OrderLines!E$1,Menu!$A$1:$F$1,0),0)</f>
        <v>Hot Meal</v>
      </c>
      <c r="F376" s="37">
        <f>VLOOKUP($B376,Menu!$A$1:$F$20,MATCH(OrderLines!F$1,Menu!$A$1:$F$1,0),0)</f>
        <v>112.08</v>
      </c>
      <c r="G376" s="28">
        <f>VLOOKUP($A376,Orders!$A$1:$H$361,MATCH($G$1,Orders!$A$1:$H$1,0),0)</f>
        <v>45895</v>
      </c>
      <c r="H376" s="14" t="str">
        <f>VLOOKUP($A376,Orders!$A$1:$H$361,MATCH(OrderLines!$H$1,Orders!$A$1:$H$1,0),0)</f>
        <v>Head Office Café</v>
      </c>
      <c r="I376" s="14">
        <f>VLOOKUP($A376,Orders!$A$1:$H$361,MATCH(OrderLines!$I$1,Orders!$A$1:$H$1,0),0)</f>
        <v>0.09</v>
      </c>
      <c r="J376" s="14">
        <f t="shared" si="16"/>
        <v>223.9419</v>
      </c>
      <c r="K376" s="28" t="str">
        <f t="shared" si="17"/>
        <v>August</v>
      </c>
      <c r="L376" s="14" t="str">
        <f>VLOOKUP(OrderLines!$A376,Orders!$A$1:$H$361,MATCH(OrderLines!$L$1,Orders!$A$1:$H$1,0),0)</f>
        <v>Breakfast</v>
      </c>
      <c r="M376" t="str">
        <f>VLOOKUP($A376,Orders!$A$1:$H$361,MATCH(OrderLines!$M$1,Orders!$A$1:$H$1,0),0)</f>
        <v>UPI</v>
      </c>
      <c r="N376" t="str">
        <f t="shared" si="15"/>
        <v>Single</v>
      </c>
      <c r="O376" t="str" cm="1">
        <f t="array" ref="O376">IF((SUMPRODUCT((OrderID=OrderLines!$A376)*Qty*UnitPrice*DiscountPct))&gt;40,"HighDisc","OK")</f>
        <v>HighDisc</v>
      </c>
      <c r="P376">
        <f>(orderlinesTABLE[[#This Row],[UnitCost]]*orderlinesTABLE[[#This Row],[Qty]])</f>
        <v>112.08</v>
      </c>
      <c r="Q376">
        <f>(orderlinesTABLE[[#This Row],[LineNetAmount]]-orderlinesTABLE[[#This Row],[totalCOST]])</f>
        <v>111.86190000000001</v>
      </c>
      <c r="R376" t="str">
        <f>VLOOKUP($B376,Menu!$A$1:$F$20,MATCH(OrderLines!R$1,Menu!$A$1:$F$1,0),0)</f>
        <v>Egg Curry + Rice</v>
      </c>
      <c r="S376" t="str" cm="1">
        <f t="array" ref="S376">_xlfn.TEXTJOIN("+",TRUE,_xlfn._xlws.FILTER(orderlinesTABLE[ItemName],OrderID=orderlinesTABLE[[#This Row],[OrderID]]))</f>
        <v>Paneer Butter Masala + Naan+Egg Curry + Rice+Veg Thali</v>
      </c>
      <c r="T376" s="54">
        <f>orderlinesTABLE[[#This Row],[Profit]]/orderlinesTABLE[[#This Row],[LineNetAmount]]</f>
        <v>0.49951304333847307</v>
      </c>
      <c r="U376" s="70">
        <f>(orderlinesTABLE[[#This Row],[Qty]]*orderlinesTABLE[[#This Row],[UnitCost]])</f>
        <v>112.08</v>
      </c>
    </row>
    <row r="377" spans="1:21" x14ac:dyDescent="0.3">
      <c r="A377" s="15" t="s">
        <v>187</v>
      </c>
      <c r="B377" s="15" t="s">
        <v>416</v>
      </c>
      <c r="C377" s="15">
        <v>1</v>
      </c>
      <c r="D377" s="36">
        <f>VLOOKUP($B377,Menu!$A$1:$F$20,MATCH($D$1,Menu!$A$1:$F$1,0),0)</f>
        <v>227.61</v>
      </c>
      <c r="E377" s="15" t="str">
        <f>VLOOKUP($B377,Menu!$A$1:$F$20,MATCH(OrderLines!E$1,Menu!$A$1:$F$1,0),0)</f>
        <v>Hot Meal</v>
      </c>
      <c r="F377" s="36">
        <f>VLOOKUP($B377,Menu!$A$1:$F$20,MATCH(OrderLines!F$1,Menu!$A$1:$F$1,0),0)</f>
        <v>96.22</v>
      </c>
      <c r="G377" s="27">
        <f>VLOOKUP($A377,Orders!$A$1:$H$361,MATCH($G$1,Orders!$A$1:$H$1,0),0)</f>
        <v>45895</v>
      </c>
      <c r="H377" s="15" t="str">
        <f>VLOOKUP($A377,Orders!$A$1:$H$361,MATCH(OrderLines!$H$1,Orders!$A$1:$H$1,0),0)</f>
        <v>Head Office Café</v>
      </c>
      <c r="I377" s="15">
        <f>VLOOKUP($A377,Orders!$A$1:$H$361,MATCH(OrderLines!$I$1,Orders!$A$1:$H$1,0),0)</f>
        <v>0.09</v>
      </c>
      <c r="J377" s="15">
        <f t="shared" si="16"/>
        <v>207.12510000000003</v>
      </c>
      <c r="K377" s="27" t="str">
        <f t="shared" si="17"/>
        <v>August</v>
      </c>
      <c r="L377" s="15" t="str">
        <f>VLOOKUP(OrderLines!$A377,Orders!$A$1:$H$361,MATCH(OrderLines!$L$1,Orders!$A$1:$H$1,0),0)</f>
        <v>Breakfast</v>
      </c>
      <c r="M377" t="str">
        <f>VLOOKUP($A377,Orders!$A$1:$H$361,MATCH(OrderLines!$M$1,Orders!$A$1:$H$1,0),0)</f>
        <v>UPI</v>
      </c>
      <c r="N377" t="str">
        <f t="shared" si="15"/>
        <v>Single</v>
      </c>
      <c r="O377" t="str" cm="1">
        <f t="array" ref="O377">IF((SUMPRODUCT((OrderID=OrderLines!$A377)*Qty*UnitPrice*DiscountPct))&gt;40,"HighDisc","OK")</f>
        <v>HighDisc</v>
      </c>
      <c r="P377">
        <f>(orderlinesTABLE[[#This Row],[UnitCost]]*orderlinesTABLE[[#This Row],[Qty]])</f>
        <v>96.22</v>
      </c>
      <c r="Q377">
        <f>(orderlinesTABLE[[#This Row],[LineNetAmount]]-orderlinesTABLE[[#This Row],[totalCOST]])</f>
        <v>110.90510000000003</v>
      </c>
      <c r="R377" t="str">
        <f>VLOOKUP($B377,Menu!$A$1:$F$20,MATCH(OrderLines!R$1,Menu!$A$1:$F$1,0),0)</f>
        <v>Veg Thali</v>
      </c>
      <c r="S377" t="str" cm="1">
        <f t="array" ref="S377">_xlfn.TEXTJOIN("+",TRUE,_xlfn._xlws.FILTER(orderlinesTABLE[ItemName],OrderID=orderlinesTABLE[[#This Row],[OrderID]]))</f>
        <v>Paneer Butter Masala + Naan+Egg Curry + Rice+Veg Thali</v>
      </c>
      <c r="T377" s="54">
        <f>orderlinesTABLE[[#This Row],[Profit]]/orderlinesTABLE[[#This Row],[LineNetAmount]]</f>
        <v>0.53544983200973717</v>
      </c>
      <c r="U377" s="70">
        <f>(orderlinesTABLE[[#This Row],[Qty]]*orderlinesTABLE[[#This Row],[UnitCost]])</f>
        <v>96.22</v>
      </c>
    </row>
    <row r="378" spans="1:21" x14ac:dyDescent="0.3">
      <c r="A378" s="14" t="s">
        <v>188</v>
      </c>
      <c r="B378" s="14" t="s">
        <v>416</v>
      </c>
      <c r="C378" s="14">
        <v>2</v>
      </c>
      <c r="D378" s="37">
        <f>VLOOKUP($B378,Menu!$A$1:$F$20,MATCH($D$1,Menu!$A$1:$F$1,0),0)</f>
        <v>227.61</v>
      </c>
      <c r="E378" s="14" t="str">
        <f>VLOOKUP($B378,Menu!$A$1:$F$20,MATCH(OrderLines!E$1,Menu!$A$1:$F$1,0),0)</f>
        <v>Hot Meal</v>
      </c>
      <c r="F378" s="37">
        <f>VLOOKUP($B378,Menu!$A$1:$F$20,MATCH(OrderLines!F$1,Menu!$A$1:$F$1,0),0)</f>
        <v>96.22</v>
      </c>
      <c r="G378" s="28">
        <f>VLOOKUP($A378,Orders!$A$1:$H$361,MATCH($G$1,Orders!$A$1:$H$1,0),0)</f>
        <v>45895</v>
      </c>
      <c r="H378" s="14" t="str">
        <f>VLOOKUP($A378,Orders!$A$1:$H$361,MATCH(OrderLines!$H$1,Orders!$A$1:$H$1,0),0)</f>
        <v>Plant 1 Canteen</v>
      </c>
      <c r="I378" s="14">
        <f>VLOOKUP($A378,Orders!$A$1:$H$361,MATCH(OrderLines!$I$1,Orders!$A$1:$H$1,0),0)</f>
        <v>7.0000000000000007E-2</v>
      </c>
      <c r="J378" s="14">
        <f t="shared" si="16"/>
        <v>423.3546</v>
      </c>
      <c r="K378" s="28" t="str">
        <f t="shared" si="17"/>
        <v>August</v>
      </c>
      <c r="L378" s="14" t="str">
        <f>VLOOKUP(OrderLines!$A378,Orders!$A$1:$H$361,MATCH(OrderLines!$L$1,Orders!$A$1:$H$1,0),0)</f>
        <v>Breakfast</v>
      </c>
      <c r="M378" t="str">
        <f>VLOOKUP($A378,Orders!$A$1:$H$361,MATCH(OrderLines!$M$1,Orders!$A$1:$H$1,0),0)</f>
        <v>Card</v>
      </c>
      <c r="N378" t="str">
        <f t="shared" si="15"/>
        <v>Single</v>
      </c>
      <c r="O378" t="str" cm="1">
        <f t="array" ref="O378">IF((SUMPRODUCT((OrderID=OrderLines!$A378)*Qty*UnitPrice*DiscountPct))&gt;40,"HighDisc","OK")</f>
        <v>HighDisc</v>
      </c>
      <c r="P378">
        <f>(orderlinesTABLE[[#This Row],[UnitCost]]*orderlinesTABLE[[#This Row],[Qty]])</f>
        <v>192.44</v>
      </c>
      <c r="Q378">
        <f>(orderlinesTABLE[[#This Row],[LineNetAmount]]-orderlinesTABLE[[#This Row],[totalCOST]])</f>
        <v>230.91460000000001</v>
      </c>
      <c r="R378" t="str">
        <f>VLOOKUP($B378,Menu!$A$1:$F$20,MATCH(OrderLines!R$1,Menu!$A$1:$F$1,0),0)</f>
        <v>Veg Thali</v>
      </c>
      <c r="S378" t="str" cm="1">
        <f t="array" ref="S378">_xlfn.TEXTJOIN("+",TRUE,_xlfn._xlws.FILTER(orderlinesTABLE[ItemName],OrderID=orderlinesTABLE[[#This Row],[OrderID]]))</f>
        <v>Veg Thali+Rajma Chawal+Egg Curry + Rice</v>
      </c>
      <c r="T378" s="54">
        <f>orderlinesTABLE[[#This Row],[Profit]]/orderlinesTABLE[[#This Row],[LineNetAmount]]</f>
        <v>0.54544015820307612</v>
      </c>
      <c r="U378" s="70">
        <f>(orderlinesTABLE[[#This Row],[Qty]]*orderlinesTABLE[[#This Row],[UnitCost]])</f>
        <v>192.44</v>
      </c>
    </row>
    <row r="379" spans="1:21" x14ac:dyDescent="0.3">
      <c r="A379" s="15" t="s">
        <v>188</v>
      </c>
      <c r="B379" s="15" t="s">
        <v>417</v>
      </c>
      <c r="C379" s="15">
        <v>3</v>
      </c>
      <c r="D379" s="36">
        <f>VLOOKUP($B379,Menu!$A$1:$F$20,MATCH($D$1,Menu!$A$1:$F$1,0),0)</f>
        <v>146.4</v>
      </c>
      <c r="E379" s="15" t="str">
        <f>VLOOKUP($B379,Menu!$A$1:$F$20,MATCH(OrderLines!E$1,Menu!$A$1:$F$1,0),0)</f>
        <v>Hot Meal</v>
      </c>
      <c r="F379" s="36">
        <f>VLOOKUP($B379,Menu!$A$1:$F$20,MATCH(OrderLines!F$1,Menu!$A$1:$F$1,0),0)</f>
        <v>80.92</v>
      </c>
      <c r="G379" s="27">
        <f>VLOOKUP($A379,Orders!$A$1:$H$361,MATCH($G$1,Orders!$A$1:$H$1,0),0)</f>
        <v>45895</v>
      </c>
      <c r="H379" s="15" t="str">
        <f>VLOOKUP($A379,Orders!$A$1:$H$361,MATCH(OrderLines!$H$1,Orders!$A$1:$H$1,0),0)</f>
        <v>Plant 1 Canteen</v>
      </c>
      <c r="I379" s="15">
        <f>VLOOKUP($A379,Orders!$A$1:$H$361,MATCH(OrderLines!$I$1,Orders!$A$1:$H$1,0),0)</f>
        <v>7.0000000000000007E-2</v>
      </c>
      <c r="J379" s="15">
        <f t="shared" si="16"/>
        <v>408.45600000000002</v>
      </c>
      <c r="K379" s="27" t="str">
        <f t="shared" si="17"/>
        <v>August</v>
      </c>
      <c r="L379" s="15" t="str">
        <f>VLOOKUP(OrderLines!$A379,Orders!$A$1:$H$361,MATCH(OrderLines!$L$1,Orders!$A$1:$H$1,0),0)</f>
        <v>Breakfast</v>
      </c>
      <c r="M379" t="str">
        <f>VLOOKUP($A379,Orders!$A$1:$H$361,MATCH(OrderLines!$M$1,Orders!$A$1:$H$1,0),0)</f>
        <v>Card</v>
      </c>
      <c r="N379" t="str">
        <f t="shared" si="15"/>
        <v>Single</v>
      </c>
      <c r="O379" t="str" cm="1">
        <f t="array" ref="O379">IF((SUMPRODUCT((OrderID=OrderLines!$A379)*Qty*UnitPrice*DiscountPct))&gt;40,"HighDisc","OK")</f>
        <v>HighDisc</v>
      </c>
      <c r="P379">
        <f>(orderlinesTABLE[[#This Row],[UnitCost]]*orderlinesTABLE[[#This Row],[Qty]])</f>
        <v>242.76</v>
      </c>
      <c r="Q379">
        <f>(orderlinesTABLE[[#This Row],[LineNetAmount]]-orderlinesTABLE[[#This Row],[totalCOST]])</f>
        <v>165.69600000000003</v>
      </c>
      <c r="R379" t="str">
        <f>VLOOKUP($B379,Menu!$A$1:$F$20,MATCH(OrderLines!R$1,Menu!$A$1:$F$1,0),0)</f>
        <v>Rajma Chawal</v>
      </c>
      <c r="S379" t="str" cm="1">
        <f t="array" ref="S379">_xlfn.TEXTJOIN("+",TRUE,_xlfn._xlws.FILTER(orderlinesTABLE[ItemName],OrderID=orderlinesTABLE[[#This Row],[OrderID]]))</f>
        <v>Veg Thali+Rajma Chawal+Egg Curry + Rice</v>
      </c>
      <c r="T379" s="54">
        <f>orderlinesTABLE[[#This Row],[Profit]]/orderlinesTABLE[[#This Row],[LineNetAmount]]</f>
        <v>0.40566425759445329</v>
      </c>
      <c r="U379" s="70">
        <f>(orderlinesTABLE[[#This Row],[Qty]]*orderlinesTABLE[[#This Row],[UnitCost]])</f>
        <v>242.76</v>
      </c>
    </row>
    <row r="380" spans="1:21" x14ac:dyDescent="0.3">
      <c r="A380" s="14" t="s">
        <v>188</v>
      </c>
      <c r="B380" s="14" t="s">
        <v>407</v>
      </c>
      <c r="C380" s="14">
        <v>3</v>
      </c>
      <c r="D380" s="37">
        <f>VLOOKUP($B380,Menu!$A$1:$F$20,MATCH($D$1,Menu!$A$1:$F$1,0),0)</f>
        <v>246.09</v>
      </c>
      <c r="E380" s="14" t="str">
        <f>VLOOKUP($B380,Menu!$A$1:$F$20,MATCH(OrderLines!E$1,Menu!$A$1:$F$1,0),0)</f>
        <v>Hot Meal</v>
      </c>
      <c r="F380" s="37">
        <f>VLOOKUP($B380,Menu!$A$1:$F$20,MATCH(OrderLines!F$1,Menu!$A$1:$F$1,0),0)</f>
        <v>112.08</v>
      </c>
      <c r="G380" s="28">
        <f>VLOOKUP($A380,Orders!$A$1:$H$361,MATCH($G$1,Orders!$A$1:$H$1,0),0)</f>
        <v>45895</v>
      </c>
      <c r="H380" s="14" t="str">
        <f>VLOOKUP($A380,Orders!$A$1:$H$361,MATCH(OrderLines!$H$1,Orders!$A$1:$H$1,0),0)</f>
        <v>Plant 1 Canteen</v>
      </c>
      <c r="I380" s="14">
        <f>VLOOKUP($A380,Orders!$A$1:$H$361,MATCH(OrderLines!$I$1,Orders!$A$1:$H$1,0),0)</f>
        <v>7.0000000000000007E-2</v>
      </c>
      <c r="J380" s="14">
        <f t="shared" si="16"/>
        <v>686.59109999999998</v>
      </c>
      <c r="K380" s="28" t="str">
        <f t="shared" si="17"/>
        <v>August</v>
      </c>
      <c r="L380" s="14" t="str">
        <f>VLOOKUP(OrderLines!$A380,Orders!$A$1:$H$361,MATCH(OrderLines!$L$1,Orders!$A$1:$H$1,0),0)</f>
        <v>Breakfast</v>
      </c>
      <c r="M380" t="str">
        <f>VLOOKUP($A380,Orders!$A$1:$H$361,MATCH(OrderLines!$M$1,Orders!$A$1:$H$1,0),0)</f>
        <v>Card</v>
      </c>
      <c r="N380" t="str">
        <f t="shared" si="15"/>
        <v>Single</v>
      </c>
      <c r="O380" t="str" cm="1">
        <f t="array" ref="O380">IF((SUMPRODUCT((OrderID=OrderLines!$A380)*Qty*UnitPrice*DiscountPct))&gt;40,"HighDisc","OK")</f>
        <v>HighDisc</v>
      </c>
      <c r="P380">
        <f>(orderlinesTABLE[[#This Row],[UnitCost]]*orderlinesTABLE[[#This Row],[Qty]])</f>
        <v>336.24</v>
      </c>
      <c r="Q380">
        <f>(orderlinesTABLE[[#This Row],[LineNetAmount]]-orderlinesTABLE[[#This Row],[totalCOST]])</f>
        <v>350.35109999999997</v>
      </c>
      <c r="R380" t="str">
        <f>VLOOKUP($B380,Menu!$A$1:$F$20,MATCH(OrderLines!R$1,Menu!$A$1:$F$1,0),0)</f>
        <v>Egg Curry + Rice</v>
      </c>
      <c r="S380" t="str" cm="1">
        <f t="array" ref="S380">_xlfn.TEXTJOIN("+",TRUE,_xlfn._xlws.FILTER(orderlinesTABLE[ItemName],OrderID=orderlinesTABLE[[#This Row],[OrderID]]))</f>
        <v>Veg Thali+Rajma Chawal+Egg Curry + Rice</v>
      </c>
      <c r="T380" s="54">
        <f>orderlinesTABLE[[#This Row],[Profit]]/orderlinesTABLE[[#This Row],[LineNetAmount]]</f>
        <v>0.51027620369678539</v>
      </c>
      <c r="U380" s="70">
        <f>(orderlinesTABLE[[#This Row],[Qty]]*orderlinesTABLE[[#This Row],[UnitCost]])</f>
        <v>336.24</v>
      </c>
    </row>
    <row r="381" spans="1:21" x14ac:dyDescent="0.3">
      <c r="A381" s="15" t="s">
        <v>189</v>
      </c>
      <c r="B381" s="15" t="s">
        <v>417</v>
      </c>
      <c r="C381" s="15">
        <v>1</v>
      </c>
      <c r="D381" s="36">
        <f>VLOOKUP($B381,Menu!$A$1:$F$20,MATCH($D$1,Menu!$A$1:$F$1,0),0)</f>
        <v>146.4</v>
      </c>
      <c r="E381" s="15" t="str">
        <f>VLOOKUP($B381,Menu!$A$1:$F$20,MATCH(OrderLines!E$1,Menu!$A$1:$F$1,0),0)</f>
        <v>Hot Meal</v>
      </c>
      <c r="F381" s="36">
        <f>VLOOKUP($B381,Menu!$A$1:$F$20,MATCH(OrderLines!F$1,Menu!$A$1:$F$1,0),0)</f>
        <v>80.92</v>
      </c>
      <c r="G381" s="27">
        <f>VLOOKUP($A381,Orders!$A$1:$H$361,MATCH($G$1,Orders!$A$1:$H$1,0),0)</f>
        <v>45882</v>
      </c>
      <c r="H381" s="15" t="str">
        <f>VLOOKUP($A381,Orders!$A$1:$H$361,MATCH(OrderLines!$H$1,Orders!$A$1:$H$1,0),0)</f>
        <v>Plant 2 Canteen</v>
      </c>
      <c r="I381" s="15">
        <f>VLOOKUP($A381,Orders!$A$1:$H$361,MATCH(OrderLines!$I$1,Orders!$A$1:$H$1,0),0)</f>
        <v>0.01</v>
      </c>
      <c r="J381" s="15">
        <f t="shared" si="16"/>
        <v>144.93600000000001</v>
      </c>
      <c r="K381" s="27" t="str">
        <f t="shared" si="17"/>
        <v>August</v>
      </c>
      <c r="L381" s="15" t="str">
        <f>VLOOKUP(OrderLines!$A381,Orders!$A$1:$H$361,MATCH(OrderLines!$L$1,Orders!$A$1:$H$1,0),0)</f>
        <v>Breakfast</v>
      </c>
      <c r="M381" t="str">
        <f>VLOOKUP($A381,Orders!$A$1:$H$361,MATCH(OrderLines!$M$1,Orders!$A$1:$H$1,0),0)</f>
        <v>UPI</v>
      </c>
      <c r="N381" t="str">
        <f t="shared" si="15"/>
        <v>Combo</v>
      </c>
      <c r="O381" t="str" cm="1">
        <f t="array" ref="O381">IF((SUMPRODUCT((OrderID=OrderLines!$A381)*Qty*UnitPrice*DiscountPct))&gt;40,"HighDisc","OK")</f>
        <v>OK</v>
      </c>
      <c r="P381">
        <f>(orderlinesTABLE[[#This Row],[UnitCost]]*orderlinesTABLE[[#This Row],[Qty]])</f>
        <v>80.92</v>
      </c>
      <c r="Q381">
        <f>(orderlinesTABLE[[#This Row],[LineNetAmount]]-orderlinesTABLE[[#This Row],[totalCOST]])</f>
        <v>64.016000000000005</v>
      </c>
      <c r="R381" t="str">
        <f>VLOOKUP($B381,Menu!$A$1:$F$20,MATCH(OrderLines!R$1,Menu!$A$1:$F$1,0),0)</f>
        <v>Rajma Chawal</v>
      </c>
      <c r="S381" t="str" cm="1">
        <f t="array" ref="S381">_xlfn.TEXTJOIN("+",TRUE,_xlfn._xlws.FILTER(orderlinesTABLE[ItemName],OrderID=orderlinesTABLE[[#This Row],[OrderID]]))</f>
        <v>Rajma Chawal+Tea</v>
      </c>
      <c r="T381" s="54">
        <f>orderlinesTABLE[[#This Row],[Profit]]/orderlinesTABLE[[#This Row],[LineNetAmount]]</f>
        <v>0.44168460561903189</v>
      </c>
      <c r="U381" s="70">
        <f>(orderlinesTABLE[[#This Row],[Qty]]*orderlinesTABLE[[#This Row],[UnitCost]])</f>
        <v>80.92</v>
      </c>
    </row>
    <row r="382" spans="1:21" x14ac:dyDescent="0.3">
      <c r="A382" s="14" t="s">
        <v>189</v>
      </c>
      <c r="B382" s="14" t="s">
        <v>402</v>
      </c>
      <c r="C382" s="14">
        <v>3</v>
      </c>
      <c r="D382" s="37">
        <f>VLOOKUP($B382,Menu!$A$1:$F$20,MATCH($D$1,Menu!$A$1:$F$1,0),0)</f>
        <v>30.34</v>
      </c>
      <c r="E382" s="14" t="str">
        <f>VLOOKUP($B382,Menu!$A$1:$F$20,MATCH(OrderLines!E$1,Menu!$A$1:$F$1,0),0)</f>
        <v>Beverage</v>
      </c>
      <c r="F382" s="37">
        <f>VLOOKUP($B382,Menu!$A$1:$F$20,MATCH(OrderLines!F$1,Menu!$A$1:$F$1,0),0)</f>
        <v>14.18</v>
      </c>
      <c r="G382" s="28">
        <f>VLOOKUP($A382,Orders!$A$1:$H$361,MATCH($G$1,Orders!$A$1:$H$1,0),0)</f>
        <v>45882</v>
      </c>
      <c r="H382" s="14" t="str">
        <f>VLOOKUP($A382,Orders!$A$1:$H$361,MATCH(OrderLines!$H$1,Orders!$A$1:$H$1,0),0)</f>
        <v>Plant 2 Canteen</v>
      </c>
      <c r="I382" s="14">
        <f>VLOOKUP($A382,Orders!$A$1:$H$361,MATCH(OrderLines!$I$1,Orders!$A$1:$H$1,0),0)</f>
        <v>0.01</v>
      </c>
      <c r="J382" s="14">
        <f t="shared" si="16"/>
        <v>90.109799999999993</v>
      </c>
      <c r="K382" s="28" t="str">
        <f t="shared" si="17"/>
        <v>August</v>
      </c>
      <c r="L382" s="14" t="str">
        <f>VLOOKUP(OrderLines!$A382,Orders!$A$1:$H$361,MATCH(OrderLines!$L$1,Orders!$A$1:$H$1,0),0)</f>
        <v>Breakfast</v>
      </c>
      <c r="M382" t="str">
        <f>VLOOKUP($A382,Orders!$A$1:$H$361,MATCH(OrderLines!$M$1,Orders!$A$1:$H$1,0),0)</f>
        <v>UPI</v>
      </c>
      <c r="N382" t="str">
        <f t="shared" si="15"/>
        <v>Combo</v>
      </c>
      <c r="O382" t="str" cm="1">
        <f t="array" ref="O382">IF((SUMPRODUCT((OrderID=OrderLines!$A382)*Qty*UnitPrice*DiscountPct))&gt;40,"HighDisc","OK")</f>
        <v>OK</v>
      </c>
      <c r="P382">
        <f>(orderlinesTABLE[[#This Row],[UnitCost]]*orderlinesTABLE[[#This Row],[Qty]])</f>
        <v>42.54</v>
      </c>
      <c r="Q382">
        <f>(orderlinesTABLE[[#This Row],[LineNetAmount]]-orderlinesTABLE[[#This Row],[totalCOST]])</f>
        <v>47.569799999999994</v>
      </c>
      <c r="R382" t="str">
        <f>VLOOKUP($B382,Menu!$A$1:$F$20,MATCH(OrderLines!R$1,Menu!$A$1:$F$1,0),0)</f>
        <v>Tea</v>
      </c>
      <c r="S382" t="str" cm="1">
        <f t="array" ref="S382">_xlfn.TEXTJOIN("+",TRUE,_xlfn._xlws.FILTER(orderlinesTABLE[ItemName],OrderID=orderlinesTABLE[[#This Row],[OrderID]]))</f>
        <v>Rajma Chawal+Tea</v>
      </c>
      <c r="T382" s="54">
        <f>orderlinesTABLE[[#This Row],[Profit]]/orderlinesTABLE[[#This Row],[LineNetAmount]]</f>
        <v>0.527909284006845</v>
      </c>
      <c r="U382" s="70">
        <f>(orderlinesTABLE[[#This Row],[Qty]]*orderlinesTABLE[[#This Row],[UnitCost]])</f>
        <v>42.54</v>
      </c>
    </row>
    <row r="383" spans="1:21" x14ac:dyDescent="0.3">
      <c r="A383" s="15" t="s">
        <v>190</v>
      </c>
      <c r="B383" s="15" t="s">
        <v>410</v>
      </c>
      <c r="C383" s="15">
        <v>1</v>
      </c>
      <c r="D383" s="36">
        <f>VLOOKUP($B383,Menu!$A$1:$F$20,MATCH($D$1,Menu!$A$1:$F$1,0),0)</f>
        <v>20.11</v>
      </c>
      <c r="E383" s="15" t="str">
        <f>VLOOKUP($B383,Menu!$A$1:$F$20,MATCH(OrderLines!E$1,Menu!$A$1:$F$1,0),0)</f>
        <v>Beverage</v>
      </c>
      <c r="F383" s="36">
        <f>VLOOKUP($B383,Menu!$A$1:$F$20,MATCH(OrderLines!F$1,Menu!$A$1:$F$1,0),0)</f>
        <v>8</v>
      </c>
      <c r="G383" s="27">
        <f>VLOOKUP($A383,Orders!$A$1:$H$361,MATCH($G$1,Orders!$A$1:$H$1,0),0)</f>
        <v>45886</v>
      </c>
      <c r="H383" s="15" t="str">
        <f>VLOOKUP($A383,Orders!$A$1:$H$361,MATCH(OrderLines!$H$1,Orders!$A$1:$H$1,0),0)</f>
        <v>Plant 1 Canteen</v>
      </c>
      <c r="I383" s="15">
        <f>VLOOKUP($A383,Orders!$A$1:$H$361,MATCH(OrderLines!$I$1,Orders!$A$1:$H$1,0),0)</f>
        <v>7.0000000000000007E-2</v>
      </c>
      <c r="J383" s="15">
        <f t="shared" si="16"/>
        <v>18.702299999999997</v>
      </c>
      <c r="K383" s="27" t="str">
        <f t="shared" si="17"/>
        <v>August</v>
      </c>
      <c r="L383" s="15" t="str">
        <f>VLOOKUP(OrderLines!$A383,Orders!$A$1:$H$361,MATCH(OrderLines!$L$1,Orders!$A$1:$H$1,0),0)</f>
        <v>Dinner</v>
      </c>
      <c r="M383" t="str">
        <f>VLOOKUP($A383,Orders!$A$1:$H$361,MATCH(OrderLines!$M$1,Orders!$A$1:$H$1,0),0)</f>
        <v>Card</v>
      </c>
      <c r="N383" t="str">
        <f t="shared" si="15"/>
        <v>Single</v>
      </c>
      <c r="O383" t="str" cm="1">
        <f t="array" ref="O383">IF((SUMPRODUCT((OrderID=OrderLines!$A383)*Qty*UnitPrice*DiscountPct))&gt;40,"HighDisc","OK")</f>
        <v>OK</v>
      </c>
      <c r="P383">
        <f>(orderlinesTABLE[[#This Row],[UnitCost]]*orderlinesTABLE[[#This Row],[Qty]])</f>
        <v>8</v>
      </c>
      <c r="Q383">
        <f>(orderlinesTABLE[[#This Row],[LineNetAmount]]-orderlinesTABLE[[#This Row],[totalCOST]])</f>
        <v>10.702299999999997</v>
      </c>
      <c r="R383" t="str">
        <f>VLOOKUP($B383,Menu!$A$1:$F$20,MATCH(OrderLines!R$1,Menu!$A$1:$F$1,0),0)</f>
        <v>Nimbu Pani</v>
      </c>
      <c r="S383" t="str" cm="1">
        <f t="array" ref="S383">_xlfn.TEXTJOIN("+",TRUE,_xlfn._xlws.FILTER(orderlinesTABLE[ItemName],OrderID=orderlinesTABLE[[#This Row],[OrderID]]))</f>
        <v>Nimbu Pani+Bottled Water</v>
      </c>
      <c r="T383" s="54">
        <f>orderlinesTABLE[[#This Row],[Profit]]/orderlinesTABLE[[#This Row],[LineNetAmount]]</f>
        <v>0.57224512493115809</v>
      </c>
      <c r="U383" s="70">
        <f>(orderlinesTABLE[[#This Row],[Qty]]*orderlinesTABLE[[#This Row],[UnitCost]])</f>
        <v>8</v>
      </c>
    </row>
    <row r="384" spans="1:21" x14ac:dyDescent="0.3">
      <c r="A384" s="14" t="s">
        <v>190</v>
      </c>
      <c r="B384" s="14" t="s">
        <v>409</v>
      </c>
      <c r="C384" s="14">
        <v>2</v>
      </c>
      <c r="D384" s="37">
        <f>VLOOKUP($B384,Menu!$A$1:$F$20,MATCH($D$1,Menu!$A$1:$F$1,0),0)</f>
        <v>28.43</v>
      </c>
      <c r="E384" s="14" t="str">
        <f>VLOOKUP($B384,Menu!$A$1:$F$20,MATCH(OrderLines!E$1,Menu!$A$1:$F$1,0),0)</f>
        <v>Beverage</v>
      </c>
      <c r="F384" s="37">
        <f>VLOOKUP($B384,Menu!$A$1:$F$20,MATCH(OrderLines!F$1,Menu!$A$1:$F$1,0),0)</f>
        <v>13.89</v>
      </c>
      <c r="G384" s="28">
        <f>VLOOKUP($A384,Orders!$A$1:$H$361,MATCH($G$1,Orders!$A$1:$H$1,0),0)</f>
        <v>45886</v>
      </c>
      <c r="H384" s="14" t="str">
        <f>VLOOKUP($A384,Orders!$A$1:$H$361,MATCH(OrderLines!$H$1,Orders!$A$1:$H$1,0),0)</f>
        <v>Plant 1 Canteen</v>
      </c>
      <c r="I384" s="14">
        <f>VLOOKUP($A384,Orders!$A$1:$H$361,MATCH(OrderLines!$I$1,Orders!$A$1:$H$1,0),0)</f>
        <v>7.0000000000000007E-2</v>
      </c>
      <c r="J384" s="14">
        <f t="shared" si="16"/>
        <v>52.879799999999996</v>
      </c>
      <c r="K384" s="28" t="str">
        <f t="shared" si="17"/>
        <v>August</v>
      </c>
      <c r="L384" s="14" t="str">
        <f>VLOOKUP(OrderLines!$A384,Orders!$A$1:$H$361,MATCH(OrderLines!$L$1,Orders!$A$1:$H$1,0),0)</f>
        <v>Dinner</v>
      </c>
      <c r="M384" t="str">
        <f>VLOOKUP($A384,Orders!$A$1:$H$361,MATCH(OrderLines!$M$1,Orders!$A$1:$H$1,0),0)</f>
        <v>Card</v>
      </c>
      <c r="N384" t="str">
        <f t="shared" si="15"/>
        <v>Single</v>
      </c>
      <c r="O384" t="str" cm="1">
        <f t="array" ref="O384">IF((SUMPRODUCT((OrderID=OrderLines!$A384)*Qty*UnitPrice*DiscountPct))&gt;40,"HighDisc","OK")</f>
        <v>OK</v>
      </c>
      <c r="P384">
        <f>(orderlinesTABLE[[#This Row],[UnitCost]]*orderlinesTABLE[[#This Row],[Qty]])</f>
        <v>27.78</v>
      </c>
      <c r="Q384">
        <f>(orderlinesTABLE[[#This Row],[LineNetAmount]]-orderlinesTABLE[[#This Row],[totalCOST]])</f>
        <v>25.099799999999995</v>
      </c>
      <c r="R384" t="str">
        <f>VLOOKUP($B384,Menu!$A$1:$F$20,MATCH(OrderLines!R$1,Menu!$A$1:$F$1,0),0)</f>
        <v>Bottled Water</v>
      </c>
      <c r="S384" t="str" cm="1">
        <f t="array" ref="S384">_xlfn.TEXTJOIN("+",TRUE,_xlfn._xlws.FILTER(orderlinesTABLE[ItemName],OrderID=orderlinesTABLE[[#This Row],[OrderID]]))</f>
        <v>Nimbu Pani+Bottled Water</v>
      </c>
      <c r="T384" s="54">
        <f>orderlinesTABLE[[#This Row],[Profit]]/orderlinesTABLE[[#This Row],[LineNetAmount]]</f>
        <v>0.47465761973381132</v>
      </c>
      <c r="U384" s="70">
        <f>(orderlinesTABLE[[#This Row],[Qty]]*orderlinesTABLE[[#This Row],[UnitCost]])</f>
        <v>27.78</v>
      </c>
    </row>
    <row r="385" spans="1:21" x14ac:dyDescent="0.3">
      <c r="A385" s="15" t="s">
        <v>191</v>
      </c>
      <c r="B385" s="15" t="s">
        <v>419</v>
      </c>
      <c r="C385" s="15">
        <v>1</v>
      </c>
      <c r="D385" s="36">
        <f>VLOOKUP($B385,Menu!$A$1:$F$20,MATCH($D$1,Menu!$A$1:$F$1,0),0)</f>
        <v>50.19</v>
      </c>
      <c r="E385" s="15" t="str">
        <f>VLOOKUP($B385,Menu!$A$1:$F$20,MATCH(OrderLines!E$1,Menu!$A$1:$F$1,0),0)</f>
        <v>Snack</v>
      </c>
      <c r="F385" s="36">
        <f>VLOOKUP($B385,Menu!$A$1:$F$20,MATCH(OrderLines!F$1,Menu!$A$1:$F$1,0),0)</f>
        <v>22.61</v>
      </c>
      <c r="G385" s="27">
        <f>VLOOKUP($A385,Orders!$A$1:$H$361,MATCH($G$1,Orders!$A$1:$H$1,0),0)</f>
        <v>45871</v>
      </c>
      <c r="H385" s="15" t="str">
        <f>VLOOKUP($A385,Orders!$A$1:$H$361,MATCH(OrderLines!$H$1,Orders!$A$1:$H$1,0),0)</f>
        <v>Plant 2 Canteen</v>
      </c>
      <c r="I385" s="15">
        <f>VLOOKUP($A385,Orders!$A$1:$H$361,MATCH(OrderLines!$I$1,Orders!$A$1:$H$1,0),0)</f>
        <v>0.08</v>
      </c>
      <c r="J385" s="15">
        <f t="shared" si="16"/>
        <v>46.174799999999998</v>
      </c>
      <c r="K385" s="27" t="str">
        <f t="shared" si="17"/>
        <v>August</v>
      </c>
      <c r="L385" s="15" t="str">
        <f>VLOOKUP(OrderLines!$A385,Orders!$A$1:$H$361,MATCH(OrderLines!$L$1,Orders!$A$1:$H$1,0),0)</f>
        <v>Lunch</v>
      </c>
      <c r="M385" t="str">
        <f>VLOOKUP($A385,Orders!$A$1:$H$361,MATCH(OrderLines!$M$1,Orders!$A$1:$H$1,0),0)</f>
        <v>Cash</v>
      </c>
      <c r="N385" t="str">
        <f t="shared" si="15"/>
        <v>Single</v>
      </c>
      <c r="O385" t="str" cm="1">
        <f t="array" ref="O385">IF((SUMPRODUCT((OrderID=OrderLines!$A385)*Qty*UnitPrice*DiscountPct))&gt;40,"HighDisc","OK")</f>
        <v>OK</v>
      </c>
      <c r="P385">
        <f>(orderlinesTABLE[[#This Row],[UnitCost]]*orderlinesTABLE[[#This Row],[Qty]])</f>
        <v>22.61</v>
      </c>
      <c r="Q385">
        <f>(orderlinesTABLE[[#This Row],[LineNetAmount]]-orderlinesTABLE[[#This Row],[totalCOST]])</f>
        <v>23.564799999999998</v>
      </c>
      <c r="R385" t="str">
        <f>VLOOKUP($B385,Menu!$A$1:$F$20,MATCH(OrderLines!R$1,Menu!$A$1:$F$1,0),0)</f>
        <v>Masala Puff</v>
      </c>
      <c r="S385" t="str" cm="1">
        <f t="array" ref="S385">_xlfn.TEXTJOIN("+",TRUE,_xlfn._xlws.FILTER(orderlinesTABLE[ItemName],OrderID=orderlinesTABLE[[#This Row],[OrderID]]))</f>
        <v>Masala Puff+Bottled Water+Brownie+Masala Chaas</v>
      </c>
      <c r="T385" s="54">
        <f>orderlinesTABLE[[#This Row],[Profit]]/orderlinesTABLE[[#This Row],[LineNetAmount]]</f>
        <v>0.51033897277302764</v>
      </c>
      <c r="U385" s="70">
        <f>(orderlinesTABLE[[#This Row],[Qty]]*orderlinesTABLE[[#This Row],[UnitCost]])</f>
        <v>22.61</v>
      </c>
    </row>
    <row r="386" spans="1:21" x14ac:dyDescent="0.3">
      <c r="A386" s="14" t="s">
        <v>191</v>
      </c>
      <c r="B386" s="14" t="s">
        <v>409</v>
      </c>
      <c r="C386" s="14">
        <v>2</v>
      </c>
      <c r="D386" s="37">
        <f>VLOOKUP($B386,Menu!$A$1:$F$20,MATCH($D$1,Menu!$A$1:$F$1,0),0)</f>
        <v>28.43</v>
      </c>
      <c r="E386" s="14" t="str">
        <f>VLOOKUP($B386,Menu!$A$1:$F$20,MATCH(OrderLines!E$1,Menu!$A$1:$F$1,0),0)</f>
        <v>Beverage</v>
      </c>
      <c r="F386" s="37">
        <f>VLOOKUP($B386,Menu!$A$1:$F$20,MATCH(OrderLines!F$1,Menu!$A$1:$F$1,0),0)</f>
        <v>13.89</v>
      </c>
      <c r="G386" s="28">
        <f>VLOOKUP($A386,Orders!$A$1:$H$361,MATCH($G$1,Orders!$A$1:$H$1,0),0)</f>
        <v>45871</v>
      </c>
      <c r="H386" s="14" t="str">
        <f>VLOOKUP($A386,Orders!$A$1:$H$361,MATCH(OrderLines!$H$1,Orders!$A$1:$H$1,0),0)</f>
        <v>Plant 2 Canteen</v>
      </c>
      <c r="I386" s="14">
        <f>VLOOKUP($A386,Orders!$A$1:$H$361,MATCH(OrderLines!$I$1,Orders!$A$1:$H$1,0),0)</f>
        <v>0.08</v>
      </c>
      <c r="J386" s="14">
        <f t="shared" si="16"/>
        <v>52.311199999999999</v>
      </c>
      <c r="K386" s="28" t="str">
        <f t="shared" si="17"/>
        <v>August</v>
      </c>
      <c r="L386" s="14" t="str">
        <f>VLOOKUP(OrderLines!$A386,Orders!$A$1:$H$361,MATCH(OrderLines!$L$1,Orders!$A$1:$H$1,0),0)</f>
        <v>Lunch</v>
      </c>
      <c r="M386" t="str">
        <f>VLOOKUP($A386,Orders!$A$1:$H$361,MATCH(OrderLines!$M$1,Orders!$A$1:$H$1,0),0)</f>
        <v>Cash</v>
      </c>
      <c r="N386" t="str">
        <f t="shared" ref="N386:N449" si="18">IF(AND(COUNTIFS(OrderID,$A386,Category,"hot meal")&gt;=1,COUNTIFS(OrderID,$A386,Category,"beverage")&gt;=1),"Combo","Single")</f>
        <v>Single</v>
      </c>
      <c r="O386" t="str" cm="1">
        <f t="array" ref="O386">IF((SUMPRODUCT((OrderID=OrderLines!$A386)*Qty*UnitPrice*DiscountPct))&gt;40,"HighDisc","OK")</f>
        <v>OK</v>
      </c>
      <c r="P386">
        <f>(orderlinesTABLE[[#This Row],[UnitCost]]*orderlinesTABLE[[#This Row],[Qty]])</f>
        <v>27.78</v>
      </c>
      <c r="Q386">
        <f>(orderlinesTABLE[[#This Row],[LineNetAmount]]-orderlinesTABLE[[#This Row],[totalCOST]])</f>
        <v>24.531199999999998</v>
      </c>
      <c r="R386" t="str">
        <f>VLOOKUP($B386,Menu!$A$1:$F$20,MATCH(OrderLines!R$1,Menu!$A$1:$F$1,0),0)</f>
        <v>Bottled Water</v>
      </c>
      <c r="S386" t="str" cm="1">
        <f t="array" ref="S386">_xlfn.TEXTJOIN("+",TRUE,_xlfn._xlws.FILTER(orderlinesTABLE[ItemName],OrderID=orderlinesTABLE[[#This Row],[OrderID]]))</f>
        <v>Masala Puff+Bottled Water+Brownie+Masala Chaas</v>
      </c>
      <c r="T386" s="54">
        <f>orderlinesTABLE[[#This Row],[Profit]]/orderlinesTABLE[[#This Row],[LineNetAmount]]</f>
        <v>0.46894737647004847</v>
      </c>
      <c r="U386" s="70">
        <f>(orderlinesTABLE[[#This Row],[Qty]]*orderlinesTABLE[[#This Row],[UnitCost]])</f>
        <v>27.78</v>
      </c>
    </row>
    <row r="387" spans="1:21" x14ac:dyDescent="0.3">
      <c r="A387" s="15" t="s">
        <v>191</v>
      </c>
      <c r="B387" s="15" t="s">
        <v>414</v>
      </c>
      <c r="C387" s="15">
        <v>2</v>
      </c>
      <c r="D387" s="36">
        <f>VLOOKUP($B387,Menu!$A$1:$F$20,MATCH($D$1,Menu!$A$1:$F$1,0),0)</f>
        <v>116.8</v>
      </c>
      <c r="E387" s="15" t="str">
        <f>VLOOKUP($B387,Menu!$A$1:$F$20,MATCH(OrderLines!E$1,Menu!$A$1:$F$1,0),0)</f>
        <v>Dessert</v>
      </c>
      <c r="F387" s="36">
        <f>VLOOKUP($B387,Menu!$A$1:$F$20,MATCH(OrderLines!F$1,Menu!$A$1:$F$1,0),0)</f>
        <v>48.97</v>
      </c>
      <c r="G387" s="27">
        <f>VLOOKUP($A387,Orders!$A$1:$H$361,MATCH($G$1,Orders!$A$1:$H$1,0),0)</f>
        <v>45871</v>
      </c>
      <c r="H387" s="15" t="str">
        <f>VLOOKUP($A387,Orders!$A$1:$H$361,MATCH(OrderLines!$H$1,Orders!$A$1:$H$1,0),0)</f>
        <v>Plant 2 Canteen</v>
      </c>
      <c r="I387" s="15">
        <f>VLOOKUP($A387,Orders!$A$1:$H$361,MATCH(OrderLines!$I$1,Orders!$A$1:$H$1,0),0)</f>
        <v>0.08</v>
      </c>
      <c r="J387" s="15">
        <f t="shared" ref="J387:J450" si="19">$C387*$D387*(1-$I387)</f>
        <v>214.91200000000001</v>
      </c>
      <c r="K387" s="27" t="str">
        <f t="shared" ref="K387:K450" si="20">TEXT($G387,"mmmm")</f>
        <v>August</v>
      </c>
      <c r="L387" s="15" t="str">
        <f>VLOOKUP(OrderLines!$A387,Orders!$A$1:$H$361,MATCH(OrderLines!$L$1,Orders!$A$1:$H$1,0),0)</f>
        <v>Lunch</v>
      </c>
      <c r="M387" t="str">
        <f>VLOOKUP($A387,Orders!$A$1:$H$361,MATCH(OrderLines!$M$1,Orders!$A$1:$H$1,0),0)</f>
        <v>Cash</v>
      </c>
      <c r="N387" t="str">
        <f t="shared" si="18"/>
        <v>Single</v>
      </c>
      <c r="O387" t="str" cm="1">
        <f t="array" ref="O387">IF((SUMPRODUCT((OrderID=OrderLines!$A387)*Qty*UnitPrice*DiscountPct))&gt;40,"HighDisc","OK")</f>
        <v>OK</v>
      </c>
      <c r="P387">
        <f>(orderlinesTABLE[[#This Row],[UnitCost]]*orderlinesTABLE[[#This Row],[Qty]])</f>
        <v>97.94</v>
      </c>
      <c r="Q387">
        <f>(orderlinesTABLE[[#This Row],[LineNetAmount]]-orderlinesTABLE[[#This Row],[totalCOST]])</f>
        <v>116.97200000000001</v>
      </c>
      <c r="R387" t="str">
        <f>VLOOKUP($B387,Menu!$A$1:$F$20,MATCH(OrderLines!R$1,Menu!$A$1:$F$1,0),0)</f>
        <v>Brownie</v>
      </c>
      <c r="S387" t="str" cm="1">
        <f t="array" ref="S387">_xlfn.TEXTJOIN("+",TRUE,_xlfn._xlws.FILTER(orderlinesTABLE[ItemName],OrderID=orderlinesTABLE[[#This Row],[OrderID]]))</f>
        <v>Masala Puff+Bottled Water+Brownie+Masala Chaas</v>
      </c>
      <c r="T387" s="54">
        <f>orderlinesTABLE[[#This Row],[Profit]]/orderlinesTABLE[[#This Row],[LineNetAmount]]</f>
        <v>0.54427858844550325</v>
      </c>
      <c r="U387" s="70">
        <f>(orderlinesTABLE[[#This Row],[Qty]]*orderlinesTABLE[[#This Row],[UnitCost]])</f>
        <v>97.94</v>
      </c>
    </row>
    <row r="388" spans="1:21" x14ac:dyDescent="0.3">
      <c r="A388" s="14" t="s">
        <v>191</v>
      </c>
      <c r="B388" s="14" t="s">
        <v>404</v>
      </c>
      <c r="C388" s="14">
        <v>1</v>
      </c>
      <c r="D388" s="37">
        <f>VLOOKUP($B388,Menu!$A$1:$F$20,MATCH($D$1,Menu!$A$1:$F$1,0),0)</f>
        <v>32.979999999999997</v>
      </c>
      <c r="E388" s="14" t="str">
        <f>VLOOKUP($B388,Menu!$A$1:$F$20,MATCH(OrderLines!E$1,Menu!$A$1:$F$1,0),0)</f>
        <v>Beverage</v>
      </c>
      <c r="F388" s="37">
        <f>VLOOKUP($B388,Menu!$A$1:$F$20,MATCH(OrderLines!F$1,Menu!$A$1:$F$1,0),0)</f>
        <v>11.84</v>
      </c>
      <c r="G388" s="28">
        <f>VLOOKUP($A388,Orders!$A$1:$H$361,MATCH($G$1,Orders!$A$1:$H$1,0),0)</f>
        <v>45871</v>
      </c>
      <c r="H388" s="14" t="str">
        <f>VLOOKUP($A388,Orders!$A$1:$H$361,MATCH(OrderLines!$H$1,Orders!$A$1:$H$1,0),0)</f>
        <v>Plant 2 Canteen</v>
      </c>
      <c r="I388" s="14">
        <f>VLOOKUP($A388,Orders!$A$1:$H$361,MATCH(OrderLines!$I$1,Orders!$A$1:$H$1,0),0)</f>
        <v>0.08</v>
      </c>
      <c r="J388" s="14">
        <f t="shared" si="19"/>
        <v>30.3416</v>
      </c>
      <c r="K388" s="28" t="str">
        <f t="shared" si="20"/>
        <v>August</v>
      </c>
      <c r="L388" s="14" t="str">
        <f>VLOOKUP(OrderLines!$A388,Orders!$A$1:$H$361,MATCH(OrderLines!$L$1,Orders!$A$1:$H$1,0),0)</f>
        <v>Lunch</v>
      </c>
      <c r="M388" t="str">
        <f>VLOOKUP($A388,Orders!$A$1:$H$361,MATCH(OrderLines!$M$1,Orders!$A$1:$H$1,0),0)</f>
        <v>Cash</v>
      </c>
      <c r="N388" t="str">
        <f t="shared" si="18"/>
        <v>Single</v>
      </c>
      <c r="O388" t="str" cm="1">
        <f t="array" ref="O388">IF((SUMPRODUCT((OrderID=OrderLines!$A388)*Qty*UnitPrice*DiscountPct))&gt;40,"HighDisc","OK")</f>
        <v>OK</v>
      </c>
      <c r="P388">
        <f>(orderlinesTABLE[[#This Row],[UnitCost]]*orderlinesTABLE[[#This Row],[Qty]])</f>
        <v>11.84</v>
      </c>
      <c r="Q388">
        <f>(orderlinesTABLE[[#This Row],[LineNetAmount]]-orderlinesTABLE[[#This Row],[totalCOST]])</f>
        <v>18.5016</v>
      </c>
      <c r="R388" t="str">
        <f>VLOOKUP($B388,Menu!$A$1:$F$20,MATCH(OrderLines!R$1,Menu!$A$1:$F$1,0),0)</f>
        <v>Masala Chaas</v>
      </c>
      <c r="S388" t="str" cm="1">
        <f t="array" ref="S388">_xlfn.TEXTJOIN("+",TRUE,_xlfn._xlws.FILTER(orderlinesTABLE[ItemName],OrderID=orderlinesTABLE[[#This Row],[OrderID]]))</f>
        <v>Masala Puff+Bottled Water+Brownie+Masala Chaas</v>
      </c>
      <c r="T388" s="54">
        <f>orderlinesTABLE[[#This Row],[Profit]]/orderlinesTABLE[[#This Row],[LineNetAmount]]</f>
        <v>0.60977667624647347</v>
      </c>
      <c r="U388" s="70">
        <f>(orderlinesTABLE[[#This Row],[Qty]]*orderlinesTABLE[[#This Row],[UnitCost]])</f>
        <v>11.84</v>
      </c>
    </row>
    <row r="389" spans="1:21" x14ac:dyDescent="0.3">
      <c r="A389" s="15" t="s">
        <v>192</v>
      </c>
      <c r="B389" s="15" t="s">
        <v>418</v>
      </c>
      <c r="C389" s="15">
        <v>2</v>
      </c>
      <c r="D389" s="36">
        <f>VLOOKUP($B389,Menu!$A$1:$F$20,MATCH($D$1,Menu!$A$1:$F$1,0),0)</f>
        <v>39.950000000000003</v>
      </c>
      <c r="E389" s="15" t="str">
        <f>VLOOKUP($B389,Menu!$A$1:$F$20,MATCH(OrderLines!E$1,Menu!$A$1:$F$1,0),0)</f>
        <v>Snack</v>
      </c>
      <c r="F389" s="36">
        <f>VLOOKUP($B389,Menu!$A$1:$F$20,MATCH(OrderLines!F$1,Menu!$A$1:$F$1,0),0)</f>
        <v>15.51</v>
      </c>
      <c r="G389" s="27">
        <f>VLOOKUP($A389,Orders!$A$1:$H$361,MATCH($G$1,Orders!$A$1:$H$1,0),0)</f>
        <v>45871</v>
      </c>
      <c r="H389" s="15" t="str">
        <f>VLOOKUP($A389,Orders!$A$1:$H$361,MATCH(OrderLines!$H$1,Orders!$A$1:$H$1,0),0)</f>
        <v>Plant 2 Canteen</v>
      </c>
      <c r="I389" s="15">
        <f>VLOOKUP($A389,Orders!$A$1:$H$361,MATCH(OrderLines!$I$1,Orders!$A$1:$H$1,0),0)</f>
        <v>0.02</v>
      </c>
      <c r="J389" s="15">
        <f t="shared" si="19"/>
        <v>78.302000000000007</v>
      </c>
      <c r="K389" s="27" t="str">
        <f t="shared" si="20"/>
        <v>August</v>
      </c>
      <c r="L389" s="15" t="str">
        <f>VLOOKUP(OrderLines!$A389,Orders!$A$1:$H$361,MATCH(OrderLines!$L$1,Orders!$A$1:$H$1,0),0)</f>
        <v>Breakfast</v>
      </c>
      <c r="M389" t="str">
        <f>VLOOKUP($A389,Orders!$A$1:$H$361,MATCH(OrderLines!$M$1,Orders!$A$1:$H$1,0),0)</f>
        <v>Card</v>
      </c>
      <c r="N389" t="str">
        <f t="shared" si="18"/>
        <v>Single</v>
      </c>
      <c r="O389" t="str" cm="1">
        <f t="array" ref="O389">IF((SUMPRODUCT((OrderID=OrderLines!$A389)*Qty*UnitPrice*DiscountPct))&gt;40,"HighDisc","OK")</f>
        <v>OK</v>
      </c>
      <c r="P389">
        <f>(orderlinesTABLE[[#This Row],[UnitCost]]*orderlinesTABLE[[#This Row],[Qty]])</f>
        <v>31.02</v>
      </c>
      <c r="Q389">
        <f>(orderlinesTABLE[[#This Row],[LineNetAmount]]-orderlinesTABLE[[#This Row],[totalCOST]])</f>
        <v>47.282000000000011</v>
      </c>
      <c r="R389" t="str">
        <f>VLOOKUP($B389,Menu!$A$1:$F$20,MATCH(OrderLines!R$1,Menu!$A$1:$F$1,0),0)</f>
        <v>Samosa</v>
      </c>
      <c r="S389" t="str" cm="1">
        <f t="array" ref="S389">_xlfn.TEXTJOIN("+",TRUE,_xlfn._xlws.FILTER(orderlinesTABLE[ItemName],OrderID=orderlinesTABLE[[#This Row],[OrderID]]))</f>
        <v>Samosa+Poha+Chicken Thali+Fruit Cup</v>
      </c>
      <c r="T389" s="54">
        <f>orderlinesTABLE[[#This Row],[Profit]]/orderlinesTABLE[[#This Row],[LineNetAmount]]</f>
        <v>0.6038415366146459</v>
      </c>
      <c r="U389" s="70">
        <f>(orderlinesTABLE[[#This Row],[Qty]]*orderlinesTABLE[[#This Row],[UnitCost]])</f>
        <v>31.02</v>
      </c>
    </row>
    <row r="390" spans="1:21" x14ac:dyDescent="0.3">
      <c r="A390" s="14" t="s">
        <v>192</v>
      </c>
      <c r="B390" s="14" t="s">
        <v>401</v>
      </c>
      <c r="C390" s="14">
        <v>3</v>
      </c>
      <c r="D390" s="37">
        <f>VLOOKUP($B390,Menu!$A$1:$F$20,MATCH($D$1,Menu!$A$1:$F$1,0),0)</f>
        <v>52.45</v>
      </c>
      <c r="E390" s="14" t="str">
        <f>VLOOKUP($B390,Menu!$A$1:$F$20,MATCH(OrderLines!E$1,Menu!$A$1:$F$1,0),0)</f>
        <v>Snack</v>
      </c>
      <c r="F390" s="37">
        <f>VLOOKUP($B390,Menu!$A$1:$F$20,MATCH(OrderLines!F$1,Menu!$A$1:$F$1,0),0)</f>
        <v>25.8</v>
      </c>
      <c r="G390" s="28">
        <f>VLOOKUP($A390,Orders!$A$1:$H$361,MATCH($G$1,Orders!$A$1:$H$1,0),0)</f>
        <v>45871</v>
      </c>
      <c r="H390" s="14" t="str">
        <f>VLOOKUP($A390,Orders!$A$1:$H$361,MATCH(OrderLines!$H$1,Orders!$A$1:$H$1,0),0)</f>
        <v>Plant 2 Canteen</v>
      </c>
      <c r="I390" s="14">
        <f>VLOOKUP($A390,Orders!$A$1:$H$361,MATCH(OrderLines!$I$1,Orders!$A$1:$H$1,0),0)</f>
        <v>0.02</v>
      </c>
      <c r="J390" s="14">
        <f t="shared" si="19"/>
        <v>154.20300000000003</v>
      </c>
      <c r="K390" s="28" t="str">
        <f t="shared" si="20"/>
        <v>August</v>
      </c>
      <c r="L390" s="14" t="str">
        <f>VLOOKUP(OrderLines!$A390,Orders!$A$1:$H$361,MATCH(OrderLines!$L$1,Orders!$A$1:$H$1,0),0)</f>
        <v>Breakfast</v>
      </c>
      <c r="M390" t="str">
        <f>VLOOKUP($A390,Orders!$A$1:$H$361,MATCH(OrderLines!$M$1,Orders!$A$1:$H$1,0),0)</f>
        <v>Card</v>
      </c>
      <c r="N390" t="str">
        <f t="shared" si="18"/>
        <v>Single</v>
      </c>
      <c r="O390" t="str" cm="1">
        <f t="array" ref="O390">IF((SUMPRODUCT((OrderID=OrderLines!$A390)*Qty*UnitPrice*DiscountPct))&gt;40,"HighDisc","OK")</f>
        <v>OK</v>
      </c>
      <c r="P390">
        <f>(orderlinesTABLE[[#This Row],[UnitCost]]*orderlinesTABLE[[#This Row],[Qty]])</f>
        <v>77.400000000000006</v>
      </c>
      <c r="Q390">
        <f>(orderlinesTABLE[[#This Row],[LineNetAmount]]-orderlinesTABLE[[#This Row],[totalCOST]])</f>
        <v>76.803000000000026</v>
      </c>
      <c r="R390" t="str">
        <f>VLOOKUP($B390,Menu!$A$1:$F$20,MATCH(OrderLines!R$1,Menu!$A$1:$F$1,0),0)</f>
        <v>Poha</v>
      </c>
      <c r="S390" t="str" cm="1">
        <f t="array" ref="S390">_xlfn.TEXTJOIN("+",TRUE,_xlfn._xlws.FILTER(orderlinesTABLE[ItemName],OrderID=orderlinesTABLE[[#This Row],[OrderID]]))</f>
        <v>Samosa+Poha+Chicken Thali+Fruit Cup</v>
      </c>
      <c r="T390" s="54">
        <f>orderlinesTABLE[[#This Row],[Profit]]/orderlinesTABLE[[#This Row],[LineNetAmount]]</f>
        <v>0.49806423999533089</v>
      </c>
      <c r="U390" s="70">
        <f>(orderlinesTABLE[[#This Row],[Qty]]*orderlinesTABLE[[#This Row],[UnitCost]])</f>
        <v>77.400000000000006</v>
      </c>
    </row>
    <row r="391" spans="1:21" x14ac:dyDescent="0.3">
      <c r="A391" s="15" t="s">
        <v>192</v>
      </c>
      <c r="B391" s="15" t="s">
        <v>415</v>
      </c>
      <c r="C391" s="15">
        <v>2</v>
      </c>
      <c r="D391" s="36">
        <f>VLOOKUP($B391,Menu!$A$1:$F$20,MATCH($D$1,Menu!$A$1:$F$1,0),0)</f>
        <v>256.91000000000003</v>
      </c>
      <c r="E391" s="15" t="str">
        <f>VLOOKUP($B391,Menu!$A$1:$F$20,MATCH(OrderLines!E$1,Menu!$A$1:$F$1,0),0)</f>
        <v>Hot Meal</v>
      </c>
      <c r="F391" s="36">
        <f>VLOOKUP($B391,Menu!$A$1:$F$20,MATCH(OrderLines!F$1,Menu!$A$1:$F$1,0),0)</f>
        <v>121.24</v>
      </c>
      <c r="G391" s="27">
        <f>VLOOKUP($A391,Orders!$A$1:$H$361,MATCH($G$1,Orders!$A$1:$H$1,0),0)</f>
        <v>45871</v>
      </c>
      <c r="H391" s="15" t="str">
        <f>VLOOKUP($A391,Orders!$A$1:$H$361,MATCH(OrderLines!$H$1,Orders!$A$1:$H$1,0),0)</f>
        <v>Plant 2 Canteen</v>
      </c>
      <c r="I391" s="15">
        <f>VLOOKUP($A391,Orders!$A$1:$H$361,MATCH(OrderLines!$I$1,Orders!$A$1:$H$1,0),0)</f>
        <v>0.02</v>
      </c>
      <c r="J391" s="15">
        <f t="shared" si="19"/>
        <v>503.54360000000003</v>
      </c>
      <c r="K391" s="27" t="str">
        <f t="shared" si="20"/>
        <v>August</v>
      </c>
      <c r="L391" s="15" t="str">
        <f>VLOOKUP(OrderLines!$A391,Orders!$A$1:$H$361,MATCH(OrderLines!$L$1,Orders!$A$1:$H$1,0),0)</f>
        <v>Breakfast</v>
      </c>
      <c r="M391" t="str">
        <f>VLOOKUP($A391,Orders!$A$1:$H$361,MATCH(OrderLines!$M$1,Orders!$A$1:$H$1,0),0)</f>
        <v>Card</v>
      </c>
      <c r="N391" t="str">
        <f t="shared" si="18"/>
        <v>Single</v>
      </c>
      <c r="O391" t="str" cm="1">
        <f t="array" ref="O391">IF((SUMPRODUCT((OrderID=OrderLines!$A391)*Qty*UnitPrice*DiscountPct))&gt;40,"HighDisc","OK")</f>
        <v>OK</v>
      </c>
      <c r="P391">
        <f>(orderlinesTABLE[[#This Row],[UnitCost]]*orderlinesTABLE[[#This Row],[Qty]])</f>
        <v>242.48</v>
      </c>
      <c r="Q391">
        <f>(orderlinesTABLE[[#This Row],[LineNetAmount]]-orderlinesTABLE[[#This Row],[totalCOST]])</f>
        <v>261.06360000000006</v>
      </c>
      <c r="R391" t="str">
        <f>VLOOKUP($B391,Menu!$A$1:$F$20,MATCH(OrderLines!R$1,Menu!$A$1:$F$1,0),0)</f>
        <v>Chicken Thali</v>
      </c>
      <c r="S391" t="str" cm="1">
        <f t="array" ref="S391">_xlfn.TEXTJOIN("+",TRUE,_xlfn._xlws.FILTER(orderlinesTABLE[ItemName],OrderID=orderlinesTABLE[[#This Row],[OrderID]]))</f>
        <v>Samosa+Poha+Chicken Thali+Fruit Cup</v>
      </c>
      <c r="T391" s="54">
        <f>orderlinesTABLE[[#This Row],[Profit]]/orderlinesTABLE[[#This Row],[LineNetAmount]]</f>
        <v>0.51845282116583358</v>
      </c>
      <c r="U391" s="70">
        <f>(orderlinesTABLE[[#This Row],[Qty]]*orderlinesTABLE[[#This Row],[UnitCost]])</f>
        <v>242.48</v>
      </c>
    </row>
    <row r="392" spans="1:21" x14ac:dyDescent="0.3">
      <c r="A392" s="14" t="s">
        <v>192</v>
      </c>
      <c r="B392" s="14" t="s">
        <v>412</v>
      </c>
      <c r="C392" s="14">
        <v>1</v>
      </c>
      <c r="D392" s="37">
        <f>VLOOKUP($B392,Menu!$A$1:$F$20,MATCH($D$1,Menu!$A$1:$F$1,0),0)</f>
        <v>57.07</v>
      </c>
      <c r="E392" s="14" t="str">
        <f>VLOOKUP($B392,Menu!$A$1:$F$20,MATCH(OrderLines!E$1,Menu!$A$1:$F$1,0),0)</f>
        <v>Dessert</v>
      </c>
      <c r="F392" s="37">
        <f>VLOOKUP($B392,Menu!$A$1:$F$20,MATCH(OrderLines!F$1,Menu!$A$1:$F$1,0),0)</f>
        <v>29.14</v>
      </c>
      <c r="G392" s="28">
        <f>VLOOKUP($A392,Orders!$A$1:$H$361,MATCH($G$1,Orders!$A$1:$H$1,0),0)</f>
        <v>45871</v>
      </c>
      <c r="H392" s="14" t="str">
        <f>VLOOKUP($A392,Orders!$A$1:$H$361,MATCH(OrderLines!$H$1,Orders!$A$1:$H$1,0),0)</f>
        <v>Plant 2 Canteen</v>
      </c>
      <c r="I392" s="14">
        <f>VLOOKUP($A392,Orders!$A$1:$H$361,MATCH(OrderLines!$I$1,Orders!$A$1:$H$1,0),0)</f>
        <v>0.02</v>
      </c>
      <c r="J392" s="14">
        <f t="shared" si="19"/>
        <v>55.928599999999996</v>
      </c>
      <c r="K392" s="28" t="str">
        <f t="shared" si="20"/>
        <v>August</v>
      </c>
      <c r="L392" s="14" t="str">
        <f>VLOOKUP(OrderLines!$A392,Orders!$A$1:$H$361,MATCH(OrderLines!$L$1,Orders!$A$1:$H$1,0),0)</f>
        <v>Breakfast</v>
      </c>
      <c r="M392" t="str">
        <f>VLOOKUP($A392,Orders!$A$1:$H$361,MATCH(OrderLines!$M$1,Orders!$A$1:$H$1,0),0)</f>
        <v>Card</v>
      </c>
      <c r="N392" t="str">
        <f t="shared" si="18"/>
        <v>Single</v>
      </c>
      <c r="O392" t="str" cm="1">
        <f t="array" ref="O392">IF((SUMPRODUCT((OrderID=OrderLines!$A392)*Qty*UnitPrice*DiscountPct))&gt;40,"HighDisc","OK")</f>
        <v>OK</v>
      </c>
      <c r="P392">
        <f>(orderlinesTABLE[[#This Row],[UnitCost]]*orderlinesTABLE[[#This Row],[Qty]])</f>
        <v>29.14</v>
      </c>
      <c r="Q392">
        <f>(orderlinesTABLE[[#This Row],[LineNetAmount]]-orderlinesTABLE[[#This Row],[totalCOST]])</f>
        <v>26.788599999999995</v>
      </c>
      <c r="R392" t="str">
        <f>VLOOKUP($B392,Menu!$A$1:$F$20,MATCH(OrderLines!R$1,Menu!$A$1:$F$1,0),0)</f>
        <v>Fruit Cup</v>
      </c>
      <c r="S392" t="str" cm="1">
        <f t="array" ref="S392">_xlfn.TEXTJOIN("+",TRUE,_xlfn._xlws.FILTER(orderlinesTABLE[ItemName],OrderID=orderlinesTABLE[[#This Row],[OrderID]]))</f>
        <v>Samosa+Poha+Chicken Thali+Fruit Cup</v>
      </c>
      <c r="T392" s="54">
        <f>orderlinesTABLE[[#This Row],[Profit]]/orderlinesTABLE[[#This Row],[LineNetAmount]]</f>
        <v>0.47897855480022739</v>
      </c>
      <c r="U392" s="70">
        <f>(orderlinesTABLE[[#This Row],[Qty]]*orderlinesTABLE[[#This Row],[UnitCost]])</f>
        <v>29.14</v>
      </c>
    </row>
    <row r="393" spans="1:21" x14ac:dyDescent="0.3">
      <c r="A393" s="15" t="s">
        <v>193</v>
      </c>
      <c r="B393" s="15" t="s">
        <v>402</v>
      </c>
      <c r="C393" s="15">
        <v>3</v>
      </c>
      <c r="D393" s="36">
        <f>VLOOKUP($B393,Menu!$A$1:$F$20,MATCH($D$1,Menu!$A$1:$F$1,0),0)</f>
        <v>30.34</v>
      </c>
      <c r="E393" s="15" t="str">
        <f>VLOOKUP($B393,Menu!$A$1:$F$20,MATCH(OrderLines!E$1,Menu!$A$1:$F$1,0),0)</f>
        <v>Beverage</v>
      </c>
      <c r="F393" s="36">
        <f>VLOOKUP($B393,Menu!$A$1:$F$20,MATCH(OrderLines!F$1,Menu!$A$1:$F$1,0),0)</f>
        <v>14.18</v>
      </c>
      <c r="G393" s="27">
        <f>VLOOKUP($A393,Orders!$A$1:$H$361,MATCH($G$1,Orders!$A$1:$H$1,0),0)</f>
        <v>45878</v>
      </c>
      <c r="H393" s="15" t="str">
        <f>VLOOKUP($A393,Orders!$A$1:$H$361,MATCH(OrderLines!$H$1,Orders!$A$1:$H$1,0),0)</f>
        <v>Head Office Café</v>
      </c>
      <c r="I393" s="15">
        <f>VLOOKUP($A393,Orders!$A$1:$H$361,MATCH(OrderLines!$I$1,Orders!$A$1:$H$1,0),0)</f>
        <v>7.0000000000000007E-2</v>
      </c>
      <c r="J393" s="15">
        <f t="shared" si="19"/>
        <v>84.648599999999988</v>
      </c>
      <c r="K393" s="27" t="str">
        <f t="shared" si="20"/>
        <v>August</v>
      </c>
      <c r="L393" s="15" t="str">
        <f>VLOOKUP(OrderLines!$A393,Orders!$A$1:$H$361,MATCH(OrderLines!$L$1,Orders!$A$1:$H$1,0),0)</f>
        <v>Breakfast</v>
      </c>
      <c r="M393" t="str">
        <f>VLOOKUP($A393,Orders!$A$1:$H$361,MATCH(OrderLines!$M$1,Orders!$A$1:$H$1,0),0)</f>
        <v>Card</v>
      </c>
      <c r="N393" t="str">
        <f t="shared" si="18"/>
        <v>Combo</v>
      </c>
      <c r="O393" t="str" cm="1">
        <f t="array" ref="O393">IF((SUMPRODUCT((OrderID=OrderLines!$A393)*Qty*UnitPrice*DiscountPct))&gt;40,"HighDisc","OK")</f>
        <v>HighDisc</v>
      </c>
      <c r="P393">
        <f>(orderlinesTABLE[[#This Row],[UnitCost]]*orderlinesTABLE[[#This Row],[Qty]])</f>
        <v>42.54</v>
      </c>
      <c r="Q393">
        <f>(orderlinesTABLE[[#This Row],[LineNetAmount]]-orderlinesTABLE[[#This Row],[totalCOST]])</f>
        <v>42.108599999999988</v>
      </c>
      <c r="R393" t="str">
        <f>VLOOKUP($B393,Menu!$A$1:$F$20,MATCH(OrderLines!R$1,Menu!$A$1:$F$1,0),0)</f>
        <v>Tea</v>
      </c>
      <c r="S393" t="str" cm="1">
        <f t="array" ref="S393">_xlfn.TEXTJOIN("+",TRUE,_xlfn._xlws.FILTER(orderlinesTABLE[ItemName],OrderID=orderlinesTABLE[[#This Row],[OrderID]]))</f>
        <v>Tea+Brownie+Veg Thali+Samosa</v>
      </c>
      <c r="T393" s="54">
        <f>orderlinesTABLE[[#This Row],[Profit]]/orderlinesTABLE[[#This Row],[LineNetAmount]]</f>
        <v>0.49745181845889941</v>
      </c>
      <c r="U393" s="70">
        <f>(orderlinesTABLE[[#This Row],[Qty]]*orderlinesTABLE[[#This Row],[UnitCost]])</f>
        <v>42.54</v>
      </c>
    </row>
    <row r="394" spans="1:21" x14ac:dyDescent="0.3">
      <c r="A394" s="14" t="s">
        <v>193</v>
      </c>
      <c r="B394" s="14" t="s">
        <v>414</v>
      </c>
      <c r="C394" s="14">
        <v>1</v>
      </c>
      <c r="D394" s="37">
        <f>VLOOKUP($B394,Menu!$A$1:$F$20,MATCH($D$1,Menu!$A$1:$F$1,0),0)</f>
        <v>116.8</v>
      </c>
      <c r="E394" s="14" t="str">
        <f>VLOOKUP($B394,Menu!$A$1:$F$20,MATCH(OrderLines!E$1,Menu!$A$1:$F$1,0),0)</f>
        <v>Dessert</v>
      </c>
      <c r="F394" s="37">
        <f>VLOOKUP($B394,Menu!$A$1:$F$20,MATCH(OrderLines!F$1,Menu!$A$1:$F$1,0),0)</f>
        <v>48.97</v>
      </c>
      <c r="G394" s="28">
        <f>VLOOKUP($A394,Orders!$A$1:$H$361,MATCH($G$1,Orders!$A$1:$H$1,0),0)</f>
        <v>45878</v>
      </c>
      <c r="H394" s="14" t="str">
        <f>VLOOKUP($A394,Orders!$A$1:$H$361,MATCH(OrderLines!$H$1,Orders!$A$1:$H$1,0),0)</f>
        <v>Head Office Café</v>
      </c>
      <c r="I394" s="14">
        <f>VLOOKUP($A394,Orders!$A$1:$H$361,MATCH(OrderLines!$I$1,Orders!$A$1:$H$1,0),0)</f>
        <v>7.0000000000000007E-2</v>
      </c>
      <c r="J394" s="14">
        <f t="shared" si="19"/>
        <v>108.624</v>
      </c>
      <c r="K394" s="28" t="str">
        <f t="shared" si="20"/>
        <v>August</v>
      </c>
      <c r="L394" s="14" t="str">
        <f>VLOOKUP(OrderLines!$A394,Orders!$A$1:$H$361,MATCH(OrderLines!$L$1,Orders!$A$1:$H$1,0),0)</f>
        <v>Breakfast</v>
      </c>
      <c r="M394" t="str">
        <f>VLOOKUP($A394,Orders!$A$1:$H$361,MATCH(OrderLines!$M$1,Orders!$A$1:$H$1,0),0)</f>
        <v>Card</v>
      </c>
      <c r="N394" t="str">
        <f t="shared" si="18"/>
        <v>Combo</v>
      </c>
      <c r="O394" t="str" cm="1">
        <f t="array" ref="O394">IF((SUMPRODUCT((OrderID=OrderLines!$A394)*Qty*UnitPrice*DiscountPct))&gt;40,"HighDisc","OK")</f>
        <v>HighDisc</v>
      </c>
      <c r="P394">
        <f>(orderlinesTABLE[[#This Row],[UnitCost]]*orderlinesTABLE[[#This Row],[Qty]])</f>
        <v>48.97</v>
      </c>
      <c r="Q394">
        <f>(orderlinesTABLE[[#This Row],[LineNetAmount]]-orderlinesTABLE[[#This Row],[totalCOST]])</f>
        <v>59.653999999999996</v>
      </c>
      <c r="R394" t="str">
        <f>VLOOKUP($B394,Menu!$A$1:$F$20,MATCH(OrderLines!R$1,Menu!$A$1:$F$1,0),0)</f>
        <v>Brownie</v>
      </c>
      <c r="S394" t="str" cm="1">
        <f t="array" ref="S394">_xlfn.TEXTJOIN("+",TRUE,_xlfn._xlws.FILTER(orderlinesTABLE[ItemName],OrderID=orderlinesTABLE[[#This Row],[OrderID]]))</f>
        <v>Tea+Brownie+Veg Thali+Samosa</v>
      </c>
      <c r="T394" s="54">
        <f>orderlinesTABLE[[#This Row],[Profit]]/orderlinesTABLE[[#This Row],[LineNetAmount]]</f>
        <v>0.54917881867727203</v>
      </c>
      <c r="U394" s="70">
        <f>(orderlinesTABLE[[#This Row],[Qty]]*orderlinesTABLE[[#This Row],[UnitCost]])</f>
        <v>48.97</v>
      </c>
    </row>
    <row r="395" spans="1:21" x14ac:dyDescent="0.3">
      <c r="A395" s="15" t="s">
        <v>193</v>
      </c>
      <c r="B395" s="15" t="s">
        <v>416</v>
      </c>
      <c r="C395" s="15">
        <v>3</v>
      </c>
      <c r="D395" s="36">
        <f>VLOOKUP($B395,Menu!$A$1:$F$20,MATCH($D$1,Menu!$A$1:$F$1,0),0)</f>
        <v>227.61</v>
      </c>
      <c r="E395" s="15" t="str">
        <f>VLOOKUP($B395,Menu!$A$1:$F$20,MATCH(OrderLines!E$1,Menu!$A$1:$F$1,0),0)</f>
        <v>Hot Meal</v>
      </c>
      <c r="F395" s="36">
        <f>VLOOKUP($B395,Menu!$A$1:$F$20,MATCH(OrderLines!F$1,Menu!$A$1:$F$1,0),0)</f>
        <v>96.22</v>
      </c>
      <c r="G395" s="27">
        <f>VLOOKUP($A395,Orders!$A$1:$H$361,MATCH($G$1,Orders!$A$1:$H$1,0),0)</f>
        <v>45878</v>
      </c>
      <c r="H395" s="15" t="str">
        <f>VLOOKUP($A395,Orders!$A$1:$H$361,MATCH(OrderLines!$H$1,Orders!$A$1:$H$1,0),0)</f>
        <v>Head Office Café</v>
      </c>
      <c r="I395" s="15">
        <f>VLOOKUP($A395,Orders!$A$1:$H$361,MATCH(OrderLines!$I$1,Orders!$A$1:$H$1,0),0)</f>
        <v>7.0000000000000007E-2</v>
      </c>
      <c r="J395" s="15">
        <f t="shared" si="19"/>
        <v>635.03189999999995</v>
      </c>
      <c r="K395" s="27" t="str">
        <f t="shared" si="20"/>
        <v>August</v>
      </c>
      <c r="L395" s="15" t="str">
        <f>VLOOKUP(OrderLines!$A395,Orders!$A$1:$H$361,MATCH(OrderLines!$L$1,Orders!$A$1:$H$1,0),0)</f>
        <v>Breakfast</v>
      </c>
      <c r="M395" t="str">
        <f>VLOOKUP($A395,Orders!$A$1:$H$361,MATCH(OrderLines!$M$1,Orders!$A$1:$H$1,0),0)</f>
        <v>Card</v>
      </c>
      <c r="N395" t="str">
        <f t="shared" si="18"/>
        <v>Combo</v>
      </c>
      <c r="O395" t="str" cm="1">
        <f t="array" ref="O395">IF((SUMPRODUCT((OrderID=OrderLines!$A395)*Qty*UnitPrice*DiscountPct))&gt;40,"HighDisc","OK")</f>
        <v>HighDisc</v>
      </c>
      <c r="P395">
        <f>(orderlinesTABLE[[#This Row],[UnitCost]]*orderlinesTABLE[[#This Row],[Qty]])</f>
        <v>288.65999999999997</v>
      </c>
      <c r="Q395">
        <f>(orderlinesTABLE[[#This Row],[LineNetAmount]]-orderlinesTABLE[[#This Row],[totalCOST]])</f>
        <v>346.37189999999998</v>
      </c>
      <c r="R395" t="str">
        <f>VLOOKUP($B395,Menu!$A$1:$F$20,MATCH(OrderLines!R$1,Menu!$A$1:$F$1,0),0)</f>
        <v>Veg Thali</v>
      </c>
      <c r="S395" t="str" cm="1">
        <f t="array" ref="S395">_xlfn.TEXTJOIN("+",TRUE,_xlfn._xlws.FILTER(orderlinesTABLE[ItemName],OrderID=orderlinesTABLE[[#This Row],[OrderID]]))</f>
        <v>Tea+Brownie+Veg Thali+Samosa</v>
      </c>
      <c r="T395" s="54">
        <f>orderlinesTABLE[[#This Row],[Profit]]/orderlinesTABLE[[#This Row],[LineNetAmount]]</f>
        <v>0.54544015820307612</v>
      </c>
      <c r="U395" s="70">
        <f>(orderlinesTABLE[[#This Row],[Qty]]*orderlinesTABLE[[#This Row],[UnitCost]])</f>
        <v>288.65999999999997</v>
      </c>
    </row>
    <row r="396" spans="1:21" x14ac:dyDescent="0.3">
      <c r="A396" s="14" t="s">
        <v>193</v>
      </c>
      <c r="B396" s="14" t="s">
        <v>418</v>
      </c>
      <c r="C396" s="14">
        <v>3</v>
      </c>
      <c r="D396" s="37">
        <f>VLOOKUP($B396,Menu!$A$1:$F$20,MATCH($D$1,Menu!$A$1:$F$1,0),0)</f>
        <v>39.950000000000003</v>
      </c>
      <c r="E396" s="14" t="str">
        <f>VLOOKUP($B396,Menu!$A$1:$F$20,MATCH(OrderLines!E$1,Menu!$A$1:$F$1,0),0)</f>
        <v>Snack</v>
      </c>
      <c r="F396" s="37">
        <f>VLOOKUP($B396,Menu!$A$1:$F$20,MATCH(OrderLines!F$1,Menu!$A$1:$F$1,0),0)</f>
        <v>15.51</v>
      </c>
      <c r="G396" s="28">
        <f>VLOOKUP($A396,Orders!$A$1:$H$361,MATCH($G$1,Orders!$A$1:$H$1,0),0)</f>
        <v>45878</v>
      </c>
      <c r="H396" s="14" t="str">
        <f>VLOOKUP($A396,Orders!$A$1:$H$361,MATCH(OrderLines!$H$1,Orders!$A$1:$H$1,0),0)</f>
        <v>Head Office Café</v>
      </c>
      <c r="I396" s="14">
        <f>VLOOKUP($A396,Orders!$A$1:$H$361,MATCH(OrderLines!$I$1,Orders!$A$1:$H$1,0),0)</f>
        <v>7.0000000000000007E-2</v>
      </c>
      <c r="J396" s="14">
        <f t="shared" si="19"/>
        <v>111.4605</v>
      </c>
      <c r="K396" s="28" t="str">
        <f t="shared" si="20"/>
        <v>August</v>
      </c>
      <c r="L396" s="14" t="str">
        <f>VLOOKUP(OrderLines!$A396,Orders!$A$1:$H$361,MATCH(OrderLines!$L$1,Orders!$A$1:$H$1,0),0)</f>
        <v>Breakfast</v>
      </c>
      <c r="M396" t="str">
        <f>VLOOKUP($A396,Orders!$A$1:$H$361,MATCH(OrderLines!$M$1,Orders!$A$1:$H$1,0),0)</f>
        <v>Card</v>
      </c>
      <c r="N396" t="str">
        <f t="shared" si="18"/>
        <v>Combo</v>
      </c>
      <c r="O396" t="str" cm="1">
        <f t="array" ref="O396">IF((SUMPRODUCT((OrderID=OrderLines!$A396)*Qty*UnitPrice*DiscountPct))&gt;40,"HighDisc","OK")</f>
        <v>HighDisc</v>
      </c>
      <c r="P396">
        <f>(orderlinesTABLE[[#This Row],[UnitCost]]*orderlinesTABLE[[#This Row],[Qty]])</f>
        <v>46.53</v>
      </c>
      <c r="Q396">
        <f>(orderlinesTABLE[[#This Row],[LineNetAmount]]-orderlinesTABLE[[#This Row],[totalCOST]])</f>
        <v>64.930499999999995</v>
      </c>
      <c r="R396" t="str">
        <f>VLOOKUP($B396,Menu!$A$1:$F$20,MATCH(OrderLines!R$1,Menu!$A$1:$F$1,0),0)</f>
        <v>Samosa</v>
      </c>
      <c r="S396" t="str" cm="1">
        <f t="array" ref="S396">_xlfn.TEXTJOIN("+",TRUE,_xlfn._xlws.FILTER(orderlinesTABLE[ItemName],OrderID=orderlinesTABLE[[#This Row],[OrderID]]))</f>
        <v>Tea+Brownie+Veg Thali+Samosa</v>
      </c>
      <c r="T396" s="54">
        <f>orderlinesTABLE[[#This Row],[Profit]]/orderlinesTABLE[[#This Row],[LineNetAmount]]</f>
        <v>0.58254269449715368</v>
      </c>
      <c r="U396" s="70">
        <f>(orderlinesTABLE[[#This Row],[Qty]]*orderlinesTABLE[[#This Row],[UnitCost]])</f>
        <v>46.53</v>
      </c>
    </row>
    <row r="397" spans="1:21" x14ac:dyDescent="0.3">
      <c r="A397" s="15" t="s">
        <v>194</v>
      </c>
      <c r="B397" s="15" t="s">
        <v>418</v>
      </c>
      <c r="C397" s="15">
        <v>3</v>
      </c>
      <c r="D397" s="36">
        <f>VLOOKUP($B397,Menu!$A$1:$F$20,MATCH($D$1,Menu!$A$1:$F$1,0),0)</f>
        <v>39.950000000000003</v>
      </c>
      <c r="E397" s="15" t="str">
        <f>VLOOKUP($B397,Menu!$A$1:$F$20,MATCH(OrderLines!E$1,Menu!$A$1:$F$1,0),0)</f>
        <v>Snack</v>
      </c>
      <c r="F397" s="36">
        <f>VLOOKUP($B397,Menu!$A$1:$F$20,MATCH(OrderLines!F$1,Menu!$A$1:$F$1,0),0)</f>
        <v>15.51</v>
      </c>
      <c r="G397" s="27">
        <f>VLOOKUP($A397,Orders!$A$1:$H$361,MATCH($G$1,Orders!$A$1:$H$1,0),0)</f>
        <v>45869</v>
      </c>
      <c r="H397" s="15" t="str">
        <f>VLOOKUP($A397,Orders!$A$1:$H$361,MATCH(OrderLines!$H$1,Orders!$A$1:$H$1,0),0)</f>
        <v>Plant 2 Canteen</v>
      </c>
      <c r="I397" s="15">
        <f>VLOOKUP($A397,Orders!$A$1:$H$361,MATCH(OrderLines!$I$1,Orders!$A$1:$H$1,0),0)</f>
        <v>0.06</v>
      </c>
      <c r="J397" s="15">
        <f t="shared" si="19"/>
        <v>112.65900000000001</v>
      </c>
      <c r="K397" s="27" t="str">
        <f t="shared" si="20"/>
        <v>July</v>
      </c>
      <c r="L397" s="15" t="str">
        <f>VLOOKUP(OrderLines!$A397,Orders!$A$1:$H$361,MATCH(OrderLines!$L$1,Orders!$A$1:$H$1,0),0)</f>
        <v>Dinner</v>
      </c>
      <c r="M397" t="str">
        <f>VLOOKUP($A397,Orders!$A$1:$H$361,MATCH(OrderLines!$M$1,Orders!$A$1:$H$1,0),0)</f>
        <v>Cash</v>
      </c>
      <c r="N397" t="str">
        <f t="shared" si="18"/>
        <v>Single</v>
      </c>
      <c r="O397" t="str" cm="1">
        <f t="array" ref="O397">IF((SUMPRODUCT((OrderID=OrderLines!$A397)*Qty*UnitPrice*DiscountPct))&gt;40,"HighDisc","OK")</f>
        <v>HighDisc</v>
      </c>
      <c r="P397">
        <f>(orderlinesTABLE[[#This Row],[UnitCost]]*orderlinesTABLE[[#This Row],[Qty]])</f>
        <v>46.53</v>
      </c>
      <c r="Q397">
        <f>(orderlinesTABLE[[#This Row],[LineNetAmount]]-orderlinesTABLE[[#This Row],[totalCOST]])</f>
        <v>66.129000000000005</v>
      </c>
      <c r="R397" t="str">
        <f>VLOOKUP($B397,Menu!$A$1:$F$20,MATCH(OrderLines!R$1,Menu!$A$1:$F$1,0),0)</f>
        <v>Samosa</v>
      </c>
      <c r="S397" t="str" cm="1">
        <f t="array" ref="S397">_xlfn.TEXTJOIN("+",TRUE,_xlfn._xlws.FILTER(orderlinesTABLE[ItemName],OrderID=orderlinesTABLE[[#This Row],[OrderID]]))</f>
        <v>Samosa+Egg Curry + Rice+Fruit Cup</v>
      </c>
      <c r="T397" s="54">
        <f>orderlinesTABLE[[#This Row],[Profit]]/orderlinesTABLE[[#This Row],[LineNetAmount]]</f>
        <v>0.58698372966207757</v>
      </c>
      <c r="U397" s="70">
        <f>(orderlinesTABLE[[#This Row],[Qty]]*orderlinesTABLE[[#This Row],[UnitCost]])</f>
        <v>46.53</v>
      </c>
    </row>
    <row r="398" spans="1:21" x14ac:dyDescent="0.3">
      <c r="A398" s="14" t="s">
        <v>194</v>
      </c>
      <c r="B398" s="14" t="s">
        <v>407</v>
      </c>
      <c r="C398" s="14">
        <v>3</v>
      </c>
      <c r="D398" s="37">
        <f>VLOOKUP($B398,Menu!$A$1:$F$20,MATCH($D$1,Menu!$A$1:$F$1,0),0)</f>
        <v>246.09</v>
      </c>
      <c r="E398" s="14" t="str">
        <f>VLOOKUP($B398,Menu!$A$1:$F$20,MATCH(OrderLines!E$1,Menu!$A$1:$F$1,0),0)</f>
        <v>Hot Meal</v>
      </c>
      <c r="F398" s="37">
        <f>VLOOKUP($B398,Menu!$A$1:$F$20,MATCH(OrderLines!F$1,Menu!$A$1:$F$1,0),0)</f>
        <v>112.08</v>
      </c>
      <c r="G398" s="28">
        <f>VLOOKUP($A398,Orders!$A$1:$H$361,MATCH($G$1,Orders!$A$1:$H$1,0),0)</f>
        <v>45869</v>
      </c>
      <c r="H398" s="14" t="str">
        <f>VLOOKUP($A398,Orders!$A$1:$H$361,MATCH(OrderLines!$H$1,Orders!$A$1:$H$1,0),0)</f>
        <v>Plant 2 Canteen</v>
      </c>
      <c r="I398" s="14">
        <f>VLOOKUP($A398,Orders!$A$1:$H$361,MATCH(OrderLines!$I$1,Orders!$A$1:$H$1,0),0)</f>
        <v>0.06</v>
      </c>
      <c r="J398" s="14">
        <f t="shared" si="19"/>
        <v>693.97379999999998</v>
      </c>
      <c r="K398" s="28" t="str">
        <f t="shared" si="20"/>
        <v>July</v>
      </c>
      <c r="L398" s="14" t="str">
        <f>VLOOKUP(OrderLines!$A398,Orders!$A$1:$H$361,MATCH(OrderLines!$L$1,Orders!$A$1:$H$1,0),0)</f>
        <v>Dinner</v>
      </c>
      <c r="M398" t="str">
        <f>VLOOKUP($A398,Orders!$A$1:$H$361,MATCH(OrderLines!$M$1,Orders!$A$1:$H$1,0),0)</f>
        <v>Cash</v>
      </c>
      <c r="N398" t="str">
        <f t="shared" si="18"/>
        <v>Single</v>
      </c>
      <c r="O398" t="str" cm="1">
        <f t="array" ref="O398">IF((SUMPRODUCT((OrderID=OrderLines!$A398)*Qty*UnitPrice*DiscountPct))&gt;40,"HighDisc","OK")</f>
        <v>HighDisc</v>
      </c>
      <c r="P398">
        <f>(orderlinesTABLE[[#This Row],[UnitCost]]*orderlinesTABLE[[#This Row],[Qty]])</f>
        <v>336.24</v>
      </c>
      <c r="Q398">
        <f>(orderlinesTABLE[[#This Row],[LineNetAmount]]-orderlinesTABLE[[#This Row],[totalCOST]])</f>
        <v>357.73379999999997</v>
      </c>
      <c r="R398" t="str">
        <f>VLOOKUP($B398,Menu!$A$1:$F$20,MATCH(OrderLines!R$1,Menu!$A$1:$F$1,0),0)</f>
        <v>Egg Curry + Rice</v>
      </c>
      <c r="S398" t="str" cm="1">
        <f t="array" ref="S398">_xlfn.TEXTJOIN("+",TRUE,_xlfn._xlws.FILTER(orderlinesTABLE[ItemName],OrderID=orderlinesTABLE[[#This Row],[OrderID]]))</f>
        <v>Samosa+Egg Curry + Rice+Fruit Cup</v>
      </c>
      <c r="T398" s="54">
        <f>orderlinesTABLE[[#This Row],[Profit]]/orderlinesTABLE[[#This Row],[LineNetAmount]]</f>
        <v>0.51548603131703241</v>
      </c>
      <c r="U398" s="70">
        <f>(orderlinesTABLE[[#This Row],[Qty]]*orderlinesTABLE[[#This Row],[UnitCost]])</f>
        <v>336.24</v>
      </c>
    </row>
    <row r="399" spans="1:21" x14ac:dyDescent="0.3">
      <c r="A399" s="15" t="s">
        <v>194</v>
      </c>
      <c r="B399" s="15" t="s">
        <v>412</v>
      </c>
      <c r="C399" s="15">
        <v>1</v>
      </c>
      <c r="D399" s="36">
        <f>VLOOKUP($B399,Menu!$A$1:$F$20,MATCH($D$1,Menu!$A$1:$F$1,0),0)</f>
        <v>57.07</v>
      </c>
      <c r="E399" s="15" t="str">
        <f>VLOOKUP($B399,Menu!$A$1:$F$20,MATCH(OrderLines!E$1,Menu!$A$1:$F$1,0),0)</f>
        <v>Dessert</v>
      </c>
      <c r="F399" s="36">
        <f>VLOOKUP($B399,Menu!$A$1:$F$20,MATCH(OrderLines!F$1,Menu!$A$1:$F$1,0),0)</f>
        <v>29.14</v>
      </c>
      <c r="G399" s="27">
        <f>VLOOKUP($A399,Orders!$A$1:$H$361,MATCH($G$1,Orders!$A$1:$H$1,0),0)</f>
        <v>45869</v>
      </c>
      <c r="H399" s="15" t="str">
        <f>VLOOKUP($A399,Orders!$A$1:$H$361,MATCH(OrderLines!$H$1,Orders!$A$1:$H$1,0),0)</f>
        <v>Plant 2 Canteen</v>
      </c>
      <c r="I399" s="15">
        <f>VLOOKUP($A399,Orders!$A$1:$H$361,MATCH(OrderLines!$I$1,Orders!$A$1:$H$1,0),0)</f>
        <v>0.06</v>
      </c>
      <c r="J399" s="15">
        <f t="shared" si="19"/>
        <v>53.645799999999994</v>
      </c>
      <c r="K399" s="27" t="str">
        <f t="shared" si="20"/>
        <v>July</v>
      </c>
      <c r="L399" s="15" t="str">
        <f>VLOOKUP(OrderLines!$A399,Orders!$A$1:$H$361,MATCH(OrderLines!$L$1,Orders!$A$1:$H$1,0),0)</f>
        <v>Dinner</v>
      </c>
      <c r="M399" t="str">
        <f>VLOOKUP($A399,Orders!$A$1:$H$361,MATCH(OrderLines!$M$1,Orders!$A$1:$H$1,0),0)</f>
        <v>Cash</v>
      </c>
      <c r="N399" t="str">
        <f t="shared" si="18"/>
        <v>Single</v>
      </c>
      <c r="O399" t="str" cm="1">
        <f t="array" ref="O399">IF((SUMPRODUCT((OrderID=OrderLines!$A399)*Qty*UnitPrice*DiscountPct))&gt;40,"HighDisc","OK")</f>
        <v>HighDisc</v>
      </c>
      <c r="P399">
        <f>(orderlinesTABLE[[#This Row],[UnitCost]]*orderlinesTABLE[[#This Row],[Qty]])</f>
        <v>29.14</v>
      </c>
      <c r="Q399">
        <f>(orderlinesTABLE[[#This Row],[LineNetAmount]]-orderlinesTABLE[[#This Row],[totalCOST]])</f>
        <v>24.505799999999994</v>
      </c>
      <c r="R399" t="str">
        <f>VLOOKUP($B399,Menu!$A$1:$F$20,MATCH(OrderLines!R$1,Menu!$A$1:$F$1,0),0)</f>
        <v>Fruit Cup</v>
      </c>
      <c r="S399" t="str" cm="1">
        <f t="array" ref="S399">_xlfn.TEXTJOIN("+",TRUE,_xlfn._xlws.FILTER(orderlinesTABLE[ItemName],OrderID=orderlinesTABLE[[#This Row],[OrderID]]))</f>
        <v>Samosa+Egg Curry + Rice+Fruit Cup</v>
      </c>
      <c r="T399" s="54">
        <f>orderlinesTABLE[[#This Row],[Profit]]/orderlinesTABLE[[#This Row],[LineNetAmount]]</f>
        <v>0.45680742947257746</v>
      </c>
      <c r="U399" s="70">
        <f>(orderlinesTABLE[[#This Row],[Qty]]*orderlinesTABLE[[#This Row],[UnitCost]])</f>
        <v>29.14</v>
      </c>
    </row>
    <row r="400" spans="1:21" x14ac:dyDescent="0.3">
      <c r="A400" s="14" t="s">
        <v>195</v>
      </c>
      <c r="B400" s="14" t="s">
        <v>410</v>
      </c>
      <c r="C400" s="14">
        <v>1</v>
      </c>
      <c r="D400" s="37">
        <f>VLOOKUP($B400,Menu!$A$1:$F$20,MATCH($D$1,Menu!$A$1:$F$1,0),0)</f>
        <v>20.11</v>
      </c>
      <c r="E400" s="14" t="str">
        <f>VLOOKUP($B400,Menu!$A$1:$F$20,MATCH(OrderLines!E$1,Menu!$A$1:$F$1,0),0)</f>
        <v>Beverage</v>
      </c>
      <c r="F400" s="37">
        <f>VLOOKUP($B400,Menu!$A$1:$F$20,MATCH(OrderLines!F$1,Menu!$A$1:$F$1,0),0)</f>
        <v>8</v>
      </c>
      <c r="G400" s="28">
        <f>VLOOKUP($A400,Orders!$A$1:$H$361,MATCH($G$1,Orders!$A$1:$H$1,0),0)</f>
        <v>45889</v>
      </c>
      <c r="H400" s="14" t="str">
        <f>VLOOKUP($A400,Orders!$A$1:$H$361,MATCH(OrderLines!$H$1,Orders!$A$1:$H$1,0),0)</f>
        <v>Plant 1 Canteen</v>
      </c>
      <c r="I400" s="14">
        <f>VLOOKUP($A400,Orders!$A$1:$H$361,MATCH(OrderLines!$I$1,Orders!$A$1:$H$1,0),0)</f>
        <v>0.01</v>
      </c>
      <c r="J400" s="14">
        <f t="shared" si="19"/>
        <v>19.908899999999999</v>
      </c>
      <c r="K400" s="28" t="str">
        <f t="shared" si="20"/>
        <v>August</v>
      </c>
      <c r="L400" s="14" t="str">
        <f>VLOOKUP(OrderLines!$A400,Orders!$A$1:$H$361,MATCH(OrderLines!$L$1,Orders!$A$1:$H$1,0),0)</f>
        <v>Breakfast</v>
      </c>
      <c r="M400" t="str">
        <f>VLOOKUP($A400,Orders!$A$1:$H$361,MATCH(OrderLines!$M$1,Orders!$A$1:$H$1,0),0)</f>
        <v>UPI</v>
      </c>
      <c r="N400" t="str">
        <f t="shared" si="18"/>
        <v>Single</v>
      </c>
      <c r="O400" t="str" cm="1">
        <f t="array" ref="O400">IF((SUMPRODUCT((OrderID=OrderLines!$A400)*Qty*UnitPrice*DiscountPct))&gt;40,"HighDisc","OK")</f>
        <v>OK</v>
      </c>
      <c r="P400">
        <f>(orderlinesTABLE[[#This Row],[UnitCost]]*orderlinesTABLE[[#This Row],[Qty]])</f>
        <v>8</v>
      </c>
      <c r="Q400">
        <f>(orderlinesTABLE[[#This Row],[LineNetAmount]]-orderlinesTABLE[[#This Row],[totalCOST]])</f>
        <v>11.908899999999999</v>
      </c>
      <c r="R400" t="str">
        <f>VLOOKUP($B400,Menu!$A$1:$F$20,MATCH(OrderLines!R$1,Menu!$A$1:$F$1,0),0)</f>
        <v>Nimbu Pani</v>
      </c>
      <c r="S400" t="str" cm="1">
        <f t="array" ref="S400">_xlfn.TEXTJOIN("+",TRUE,_xlfn._xlws.FILTER(orderlinesTABLE[ItemName],OrderID=orderlinesTABLE[[#This Row],[OrderID]]))</f>
        <v>Nimbu Pani+Kheer Cup+Fruit Cup+Paneer Roll</v>
      </c>
      <c r="T400" s="54">
        <f>orderlinesTABLE[[#This Row],[Profit]]/orderlinesTABLE[[#This Row],[LineNetAmount]]</f>
        <v>0.59816966281411832</v>
      </c>
      <c r="U400" s="70">
        <f>(orderlinesTABLE[[#This Row],[Qty]]*orderlinesTABLE[[#This Row],[UnitCost]])</f>
        <v>8</v>
      </c>
    </row>
    <row r="401" spans="1:21" x14ac:dyDescent="0.3">
      <c r="A401" s="15" t="s">
        <v>195</v>
      </c>
      <c r="B401" s="15" t="s">
        <v>413</v>
      </c>
      <c r="C401" s="15">
        <v>2</v>
      </c>
      <c r="D401" s="36">
        <f>VLOOKUP($B401,Menu!$A$1:$F$20,MATCH($D$1,Menu!$A$1:$F$1,0),0)</f>
        <v>54.2</v>
      </c>
      <c r="E401" s="15" t="str">
        <f>VLOOKUP($B401,Menu!$A$1:$F$20,MATCH(OrderLines!E$1,Menu!$A$1:$F$1,0),0)</f>
        <v>Dessert</v>
      </c>
      <c r="F401" s="36">
        <f>VLOOKUP($B401,Menu!$A$1:$F$20,MATCH(OrderLines!F$1,Menu!$A$1:$F$1,0),0)</f>
        <v>21.95</v>
      </c>
      <c r="G401" s="27">
        <f>VLOOKUP($A401,Orders!$A$1:$H$361,MATCH($G$1,Orders!$A$1:$H$1,0),0)</f>
        <v>45889</v>
      </c>
      <c r="H401" s="15" t="str">
        <f>VLOOKUP($A401,Orders!$A$1:$H$361,MATCH(OrderLines!$H$1,Orders!$A$1:$H$1,0),0)</f>
        <v>Plant 1 Canteen</v>
      </c>
      <c r="I401" s="15">
        <f>VLOOKUP($A401,Orders!$A$1:$H$361,MATCH(OrderLines!$I$1,Orders!$A$1:$H$1,0),0)</f>
        <v>0.01</v>
      </c>
      <c r="J401" s="15">
        <f t="shared" si="19"/>
        <v>107.316</v>
      </c>
      <c r="K401" s="27" t="str">
        <f t="shared" si="20"/>
        <v>August</v>
      </c>
      <c r="L401" s="15" t="str">
        <f>VLOOKUP(OrderLines!$A401,Orders!$A$1:$H$361,MATCH(OrderLines!$L$1,Orders!$A$1:$H$1,0),0)</f>
        <v>Breakfast</v>
      </c>
      <c r="M401" t="str">
        <f>VLOOKUP($A401,Orders!$A$1:$H$361,MATCH(OrderLines!$M$1,Orders!$A$1:$H$1,0),0)</f>
        <v>UPI</v>
      </c>
      <c r="N401" t="str">
        <f t="shared" si="18"/>
        <v>Single</v>
      </c>
      <c r="O401" t="str" cm="1">
        <f t="array" ref="O401">IF((SUMPRODUCT((OrderID=OrderLines!$A401)*Qty*UnitPrice*DiscountPct))&gt;40,"HighDisc","OK")</f>
        <v>OK</v>
      </c>
      <c r="P401">
        <f>(orderlinesTABLE[[#This Row],[UnitCost]]*orderlinesTABLE[[#This Row],[Qty]])</f>
        <v>43.9</v>
      </c>
      <c r="Q401">
        <f>(orderlinesTABLE[[#This Row],[LineNetAmount]]-orderlinesTABLE[[#This Row],[totalCOST]])</f>
        <v>63.416000000000004</v>
      </c>
      <c r="R401" t="str">
        <f>VLOOKUP($B401,Menu!$A$1:$F$20,MATCH(OrderLines!R$1,Menu!$A$1:$F$1,0),0)</f>
        <v>Kheer Cup</v>
      </c>
      <c r="S401" t="str" cm="1">
        <f t="array" ref="S401">_xlfn.TEXTJOIN("+",TRUE,_xlfn._xlws.FILTER(orderlinesTABLE[ItemName],OrderID=orderlinesTABLE[[#This Row],[OrderID]]))</f>
        <v>Nimbu Pani+Kheer Cup+Fruit Cup+Paneer Roll</v>
      </c>
      <c r="T401" s="54">
        <f>orderlinesTABLE[[#This Row],[Profit]]/orderlinesTABLE[[#This Row],[LineNetAmount]]</f>
        <v>0.59092772745909283</v>
      </c>
      <c r="U401" s="70">
        <f>(orderlinesTABLE[[#This Row],[Qty]]*orderlinesTABLE[[#This Row],[UnitCost]])</f>
        <v>43.9</v>
      </c>
    </row>
    <row r="402" spans="1:21" x14ac:dyDescent="0.3">
      <c r="A402" s="14" t="s">
        <v>195</v>
      </c>
      <c r="B402" s="14" t="s">
        <v>412</v>
      </c>
      <c r="C402" s="14">
        <v>3</v>
      </c>
      <c r="D402" s="37">
        <f>VLOOKUP($B402,Menu!$A$1:$F$20,MATCH($D$1,Menu!$A$1:$F$1,0),0)</f>
        <v>57.07</v>
      </c>
      <c r="E402" s="14" t="str">
        <f>VLOOKUP($B402,Menu!$A$1:$F$20,MATCH(OrderLines!E$1,Menu!$A$1:$F$1,0),0)</f>
        <v>Dessert</v>
      </c>
      <c r="F402" s="37">
        <f>VLOOKUP($B402,Menu!$A$1:$F$20,MATCH(OrderLines!F$1,Menu!$A$1:$F$1,0),0)</f>
        <v>29.14</v>
      </c>
      <c r="G402" s="28">
        <f>VLOOKUP($A402,Orders!$A$1:$H$361,MATCH($G$1,Orders!$A$1:$H$1,0),0)</f>
        <v>45889</v>
      </c>
      <c r="H402" s="14" t="str">
        <f>VLOOKUP($A402,Orders!$A$1:$H$361,MATCH(OrderLines!$H$1,Orders!$A$1:$H$1,0),0)</f>
        <v>Plant 1 Canteen</v>
      </c>
      <c r="I402" s="14">
        <f>VLOOKUP($A402,Orders!$A$1:$H$361,MATCH(OrderLines!$I$1,Orders!$A$1:$H$1,0),0)</f>
        <v>0.01</v>
      </c>
      <c r="J402" s="14">
        <f t="shared" si="19"/>
        <v>169.49790000000002</v>
      </c>
      <c r="K402" s="28" t="str">
        <f t="shared" si="20"/>
        <v>August</v>
      </c>
      <c r="L402" s="14" t="str">
        <f>VLOOKUP(OrderLines!$A402,Orders!$A$1:$H$361,MATCH(OrderLines!$L$1,Orders!$A$1:$H$1,0),0)</f>
        <v>Breakfast</v>
      </c>
      <c r="M402" t="str">
        <f>VLOOKUP($A402,Orders!$A$1:$H$361,MATCH(OrderLines!$M$1,Orders!$A$1:$H$1,0),0)</f>
        <v>UPI</v>
      </c>
      <c r="N402" t="str">
        <f t="shared" si="18"/>
        <v>Single</v>
      </c>
      <c r="O402" t="str" cm="1">
        <f t="array" ref="O402">IF((SUMPRODUCT((OrderID=OrderLines!$A402)*Qty*UnitPrice*DiscountPct))&gt;40,"HighDisc","OK")</f>
        <v>OK</v>
      </c>
      <c r="P402">
        <f>(orderlinesTABLE[[#This Row],[UnitCost]]*orderlinesTABLE[[#This Row],[Qty]])</f>
        <v>87.42</v>
      </c>
      <c r="Q402">
        <f>(orderlinesTABLE[[#This Row],[LineNetAmount]]-orderlinesTABLE[[#This Row],[totalCOST]])</f>
        <v>82.077900000000014</v>
      </c>
      <c r="R402" t="str">
        <f>VLOOKUP($B402,Menu!$A$1:$F$20,MATCH(OrderLines!R$1,Menu!$A$1:$F$1,0),0)</f>
        <v>Fruit Cup</v>
      </c>
      <c r="S402" t="str" cm="1">
        <f t="array" ref="S402">_xlfn.TEXTJOIN("+",TRUE,_xlfn._xlws.FILTER(orderlinesTABLE[ItemName],OrderID=orderlinesTABLE[[#This Row],[OrderID]]))</f>
        <v>Nimbu Pani+Kheer Cup+Fruit Cup+Paneer Roll</v>
      </c>
      <c r="T402" s="54">
        <f>orderlinesTABLE[[#This Row],[Profit]]/orderlinesTABLE[[#This Row],[LineNetAmount]]</f>
        <v>0.48424139768103325</v>
      </c>
      <c r="U402" s="70">
        <f>(orderlinesTABLE[[#This Row],[Qty]]*orderlinesTABLE[[#This Row],[UnitCost]])</f>
        <v>87.42</v>
      </c>
    </row>
    <row r="403" spans="1:21" x14ac:dyDescent="0.3">
      <c r="A403" s="15" t="s">
        <v>195</v>
      </c>
      <c r="B403" s="15" t="s">
        <v>406</v>
      </c>
      <c r="C403" s="15">
        <v>1</v>
      </c>
      <c r="D403" s="36">
        <f>VLOOKUP($B403,Menu!$A$1:$F$20,MATCH($D$1,Menu!$A$1:$F$1,0),0)</f>
        <v>38.06</v>
      </c>
      <c r="E403" s="15" t="str">
        <f>VLOOKUP($B403,Menu!$A$1:$F$20,MATCH(OrderLines!E$1,Menu!$A$1:$F$1,0),0)</f>
        <v>Snack</v>
      </c>
      <c r="F403" s="36">
        <f>VLOOKUP($B403,Menu!$A$1:$F$20,MATCH(OrderLines!F$1,Menu!$A$1:$F$1,0),0)</f>
        <v>19.55</v>
      </c>
      <c r="G403" s="27">
        <f>VLOOKUP($A403,Orders!$A$1:$H$361,MATCH($G$1,Orders!$A$1:$H$1,0),0)</f>
        <v>45889</v>
      </c>
      <c r="H403" s="15" t="str">
        <f>VLOOKUP($A403,Orders!$A$1:$H$361,MATCH(OrderLines!$H$1,Orders!$A$1:$H$1,0),0)</f>
        <v>Plant 1 Canteen</v>
      </c>
      <c r="I403" s="15">
        <f>VLOOKUP($A403,Orders!$A$1:$H$361,MATCH(OrderLines!$I$1,Orders!$A$1:$H$1,0),0)</f>
        <v>0.01</v>
      </c>
      <c r="J403" s="15">
        <f t="shared" si="19"/>
        <v>37.679400000000001</v>
      </c>
      <c r="K403" s="27" t="str">
        <f t="shared" si="20"/>
        <v>August</v>
      </c>
      <c r="L403" s="15" t="str">
        <f>VLOOKUP(OrderLines!$A403,Orders!$A$1:$H$361,MATCH(OrderLines!$L$1,Orders!$A$1:$H$1,0),0)</f>
        <v>Breakfast</v>
      </c>
      <c r="M403" t="str">
        <f>VLOOKUP($A403,Orders!$A$1:$H$361,MATCH(OrderLines!$M$1,Orders!$A$1:$H$1,0),0)</f>
        <v>UPI</v>
      </c>
      <c r="N403" t="str">
        <f t="shared" si="18"/>
        <v>Single</v>
      </c>
      <c r="O403" t="str" cm="1">
        <f t="array" ref="O403">IF((SUMPRODUCT((OrderID=OrderLines!$A403)*Qty*UnitPrice*DiscountPct))&gt;40,"HighDisc","OK")</f>
        <v>OK</v>
      </c>
      <c r="P403">
        <f>(orderlinesTABLE[[#This Row],[UnitCost]]*orderlinesTABLE[[#This Row],[Qty]])</f>
        <v>19.55</v>
      </c>
      <c r="Q403">
        <f>(orderlinesTABLE[[#This Row],[LineNetAmount]]-orderlinesTABLE[[#This Row],[totalCOST]])</f>
        <v>18.1294</v>
      </c>
      <c r="R403" t="str">
        <f>VLOOKUP($B403,Menu!$A$1:$F$20,MATCH(OrderLines!R$1,Menu!$A$1:$F$1,0),0)</f>
        <v>Paneer Roll</v>
      </c>
      <c r="S403" t="str" cm="1">
        <f t="array" ref="S403">_xlfn.TEXTJOIN("+",TRUE,_xlfn._xlws.FILTER(orderlinesTABLE[ItemName],OrderID=orderlinesTABLE[[#This Row],[OrderID]]))</f>
        <v>Nimbu Pani+Kheer Cup+Fruit Cup+Paneer Roll</v>
      </c>
      <c r="T403" s="54">
        <f>orderlinesTABLE[[#This Row],[Profit]]/orderlinesTABLE[[#This Row],[LineNetAmount]]</f>
        <v>0.481148850565561</v>
      </c>
      <c r="U403" s="70">
        <f>(orderlinesTABLE[[#This Row],[Qty]]*orderlinesTABLE[[#This Row],[UnitCost]])</f>
        <v>19.55</v>
      </c>
    </row>
    <row r="404" spans="1:21" x14ac:dyDescent="0.3">
      <c r="A404" s="14" t="s">
        <v>196</v>
      </c>
      <c r="B404" s="14" t="s">
        <v>407</v>
      </c>
      <c r="C404" s="14">
        <v>1</v>
      </c>
      <c r="D404" s="37">
        <f>VLOOKUP($B404,Menu!$A$1:$F$20,MATCH($D$1,Menu!$A$1:$F$1,0),0)</f>
        <v>246.09</v>
      </c>
      <c r="E404" s="14" t="str">
        <f>VLOOKUP($B404,Menu!$A$1:$F$20,MATCH(OrderLines!E$1,Menu!$A$1:$F$1,0),0)</f>
        <v>Hot Meal</v>
      </c>
      <c r="F404" s="37">
        <f>VLOOKUP($B404,Menu!$A$1:$F$20,MATCH(OrderLines!F$1,Menu!$A$1:$F$1,0),0)</f>
        <v>112.08</v>
      </c>
      <c r="G404" s="28">
        <f>VLOOKUP($A404,Orders!$A$1:$H$361,MATCH($G$1,Orders!$A$1:$H$1,0),0)</f>
        <v>45879</v>
      </c>
      <c r="H404" s="14" t="str">
        <f>VLOOKUP($A404,Orders!$A$1:$H$361,MATCH(OrderLines!$H$1,Orders!$A$1:$H$1,0),0)</f>
        <v>Plant 1 Canteen</v>
      </c>
      <c r="I404" s="14">
        <f>VLOOKUP($A404,Orders!$A$1:$H$361,MATCH(OrderLines!$I$1,Orders!$A$1:$H$1,0),0)</f>
        <v>7.0000000000000007E-2</v>
      </c>
      <c r="J404" s="14">
        <f t="shared" si="19"/>
        <v>228.86369999999999</v>
      </c>
      <c r="K404" s="28" t="str">
        <f t="shared" si="20"/>
        <v>August</v>
      </c>
      <c r="L404" s="14" t="str">
        <f>VLOOKUP(OrderLines!$A404,Orders!$A$1:$H$361,MATCH(OrderLines!$L$1,Orders!$A$1:$H$1,0),0)</f>
        <v>Breakfast</v>
      </c>
      <c r="M404" t="str">
        <f>VLOOKUP($A404,Orders!$A$1:$H$361,MATCH(OrderLines!$M$1,Orders!$A$1:$H$1,0),0)</f>
        <v>UPI</v>
      </c>
      <c r="N404" t="str">
        <f t="shared" si="18"/>
        <v>Single</v>
      </c>
      <c r="O404" t="str" cm="1">
        <f t="array" ref="O404">IF((SUMPRODUCT((OrderID=OrderLines!$A404)*Qty*UnitPrice*DiscountPct))&gt;40,"HighDisc","OK")</f>
        <v>OK</v>
      </c>
      <c r="P404">
        <f>(orderlinesTABLE[[#This Row],[UnitCost]]*orderlinesTABLE[[#This Row],[Qty]])</f>
        <v>112.08</v>
      </c>
      <c r="Q404">
        <f>(orderlinesTABLE[[#This Row],[LineNetAmount]]-orderlinesTABLE[[#This Row],[totalCOST]])</f>
        <v>116.7837</v>
      </c>
      <c r="R404" t="str">
        <f>VLOOKUP($B404,Menu!$A$1:$F$20,MATCH(OrderLines!R$1,Menu!$A$1:$F$1,0),0)</f>
        <v>Egg Curry + Rice</v>
      </c>
      <c r="S404" t="str" cm="1">
        <f t="array" ref="S404">_xlfn.TEXTJOIN("+",TRUE,_xlfn._xlws.FILTER(orderlinesTABLE[ItemName],OrderID=orderlinesTABLE[[#This Row],[OrderID]]))</f>
        <v>Egg Curry + Rice</v>
      </c>
      <c r="T404" s="54">
        <f>orderlinesTABLE[[#This Row],[Profit]]/orderlinesTABLE[[#This Row],[LineNetAmount]]</f>
        <v>0.5102762036967855</v>
      </c>
      <c r="U404" s="70">
        <f>(orderlinesTABLE[[#This Row],[Qty]]*orderlinesTABLE[[#This Row],[UnitCost]])</f>
        <v>112.08</v>
      </c>
    </row>
    <row r="405" spans="1:21" x14ac:dyDescent="0.3">
      <c r="A405" s="15" t="s">
        <v>197</v>
      </c>
      <c r="B405" s="15" t="s">
        <v>405</v>
      </c>
      <c r="C405" s="15">
        <v>2</v>
      </c>
      <c r="D405" s="36">
        <f>VLOOKUP($B405,Menu!$A$1:$F$20,MATCH($D$1,Menu!$A$1:$F$1,0),0)</f>
        <v>170.83</v>
      </c>
      <c r="E405" s="15" t="str">
        <f>VLOOKUP($B405,Menu!$A$1:$F$20,MATCH(OrderLines!E$1,Menu!$A$1:$F$1,0),0)</f>
        <v>Hot Meal</v>
      </c>
      <c r="F405" s="36">
        <f>VLOOKUP($B405,Menu!$A$1:$F$20,MATCH(OrderLines!F$1,Menu!$A$1:$F$1,0),0)</f>
        <v>74.069999999999993</v>
      </c>
      <c r="G405" s="27">
        <f>VLOOKUP($A405,Orders!$A$1:$H$361,MATCH($G$1,Orders!$A$1:$H$1,0),0)</f>
        <v>45887</v>
      </c>
      <c r="H405" s="15" t="str">
        <f>VLOOKUP($A405,Orders!$A$1:$H$361,MATCH(OrderLines!$H$1,Orders!$A$1:$H$1,0),0)</f>
        <v>Head Office Café</v>
      </c>
      <c r="I405" s="15">
        <f>VLOOKUP($A405,Orders!$A$1:$H$361,MATCH(OrderLines!$I$1,Orders!$A$1:$H$1,0),0)</f>
        <v>0.08</v>
      </c>
      <c r="J405" s="15">
        <f t="shared" si="19"/>
        <v>314.32720000000006</v>
      </c>
      <c r="K405" s="27" t="str">
        <f t="shared" si="20"/>
        <v>August</v>
      </c>
      <c r="L405" s="15" t="str">
        <f>VLOOKUP(OrderLines!$A405,Orders!$A$1:$H$361,MATCH(OrderLines!$L$1,Orders!$A$1:$H$1,0),0)</f>
        <v>Lunch</v>
      </c>
      <c r="M405" t="str">
        <f>VLOOKUP($A405,Orders!$A$1:$H$361,MATCH(OrderLines!$M$1,Orders!$A$1:$H$1,0),0)</f>
        <v>Cash</v>
      </c>
      <c r="N405" t="str">
        <f t="shared" si="18"/>
        <v>Single</v>
      </c>
      <c r="O405" t="str" cm="1">
        <f t="array" ref="O405">IF((SUMPRODUCT((OrderID=OrderLines!$A405)*Qty*UnitPrice*DiscountPct))&gt;40,"HighDisc","OK")</f>
        <v>OK</v>
      </c>
      <c r="P405">
        <f>(orderlinesTABLE[[#This Row],[UnitCost]]*orderlinesTABLE[[#This Row],[Qty]])</f>
        <v>148.13999999999999</v>
      </c>
      <c r="Q405">
        <f>(orderlinesTABLE[[#This Row],[LineNetAmount]]-orderlinesTABLE[[#This Row],[totalCOST]])</f>
        <v>166.18720000000008</v>
      </c>
      <c r="R405" t="str">
        <f>VLOOKUP($B405,Menu!$A$1:$F$20,MATCH(OrderLines!R$1,Menu!$A$1:$F$1,0),0)</f>
        <v>Paneer Butter Masala + Naan</v>
      </c>
      <c r="S405" t="str" cm="1">
        <f t="array" ref="S405">_xlfn.TEXTJOIN("+",TRUE,_xlfn._xlws.FILTER(orderlinesTABLE[ItemName],OrderID=orderlinesTABLE[[#This Row],[OrderID]]))</f>
        <v>Paneer Butter Masala + Naan</v>
      </c>
      <c r="T405" s="54">
        <f>orderlinesTABLE[[#This Row],[Profit]]/orderlinesTABLE[[#This Row],[LineNetAmount]]</f>
        <v>0.52870766513365708</v>
      </c>
      <c r="U405" s="70">
        <f>(orderlinesTABLE[[#This Row],[Qty]]*orderlinesTABLE[[#This Row],[UnitCost]])</f>
        <v>148.13999999999999</v>
      </c>
    </row>
    <row r="406" spans="1:21" x14ac:dyDescent="0.3">
      <c r="A406" s="14" t="s">
        <v>198</v>
      </c>
      <c r="B406" s="14" t="s">
        <v>412</v>
      </c>
      <c r="C406" s="14">
        <v>1</v>
      </c>
      <c r="D406" s="37">
        <f>VLOOKUP($B406,Menu!$A$1:$F$20,MATCH($D$1,Menu!$A$1:$F$1,0),0)</f>
        <v>57.07</v>
      </c>
      <c r="E406" s="14" t="str">
        <f>VLOOKUP($B406,Menu!$A$1:$F$20,MATCH(OrderLines!E$1,Menu!$A$1:$F$1,0),0)</f>
        <v>Dessert</v>
      </c>
      <c r="F406" s="37">
        <f>VLOOKUP($B406,Menu!$A$1:$F$20,MATCH(OrderLines!F$1,Menu!$A$1:$F$1,0),0)</f>
        <v>29.14</v>
      </c>
      <c r="G406" s="28">
        <f>VLOOKUP($A406,Orders!$A$1:$H$361,MATCH($G$1,Orders!$A$1:$H$1,0),0)</f>
        <v>45865</v>
      </c>
      <c r="H406" s="14" t="str">
        <f>VLOOKUP($A406,Orders!$A$1:$H$361,MATCH(OrderLines!$H$1,Orders!$A$1:$H$1,0),0)</f>
        <v>Head Office Café</v>
      </c>
      <c r="I406" s="14">
        <f>VLOOKUP($A406,Orders!$A$1:$H$361,MATCH(OrderLines!$I$1,Orders!$A$1:$H$1,0),0)</f>
        <v>0.1</v>
      </c>
      <c r="J406" s="14">
        <f t="shared" si="19"/>
        <v>51.363</v>
      </c>
      <c r="K406" s="28" t="str">
        <f t="shared" si="20"/>
        <v>July</v>
      </c>
      <c r="L406" s="14" t="str">
        <f>VLOOKUP(OrderLines!$A406,Orders!$A$1:$H$361,MATCH(OrderLines!$L$1,Orders!$A$1:$H$1,0),0)</f>
        <v>Breakfast</v>
      </c>
      <c r="M406" t="str">
        <f>VLOOKUP($A406,Orders!$A$1:$H$361,MATCH(OrderLines!$M$1,Orders!$A$1:$H$1,0),0)</f>
        <v>Card</v>
      </c>
      <c r="N406" t="str">
        <f t="shared" si="18"/>
        <v>Combo</v>
      </c>
      <c r="O406" t="str" cm="1">
        <f t="array" ref="O406">IF((SUMPRODUCT((OrderID=OrderLines!$A406)*Qty*UnitPrice*DiscountPct))&gt;40,"HighDisc","OK")</f>
        <v>HighDisc</v>
      </c>
      <c r="P406">
        <f>(orderlinesTABLE[[#This Row],[UnitCost]]*orderlinesTABLE[[#This Row],[Qty]])</f>
        <v>29.14</v>
      </c>
      <c r="Q406">
        <f>(orderlinesTABLE[[#This Row],[LineNetAmount]]-orderlinesTABLE[[#This Row],[totalCOST]])</f>
        <v>22.222999999999999</v>
      </c>
      <c r="R406" t="str">
        <f>VLOOKUP($B406,Menu!$A$1:$F$20,MATCH(OrderLines!R$1,Menu!$A$1:$F$1,0),0)</f>
        <v>Fruit Cup</v>
      </c>
      <c r="S406" t="str" cm="1">
        <f t="array" ref="S406">_xlfn.TEXTJOIN("+",TRUE,_xlfn._xlws.FILTER(orderlinesTABLE[ItemName],OrderID=orderlinesTABLE[[#This Row],[OrderID]]))</f>
        <v>Fruit Cup+Chicken Thali+Bottled Water+Kheer Cup</v>
      </c>
      <c r="T406" s="54">
        <f>orderlinesTABLE[[#This Row],[Profit]]/orderlinesTABLE[[#This Row],[LineNetAmount]]</f>
        <v>0.43266553744913649</v>
      </c>
      <c r="U406" s="70">
        <f>(orderlinesTABLE[[#This Row],[Qty]]*orderlinesTABLE[[#This Row],[UnitCost]])</f>
        <v>29.14</v>
      </c>
    </row>
    <row r="407" spans="1:21" x14ac:dyDescent="0.3">
      <c r="A407" s="15" t="s">
        <v>198</v>
      </c>
      <c r="B407" s="15" t="s">
        <v>415</v>
      </c>
      <c r="C407" s="15">
        <v>2</v>
      </c>
      <c r="D407" s="36">
        <f>VLOOKUP($B407,Menu!$A$1:$F$20,MATCH($D$1,Menu!$A$1:$F$1,0),0)</f>
        <v>256.91000000000003</v>
      </c>
      <c r="E407" s="15" t="str">
        <f>VLOOKUP($B407,Menu!$A$1:$F$20,MATCH(OrderLines!E$1,Menu!$A$1:$F$1,0),0)</f>
        <v>Hot Meal</v>
      </c>
      <c r="F407" s="36">
        <f>VLOOKUP($B407,Menu!$A$1:$F$20,MATCH(OrderLines!F$1,Menu!$A$1:$F$1,0),0)</f>
        <v>121.24</v>
      </c>
      <c r="G407" s="27">
        <f>VLOOKUP($A407,Orders!$A$1:$H$361,MATCH($G$1,Orders!$A$1:$H$1,0),0)</f>
        <v>45865</v>
      </c>
      <c r="H407" s="15" t="str">
        <f>VLOOKUP($A407,Orders!$A$1:$H$361,MATCH(OrderLines!$H$1,Orders!$A$1:$H$1,0),0)</f>
        <v>Head Office Café</v>
      </c>
      <c r="I407" s="15">
        <f>VLOOKUP($A407,Orders!$A$1:$H$361,MATCH(OrderLines!$I$1,Orders!$A$1:$H$1,0),0)</f>
        <v>0.1</v>
      </c>
      <c r="J407" s="15">
        <f t="shared" si="19"/>
        <v>462.43800000000005</v>
      </c>
      <c r="K407" s="27" t="str">
        <f t="shared" si="20"/>
        <v>July</v>
      </c>
      <c r="L407" s="15" t="str">
        <f>VLOOKUP(OrderLines!$A407,Orders!$A$1:$H$361,MATCH(OrderLines!$L$1,Orders!$A$1:$H$1,0),0)</f>
        <v>Breakfast</v>
      </c>
      <c r="M407" t="str">
        <f>VLOOKUP($A407,Orders!$A$1:$H$361,MATCH(OrderLines!$M$1,Orders!$A$1:$H$1,0),0)</f>
        <v>Card</v>
      </c>
      <c r="N407" t="str">
        <f t="shared" si="18"/>
        <v>Combo</v>
      </c>
      <c r="O407" t="str" cm="1">
        <f t="array" ref="O407">IF((SUMPRODUCT((OrderID=OrderLines!$A407)*Qty*UnitPrice*DiscountPct))&gt;40,"HighDisc","OK")</f>
        <v>HighDisc</v>
      </c>
      <c r="P407">
        <f>(orderlinesTABLE[[#This Row],[UnitCost]]*orderlinesTABLE[[#This Row],[Qty]])</f>
        <v>242.48</v>
      </c>
      <c r="Q407">
        <f>(orderlinesTABLE[[#This Row],[LineNetAmount]]-orderlinesTABLE[[#This Row],[totalCOST]])</f>
        <v>219.95800000000006</v>
      </c>
      <c r="R407" t="str">
        <f>VLOOKUP($B407,Menu!$A$1:$F$20,MATCH(OrderLines!R$1,Menu!$A$1:$F$1,0),0)</f>
        <v>Chicken Thali</v>
      </c>
      <c r="S407" t="str" cm="1">
        <f t="array" ref="S407">_xlfn.TEXTJOIN("+",TRUE,_xlfn._xlws.FILTER(orderlinesTABLE[ItemName],OrderID=orderlinesTABLE[[#This Row],[OrderID]]))</f>
        <v>Fruit Cup+Chicken Thali+Bottled Water+Kheer Cup</v>
      </c>
      <c r="T407" s="54">
        <f>orderlinesTABLE[[#This Row],[Profit]]/orderlinesTABLE[[#This Row],[LineNetAmount]]</f>
        <v>0.47564862749168546</v>
      </c>
      <c r="U407" s="70">
        <f>(orderlinesTABLE[[#This Row],[Qty]]*orderlinesTABLE[[#This Row],[UnitCost]])</f>
        <v>242.48</v>
      </c>
    </row>
    <row r="408" spans="1:21" x14ac:dyDescent="0.3">
      <c r="A408" s="14" t="s">
        <v>198</v>
      </c>
      <c r="B408" s="14" t="s">
        <v>409</v>
      </c>
      <c r="C408" s="14">
        <v>1</v>
      </c>
      <c r="D408" s="37">
        <f>VLOOKUP($B408,Menu!$A$1:$F$20,MATCH($D$1,Menu!$A$1:$F$1,0),0)</f>
        <v>28.43</v>
      </c>
      <c r="E408" s="14" t="str">
        <f>VLOOKUP($B408,Menu!$A$1:$F$20,MATCH(OrderLines!E$1,Menu!$A$1:$F$1,0),0)</f>
        <v>Beverage</v>
      </c>
      <c r="F408" s="37">
        <f>VLOOKUP($B408,Menu!$A$1:$F$20,MATCH(OrderLines!F$1,Menu!$A$1:$F$1,0),0)</f>
        <v>13.89</v>
      </c>
      <c r="G408" s="28">
        <f>VLOOKUP($A408,Orders!$A$1:$H$361,MATCH($G$1,Orders!$A$1:$H$1,0),0)</f>
        <v>45865</v>
      </c>
      <c r="H408" s="14" t="str">
        <f>VLOOKUP($A408,Orders!$A$1:$H$361,MATCH(OrderLines!$H$1,Orders!$A$1:$H$1,0),0)</f>
        <v>Head Office Café</v>
      </c>
      <c r="I408" s="14">
        <f>VLOOKUP($A408,Orders!$A$1:$H$361,MATCH(OrderLines!$I$1,Orders!$A$1:$H$1,0),0)</f>
        <v>0.1</v>
      </c>
      <c r="J408" s="14">
        <f t="shared" si="19"/>
        <v>25.587</v>
      </c>
      <c r="K408" s="28" t="str">
        <f t="shared" si="20"/>
        <v>July</v>
      </c>
      <c r="L408" s="14" t="str">
        <f>VLOOKUP(OrderLines!$A408,Orders!$A$1:$H$361,MATCH(OrderLines!$L$1,Orders!$A$1:$H$1,0),0)</f>
        <v>Breakfast</v>
      </c>
      <c r="M408" t="str">
        <f>VLOOKUP($A408,Orders!$A$1:$H$361,MATCH(OrderLines!$M$1,Orders!$A$1:$H$1,0),0)</f>
        <v>Card</v>
      </c>
      <c r="N408" t="str">
        <f t="shared" si="18"/>
        <v>Combo</v>
      </c>
      <c r="O408" t="str" cm="1">
        <f t="array" ref="O408">IF((SUMPRODUCT((OrderID=OrderLines!$A408)*Qty*UnitPrice*DiscountPct))&gt;40,"HighDisc","OK")</f>
        <v>HighDisc</v>
      </c>
      <c r="P408">
        <f>(orderlinesTABLE[[#This Row],[UnitCost]]*orderlinesTABLE[[#This Row],[Qty]])</f>
        <v>13.89</v>
      </c>
      <c r="Q408">
        <f>(orderlinesTABLE[[#This Row],[LineNetAmount]]-orderlinesTABLE[[#This Row],[totalCOST]])</f>
        <v>11.696999999999999</v>
      </c>
      <c r="R408" t="str">
        <f>VLOOKUP($B408,Menu!$A$1:$F$20,MATCH(OrderLines!R$1,Menu!$A$1:$F$1,0),0)</f>
        <v>Bottled Water</v>
      </c>
      <c r="S408" t="str" cm="1">
        <f t="array" ref="S408">_xlfn.TEXTJOIN("+",TRUE,_xlfn._xlws.FILTER(orderlinesTABLE[ItemName],OrderID=orderlinesTABLE[[#This Row],[OrderID]]))</f>
        <v>Fruit Cup+Chicken Thali+Bottled Water+Kheer Cup</v>
      </c>
      <c r="T408" s="54">
        <f>orderlinesTABLE[[#This Row],[Profit]]/orderlinesTABLE[[#This Row],[LineNetAmount]]</f>
        <v>0.45714620705827175</v>
      </c>
      <c r="U408" s="70">
        <f>(orderlinesTABLE[[#This Row],[Qty]]*orderlinesTABLE[[#This Row],[UnitCost]])</f>
        <v>13.89</v>
      </c>
    </row>
    <row r="409" spans="1:21" x14ac:dyDescent="0.3">
      <c r="A409" s="15" t="s">
        <v>198</v>
      </c>
      <c r="B409" s="15" t="s">
        <v>413</v>
      </c>
      <c r="C409" s="15">
        <v>2</v>
      </c>
      <c r="D409" s="36">
        <f>VLOOKUP($B409,Menu!$A$1:$F$20,MATCH($D$1,Menu!$A$1:$F$1,0),0)</f>
        <v>54.2</v>
      </c>
      <c r="E409" s="15" t="str">
        <f>VLOOKUP($B409,Menu!$A$1:$F$20,MATCH(OrderLines!E$1,Menu!$A$1:$F$1,0),0)</f>
        <v>Dessert</v>
      </c>
      <c r="F409" s="36">
        <f>VLOOKUP($B409,Menu!$A$1:$F$20,MATCH(OrderLines!F$1,Menu!$A$1:$F$1,0),0)</f>
        <v>21.95</v>
      </c>
      <c r="G409" s="27">
        <f>VLOOKUP($A409,Orders!$A$1:$H$361,MATCH($G$1,Orders!$A$1:$H$1,0),0)</f>
        <v>45865</v>
      </c>
      <c r="H409" s="15" t="str">
        <f>VLOOKUP($A409,Orders!$A$1:$H$361,MATCH(OrderLines!$H$1,Orders!$A$1:$H$1,0),0)</f>
        <v>Head Office Café</v>
      </c>
      <c r="I409" s="15">
        <f>VLOOKUP($A409,Orders!$A$1:$H$361,MATCH(OrderLines!$I$1,Orders!$A$1:$H$1,0),0)</f>
        <v>0.1</v>
      </c>
      <c r="J409" s="15">
        <f t="shared" si="19"/>
        <v>97.56</v>
      </c>
      <c r="K409" s="27" t="str">
        <f t="shared" si="20"/>
        <v>July</v>
      </c>
      <c r="L409" s="15" t="str">
        <f>VLOOKUP(OrderLines!$A409,Orders!$A$1:$H$361,MATCH(OrderLines!$L$1,Orders!$A$1:$H$1,0),0)</f>
        <v>Breakfast</v>
      </c>
      <c r="M409" t="str">
        <f>VLOOKUP($A409,Orders!$A$1:$H$361,MATCH(OrderLines!$M$1,Orders!$A$1:$H$1,0),0)</f>
        <v>Card</v>
      </c>
      <c r="N409" t="str">
        <f t="shared" si="18"/>
        <v>Combo</v>
      </c>
      <c r="O409" t="str" cm="1">
        <f t="array" ref="O409">IF((SUMPRODUCT((OrderID=OrderLines!$A409)*Qty*UnitPrice*DiscountPct))&gt;40,"HighDisc","OK")</f>
        <v>HighDisc</v>
      </c>
      <c r="P409">
        <f>(orderlinesTABLE[[#This Row],[UnitCost]]*orderlinesTABLE[[#This Row],[Qty]])</f>
        <v>43.9</v>
      </c>
      <c r="Q409">
        <f>(orderlinesTABLE[[#This Row],[LineNetAmount]]-orderlinesTABLE[[#This Row],[totalCOST]])</f>
        <v>53.660000000000004</v>
      </c>
      <c r="R409" t="str">
        <f>VLOOKUP($B409,Menu!$A$1:$F$20,MATCH(OrderLines!R$1,Menu!$A$1:$F$1,0),0)</f>
        <v>Kheer Cup</v>
      </c>
      <c r="S409" t="str" cm="1">
        <f t="array" ref="S409">_xlfn.TEXTJOIN("+",TRUE,_xlfn._xlws.FILTER(orderlinesTABLE[ItemName],OrderID=orderlinesTABLE[[#This Row],[OrderID]]))</f>
        <v>Fruit Cup+Chicken Thali+Bottled Water+Kheer Cup</v>
      </c>
      <c r="T409" s="54">
        <f>orderlinesTABLE[[#This Row],[Profit]]/orderlinesTABLE[[#This Row],[LineNetAmount]]</f>
        <v>0.55002050020500204</v>
      </c>
      <c r="U409" s="70">
        <f>(orderlinesTABLE[[#This Row],[Qty]]*orderlinesTABLE[[#This Row],[UnitCost]])</f>
        <v>43.9</v>
      </c>
    </row>
    <row r="410" spans="1:21" x14ac:dyDescent="0.3">
      <c r="A410" s="14" t="s">
        <v>199</v>
      </c>
      <c r="B410" s="14" t="s">
        <v>418</v>
      </c>
      <c r="C410" s="14">
        <v>2</v>
      </c>
      <c r="D410" s="37">
        <f>VLOOKUP($B410,Menu!$A$1:$F$20,MATCH($D$1,Menu!$A$1:$F$1,0),0)</f>
        <v>39.950000000000003</v>
      </c>
      <c r="E410" s="14" t="str">
        <f>VLOOKUP($B410,Menu!$A$1:$F$20,MATCH(OrderLines!E$1,Menu!$A$1:$F$1,0),0)</f>
        <v>Snack</v>
      </c>
      <c r="F410" s="37">
        <f>VLOOKUP($B410,Menu!$A$1:$F$20,MATCH(OrderLines!F$1,Menu!$A$1:$F$1,0),0)</f>
        <v>15.51</v>
      </c>
      <c r="G410" s="28">
        <f>VLOOKUP($A410,Orders!$A$1:$H$361,MATCH($G$1,Orders!$A$1:$H$1,0),0)</f>
        <v>45886</v>
      </c>
      <c r="H410" s="14" t="str">
        <f>VLOOKUP($A410,Orders!$A$1:$H$361,MATCH(OrderLines!$H$1,Orders!$A$1:$H$1,0),0)</f>
        <v>Plant 1 Canteen</v>
      </c>
      <c r="I410" s="14">
        <f>VLOOKUP($A410,Orders!$A$1:$H$361,MATCH(OrderLines!$I$1,Orders!$A$1:$H$1,0),0)</f>
        <v>0.1</v>
      </c>
      <c r="J410" s="14">
        <f t="shared" si="19"/>
        <v>71.910000000000011</v>
      </c>
      <c r="K410" s="28" t="str">
        <f t="shared" si="20"/>
        <v>August</v>
      </c>
      <c r="L410" s="14" t="str">
        <f>VLOOKUP(OrderLines!$A410,Orders!$A$1:$H$361,MATCH(OrderLines!$L$1,Orders!$A$1:$H$1,0),0)</f>
        <v>Breakfast</v>
      </c>
      <c r="M410" t="str">
        <f>VLOOKUP($A410,Orders!$A$1:$H$361,MATCH(OrderLines!$M$1,Orders!$A$1:$H$1,0),0)</f>
        <v>UPI</v>
      </c>
      <c r="N410" t="str">
        <f t="shared" si="18"/>
        <v>Single</v>
      </c>
      <c r="O410" t="str" cm="1">
        <f t="array" ref="O410">IF((SUMPRODUCT((OrderID=OrderLines!$A410)*Qty*UnitPrice*DiscountPct))&gt;40,"HighDisc","OK")</f>
        <v>HighDisc</v>
      </c>
      <c r="P410">
        <f>(orderlinesTABLE[[#This Row],[UnitCost]]*orderlinesTABLE[[#This Row],[Qty]])</f>
        <v>31.02</v>
      </c>
      <c r="Q410">
        <f>(orderlinesTABLE[[#This Row],[LineNetAmount]]-orderlinesTABLE[[#This Row],[totalCOST]])</f>
        <v>40.890000000000015</v>
      </c>
      <c r="R410" t="str">
        <f>VLOOKUP($B410,Menu!$A$1:$F$20,MATCH(OrderLines!R$1,Menu!$A$1:$F$1,0),0)</f>
        <v>Samosa</v>
      </c>
      <c r="S410" t="str" cm="1">
        <f t="array" ref="S410">_xlfn.TEXTJOIN("+",TRUE,_xlfn._xlws.FILTER(orderlinesTABLE[ItemName],OrderID=orderlinesTABLE[[#This Row],[OrderID]]))</f>
        <v>Samosa+Fruit Cup+Rajma Chawal+Kheer Cup</v>
      </c>
      <c r="T410" s="54">
        <f>orderlinesTABLE[[#This Row],[Profit]]/orderlinesTABLE[[#This Row],[LineNetAmount]]</f>
        <v>0.56862745098039225</v>
      </c>
      <c r="U410" s="70">
        <f>(orderlinesTABLE[[#This Row],[Qty]]*orderlinesTABLE[[#This Row],[UnitCost]])</f>
        <v>31.02</v>
      </c>
    </row>
    <row r="411" spans="1:21" x14ac:dyDescent="0.3">
      <c r="A411" s="15" t="s">
        <v>199</v>
      </c>
      <c r="B411" s="15" t="s">
        <v>412</v>
      </c>
      <c r="C411" s="15">
        <v>3</v>
      </c>
      <c r="D411" s="36">
        <f>VLOOKUP($B411,Menu!$A$1:$F$20,MATCH($D$1,Menu!$A$1:$F$1,0),0)</f>
        <v>57.07</v>
      </c>
      <c r="E411" s="15" t="str">
        <f>VLOOKUP($B411,Menu!$A$1:$F$20,MATCH(OrderLines!E$1,Menu!$A$1:$F$1,0),0)</f>
        <v>Dessert</v>
      </c>
      <c r="F411" s="36">
        <f>VLOOKUP($B411,Menu!$A$1:$F$20,MATCH(OrderLines!F$1,Menu!$A$1:$F$1,0),0)</f>
        <v>29.14</v>
      </c>
      <c r="G411" s="27">
        <f>VLOOKUP($A411,Orders!$A$1:$H$361,MATCH($G$1,Orders!$A$1:$H$1,0),0)</f>
        <v>45886</v>
      </c>
      <c r="H411" s="15" t="str">
        <f>VLOOKUP($A411,Orders!$A$1:$H$361,MATCH(OrderLines!$H$1,Orders!$A$1:$H$1,0),0)</f>
        <v>Plant 1 Canteen</v>
      </c>
      <c r="I411" s="15">
        <f>VLOOKUP($A411,Orders!$A$1:$H$361,MATCH(OrderLines!$I$1,Orders!$A$1:$H$1,0),0)</f>
        <v>0.1</v>
      </c>
      <c r="J411" s="15">
        <f t="shared" si="19"/>
        <v>154.089</v>
      </c>
      <c r="K411" s="27" t="str">
        <f t="shared" si="20"/>
        <v>August</v>
      </c>
      <c r="L411" s="15" t="str">
        <f>VLOOKUP(OrderLines!$A411,Orders!$A$1:$H$361,MATCH(OrderLines!$L$1,Orders!$A$1:$H$1,0),0)</f>
        <v>Breakfast</v>
      </c>
      <c r="M411" t="str">
        <f>VLOOKUP($A411,Orders!$A$1:$H$361,MATCH(OrderLines!$M$1,Orders!$A$1:$H$1,0),0)</f>
        <v>UPI</v>
      </c>
      <c r="N411" t="str">
        <f t="shared" si="18"/>
        <v>Single</v>
      </c>
      <c r="O411" t="str" cm="1">
        <f t="array" ref="O411">IF((SUMPRODUCT((OrderID=OrderLines!$A411)*Qty*UnitPrice*DiscountPct))&gt;40,"HighDisc","OK")</f>
        <v>HighDisc</v>
      </c>
      <c r="P411">
        <f>(orderlinesTABLE[[#This Row],[UnitCost]]*orderlinesTABLE[[#This Row],[Qty]])</f>
        <v>87.42</v>
      </c>
      <c r="Q411">
        <f>(orderlinesTABLE[[#This Row],[LineNetAmount]]-orderlinesTABLE[[#This Row],[totalCOST]])</f>
        <v>66.668999999999997</v>
      </c>
      <c r="R411" t="str">
        <f>VLOOKUP($B411,Menu!$A$1:$F$20,MATCH(OrderLines!R$1,Menu!$A$1:$F$1,0),0)</f>
        <v>Fruit Cup</v>
      </c>
      <c r="S411" t="str" cm="1">
        <f t="array" ref="S411">_xlfn.TEXTJOIN("+",TRUE,_xlfn._xlws.FILTER(orderlinesTABLE[ItemName],OrderID=orderlinesTABLE[[#This Row],[OrderID]]))</f>
        <v>Samosa+Fruit Cup+Rajma Chawal+Kheer Cup</v>
      </c>
      <c r="T411" s="54">
        <f>orderlinesTABLE[[#This Row],[Profit]]/orderlinesTABLE[[#This Row],[LineNetAmount]]</f>
        <v>0.43266553744913649</v>
      </c>
      <c r="U411" s="70">
        <f>(orderlinesTABLE[[#This Row],[Qty]]*orderlinesTABLE[[#This Row],[UnitCost]])</f>
        <v>87.42</v>
      </c>
    </row>
    <row r="412" spans="1:21" x14ac:dyDescent="0.3">
      <c r="A412" s="14" t="s">
        <v>199</v>
      </c>
      <c r="B412" s="14" t="s">
        <v>417</v>
      </c>
      <c r="C412" s="14">
        <v>1</v>
      </c>
      <c r="D412" s="37">
        <f>VLOOKUP($B412,Menu!$A$1:$F$20,MATCH($D$1,Menu!$A$1:$F$1,0),0)</f>
        <v>146.4</v>
      </c>
      <c r="E412" s="14" t="str">
        <f>VLOOKUP($B412,Menu!$A$1:$F$20,MATCH(OrderLines!E$1,Menu!$A$1:$F$1,0),0)</f>
        <v>Hot Meal</v>
      </c>
      <c r="F412" s="37">
        <f>VLOOKUP($B412,Menu!$A$1:$F$20,MATCH(OrderLines!F$1,Menu!$A$1:$F$1,0),0)</f>
        <v>80.92</v>
      </c>
      <c r="G412" s="28">
        <f>VLOOKUP($A412,Orders!$A$1:$H$361,MATCH($G$1,Orders!$A$1:$H$1,0),0)</f>
        <v>45886</v>
      </c>
      <c r="H412" s="14" t="str">
        <f>VLOOKUP($A412,Orders!$A$1:$H$361,MATCH(OrderLines!$H$1,Orders!$A$1:$H$1,0),0)</f>
        <v>Plant 1 Canteen</v>
      </c>
      <c r="I412" s="14">
        <f>VLOOKUP($A412,Orders!$A$1:$H$361,MATCH(OrderLines!$I$1,Orders!$A$1:$H$1,0),0)</f>
        <v>0.1</v>
      </c>
      <c r="J412" s="14">
        <f t="shared" si="19"/>
        <v>131.76000000000002</v>
      </c>
      <c r="K412" s="28" t="str">
        <f t="shared" si="20"/>
        <v>August</v>
      </c>
      <c r="L412" s="14" t="str">
        <f>VLOOKUP(OrderLines!$A412,Orders!$A$1:$H$361,MATCH(OrderLines!$L$1,Orders!$A$1:$H$1,0),0)</f>
        <v>Breakfast</v>
      </c>
      <c r="M412" t="str">
        <f>VLOOKUP($A412,Orders!$A$1:$H$361,MATCH(OrderLines!$M$1,Orders!$A$1:$H$1,0),0)</f>
        <v>UPI</v>
      </c>
      <c r="N412" t="str">
        <f t="shared" si="18"/>
        <v>Single</v>
      </c>
      <c r="O412" t="str" cm="1">
        <f t="array" ref="O412">IF((SUMPRODUCT((OrderID=OrderLines!$A412)*Qty*UnitPrice*DiscountPct))&gt;40,"HighDisc","OK")</f>
        <v>HighDisc</v>
      </c>
      <c r="P412">
        <f>(orderlinesTABLE[[#This Row],[UnitCost]]*orderlinesTABLE[[#This Row],[Qty]])</f>
        <v>80.92</v>
      </c>
      <c r="Q412">
        <f>(orderlinesTABLE[[#This Row],[LineNetAmount]]-orderlinesTABLE[[#This Row],[totalCOST]])</f>
        <v>50.840000000000018</v>
      </c>
      <c r="R412" t="str">
        <f>VLOOKUP($B412,Menu!$A$1:$F$20,MATCH(OrderLines!R$1,Menu!$A$1:$F$1,0),0)</f>
        <v>Rajma Chawal</v>
      </c>
      <c r="S412" t="str" cm="1">
        <f t="array" ref="S412">_xlfn.TEXTJOIN("+",TRUE,_xlfn._xlws.FILTER(orderlinesTABLE[ItemName],OrderID=orderlinesTABLE[[#This Row],[OrderID]]))</f>
        <v>Samosa+Fruit Cup+Rajma Chawal+Kheer Cup</v>
      </c>
      <c r="T412" s="54">
        <f>orderlinesTABLE[[#This Row],[Profit]]/orderlinesTABLE[[#This Row],[LineNetAmount]]</f>
        <v>0.38585306618093512</v>
      </c>
      <c r="U412" s="70">
        <f>(orderlinesTABLE[[#This Row],[Qty]]*orderlinesTABLE[[#This Row],[UnitCost]])</f>
        <v>80.92</v>
      </c>
    </row>
    <row r="413" spans="1:21" x14ac:dyDescent="0.3">
      <c r="A413" s="15" t="s">
        <v>199</v>
      </c>
      <c r="B413" s="15" t="s">
        <v>413</v>
      </c>
      <c r="C413" s="15">
        <v>1</v>
      </c>
      <c r="D413" s="36">
        <f>VLOOKUP($B413,Menu!$A$1:$F$20,MATCH($D$1,Menu!$A$1:$F$1,0),0)</f>
        <v>54.2</v>
      </c>
      <c r="E413" s="15" t="str">
        <f>VLOOKUP($B413,Menu!$A$1:$F$20,MATCH(OrderLines!E$1,Menu!$A$1:$F$1,0),0)</f>
        <v>Dessert</v>
      </c>
      <c r="F413" s="36">
        <f>VLOOKUP($B413,Menu!$A$1:$F$20,MATCH(OrderLines!F$1,Menu!$A$1:$F$1,0),0)</f>
        <v>21.95</v>
      </c>
      <c r="G413" s="27">
        <f>VLOOKUP($A413,Orders!$A$1:$H$361,MATCH($G$1,Orders!$A$1:$H$1,0),0)</f>
        <v>45886</v>
      </c>
      <c r="H413" s="15" t="str">
        <f>VLOOKUP($A413,Orders!$A$1:$H$361,MATCH(OrderLines!$H$1,Orders!$A$1:$H$1,0),0)</f>
        <v>Plant 1 Canteen</v>
      </c>
      <c r="I413" s="15">
        <f>VLOOKUP($A413,Orders!$A$1:$H$361,MATCH(OrderLines!$I$1,Orders!$A$1:$H$1,0),0)</f>
        <v>0.1</v>
      </c>
      <c r="J413" s="15">
        <f t="shared" si="19"/>
        <v>48.78</v>
      </c>
      <c r="K413" s="27" t="str">
        <f t="shared" si="20"/>
        <v>August</v>
      </c>
      <c r="L413" s="15" t="str">
        <f>VLOOKUP(OrderLines!$A413,Orders!$A$1:$H$361,MATCH(OrderLines!$L$1,Orders!$A$1:$H$1,0),0)</f>
        <v>Breakfast</v>
      </c>
      <c r="M413" t="str">
        <f>VLOOKUP($A413,Orders!$A$1:$H$361,MATCH(OrderLines!$M$1,Orders!$A$1:$H$1,0),0)</f>
        <v>UPI</v>
      </c>
      <c r="N413" t="str">
        <f t="shared" si="18"/>
        <v>Single</v>
      </c>
      <c r="O413" t="str" cm="1">
        <f t="array" ref="O413">IF((SUMPRODUCT((OrderID=OrderLines!$A413)*Qty*UnitPrice*DiscountPct))&gt;40,"HighDisc","OK")</f>
        <v>HighDisc</v>
      </c>
      <c r="P413">
        <f>(orderlinesTABLE[[#This Row],[UnitCost]]*orderlinesTABLE[[#This Row],[Qty]])</f>
        <v>21.95</v>
      </c>
      <c r="Q413">
        <f>(orderlinesTABLE[[#This Row],[LineNetAmount]]-orderlinesTABLE[[#This Row],[totalCOST]])</f>
        <v>26.830000000000002</v>
      </c>
      <c r="R413" t="str">
        <f>VLOOKUP($B413,Menu!$A$1:$F$20,MATCH(OrderLines!R$1,Menu!$A$1:$F$1,0),0)</f>
        <v>Kheer Cup</v>
      </c>
      <c r="S413" t="str" cm="1">
        <f t="array" ref="S413">_xlfn.TEXTJOIN("+",TRUE,_xlfn._xlws.FILTER(orderlinesTABLE[ItemName],OrderID=orderlinesTABLE[[#This Row],[OrderID]]))</f>
        <v>Samosa+Fruit Cup+Rajma Chawal+Kheer Cup</v>
      </c>
      <c r="T413" s="54">
        <f>orderlinesTABLE[[#This Row],[Profit]]/orderlinesTABLE[[#This Row],[LineNetAmount]]</f>
        <v>0.55002050020500204</v>
      </c>
      <c r="U413" s="70">
        <f>(orderlinesTABLE[[#This Row],[Qty]]*orderlinesTABLE[[#This Row],[UnitCost]])</f>
        <v>21.95</v>
      </c>
    </row>
    <row r="414" spans="1:21" x14ac:dyDescent="0.3">
      <c r="A414" s="14" t="s">
        <v>200</v>
      </c>
      <c r="B414" s="14" t="s">
        <v>415</v>
      </c>
      <c r="C414" s="14">
        <v>2</v>
      </c>
      <c r="D414" s="37">
        <f>VLOOKUP($B414,Menu!$A$1:$F$20,MATCH($D$1,Menu!$A$1:$F$1,0),0)</f>
        <v>256.91000000000003</v>
      </c>
      <c r="E414" s="14" t="str">
        <f>VLOOKUP($B414,Menu!$A$1:$F$20,MATCH(OrderLines!E$1,Menu!$A$1:$F$1,0),0)</f>
        <v>Hot Meal</v>
      </c>
      <c r="F414" s="37">
        <f>VLOOKUP($B414,Menu!$A$1:$F$20,MATCH(OrderLines!F$1,Menu!$A$1:$F$1,0),0)</f>
        <v>121.24</v>
      </c>
      <c r="G414" s="28">
        <f>VLOOKUP($A414,Orders!$A$1:$H$361,MATCH($G$1,Orders!$A$1:$H$1,0),0)</f>
        <v>45854</v>
      </c>
      <c r="H414" s="14" t="str">
        <f>VLOOKUP($A414,Orders!$A$1:$H$361,MATCH(OrderLines!$H$1,Orders!$A$1:$H$1,0),0)</f>
        <v>Plant 2 Canteen</v>
      </c>
      <c r="I414" s="14">
        <f>VLOOKUP($A414,Orders!$A$1:$H$361,MATCH(OrderLines!$I$1,Orders!$A$1:$H$1,0),0)</f>
        <v>0</v>
      </c>
      <c r="J414" s="14">
        <f t="shared" si="19"/>
        <v>513.82000000000005</v>
      </c>
      <c r="K414" s="28" t="str">
        <f t="shared" si="20"/>
        <v>July</v>
      </c>
      <c r="L414" s="14" t="str">
        <f>VLOOKUP(OrderLines!$A414,Orders!$A$1:$H$361,MATCH(OrderLines!$L$1,Orders!$A$1:$H$1,0),0)</f>
        <v>Lunch</v>
      </c>
      <c r="M414" t="str">
        <f>VLOOKUP($A414,Orders!$A$1:$H$361,MATCH(OrderLines!$M$1,Orders!$A$1:$H$1,0),0)</f>
        <v>Cash</v>
      </c>
      <c r="N414" t="str">
        <f t="shared" si="18"/>
        <v>Single</v>
      </c>
      <c r="O414" t="str" cm="1">
        <f t="array" ref="O414">IF((SUMPRODUCT((OrderID=OrderLines!$A414)*Qty*UnitPrice*DiscountPct))&gt;40,"HighDisc","OK")</f>
        <v>OK</v>
      </c>
      <c r="P414">
        <f>(orderlinesTABLE[[#This Row],[UnitCost]]*orderlinesTABLE[[#This Row],[Qty]])</f>
        <v>242.48</v>
      </c>
      <c r="Q414">
        <f>(orderlinesTABLE[[#This Row],[LineNetAmount]]-orderlinesTABLE[[#This Row],[totalCOST]])</f>
        <v>271.34000000000003</v>
      </c>
      <c r="R414" t="str">
        <f>VLOOKUP($B414,Menu!$A$1:$F$20,MATCH(OrderLines!R$1,Menu!$A$1:$F$1,0),0)</f>
        <v>Chicken Thali</v>
      </c>
      <c r="S414" t="str" cm="1">
        <f t="array" ref="S414">_xlfn.TEXTJOIN("+",TRUE,_xlfn._xlws.FILTER(orderlinesTABLE[ItemName],OrderID=orderlinesTABLE[[#This Row],[OrderID]]))</f>
        <v>Chicken Thali+Samosa</v>
      </c>
      <c r="T414" s="54">
        <f>orderlinesTABLE[[#This Row],[Profit]]/orderlinesTABLE[[#This Row],[LineNetAmount]]</f>
        <v>0.52808376474251684</v>
      </c>
      <c r="U414" s="70">
        <f>(orderlinesTABLE[[#This Row],[Qty]]*orderlinesTABLE[[#This Row],[UnitCost]])</f>
        <v>242.48</v>
      </c>
    </row>
    <row r="415" spans="1:21" x14ac:dyDescent="0.3">
      <c r="A415" s="15" t="s">
        <v>200</v>
      </c>
      <c r="B415" s="15" t="s">
        <v>418</v>
      </c>
      <c r="C415" s="15">
        <v>3</v>
      </c>
      <c r="D415" s="36">
        <f>VLOOKUP($B415,Menu!$A$1:$F$20,MATCH($D$1,Menu!$A$1:$F$1,0),0)</f>
        <v>39.950000000000003</v>
      </c>
      <c r="E415" s="15" t="str">
        <f>VLOOKUP($B415,Menu!$A$1:$F$20,MATCH(OrderLines!E$1,Menu!$A$1:$F$1,0),0)</f>
        <v>Snack</v>
      </c>
      <c r="F415" s="36">
        <f>VLOOKUP($B415,Menu!$A$1:$F$20,MATCH(OrderLines!F$1,Menu!$A$1:$F$1,0),0)</f>
        <v>15.51</v>
      </c>
      <c r="G415" s="27">
        <f>VLOOKUP($A415,Orders!$A$1:$H$361,MATCH($G$1,Orders!$A$1:$H$1,0),0)</f>
        <v>45854</v>
      </c>
      <c r="H415" s="15" t="str">
        <f>VLOOKUP($A415,Orders!$A$1:$H$361,MATCH(OrderLines!$H$1,Orders!$A$1:$H$1,0),0)</f>
        <v>Plant 2 Canteen</v>
      </c>
      <c r="I415" s="15">
        <f>VLOOKUP($A415,Orders!$A$1:$H$361,MATCH(OrderLines!$I$1,Orders!$A$1:$H$1,0),0)</f>
        <v>0</v>
      </c>
      <c r="J415" s="15">
        <f t="shared" si="19"/>
        <v>119.85000000000001</v>
      </c>
      <c r="K415" s="27" t="str">
        <f t="shared" si="20"/>
        <v>July</v>
      </c>
      <c r="L415" s="15" t="str">
        <f>VLOOKUP(OrderLines!$A415,Orders!$A$1:$H$361,MATCH(OrderLines!$L$1,Orders!$A$1:$H$1,0),0)</f>
        <v>Lunch</v>
      </c>
      <c r="M415" t="str">
        <f>VLOOKUP($A415,Orders!$A$1:$H$361,MATCH(OrderLines!$M$1,Orders!$A$1:$H$1,0),0)</f>
        <v>Cash</v>
      </c>
      <c r="N415" t="str">
        <f t="shared" si="18"/>
        <v>Single</v>
      </c>
      <c r="O415" t="str" cm="1">
        <f t="array" ref="O415">IF((SUMPRODUCT((OrderID=OrderLines!$A415)*Qty*UnitPrice*DiscountPct))&gt;40,"HighDisc","OK")</f>
        <v>OK</v>
      </c>
      <c r="P415">
        <f>(orderlinesTABLE[[#This Row],[UnitCost]]*orderlinesTABLE[[#This Row],[Qty]])</f>
        <v>46.53</v>
      </c>
      <c r="Q415">
        <f>(orderlinesTABLE[[#This Row],[LineNetAmount]]-orderlinesTABLE[[#This Row],[totalCOST]])</f>
        <v>73.320000000000007</v>
      </c>
      <c r="R415" t="str">
        <f>VLOOKUP($B415,Menu!$A$1:$F$20,MATCH(OrderLines!R$1,Menu!$A$1:$F$1,0),0)</f>
        <v>Samosa</v>
      </c>
      <c r="S415" t="str" cm="1">
        <f t="array" ref="S415">_xlfn.TEXTJOIN("+",TRUE,_xlfn._xlws.FILTER(orderlinesTABLE[ItemName],OrderID=orderlinesTABLE[[#This Row],[OrderID]]))</f>
        <v>Chicken Thali+Samosa</v>
      </c>
      <c r="T415" s="54">
        <f>orderlinesTABLE[[#This Row],[Profit]]/orderlinesTABLE[[#This Row],[LineNetAmount]]</f>
        <v>0.61176470588235299</v>
      </c>
      <c r="U415" s="70">
        <f>(orderlinesTABLE[[#This Row],[Qty]]*orderlinesTABLE[[#This Row],[UnitCost]])</f>
        <v>46.53</v>
      </c>
    </row>
    <row r="416" spans="1:21" x14ac:dyDescent="0.3">
      <c r="A416" s="14" t="s">
        <v>201</v>
      </c>
      <c r="B416" s="14" t="s">
        <v>408</v>
      </c>
      <c r="C416" s="14">
        <v>2</v>
      </c>
      <c r="D416" s="37">
        <f>VLOOKUP($B416,Menu!$A$1:$F$20,MATCH($D$1,Menu!$A$1:$F$1,0),0)</f>
        <v>70.540000000000006</v>
      </c>
      <c r="E416" s="14" t="str">
        <f>VLOOKUP($B416,Menu!$A$1:$F$20,MATCH(OrderLines!E$1,Menu!$A$1:$F$1,0),0)</f>
        <v>Snack</v>
      </c>
      <c r="F416" s="37">
        <f>VLOOKUP($B416,Menu!$A$1:$F$20,MATCH(OrderLines!F$1,Menu!$A$1:$F$1,0),0)</f>
        <v>35.81</v>
      </c>
      <c r="G416" s="28">
        <f>VLOOKUP($A416,Orders!$A$1:$H$361,MATCH($G$1,Orders!$A$1:$H$1,0),0)</f>
        <v>45878</v>
      </c>
      <c r="H416" s="14" t="str">
        <f>VLOOKUP($A416,Orders!$A$1:$H$361,MATCH(OrderLines!$H$1,Orders!$A$1:$H$1,0),0)</f>
        <v>Plant 1 Canteen</v>
      </c>
      <c r="I416" s="14">
        <f>VLOOKUP($A416,Orders!$A$1:$H$361,MATCH(OrderLines!$I$1,Orders!$A$1:$H$1,0),0)</f>
        <v>0.02</v>
      </c>
      <c r="J416" s="14">
        <f t="shared" si="19"/>
        <v>138.25840000000002</v>
      </c>
      <c r="K416" s="28" t="str">
        <f t="shared" si="20"/>
        <v>August</v>
      </c>
      <c r="L416" s="14" t="str">
        <f>VLOOKUP(OrderLines!$A416,Orders!$A$1:$H$361,MATCH(OrderLines!$L$1,Orders!$A$1:$H$1,0),0)</f>
        <v>Dinner</v>
      </c>
      <c r="M416" t="str">
        <f>VLOOKUP($A416,Orders!$A$1:$H$361,MATCH(OrderLines!$M$1,Orders!$A$1:$H$1,0),0)</f>
        <v>Cash</v>
      </c>
      <c r="N416" t="str">
        <f t="shared" si="18"/>
        <v>Single</v>
      </c>
      <c r="O416" t="str" cm="1">
        <f t="array" ref="O416">IF((SUMPRODUCT((OrderID=OrderLines!$A416)*Qty*UnitPrice*DiscountPct))&gt;40,"HighDisc","OK")</f>
        <v>OK</v>
      </c>
      <c r="P416">
        <f>(orderlinesTABLE[[#This Row],[UnitCost]]*orderlinesTABLE[[#This Row],[Qty]])</f>
        <v>71.62</v>
      </c>
      <c r="Q416">
        <f>(orderlinesTABLE[[#This Row],[LineNetAmount]]-orderlinesTABLE[[#This Row],[totalCOST]])</f>
        <v>66.638400000000019</v>
      </c>
      <c r="R416" t="str">
        <f>VLOOKUP($B416,Menu!$A$1:$F$20,MATCH(OrderLines!R$1,Menu!$A$1:$F$1,0),0)</f>
        <v>Veg Sandwich</v>
      </c>
      <c r="S416" t="str" cm="1">
        <f t="array" ref="S416">_xlfn.TEXTJOIN("+",TRUE,_xlfn._xlws.FILTER(orderlinesTABLE[ItemName],OrderID=orderlinesTABLE[[#This Row],[OrderID]]))</f>
        <v>Veg Sandwich+Fruit Cup</v>
      </c>
      <c r="T416" s="54">
        <f>orderlinesTABLE[[#This Row],[Profit]]/orderlinesTABLE[[#This Row],[LineNetAmount]]</f>
        <v>0.48198445808717594</v>
      </c>
      <c r="U416" s="70">
        <f>(orderlinesTABLE[[#This Row],[Qty]]*orderlinesTABLE[[#This Row],[UnitCost]])</f>
        <v>71.62</v>
      </c>
    </row>
    <row r="417" spans="1:21" x14ac:dyDescent="0.3">
      <c r="A417" s="15" t="s">
        <v>201</v>
      </c>
      <c r="B417" s="15" t="s">
        <v>412</v>
      </c>
      <c r="C417" s="15">
        <v>1</v>
      </c>
      <c r="D417" s="36">
        <f>VLOOKUP($B417,Menu!$A$1:$F$20,MATCH($D$1,Menu!$A$1:$F$1,0),0)</f>
        <v>57.07</v>
      </c>
      <c r="E417" s="15" t="str">
        <f>VLOOKUP($B417,Menu!$A$1:$F$20,MATCH(OrderLines!E$1,Menu!$A$1:$F$1,0),0)</f>
        <v>Dessert</v>
      </c>
      <c r="F417" s="36">
        <f>VLOOKUP($B417,Menu!$A$1:$F$20,MATCH(OrderLines!F$1,Menu!$A$1:$F$1,0),0)</f>
        <v>29.14</v>
      </c>
      <c r="G417" s="27">
        <f>VLOOKUP($A417,Orders!$A$1:$H$361,MATCH($G$1,Orders!$A$1:$H$1,0),0)</f>
        <v>45878</v>
      </c>
      <c r="H417" s="15" t="str">
        <f>VLOOKUP($A417,Orders!$A$1:$H$361,MATCH(OrderLines!$H$1,Orders!$A$1:$H$1,0),0)</f>
        <v>Plant 1 Canteen</v>
      </c>
      <c r="I417" s="15">
        <f>VLOOKUP($A417,Orders!$A$1:$H$361,MATCH(OrderLines!$I$1,Orders!$A$1:$H$1,0),0)</f>
        <v>0.02</v>
      </c>
      <c r="J417" s="15">
        <f t="shared" si="19"/>
        <v>55.928599999999996</v>
      </c>
      <c r="K417" s="27" t="str">
        <f t="shared" si="20"/>
        <v>August</v>
      </c>
      <c r="L417" s="15" t="str">
        <f>VLOOKUP(OrderLines!$A417,Orders!$A$1:$H$361,MATCH(OrderLines!$L$1,Orders!$A$1:$H$1,0),0)</f>
        <v>Dinner</v>
      </c>
      <c r="M417" t="str">
        <f>VLOOKUP($A417,Orders!$A$1:$H$361,MATCH(OrderLines!$M$1,Orders!$A$1:$H$1,0),0)</f>
        <v>Cash</v>
      </c>
      <c r="N417" t="str">
        <f t="shared" si="18"/>
        <v>Single</v>
      </c>
      <c r="O417" t="str" cm="1">
        <f t="array" ref="O417">IF((SUMPRODUCT((OrderID=OrderLines!$A417)*Qty*UnitPrice*DiscountPct))&gt;40,"HighDisc","OK")</f>
        <v>OK</v>
      </c>
      <c r="P417">
        <f>(orderlinesTABLE[[#This Row],[UnitCost]]*orderlinesTABLE[[#This Row],[Qty]])</f>
        <v>29.14</v>
      </c>
      <c r="Q417">
        <f>(orderlinesTABLE[[#This Row],[LineNetAmount]]-orderlinesTABLE[[#This Row],[totalCOST]])</f>
        <v>26.788599999999995</v>
      </c>
      <c r="R417" t="str">
        <f>VLOOKUP($B417,Menu!$A$1:$F$20,MATCH(OrderLines!R$1,Menu!$A$1:$F$1,0),0)</f>
        <v>Fruit Cup</v>
      </c>
      <c r="S417" t="str" cm="1">
        <f t="array" ref="S417">_xlfn.TEXTJOIN("+",TRUE,_xlfn._xlws.FILTER(orderlinesTABLE[ItemName],OrderID=orderlinesTABLE[[#This Row],[OrderID]]))</f>
        <v>Veg Sandwich+Fruit Cup</v>
      </c>
      <c r="T417" s="54">
        <f>orderlinesTABLE[[#This Row],[Profit]]/orderlinesTABLE[[#This Row],[LineNetAmount]]</f>
        <v>0.47897855480022739</v>
      </c>
      <c r="U417" s="70">
        <f>(orderlinesTABLE[[#This Row],[Qty]]*orderlinesTABLE[[#This Row],[UnitCost]])</f>
        <v>29.14</v>
      </c>
    </row>
    <row r="418" spans="1:21" x14ac:dyDescent="0.3">
      <c r="A418" s="14" t="s">
        <v>202</v>
      </c>
      <c r="B418" s="14" t="s">
        <v>411</v>
      </c>
      <c r="C418" s="14">
        <v>1</v>
      </c>
      <c r="D418" s="37">
        <f>VLOOKUP($B418,Menu!$A$1:$F$20,MATCH($D$1,Menu!$A$1:$F$1,0),0)</f>
        <v>22.2</v>
      </c>
      <c r="E418" s="14" t="str">
        <f>VLOOKUP($B418,Menu!$A$1:$F$20,MATCH(OrderLines!E$1,Menu!$A$1:$F$1,0),0)</f>
        <v>Beverage</v>
      </c>
      <c r="F418" s="37">
        <f>VLOOKUP($B418,Menu!$A$1:$F$20,MATCH(OrderLines!F$1,Menu!$A$1:$F$1,0),0)</f>
        <v>9.3800000000000008</v>
      </c>
      <c r="G418" s="28">
        <f>VLOOKUP($A418,Orders!$A$1:$H$361,MATCH($G$1,Orders!$A$1:$H$1,0),0)</f>
        <v>45850</v>
      </c>
      <c r="H418" s="14" t="str">
        <f>VLOOKUP($A418,Orders!$A$1:$H$361,MATCH(OrderLines!$H$1,Orders!$A$1:$H$1,0),0)</f>
        <v>Head Office Café</v>
      </c>
      <c r="I418" s="14">
        <f>VLOOKUP($A418,Orders!$A$1:$H$361,MATCH(OrderLines!$I$1,Orders!$A$1:$H$1,0),0)</f>
        <v>0.08</v>
      </c>
      <c r="J418" s="14">
        <f t="shared" si="19"/>
        <v>20.423999999999999</v>
      </c>
      <c r="K418" s="28" t="str">
        <f t="shared" si="20"/>
        <v>July</v>
      </c>
      <c r="L418" s="14" t="str">
        <f>VLOOKUP(OrderLines!$A418,Orders!$A$1:$H$361,MATCH(OrderLines!$L$1,Orders!$A$1:$H$1,0),0)</f>
        <v>Lunch</v>
      </c>
      <c r="M418" t="str">
        <f>VLOOKUP($A418,Orders!$A$1:$H$361,MATCH(OrderLines!$M$1,Orders!$A$1:$H$1,0),0)</f>
        <v>Card</v>
      </c>
      <c r="N418" t="str">
        <f t="shared" si="18"/>
        <v>Single</v>
      </c>
      <c r="O418" t="str" cm="1">
        <f t="array" ref="O418">IF((SUMPRODUCT((OrderID=OrderLines!$A418)*Qty*UnitPrice*DiscountPct))&gt;40,"HighDisc","OK")</f>
        <v>OK</v>
      </c>
      <c r="P418">
        <f>(orderlinesTABLE[[#This Row],[UnitCost]]*orderlinesTABLE[[#This Row],[Qty]])</f>
        <v>9.3800000000000008</v>
      </c>
      <c r="Q418">
        <f>(orderlinesTABLE[[#This Row],[LineNetAmount]]-orderlinesTABLE[[#This Row],[totalCOST]])</f>
        <v>11.043999999999999</v>
      </c>
      <c r="R418" t="str">
        <f>VLOOKUP($B418,Menu!$A$1:$F$20,MATCH(OrderLines!R$1,Menu!$A$1:$F$1,0),0)</f>
        <v>Coffee</v>
      </c>
      <c r="S418" t="str" cm="1">
        <f t="array" ref="S418">_xlfn.TEXTJOIN("+",TRUE,_xlfn._xlws.FILTER(orderlinesTABLE[ItemName],OrderID=orderlinesTABLE[[#This Row],[OrderID]]))</f>
        <v>Coffee+Masala Chaas+Veg Sandwich</v>
      </c>
      <c r="T418" s="54">
        <f>orderlinesTABLE[[#This Row],[Profit]]/orderlinesTABLE[[#This Row],[LineNetAmount]]</f>
        <v>0.54073638856247552</v>
      </c>
      <c r="U418" s="70">
        <f>(orderlinesTABLE[[#This Row],[Qty]]*orderlinesTABLE[[#This Row],[UnitCost]])</f>
        <v>9.3800000000000008</v>
      </c>
    </row>
    <row r="419" spans="1:21" x14ac:dyDescent="0.3">
      <c r="A419" s="15" t="s">
        <v>202</v>
      </c>
      <c r="B419" s="15" t="s">
        <v>404</v>
      </c>
      <c r="C419" s="15">
        <v>2</v>
      </c>
      <c r="D419" s="36">
        <f>VLOOKUP($B419,Menu!$A$1:$F$20,MATCH($D$1,Menu!$A$1:$F$1,0),0)</f>
        <v>32.979999999999997</v>
      </c>
      <c r="E419" s="15" t="str">
        <f>VLOOKUP($B419,Menu!$A$1:$F$20,MATCH(OrderLines!E$1,Menu!$A$1:$F$1,0),0)</f>
        <v>Beverage</v>
      </c>
      <c r="F419" s="36">
        <f>VLOOKUP($B419,Menu!$A$1:$F$20,MATCH(OrderLines!F$1,Menu!$A$1:$F$1,0),0)</f>
        <v>11.84</v>
      </c>
      <c r="G419" s="27">
        <f>VLOOKUP($A419,Orders!$A$1:$H$361,MATCH($G$1,Orders!$A$1:$H$1,0),0)</f>
        <v>45850</v>
      </c>
      <c r="H419" s="15" t="str">
        <f>VLOOKUP($A419,Orders!$A$1:$H$361,MATCH(OrderLines!$H$1,Orders!$A$1:$H$1,0),0)</f>
        <v>Head Office Café</v>
      </c>
      <c r="I419" s="15">
        <f>VLOOKUP($A419,Orders!$A$1:$H$361,MATCH(OrderLines!$I$1,Orders!$A$1:$H$1,0),0)</f>
        <v>0.08</v>
      </c>
      <c r="J419" s="15">
        <f t="shared" si="19"/>
        <v>60.683199999999999</v>
      </c>
      <c r="K419" s="27" t="str">
        <f t="shared" si="20"/>
        <v>July</v>
      </c>
      <c r="L419" s="15" t="str">
        <f>VLOOKUP(OrderLines!$A419,Orders!$A$1:$H$361,MATCH(OrderLines!$L$1,Orders!$A$1:$H$1,0),0)</f>
        <v>Lunch</v>
      </c>
      <c r="M419" t="str">
        <f>VLOOKUP($A419,Orders!$A$1:$H$361,MATCH(OrderLines!$M$1,Orders!$A$1:$H$1,0),0)</f>
        <v>Card</v>
      </c>
      <c r="N419" t="str">
        <f t="shared" si="18"/>
        <v>Single</v>
      </c>
      <c r="O419" t="str" cm="1">
        <f t="array" ref="O419">IF((SUMPRODUCT((OrderID=OrderLines!$A419)*Qty*UnitPrice*DiscountPct))&gt;40,"HighDisc","OK")</f>
        <v>OK</v>
      </c>
      <c r="P419">
        <f>(orderlinesTABLE[[#This Row],[UnitCost]]*orderlinesTABLE[[#This Row],[Qty]])</f>
        <v>23.68</v>
      </c>
      <c r="Q419">
        <f>(orderlinesTABLE[[#This Row],[LineNetAmount]]-orderlinesTABLE[[#This Row],[totalCOST]])</f>
        <v>37.0032</v>
      </c>
      <c r="R419" t="str">
        <f>VLOOKUP($B419,Menu!$A$1:$F$20,MATCH(OrderLines!R$1,Menu!$A$1:$F$1,0),0)</f>
        <v>Masala Chaas</v>
      </c>
      <c r="S419" t="str" cm="1">
        <f t="array" ref="S419">_xlfn.TEXTJOIN("+",TRUE,_xlfn._xlws.FILTER(orderlinesTABLE[ItemName],OrderID=orderlinesTABLE[[#This Row],[OrderID]]))</f>
        <v>Coffee+Masala Chaas+Veg Sandwich</v>
      </c>
      <c r="T419" s="54">
        <f>orderlinesTABLE[[#This Row],[Profit]]/orderlinesTABLE[[#This Row],[LineNetAmount]]</f>
        <v>0.60977667624647347</v>
      </c>
      <c r="U419" s="70">
        <f>(orderlinesTABLE[[#This Row],[Qty]]*orderlinesTABLE[[#This Row],[UnitCost]])</f>
        <v>23.68</v>
      </c>
    </row>
    <row r="420" spans="1:21" x14ac:dyDescent="0.3">
      <c r="A420" s="14" t="s">
        <v>202</v>
      </c>
      <c r="B420" s="14" t="s">
        <v>408</v>
      </c>
      <c r="C420" s="14">
        <v>1</v>
      </c>
      <c r="D420" s="37">
        <f>VLOOKUP($B420,Menu!$A$1:$F$20,MATCH($D$1,Menu!$A$1:$F$1,0),0)</f>
        <v>70.540000000000006</v>
      </c>
      <c r="E420" s="14" t="str">
        <f>VLOOKUP($B420,Menu!$A$1:$F$20,MATCH(OrderLines!E$1,Menu!$A$1:$F$1,0),0)</f>
        <v>Snack</v>
      </c>
      <c r="F420" s="37">
        <f>VLOOKUP($B420,Menu!$A$1:$F$20,MATCH(OrderLines!F$1,Menu!$A$1:$F$1,0),0)</f>
        <v>35.81</v>
      </c>
      <c r="G420" s="28">
        <f>VLOOKUP($A420,Orders!$A$1:$H$361,MATCH($G$1,Orders!$A$1:$H$1,0),0)</f>
        <v>45850</v>
      </c>
      <c r="H420" s="14" t="str">
        <f>VLOOKUP($A420,Orders!$A$1:$H$361,MATCH(OrderLines!$H$1,Orders!$A$1:$H$1,0),0)</f>
        <v>Head Office Café</v>
      </c>
      <c r="I420" s="14">
        <f>VLOOKUP($A420,Orders!$A$1:$H$361,MATCH(OrderLines!$I$1,Orders!$A$1:$H$1,0),0)</f>
        <v>0.08</v>
      </c>
      <c r="J420" s="14">
        <f t="shared" si="19"/>
        <v>64.896800000000013</v>
      </c>
      <c r="K420" s="28" t="str">
        <f t="shared" si="20"/>
        <v>July</v>
      </c>
      <c r="L420" s="14" t="str">
        <f>VLOOKUP(OrderLines!$A420,Orders!$A$1:$H$361,MATCH(OrderLines!$L$1,Orders!$A$1:$H$1,0),0)</f>
        <v>Lunch</v>
      </c>
      <c r="M420" t="str">
        <f>VLOOKUP($A420,Orders!$A$1:$H$361,MATCH(OrderLines!$M$1,Orders!$A$1:$H$1,0),0)</f>
        <v>Card</v>
      </c>
      <c r="N420" t="str">
        <f t="shared" si="18"/>
        <v>Single</v>
      </c>
      <c r="O420" t="str" cm="1">
        <f t="array" ref="O420">IF((SUMPRODUCT((OrderID=OrderLines!$A420)*Qty*UnitPrice*DiscountPct))&gt;40,"HighDisc","OK")</f>
        <v>OK</v>
      </c>
      <c r="P420">
        <f>(orderlinesTABLE[[#This Row],[UnitCost]]*orderlinesTABLE[[#This Row],[Qty]])</f>
        <v>35.81</v>
      </c>
      <c r="Q420">
        <f>(orderlinesTABLE[[#This Row],[LineNetAmount]]-orderlinesTABLE[[#This Row],[totalCOST]])</f>
        <v>29.086800000000011</v>
      </c>
      <c r="R420" t="str">
        <f>VLOOKUP($B420,Menu!$A$1:$F$20,MATCH(OrderLines!R$1,Menu!$A$1:$F$1,0),0)</f>
        <v>Veg Sandwich</v>
      </c>
      <c r="S420" t="str" cm="1">
        <f t="array" ref="S420">_xlfn.TEXTJOIN("+",TRUE,_xlfn._xlws.FILTER(orderlinesTABLE[ItemName],OrderID=orderlinesTABLE[[#This Row],[OrderID]]))</f>
        <v>Coffee+Masala Chaas+Veg Sandwich</v>
      </c>
      <c r="T420" s="54">
        <f>orderlinesTABLE[[#This Row],[Profit]]/orderlinesTABLE[[#This Row],[LineNetAmount]]</f>
        <v>0.44820083578851355</v>
      </c>
      <c r="U420" s="70">
        <f>(orderlinesTABLE[[#This Row],[Qty]]*orderlinesTABLE[[#This Row],[UnitCost]])</f>
        <v>35.81</v>
      </c>
    </row>
    <row r="421" spans="1:21" x14ac:dyDescent="0.3">
      <c r="A421" s="15" t="s">
        <v>203</v>
      </c>
      <c r="B421" s="15" t="s">
        <v>404</v>
      </c>
      <c r="C421" s="15">
        <v>3</v>
      </c>
      <c r="D421" s="36">
        <f>VLOOKUP($B421,Menu!$A$1:$F$20,MATCH($D$1,Menu!$A$1:$F$1,0),0)</f>
        <v>32.979999999999997</v>
      </c>
      <c r="E421" s="15" t="str">
        <f>VLOOKUP($B421,Menu!$A$1:$F$20,MATCH(OrderLines!E$1,Menu!$A$1:$F$1,0),0)</f>
        <v>Beverage</v>
      </c>
      <c r="F421" s="36">
        <f>VLOOKUP($B421,Menu!$A$1:$F$20,MATCH(OrderLines!F$1,Menu!$A$1:$F$1,0),0)</f>
        <v>11.84</v>
      </c>
      <c r="G421" s="27">
        <f>VLOOKUP($A421,Orders!$A$1:$H$361,MATCH($G$1,Orders!$A$1:$H$1,0),0)</f>
        <v>45888</v>
      </c>
      <c r="H421" s="15" t="str">
        <f>VLOOKUP($A421,Orders!$A$1:$H$361,MATCH(OrderLines!$H$1,Orders!$A$1:$H$1,0),0)</f>
        <v>Head Office Café</v>
      </c>
      <c r="I421" s="15">
        <f>VLOOKUP($A421,Orders!$A$1:$H$361,MATCH(OrderLines!$I$1,Orders!$A$1:$H$1,0),0)</f>
        <v>0.08</v>
      </c>
      <c r="J421" s="15">
        <f t="shared" si="19"/>
        <v>91.024799999999999</v>
      </c>
      <c r="K421" s="27" t="str">
        <f t="shared" si="20"/>
        <v>August</v>
      </c>
      <c r="L421" s="15" t="str">
        <f>VLOOKUP(OrderLines!$A421,Orders!$A$1:$H$361,MATCH(OrderLines!$L$1,Orders!$A$1:$H$1,0),0)</f>
        <v>Lunch</v>
      </c>
      <c r="M421" t="str">
        <f>VLOOKUP($A421,Orders!$A$1:$H$361,MATCH(OrderLines!$M$1,Orders!$A$1:$H$1,0),0)</f>
        <v>Card</v>
      </c>
      <c r="N421" t="str">
        <f t="shared" si="18"/>
        <v>Single</v>
      </c>
      <c r="O421" t="str" cm="1">
        <f t="array" ref="O421">IF((SUMPRODUCT((OrderID=OrderLines!$A421)*Qty*UnitPrice*DiscountPct))&gt;40,"HighDisc","OK")</f>
        <v>OK</v>
      </c>
      <c r="P421">
        <f>(orderlinesTABLE[[#This Row],[UnitCost]]*orderlinesTABLE[[#This Row],[Qty]])</f>
        <v>35.519999999999996</v>
      </c>
      <c r="Q421">
        <f>(orderlinesTABLE[[#This Row],[LineNetAmount]]-orderlinesTABLE[[#This Row],[totalCOST]])</f>
        <v>55.504800000000003</v>
      </c>
      <c r="R421" t="str">
        <f>VLOOKUP($B421,Menu!$A$1:$F$20,MATCH(OrderLines!R$1,Menu!$A$1:$F$1,0),0)</f>
        <v>Masala Chaas</v>
      </c>
      <c r="S421" t="str" cm="1">
        <f t="array" ref="S421">_xlfn.TEXTJOIN("+",TRUE,_xlfn._xlws.FILTER(orderlinesTABLE[ItemName],OrderID=orderlinesTABLE[[#This Row],[OrderID]]))</f>
        <v>Masala Chaas</v>
      </c>
      <c r="T421" s="54">
        <f>orderlinesTABLE[[#This Row],[Profit]]/orderlinesTABLE[[#This Row],[LineNetAmount]]</f>
        <v>0.60977667624647358</v>
      </c>
      <c r="U421" s="70">
        <f>(orderlinesTABLE[[#This Row],[Qty]]*orderlinesTABLE[[#This Row],[UnitCost]])</f>
        <v>35.519999999999996</v>
      </c>
    </row>
    <row r="422" spans="1:21" x14ac:dyDescent="0.3">
      <c r="A422" s="14" t="s">
        <v>204</v>
      </c>
      <c r="B422" s="14" t="s">
        <v>410</v>
      </c>
      <c r="C422" s="14">
        <v>2</v>
      </c>
      <c r="D422" s="37">
        <f>VLOOKUP($B422,Menu!$A$1:$F$20,MATCH($D$1,Menu!$A$1:$F$1,0),0)</f>
        <v>20.11</v>
      </c>
      <c r="E422" s="14" t="str">
        <f>VLOOKUP($B422,Menu!$A$1:$F$20,MATCH(OrderLines!E$1,Menu!$A$1:$F$1,0),0)</f>
        <v>Beverage</v>
      </c>
      <c r="F422" s="37">
        <f>VLOOKUP($B422,Menu!$A$1:$F$20,MATCH(OrderLines!F$1,Menu!$A$1:$F$1,0),0)</f>
        <v>8</v>
      </c>
      <c r="G422" s="28">
        <f>VLOOKUP($A422,Orders!$A$1:$H$361,MATCH($G$1,Orders!$A$1:$H$1,0),0)</f>
        <v>45885</v>
      </c>
      <c r="H422" s="14" t="str">
        <f>VLOOKUP($A422,Orders!$A$1:$H$361,MATCH(OrderLines!$H$1,Orders!$A$1:$H$1,0),0)</f>
        <v>Plant 1 Canteen</v>
      </c>
      <c r="I422" s="14">
        <f>VLOOKUP($A422,Orders!$A$1:$H$361,MATCH(OrderLines!$I$1,Orders!$A$1:$H$1,0),0)</f>
        <v>0.08</v>
      </c>
      <c r="J422" s="14">
        <f t="shared" si="19"/>
        <v>37.002400000000002</v>
      </c>
      <c r="K422" s="28" t="str">
        <f t="shared" si="20"/>
        <v>August</v>
      </c>
      <c r="L422" s="14" t="str">
        <f>VLOOKUP(OrderLines!$A422,Orders!$A$1:$H$361,MATCH(OrderLines!$L$1,Orders!$A$1:$H$1,0),0)</f>
        <v>Breakfast</v>
      </c>
      <c r="M422" t="str">
        <f>VLOOKUP($A422,Orders!$A$1:$H$361,MATCH(OrderLines!$M$1,Orders!$A$1:$H$1,0),0)</f>
        <v>UPI</v>
      </c>
      <c r="N422" t="str">
        <f t="shared" si="18"/>
        <v>Single</v>
      </c>
      <c r="O422" t="str" cm="1">
        <f t="array" ref="O422">IF((SUMPRODUCT((OrderID=OrderLines!$A422)*Qty*UnitPrice*DiscountPct))&gt;40,"HighDisc","OK")</f>
        <v>OK</v>
      </c>
      <c r="P422">
        <f>(orderlinesTABLE[[#This Row],[UnitCost]]*orderlinesTABLE[[#This Row],[Qty]])</f>
        <v>16</v>
      </c>
      <c r="Q422">
        <f>(orderlinesTABLE[[#This Row],[LineNetAmount]]-orderlinesTABLE[[#This Row],[totalCOST]])</f>
        <v>21.002400000000002</v>
      </c>
      <c r="R422" t="str">
        <f>VLOOKUP($B422,Menu!$A$1:$F$20,MATCH(OrderLines!R$1,Menu!$A$1:$F$1,0),0)</f>
        <v>Nimbu Pani</v>
      </c>
      <c r="S422" t="str" cm="1">
        <f t="array" ref="S422">_xlfn.TEXTJOIN("+",TRUE,_xlfn._xlws.FILTER(orderlinesTABLE[ItemName],OrderID=orderlinesTABLE[[#This Row],[OrderID]]))</f>
        <v>Nimbu Pani</v>
      </c>
      <c r="T422" s="54">
        <f>orderlinesTABLE[[#This Row],[Profit]]/orderlinesTABLE[[#This Row],[LineNetAmount]]</f>
        <v>0.5675956154195404</v>
      </c>
      <c r="U422" s="70">
        <f>(orderlinesTABLE[[#This Row],[Qty]]*orderlinesTABLE[[#This Row],[UnitCost]])</f>
        <v>16</v>
      </c>
    </row>
    <row r="423" spans="1:21" x14ac:dyDescent="0.3">
      <c r="A423" s="15" t="s">
        <v>205</v>
      </c>
      <c r="B423" s="15" t="s">
        <v>417</v>
      </c>
      <c r="C423" s="15">
        <v>2</v>
      </c>
      <c r="D423" s="36">
        <f>VLOOKUP($B423,Menu!$A$1:$F$20,MATCH($D$1,Menu!$A$1:$F$1,0),0)</f>
        <v>146.4</v>
      </c>
      <c r="E423" s="15" t="str">
        <f>VLOOKUP($B423,Menu!$A$1:$F$20,MATCH(OrderLines!E$1,Menu!$A$1:$F$1,0),0)</f>
        <v>Hot Meal</v>
      </c>
      <c r="F423" s="36">
        <f>VLOOKUP($B423,Menu!$A$1:$F$20,MATCH(OrderLines!F$1,Menu!$A$1:$F$1,0),0)</f>
        <v>80.92</v>
      </c>
      <c r="G423" s="27">
        <f>VLOOKUP($A423,Orders!$A$1:$H$361,MATCH($G$1,Orders!$A$1:$H$1,0),0)</f>
        <v>45876</v>
      </c>
      <c r="H423" s="15" t="str">
        <f>VLOOKUP($A423,Orders!$A$1:$H$361,MATCH(OrderLines!$H$1,Orders!$A$1:$H$1,0),0)</f>
        <v>Plant 1 Canteen</v>
      </c>
      <c r="I423" s="15">
        <f>VLOOKUP($A423,Orders!$A$1:$H$361,MATCH(OrderLines!$I$1,Orders!$A$1:$H$1,0),0)</f>
        <v>0.21</v>
      </c>
      <c r="J423" s="15">
        <f t="shared" si="19"/>
        <v>231.31200000000001</v>
      </c>
      <c r="K423" s="27" t="str">
        <f t="shared" si="20"/>
        <v>August</v>
      </c>
      <c r="L423" s="15" t="str">
        <f>VLOOKUP(OrderLines!$A423,Orders!$A$1:$H$361,MATCH(OrderLines!$L$1,Orders!$A$1:$H$1,0),0)</f>
        <v>Lunch</v>
      </c>
      <c r="M423" t="str">
        <f>VLOOKUP($A423,Orders!$A$1:$H$361,MATCH(OrderLines!$M$1,Orders!$A$1:$H$1,0),0)</f>
        <v>UPI</v>
      </c>
      <c r="N423" t="str">
        <f t="shared" si="18"/>
        <v>Single</v>
      </c>
      <c r="O423" t="str" cm="1">
        <f t="array" ref="O423">IF((SUMPRODUCT((OrderID=OrderLines!$A423)*Qty*UnitPrice*DiscountPct))&gt;40,"HighDisc","OK")</f>
        <v>HighDisc</v>
      </c>
      <c r="P423">
        <f>(orderlinesTABLE[[#This Row],[UnitCost]]*orderlinesTABLE[[#This Row],[Qty]])</f>
        <v>161.84</v>
      </c>
      <c r="Q423">
        <f>(orderlinesTABLE[[#This Row],[LineNetAmount]]-orderlinesTABLE[[#This Row],[totalCOST]])</f>
        <v>69.472000000000008</v>
      </c>
      <c r="R423" t="str">
        <f>VLOOKUP($B423,Menu!$A$1:$F$20,MATCH(OrderLines!R$1,Menu!$A$1:$F$1,0),0)</f>
        <v>Rajma Chawal</v>
      </c>
      <c r="S423" t="str" cm="1">
        <f t="array" ref="S423">_xlfn.TEXTJOIN("+",TRUE,_xlfn._xlws.FILTER(orderlinesTABLE[ItemName],OrderID=orderlinesTABLE[[#This Row],[OrderID]]))</f>
        <v>Rajma Chawal+Masala Puff+Gulab Jamun (2 pc)</v>
      </c>
      <c r="T423" s="54">
        <f>orderlinesTABLE[[#This Row],[Profit]]/orderlinesTABLE[[#This Row],[LineNetAmount]]</f>
        <v>0.30033893615549562</v>
      </c>
      <c r="U423" s="70">
        <f>(orderlinesTABLE[[#This Row],[Qty]]*orderlinesTABLE[[#This Row],[UnitCost]])</f>
        <v>161.84</v>
      </c>
    </row>
    <row r="424" spans="1:21" x14ac:dyDescent="0.3">
      <c r="A424" s="14" t="s">
        <v>205</v>
      </c>
      <c r="B424" s="14" t="s">
        <v>419</v>
      </c>
      <c r="C424" s="14">
        <v>1</v>
      </c>
      <c r="D424" s="37">
        <f>VLOOKUP($B424,Menu!$A$1:$F$20,MATCH($D$1,Menu!$A$1:$F$1,0),0)</f>
        <v>50.19</v>
      </c>
      <c r="E424" s="14" t="str">
        <f>VLOOKUP($B424,Menu!$A$1:$F$20,MATCH(OrderLines!E$1,Menu!$A$1:$F$1,0),0)</f>
        <v>Snack</v>
      </c>
      <c r="F424" s="37">
        <f>VLOOKUP($B424,Menu!$A$1:$F$20,MATCH(OrderLines!F$1,Menu!$A$1:$F$1,0),0)</f>
        <v>22.61</v>
      </c>
      <c r="G424" s="28">
        <f>VLOOKUP($A424,Orders!$A$1:$H$361,MATCH($G$1,Orders!$A$1:$H$1,0),0)</f>
        <v>45876</v>
      </c>
      <c r="H424" s="14" t="str">
        <f>VLOOKUP($A424,Orders!$A$1:$H$361,MATCH(OrderLines!$H$1,Orders!$A$1:$H$1,0),0)</f>
        <v>Plant 1 Canteen</v>
      </c>
      <c r="I424" s="14">
        <f>VLOOKUP($A424,Orders!$A$1:$H$361,MATCH(OrderLines!$I$1,Orders!$A$1:$H$1,0),0)</f>
        <v>0.21</v>
      </c>
      <c r="J424" s="14">
        <f t="shared" si="19"/>
        <v>39.650100000000002</v>
      </c>
      <c r="K424" s="28" t="str">
        <f t="shared" si="20"/>
        <v>August</v>
      </c>
      <c r="L424" s="14" t="str">
        <f>VLOOKUP(OrderLines!$A424,Orders!$A$1:$H$361,MATCH(OrderLines!$L$1,Orders!$A$1:$H$1,0),0)</f>
        <v>Lunch</v>
      </c>
      <c r="M424" t="str">
        <f>VLOOKUP($A424,Orders!$A$1:$H$361,MATCH(OrderLines!$M$1,Orders!$A$1:$H$1,0),0)</f>
        <v>UPI</v>
      </c>
      <c r="N424" t="str">
        <f t="shared" si="18"/>
        <v>Single</v>
      </c>
      <c r="O424" t="str" cm="1">
        <f t="array" ref="O424">IF((SUMPRODUCT((OrderID=OrderLines!$A424)*Qty*UnitPrice*DiscountPct))&gt;40,"HighDisc","OK")</f>
        <v>HighDisc</v>
      </c>
      <c r="P424">
        <f>(orderlinesTABLE[[#This Row],[UnitCost]]*orderlinesTABLE[[#This Row],[Qty]])</f>
        <v>22.61</v>
      </c>
      <c r="Q424">
        <f>(orderlinesTABLE[[#This Row],[LineNetAmount]]-orderlinesTABLE[[#This Row],[totalCOST]])</f>
        <v>17.040100000000002</v>
      </c>
      <c r="R424" t="str">
        <f>VLOOKUP($B424,Menu!$A$1:$F$20,MATCH(OrderLines!R$1,Menu!$A$1:$F$1,0),0)</f>
        <v>Masala Puff</v>
      </c>
      <c r="S424" t="str" cm="1">
        <f t="array" ref="S424">_xlfn.TEXTJOIN("+",TRUE,_xlfn._xlws.FILTER(orderlinesTABLE[ItemName],OrderID=orderlinesTABLE[[#This Row],[OrderID]]))</f>
        <v>Rajma Chawal+Masala Puff+Gulab Jamun (2 pc)</v>
      </c>
      <c r="T424" s="54">
        <f>orderlinesTABLE[[#This Row],[Profit]]/orderlinesTABLE[[#This Row],[LineNetAmount]]</f>
        <v>0.42976184171036141</v>
      </c>
      <c r="U424" s="70">
        <f>(orderlinesTABLE[[#This Row],[Qty]]*orderlinesTABLE[[#This Row],[UnitCost]])</f>
        <v>22.61</v>
      </c>
    </row>
    <row r="425" spans="1:21" x14ac:dyDescent="0.3">
      <c r="A425" s="15" t="s">
        <v>205</v>
      </c>
      <c r="B425" s="15" t="s">
        <v>403</v>
      </c>
      <c r="C425" s="15">
        <v>1</v>
      </c>
      <c r="D425" s="36">
        <f>VLOOKUP($B425,Menu!$A$1:$F$20,MATCH($D$1,Menu!$A$1:$F$1,0),0)</f>
        <v>76.55</v>
      </c>
      <c r="E425" s="15" t="str">
        <f>VLOOKUP($B425,Menu!$A$1:$F$20,MATCH(OrderLines!E$1,Menu!$A$1:$F$1,0),0)</f>
        <v>Dessert</v>
      </c>
      <c r="F425" s="36">
        <f>VLOOKUP($B425,Menu!$A$1:$F$20,MATCH(OrderLines!F$1,Menu!$A$1:$F$1,0),0)</f>
        <v>38.229999999999997</v>
      </c>
      <c r="G425" s="27">
        <f>VLOOKUP($A425,Orders!$A$1:$H$361,MATCH($G$1,Orders!$A$1:$H$1,0),0)</f>
        <v>45876</v>
      </c>
      <c r="H425" s="15" t="str">
        <f>VLOOKUP($A425,Orders!$A$1:$H$361,MATCH(OrderLines!$H$1,Orders!$A$1:$H$1,0),0)</f>
        <v>Plant 1 Canteen</v>
      </c>
      <c r="I425" s="15">
        <f>VLOOKUP($A425,Orders!$A$1:$H$361,MATCH(OrderLines!$I$1,Orders!$A$1:$H$1,0),0)</f>
        <v>0.21</v>
      </c>
      <c r="J425" s="15">
        <f t="shared" si="19"/>
        <v>60.474499999999999</v>
      </c>
      <c r="K425" s="27" t="str">
        <f t="shared" si="20"/>
        <v>August</v>
      </c>
      <c r="L425" s="15" t="str">
        <f>VLOOKUP(OrderLines!$A425,Orders!$A$1:$H$361,MATCH(OrderLines!$L$1,Orders!$A$1:$H$1,0),0)</f>
        <v>Lunch</v>
      </c>
      <c r="M425" t="str">
        <f>VLOOKUP($A425,Orders!$A$1:$H$361,MATCH(OrderLines!$M$1,Orders!$A$1:$H$1,0),0)</f>
        <v>UPI</v>
      </c>
      <c r="N425" t="str">
        <f t="shared" si="18"/>
        <v>Single</v>
      </c>
      <c r="O425" t="str" cm="1">
        <f t="array" ref="O425">IF((SUMPRODUCT((OrderID=OrderLines!$A425)*Qty*UnitPrice*DiscountPct))&gt;40,"HighDisc","OK")</f>
        <v>HighDisc</v>
      </c>
      <c r="P425">
        <f>(orderlinesTABLE[[#This Row],[UnitCost]]*orderlinesTABLE[[#This Row],[Qty]])</f>
        <v>38.229999999999997</v>
      </c>
      <c r="Q425">
        <f>(orderlinesTABLE[[#This Row],[LineNetAmount]]-orderlinesTABLE[[#This Row],[totalCOST]])</f>
        <v>22.244500000000002</v>
      </c>
      <c r="R425" t="str">
        <f>VLOOKUP($B425,Menu!$A$1:$F$20,MATCH(OrderLines!R$1,Menu!$A$1:$F$1,0),0)</f>
        <v>Gulab Jamun (2 pc)</v>
      </c>
      <c r="S425" t="str" cm="1">
        <f t="array" ref="S425">_xlfn.TEXTJOIN("+",TRUE,_xlfn._xlws.FILTER(orderlinesTABLE[ItemName],OrderID=orderlinesTABLE[[#This Row],[OrderID]]))</f>
        <v>Rajma Chawal+Masala Puff+Gulab Jamun (2 pc)</v>
      </c>
      <c r="T425" s="54">
        <f>orderlinesTABLE[[#This Row],[Profit]]/orderlinesTABLE[[#This Row],[LineNetAmount]]</f>
        <v>0.36783272288319874</v>
      </c>
      <c r="U425" s="70">
        <f>(orderlinesTABLE[[#This Row],[Qty]]*orderlinesTABLE[[#This Row],[UnitCost]])</f>
        <v>38.229999999999997</v>
      </c>
    </row>
    <row r="426" spans="1:21" x14ac:dyDescent="0.3">
      <c r="A426" s="14" t="s">
        <v>206</v>
      </c>
      <c r="B426" s="14" t="s">
        <v>412</v>
      </c>
      <c r="C426" s="14">
        <v>1</v>
      </c>
      <c r="D426" s="37">
        <f>VLOOKUP($B426,Menu!$A$1:$F$20,MATCH($D$1,Menu!$A$1:$F$1,0),0)</f>
        <v>57.07</v>
      </c>
      <c r="E426" s="14" t="str">
        <f>VLOOKUP($B426,Menu!$A$1:$F$20,MATCH(OrderLines!E$1,Menu!$A$1:$F$1,0),0)</f>
        <v>Dessert</v>
      </c>
      <c r="F426" s="37">
        <f>VLOOKUP($B426,Menu!$A$1:$F$20,MATCH(OrderLines!F$1,Menu!$A$1:$F$1,0),0)</f>
        <v>29.14</v>
      </c>
      <c r="G426" s="28">
        <f>VLOOKUP($A426,Orders!$A$1:$H$361,MATCH($G$1,Orders!$A$1:$H$1,0),0)</f>
        <v>45846</v>
      </c>
      <c r="H426" s="14" t="str">
        <f>VLOOKUP($A426,Orders!$A$1:$H$361,MATCH(OrderLines!$H$1,Orders!$A$1:$H$1,0),0)</f>
        <v>Plant 2 Canteen</v>
      </c>
      <c r="I426" s="14">
        <f>VLOOKUP($A426,Orders!$A$1:$H$361,MATCH(OrderLines!$I$1,Orders!$A$1:$H$1,0),0)</f>
        <v>0.08</v>
      </c>
      <c r="J426" s="14">
        <f t="shared" si="19"/>
        <v>52.504400000000004</v>
      </c>
      <c r="K426" s="28" t="str">
        <f t="shared" si="20"/>
        <v>July</v>
      </c>
      <c r="L426" s="14" t="str">
        <f>VLOOKUP(OrderLines!$A426,Orders!$A$1:$H$361,MATCH(OrderLines!$L$1,Orders!$A$1:$H$1,0),0)</f>
        <v>Breakfast</v>
      </c>
      <c r="M426" t="str">
        <f>VLOOKUP($A426,Orders!$A$1:$H$361,MATCH(OrderLines!$M$1,Orders!$A$1:$H$1,0),0)</f>
        <v>Card</v>
      </c>
      <c r="N426" t="str">
        <f t="shared" si="18"/>
        <v>Combo</v>
      </c>
      <c r="O426" t="str" cm="1">
        <f t="array" ref="O426">IF((SUMPRODUCT((OrderID=OrderLines!$A426)*Qty*UnitPrice*DiscountPct))&gt;40,"HighDisc","OK")</f>
        <v>OK</v>
      </c>
      <c r="P426">
        <f>(orderlinesTABLE[[#This Row],[UnitCost]]*orderlinesTABLE[[#This Row],[Qty]])</f>
        <v>29.14</v>
      </c>
      <c r="Q426">
        <f>(orderlinesTABLE[[#This Row],[LineNetAmount]]-orderlinesTABLE[[#This Row],[totalCOST]])</f>
        <v>23.364400000000003</v>
      </c>
      <c r="R426" t="str">
        <f>VLOOKUP($B426,Menu!$A$1:$F$20,MATCH(OrderLines!R$1,Menu!$A$1:$F$1,0),0)</f>
        <v>Fruit Cup</v>
      </c>
      <c r="S426" t="str" cm="1">
        <f t="array" ref="S426">_xlfn.TEXTJOIN("+",TRUE,_xlfn._xlws.FILTER(orderlinesTABLE[ItemName],OrderID=orderlinesTABLE[[#This Row],[OrderID]]))</f>
        <v>Fruit Cup+Masala Chaas+Veg Thali+Bottled Water</v>
      </c>
      <c r="T426" s="54">
        <f>orderlinesTABLE[[#This Row],[Profit]]/orderlinesTABLE[[#This Row],[LineNetAmount]]</f>
        <v>0.4449988953306771</v>
      </c>
      <c r="U426" s="70">
        <f>(orderlinesTABLE[[#This Row],[Qty]]*orderlinesTABLE[[#This Row],[UnitCost]])</f>
        <v>29.14</v>
      </c>
    </row>
    <row r="427" spans="1:21" x14ac:dyDescent="0.3">
      <c r="A427" s="15" t="s">
        <v>206</v>
      </c>
      <c r="B427" s="15" t="s">
        <v>404</v>
      </c>
      <c r="C427" s="15">
        <v>1</v>
      </c>
      <c r="D427" s="36">
        <f>VLOOKUP($B427,Menu!$A$1:$F$20,MATCH($D$1,Menu!$A$1:$F$1,0),0)</f>
        <v>32.979999999999997</v>
      </c>
      <c r="E427" s="15" t="str">
        <f>VLOOKUP($B427,Menu!$A$1:$F$20,MATCH(OrderLines!E$1,Menu!$A$1:$F$1,0),0)</f>
        <v>Beverage</v>
      </c>
      <c r="F427" s="36">
        <f>VLOOKUP($B427,Menu!$A$1:$F$20,MATCH(OrderLines!F$1,Menu!$A$1:$F$1,0),0)</f>
        <v>11.84</v>
      </c>
      <c r="G427" s="27">
        <f>VLOOKUP($A427,Orders!$A$1:$H$361,MATCH($G$1,Orders!$A$1:$H$1,0),0)</f>
        <v>45846</v>
      </c>
      <c r="H427" s="15" t="str">
        <f>VLOOKUP($A427,Orders!$A$1:$H$361,MATCH(OrderLines!$H$1,Orders!$A$1:$H$1,0),0)</f>
        <v>Plant 2 Canteen</v>
      </c>
      <c r="I427" s="15">
        <f>VLOOKUP($A427,Orders!$A$1:$H$361,MATCH(OrderLines!$I$1,Orders!$A$1:$H$1,0),0)</f>
        <v>0.08</v>
      </c>
      <c r="J427" s="15">
        <f t="shared" si="19"/>
        <v>30.3416</v>
      </c>
      <c r="K427" s="27" t="str">
        <f t="shared" si="20"/>
        <v>July</v>
      </c>
      <c r="L427" s="15" t="str">
        <f>VLOOKUP(OrderLines!$A427,Orders!$A$1:$H$361,MATCH(OrderLines!$L$1,Orders!$A$1:$H$1,0),0)</f>
        <v>Breakfast</v>
      </c>
      <c r="M427" t="str">
        <f>VLOOKUP($A427,Orders!$A$1:$H$361,MATCH(OrderLines!$M$1,Orders!$A$1:$H$1,0),0)</f>
        <v>Card</v>
      </c>
      <c r="N427" t="str">
        <f t="shared" si="18"/>
        <v>Combo</v>
      </c>
      <c r="O427" t="str" cm="1">
        <f t="array" ref="O427">IF((SUMPRODUCT((OrderID=OrderLines!$A427)*Qty*UnitPrice*DiscountPct))&gt;40,"HighDisc","OK")</f>
        <v>OK</v>
      </c>
      <c r="P427">
        <f>(orderlinesTABLE[[#This Row],[UnitCost]]*orderlinesTABLE[[#This Row],[Qty]])</f>
        <v>11.84</v>
      </c>
      <c r="Q427">
        <f>(orderlinesTABLE[[#This Row],[LineNetAmount]]-orderlinesTABLE[[#This Row],[totalCOST]])</f>
        <v>18.5016</v>
      </c>
      <c r="R427" t="str">
        <f>VLOOKUP($B427,Menu!$A$1:$F$20,MATCH(OrderLines!R$1,Menu!$A$1:$F$1,0),0)</f>
        <v>Masala Chaas</v>
      </c>
      <c r="S427" t="str" cm="1">
        <f t="array" ref="S427">_xlfn.TEXTJOIN("+",TRUE,_xlfn._xlws.FILTER(orderlinesTABLE[ItemName],OrderID=orderlinesTABLE[[#This Row],[OrderID]]))</f>
        <v>Fruit Cup+Masala Chaas+Veg Thali+Bottled Water</v>
      </c>
      <c r="T427" s="54">
        <f>orderlinesTABLE[[#This Row],[Profit]]/orderlinesTABLE[[#This Row],[LineNetAmount]]</f>
        <v>0.60977667624647347</v>
      </c>
      <c r="U427" s="70">
        <f>(orderlinesTABLE[[#This Row],[Qty]]*orderlinesTABLE[[#This Row],[UnitCost]])</f>
        <v>11.84</v>
      </c>
    </row>
    <row r="428" spans="1:21" x14ac:dyDescent="0.3">
      <c r="A428" s="14" t="s">
        <v>206</v>
      </c>
      <c r="B428" s="14" t="s">
        <v>416</v>
      </c>
      <c r="C428" s="14">
        <v>1</v>
      </c>
      <c r="D428" s="37">
        <f>VLOOKUP($B428,Menu!$A$1:$F$20,MATCH($D$1,Menu!$A$1:$F$1,0),0)</f>
        <v>227.61</v>
      </c>
      <c r="E428" s="14" t="str">
        <f>VLOOKUP($B428,Menu!$A$1:$F$20,MATCH(OrderLines!E$1,Menu!$A$1:$F$1,0),0)</f>
        <v>Hot Meal</v>
      </c>
      <c r="F428" s="37">
        <f>VLOOKUP($B428,Menu!$A$1:$F$20,MATCH(OrderLines!F$1,Menu!$A$1:$F$1,0),0)</f>
        <v>96.22</v>
      </c>
      <c r="G428" s="28">
        <f>VLOOKUP($A428,Orders!$A$1:$H$361,MATCH($G$1,Orders!$A$1:$H$1,0),0)</f>
        <v>45846</v>
      </c>
      <c r="H428" s="14" t="str">
        <f>VLOOKUP($A428,Orders!$A$1:$H$361,MATCH(OrderLines!$H$1,Orders!$A$1:$H$1,0),0)</f>
        <v>Plant 2 Canteen</v>
      </c>
      <c r="I428" s="14">
        <f>VLOOKUP($A428,Orders!$A$1:$H$361,MATCH(OrderLines!$I$1,Orders!$A$1:$H$1,0),0)</f>
        <v>0.08</v>
      </c>
      <c r="J428" s="14">
        <f t="shared" si="19"/>
        <v>209.40120000000002</v>
      </c>
      <c r="K428" s="28" t="str">
        <f t="shared" si="20"/>
        <v>July</v>
      </c>
      <c r="L428" s="14" t="str">
        <f>VLOOKUP(OrderLines!$A428,Orders!$A$1:$H$361,MATCH(OrderLines!$L$1,Orders!$A$1:$H$1,0),0)</f>
        <v>Breakfast</v>
      </c>
      <c r="M428" t="str">
        <f>VLOOKUP($A428,Orders!$A$1:$H$361,MATCH(OrderLines!$M$1,Orders!$A$1:$H$1,0),0)</f>
        <v>Card</v>
      </c>
      <c r="N428" t="str">
        <f t="shared" si="18"/>
        <v>Combo</v>
      </c>
      <c r="O428" t="str" cm="1">
        <f t="array" ref="O428">IF((SUMPRODUCT((OrderID=OrderLines!$A428)*Qty*UnitPrice*DiscountPct))&gt;40,"HighDisc","OK")</f>
        <v>OK</v>
      </c>
      <c r="P428">
        <f>(orderlinesTABLE[[#This Row],[UnitCost]]*orderlinesTABLE[[#This Row],[Qty]])</f>
        <v>96.22</v>
      </c>
      <c r="Q428">
        <f>(orderlinesTABLE[[#This Row],[LineNetAmount]]-orderlinesTABLE[[#This Row],[totalCOST]])</f>
        <v>113.18120000000002</v>
      </c>
      <c r="R428" t="str">
        <f>VLOOKUP($B428,Menu!$A$1:$F$20,MATCH(OrderLines!R$1,Menu!$A$1:$F$1,0),0)</f>
        <v>Veg Thali</v>
      </c>
      <c r="S428" t="str" cm="1">
        <f t="array" ref="S428">_xlfn.TEXTJOIN("+",TRUE,_xlfn._xlws.FILTER(orderlinesTABLE[ItemName],OrderID=orderlinesTABLE[[#This Row],[OrderID]]))</f>
        <v>Fruit Cup+Masala Chaas+Veg Thali+Bottled Water</v>
      </c>
      <c r="T428" s="54">
        <f>orderlinesTABLE[[#This Row],[Profit]]/orderlinesTABLE[[#This Row],[LineNetAmount]]</f>
        <v>0.54049929035745736</v>
      </c>
      <c r="U428" s="70">
        <f>(orderlinesTABLE[[#This Row],[Qty]]*orderlinesTABLE[[#This Row],[UnitCost]])</f>
        <v>96.22</v>
      </c>
    </row>
    <row r="429" spans="1:21" x14ac:dyDescent="0.3">
      <c r="A429" s="15" t="s">
        <v>206</v>
      </c>
      <c r="B429" s="15" t="s">
        <v>409</v>
      </c>
      <c r="C429" s="15">
        <v>1</v>
      </c>
      <c r="D429" s="36">
        <f>VLOOKUP($B429,Menu!$A$1:$F$20,MATCH($D$1,Menu!$A$1:$F$1,0),0)</f>
        <v>28.43</v>
      </c>
      <c r="E429" s="15" t="str">
        <f>VLOOKUP($B429,Menu!$A$1:$F$20,MATCH(OrderLines!E$1,Menu!$A$1:$F$1,0),0)</f>
        <v>Beverage</v>
      </c>
      <c r="F429" s="36">
        <f>VLOOKUP($B429,Menu!$A$1:$F$20,MATCH(OrderLines!F$1,Menu!$A$1:$F$1,0),0)</f>
        <v>13.89</v>
      </c>
      <c r="G429" s="27">
        <f>VLOOKUP($A429,Orders!$A$1:$H$361,MATCH($G$1,Orders!$A$1:$H$1,0),0)</f>
        <v>45846</v>
      </c>
      <c r="H429" s="15" t="str">
        <f>VLOOKUP($A429,Orders!$A$1:$H$361,MATCH(OrderLines!$H$1,Orders!$A$1:$H$1,0),0)</f>
        <v>Plant 2 Canteen</v>
      </c>
      <c r="I429" s="15">
        <f>VLOOKUP($A429,Orders!$A$1:$H$361,MATCH(OrderLines!$I$1,Orders!$A$1:$H$1,0),0)</f>
        <v>0.08</v>
      </c>
      <c r="J429" s="15">
        <f t="shared" si="19"/>
        <v>26.1556</v>
      </c>
      <c r="K429" s="27" t="str">
        <f t="shared" si="20"/>
        <v>July</v>
      </c>
      <c r="L429" s="15" t="str">
        <f>VLOOKUP(OrderLines!$A429,Orders!$A$1:$H$361,MATCH(OrderLines!$L$1,Orders!$A$1:$H$1,0),0)</f>
        <v>Breakfast</v>
      </c>
      <c r="M429" t="str">
        <f>VLOOKUP($A429,Orders!$A$1:$H$361,MATCH(OrderLines!$M$1,Orders!$A$1:$H$1,0),0)</f>
        <v>Card</v>
      </c>
      <c r="N429" t="str">
        <f t="shared" si="18"/>
        <v>Combo</v>
      </c>
      <c r="O429" t="str" cm="1">
        <f t="array" ref="O429">IF((SUMPRODUCT((OrderID=OrderLines!$A429)*Qty*UnitPrice*DiscountPct))&gt;40,"HighDisc","OK")</f>
        <v>OK</v>
      </c>
      <c r="P429">
        <f>(orderlinesTABLE[[#This Row],[UnitCost]]*orderlinesTABLE[[#This Row],[Qty]])</f>
        <v>13.89</v>
      </c>
      <c r="Q429">
        <f>(orderlinesTABLE[[#This Row],[LineNetAmount]]-orderlinesTABLE[[#This Row],[totalCOST]])</f>
        <v>12.265599999999999</v>
      </c>
      <c r="R429" t="str">
        <f>VLOOKUP($B429,Menu!$A$1:$F$20,MATCH(OrderLines!R$1,Menu!$A$1:$F$1,0),0)</f>
        <v>Bottled Water</v>
      </c>
      <c r="S429" t="str" cm="1">
        <f t="array" ref="S429">_xlfn.TEXTJOIN("+",TRUE,_xlfn._xlws.FILTER(orderlinesTABLE[ItemName],OrderID=orderlinesTABLE[[#This Row],[OrderID]]))</f>
        <v>Fruit Cup+Masala Chaas+Veg Thali+Bottled Water</v>
      </c>
      <c r="T429" s="54">
        <f>orderlinesTABLE[[#This Row],[Profit]]/orderlinesTABLE[[#This Row],[LineNetAmount]]</f>
        <v>0.46894737647004847</v>
      </c>
      <c r="U429" s="70">
        <f>(orderlinesTABLE[[#This Row],[Qty]]*orderlinesTABLE[[#This Row],[UnitCost]])</f>
        <v>13.89</v>
      </c>
    </row>
    <row r="430" spans="1:21" x14ac:dyDescent="0.3">
      <c r="A430" s="14" t="s">
        <v>207</v>
      </c>
      <c r="B430" s="14" t="s">
        <v>406</v>
      </c>
      <c r="C430" s="14">
        <v>1</v>
      </c>
      <c r="D430" s="37">
        <f>VLOOKUP($B430,Menu!$A$1:$F$20,MATCH($D$1,Menu!$A$1:$F$1,0),0)</f>
        <v>38.06</v>
      </c>
      <c r="E430" s="14" t="str">
        <f>VLOOKUP($B430,Menu!$A$1:$F$20,MATCH(OrderLines!E$1,Menu!$A$1:$F$1,0),0)</f>
        <v>Snack</v>
      </c>
      <c r="F430" s="37">
        <f>VLOOKUP($B430,Menu!$A$1:$F$20,MATCH(OrderLines!F$1,Menu!$A$1:$F$1,0),0)</f>
        <v>19.55</v>
      </c>
      <c r="G430" s="28">
        <f>VLOOKUP($A430,Orders!$A$1:$H$361,MATCH($G$1,Orders!$A$1:$H$1,0),0)</f>
        <v>45865</v>
      </c>
      <c r="H430" s="14" t="str">
        <f>VLOOKUP($A430,Orders!$A$1:$H$361,MATCH(OrderLines!$H$1,Orders!$A$1:$H$1,0),0)</f>
        <v>Plant 1 Canteen</v>
      </c>
      <c r="I430" s="14">
        <f>VLOOKUP($A430,Orders!$A$1:$H$361,MATCH(OrderLines!$I$1,Orders!$A$1:$H$1,0),0)</f>
        <v>0.11</v>
      </c>
      <c r="J430" s="14">
        <f t="shared" si="19"/>
        <v>33.873400000000004</v>
      </c>
      <c r="K430" s="28" t="str">
        <f t="shared" si="20"/>
        <v>July</v>
      </c>
      <c r="L430" s="14" t="str">
        <f>VLOOKUP(OrderLines!$A430,Orders!$A$1:$H$361,MATCH(OrderLines!$L$1,Orders!$A$1:$H$1,0),0)</f>
        <v>Breakfast</v>
      </c>
      <c r="M430" t="str">
        <f>VLOOKUP($A430,Orders!$A$1:$H$361,MATCH(OrderLines!$M$1,Orders!$A$1:$H$1,0),0)</f>
        <v>UPI</v>
      </c>
      <c r="N430" t="str">
        <f t="shared" si="18"/>
        <v>Single</v>
      </c>
      <c r="O430" t="str" cm="1">
        <f t="array" ref="O430">IF((SUMPRODUCT((OrderID=OrderLines!$A430)*Qty*UnitPrice*DiscountPct))&gt;40,"HighDisc","OK")</f>
        <v>OK</v>
      </c>
      <c r="P430">
        <f>(orderlinesTABLE[[#This Row],[UnitCost]]*orderlinesTABLE[[#This Row],[Qty]])</f>
        <v>19.55</v>
      </c>
      <c r="Q430">
        <f>(orderlinesTABLE[[#This Row],[LineNetAmount]]-orderlinesTABLE[[#This Row],[totalCOST]])</f>
        <v>14.323400000000003</v>
      </c>
      <c r="R430" t="str">
        <f>VLOOKUP($B430,Menu!$A$1:$F$20,MATCH(OrderLines!R$1,Menu!$A$1:$F$1,0),0)</f>
        <v>Paneer Roll</v>
      </c>
      <c r="S430" t="str" cm="1">
        <f t="array" ref="S430">_xlfn.TEXTJOIN("+",TRUE,_xlfn._xlws.FILTER(orderlinesTABLE[ItemName],OrderID=orderlinesTABLE[[#This Row],[OrderID]]))</f>
        <v>Paneer Roll+Coffee+Masala Puff+Samosa</v>
      </c>
      <c r="T430" s="54">
        <f>orderlinesTABLE[[#This Row],[Profit]]/orderlinesTABLE[[#This Row],[LineNetAmount]]</f>
        <v>0.42285096860663535</v>
      </c>
      <c r="U430" s="70">
        <f>(orderlinesTABLE[[#This Row],[Qty]]*orderlinesTABLE[[#This Row],[UnitCost]])</f>
        <v>19.55</v>
      </c>
    </row>
    <row r="431" spans="1:21" x14ac:dyDescent="0.3">
      <c r="A431" s="15" t="s">
        <v>207</v>
      </c>
      <c r="B431" s="15" t="s">
        <v>411</v>
      </c>
      <c r="C431" s="15">
        <v>2</v>
      </c>
      <c r="D431" s="36">
        <f>VLOOKUP($B431,Menu!$A$1:$F$20,MATCH($D$1,Menu!$A$1:$F$1,0),0)</f>
        <v>22.2</v>
      </c>
      <c r="E431" s="15" t="str">
        <f>VLOOKUP($B431,Menu!$A$1:$F$20,MATCH(OrderLines!E$1,Menu!$A$1:$F$1,0),0)</f>
        <v>Beverage</v>
      </c>
      <c r="F431" s="36">
        <f>VLOOKUP($B431,Menu!$A$1:$F$20,MATCH(OrderLines!F$1,Menu!$A$1:$F$1,0),0)</f>
        <v>9.3800000000000008</v>
      </c>
      <c r="G431" s="27">
        <f>VLOOKUP($A431,Orders!$A$1:$H$361,MATCH($G$1,Orders!$A$1:$H$1,0),0)</f>
        <v>45865</v>
      </c>
      <c r="H431" s="15" t="str">
        <f>VLOOKUP($A431,Orders!$A$1:$H$361,MATCH(OrderLines!$H$1,Orders!$A$1:$H$1,0),0)</f>
        <v>Plant 1 Canteen</v>
      </c>
      <c r="I431" s="15">
        <f>VLOOKUP($A431,Orders!$A$1:$H$361,MATCH(OrderLines!$I$1,Orders!$A$1:$H$1,0),0)</f>
        <v>0.11</v>
      </c>
      <c r="J431" s="15">
        <f t="shared" si="19"/>
        <v>39.515999999999998</v>
      </c>
      <c r="K431" s="27" t="str">
        <f t="shared" si="20"/>
        <v>July</v>
      </c>
      <c r="L431" s="15" t="str">
        <f>VLOOKUP(OrderLines!$A431,Orders!$A$1:$H$361,MATCH(OrderLines!$L$1,Orders!$A$1:$H$1,0),0)</f>
        <v>Breakfast</v>
      </c>
      <c r="M431" t="str">
        <f>VLOOKUP($A431,Orders!$A$1:$H$361,MATCH(OrderLines!$M$1,Orders!$A$1:$H$1,0),0)</f>
        <v>UPI</v>
      </c>
      <c r="N431" t="str">
        <f t="shared" si="18"/>
        <v>Single</v>
      </c>
      <c r="O431" t="str" cm="1">
        <f t="array" ref="O431">IF((SUMPRODUCT((OrderID=OrderLines!$A431)*Qty*UnitPrice*DiscountPct))&gt;40,"HighDisc","OK")</f>
        <v>OK</v>
      </c>
      <c r="P431">
        <f>(orderlinesTABLE[[#This Row],[UnitCost]]*orderlinesTABLE[[#This Row],[Qty]])</f>
        <v>18.760000000000002</v>
      </c>
      <c r="Q431">
        <f>(orderlinesTABLE[[#This Row],[LineNetAmount]]-orderlinesTABLE[[#This Row],[totalCOST]])</f>
        <v>20.755999999999997</v>
      </c>
      <c r="R431" t="str">
        <f>VLOOKUP($B431,Menu!$A$1:$F$20,MATCH(OrderLines!R$1,Menu!$A$1:$F$1,0),0)</f>
        <v>Coffee</v>
      </c>
      <c r="S431" t="str" cm="1">
        <f t="array" ref="S431">_xlfn.TEXTJOIN("+",TRUE,_xlfn._xlws.FILTER(orderlinesTABLE[ItemName],OrderID=orderlinesTABLE[[#This Row],[OrderID]]))</f>
        <v>Paneer Roll+Coffee+Masala Puff+Samosa</v>
      </c>
      <c r="T431" s="54">
        <f>orderlinesTABLE[[#This Row],[Profit]]/orderlinesTABLE[[#This Row],[LineNetAmount]]</f>
        <v>0.52525559267132294</v>
      </c>
      <c r="U431" s="70">
        <f>(orderlinesTABLE[[#This Row],[Qty]]*orderlinesTABLE[[#This Row],[UnitCost]])</f>
        <v>18.760000000000002</v>
      </c>
    </row>
    <row r="432" spans="1:21" x14ac:dyDescent="0.3">
      <c r="A432" s="14" t="s">
        <v>207</v>
      </c>
      <c r="B432" s="14" t="s">
        <v>419</v>
      </c>
      <c r="C432" s="14">
        <v>1</v>
      </c>
      <c r="D432" s="37">
        <f>VLOOKUP($B432,Menu!$A$1:$F$20,MATCH($D$1,Menu!$A$1:$F$1,0),0)</f>
        <v>50.19</v>
      </c>
      <c r="E432" s="14" t="str">
        <f>VLOOKUP($B432,Menu!$A$1:$F$20,MATCH(OrderLines!E$1,Menu!$A$1:$F$1,0),0)</f>
        <v>Snack</v>
      </c>
      <c r="F432" s="37">
        <f>VLOOKUP($B432,Menu!$A$1:$F$20,MATCH(OrderLines!F$1,Menu!$A$1:$F$1,0),0)</f>
        <v>22.61</v>
      </c>
      <c r="G432" s="28">
        <f>VLOOKUP($A432,Orders!$A$1:$H$361,MATCH($G$1,Orders!$A$1:$H$1,0),0)</f>
        <v>45865</v>
      </c>
      <c r="H432" s="14" t="str">
        <f>VLOOKUP($A432,Orders!$A$1:$H$361,MATCH(OrderLines!$H$1,Orders!$A$1:$H$1,0),0)</f>
        <v>Plant 1 Canteen</v>
      </c>
      <c r="I432" s="14">
        <f>VLOOKUP($A432,Orders!$A$1:$H$361,MATCH(OrderLines!$I$1,Orders!$A$1:$H$1,0),0)</f>
        <v>0.11</v>
      </c>
      <c r="J432" s="14">
        <f t="shared" si="19"/>
        <v>44.6691</v>
      </c>
      <c r="K432" s="28" t="str">
        <f t="shared" si="20"/>
        <v>July</v>
      </c>
      <c r="L432" s="14" t="str">
        <f>VLOOKUP(OrderLines!$A432,Orders!$A$1:$H$361,MATCH(OrderLines!$L$1,Orders!$A$1:$H$1,0),0)</f>
        <v>Breakfast</v>
      </c>
      <c r="M432" t="str">
        <f>VLOOKUP($A432,Orders!$A$1:$H$361,MATCH(OrderLines!$M$1,Orders!$A$1:$H$1,0),0)</f>
        <v>UPI</v>
      </c>
      <c r="N432" t="str">
        <f t="shared" si="18"/>
        <v>Single</v>
      </c>
      <c r="O432" t="str" cm="1">
        <f t="array" ref="O432">IF((SUMPRODUCT((OrderID=OrderLines!$A432)*Qty*UnitPrice*DiscountPct))&gt;40,"HighDisc","OK")</f>
        <v>OK</v>
      </c>
      <c r="P432">
        <f>(orderlinesTABLE[[#This Row],[UnitCost]]*orderlinesTABLE[[#This Row],[Qty]])</f>
        <v>22.61</v>
      </c>
      <c r="Q432">
        <f>(orderlinesTABLE[[#This Row],[LineNetAmount]]-orderlinesTABLE[[#This Row],[totalCOST]])</f>
        <v>22.059100000000001</v>
      </c>
      <c r="R432" t="str">
        <f>VLOOKUP($B432,Menu!$A$1:$F$20,MATCH(OrderLines!R$1,Menu!$A$1:$F$1,0),0)</f>
        <v>Masala Puff</v>
      </c>
      <c r="S432" t="str" cm="1">
        <f t="array" ref="S432">_xlfn.TEXTJOIN("+",TRUE,_xlfn._xlws.FILTER(orderlinesTABLE[ItemName],OrderID=orderlinesTABLE[[#This Row],[OrderID]]))</f>
        <v>Paneer Roll+Coffee+Masala Puff+Samosa</v>
      </c>
      <c r="T432" s="54">
        <f>orderlinesTABLE[[#This Row],[Profit]]/orderlinesTABLE[[#This Row],[LineNetAmount]]</f>
        <v>0.49383354488897246</v>
      </c>
      <c r="U432" s="70">
        <f>(orderlinesTABLE[[#This Row],[Qty]]*orderlinesTABLE[[#This Row],[UnitCost]])</f>
        <v>22.61</v>
      </c>
    </row>
    <row r="433" spans="1:21" x14ac:dyDescent="0.3">
      <c r="A433" s="15" t="s">
        <v>207</v>
      </c>
      <c r="B433" s="15" t="s">
        <v>418</v>
      </c>
      <c r="C433" s="15">
        <v>1</v>
      </c>
      <c r="D433" s="36">
        <f>VLOOKUP($B433,Menu!$A$1:$F$20,MATCH($D$1,Menu!$A$1:$F$1,0),0)</f>
        <v>39.950000000000003</v>
      </c>
      <c r="E433" s="15" t="str">
        <f>VLOOKUP($B433,Menu!$A$1:$F$20,MATCH(OrderLines!E$1,Menu!$A$1:$F$1,0),0)</f>
        <v>Snack</v>
      </c>
      <c r="F433" s="36">
        <f>VLOOKUP($B433,Menu!$A$1:$F$20,MATCH(OrderLines!F$1,Menu!$A$1:$F$1,0),0)</f>
        <v>15.51</v>
      </c>
      <c r="G433" s="27">
        <f>VLOOKUP($A433,Orders!$A$1:$H$361,MATCH($G$1,Orders!$A$1:$H$1,0),0)</f>
        <v>45865</v>
      </c>
      <c r="H433" s="15" t="str">
        <f>VLOOKUP($A433,Orders!$A$1:$H$361,MATCH(OrderLines!$H$1,Orders!$A$1:$H$1,0),0)</f>
        <v>Plant 1 Canteen</v>
      </c>
      <c r="I433" s="15">
        <f>VLOOKUP($A433,Orders!$A$1:$H$361,MATCH(OrderLines!$I$1,Orders!$A$1:$H$1,0),0)</f>
        <v>0.11</v>
      </c>
      <c r="J433" s="15">
        <f t="shared" si="19"/>
        <v>35.555500000000002</v>
      </c>
      <c r="K433" s="27" t="str">
        <f t="shared" si="20"/>
        <v>July</v>
      </c>
      <c r="L433" s="15" t="str">
        <f>VLOOKUP(OrderLines!$A433,Orders!$A$1:$H$361,MATCH(OrderLines!$L$1,Orders!$A$1:$H$1,0),0)</f>
        <v>Breakfast</v>
      </c>
      <c r="M433" t="str">
        <f>VLOOKUP($A433,Orders!$A$1:$H$361,MATCH(OrderLines!$M$1,Orders!$A$1:$H$1,0),0)</f>
        <v>UPI</v>
      </c>
      <c r="N433" t="str">
        <f t="shared" si="18"/>
        <v>Single</v>
      </c>
      <c r="O433" t="str" cm="1">
        <f t="array" ref="O433">IF((SUMPRODUCT((OrderID=OrderLines!$A433)*Qty*UnitPrice*DiscountPct))&gt;40,"HighDisc","OK")</f>
        <v>OK</v>
      </c>
      <c r="P433">
        <f>(orderlinesTABLE[[#This Row],[UnitCost]]*orderlinesTABLE[[#This Row],[Qty]])</f>
        <v>15.51</v>
      </c>
      <c r="Q433">
        <f>(orderlinesTABLE[[#This Row],[LineNetAmount]]-orderlinesTABLE[[#This Row],[totalCOST]])</f>
        <v>20.045500000000004</v>
      </c>
      <c r="R433" t="str">
        <f>VLOOKUP($B433,Menu!$A$1:$F$20,MATCH(OrderLines!R$1,Menu!$A$1:$F$1,0),0)</f>
        <v>Samosa</v>
      </c>
      <c r="S433" t="str" cm="1">
        <f t="array" ref="S433">_xlfn.TEXTJOIN("+",TRUE,_xlfn._xlws.FILTER(orderlinesTABLE[ItemName],OrderID=orderlinesTABLE[[#This Row],[OrderID]]))</f>
        <v>Paneer Roll+Coffee+Masala Puff+Samosa</v>
      </c>
      <c r="T433" s="54">
        <f>orderlinesTABLE[[#This Row],[Profit]]/orderlinesTABLE[[#This Row],[LineNetAmount]]</f>
        <v>0.56378056840713819</v>
      </c>
      <c r="U433" s="70">
        <f>(orderlinesTABLE[[#This Row],[Qty]]*orderlinesTABLE[[#This Row],[UnitCost]])</f>
        <v>15.51</v>
      </c>
    </row>
    <row r="434" spans="1:21" x14ac:dyDescent="0.3">
      <c r="A434" s="14" t="s">
        <v>208</v>
      </c>
      <c r="B434" s="14" t="s">
        <v>417</v>
      </c>
      <c r="C434" s="14">
        <v>1</v>
      </c>
      <c r="D434" s="37">
        <f>VLOOKUP($B434,Menu!$A$1:$F$20,MATCH($D$1,Menu!$A$1:$F$1,0),0)</f>
        <v>146.4</v>
      </c>
      <c r="E434" s="14" t="str">
        <f>VLOOKUP($B434,Menu!$A$1:$F$20,MATCH(OrderLines!E$1,Menu!$A$1:$F$1,0),0)</f>
        <v>Hot Meal</v>
      </c>
      <c r="F434" s="37">
        <f>VLOOKUP($B434,Menu!$A$1:$F$20,MATCH(OrderLines!F$1,Menu!$A$1:$F$1,0),0)</f>
        <v>80.92</v>
      </c>
      <c r="G434" s="28">
        <f>VLOOKUP($A434,Orders!$A$1:$H$361,MATCH($G$1,Orders!$A$1:$H$1,0),0)</f>
        <v>45896</v>
      </c>
      <c r="H434" s="14" t="str">
        <f>VLOOKUP($A434,Orders!$A$1:$H$361,MATCH(OrderLines!$H$1,Orders!$A$1:$H$1,0),0)</f>
        <v>Head Office Café</v>
      </c>
      <c r="I434" s="14">
        <f>VLOOKUP($A434,Orders!$A$1:$H$361,MATCH(OrderLines!$I$1,Orders!$A$1:$H$1,0),0)</f>
        <v>0.1</v>
      </c>
      <c r="J434" s="14">
        <f t="shared" si="19"/>
        <v>131.76000000000002</v>
      </c>
      <c r="K434" s="28" t="str">
        <f t="shared" si="20"/>
        <v>August</v>
      </c>
      <c r="L434" s="14" t="str">
        <f>VLOOKUP(OrderLines!$A434,Orders!$A$1:$H$361,MATCH(OrderLines!$L$1,Orders!$A$1:$H$1,0),0)</f>
        <v>Breakfast</v>
      </c>
      <c r="M434" t="str">
        <f>VLOOKUP($A434,Orders!$A$1:$H$361,MATCH(OrderLines!$M$1,Orders!$A$1:$H$1,0),0)</f>
        <v>Card</v>
      </c>
      <c r="N434" t="str">
        <f t="shared" si="18"/>
        <v>Single</v>
      </c>
      <c r="O434" t="str" cm="1">
        <f t="array" ref="O434">IF((SUMPRODUCT((OrderID=OrderLines!$A434)*Qty*UnitPrice*DiscountPct))&gt;40,"HighDisc","OK")</f>
        <v>HighDisc</v>
      </c>
      <c r="P434">
        <f>(orderlinesTABLE[[#This Row],[UnitCost]]*orderlinesTABLE[[#This Row],[Qty]])</f>
        <v>80.92</v>
      </c>
      <c r="Q434">
        <f>(orderlinesTABLE[[#This Row],[LineNetAmount]]-orderlinesTABLE[[#This Row],[totalCOST]])</f>
        <v>50.840000000000018</v>
      </c>
      <c r="R434" t="str">
        <f>VLOOKUP($B434,Menu!$A$1:$F$20,MATCH(OrderLines!R$1,Menu!$A$1:$F$1,0),0)</f>
        <v>Rajma Chawal</v>
      </c>
      <c r="S434" t="str" cm="1">
        <f t="array" ref="S434">_xlfn.TEXTJOIN("+",TRUE,_xlfn._xlws.FILTER(orderlinesTABLE[ItemName],OrderID=orderlinesTABLE[[#This Row],[OrderID]]))</f>
        <v>Rajma Chawal+Veg Sandwich+Paneer Butter Masala + Naan</v>
      </c>
      <c r="T434" s="54">
        <f>orderlinesTABLE[[#This Row],[Profit]]/orderlinesTABLE[[#This Row],[LineNetAmount]]</f>
        <v>0.38585306618093512</v>
      </c>
      <c r="U434" s="70">
        <f>(orderlinesTABLE[[#This Row],[Qty]]*orderlinesTABLE[[#This Row],[UnitCost]])</f>
        <v>80.92</v>
      </c>
    </row>
    <row r="435" spans="1:21" x14ac:dyDescent="0.3">
      <c r="A435" s="15" t="s">
        <v>208</v>
      </c>
      <c r="B435" s="15" t="s">
        <v>408</v>
      </c>
      <c r="C435" s="15">
        <v>1</v>
      </c>
      <c r="D435" s="36">
        <f>VLOOKUP($B435,Menu!$A$1:$F$20,MATCH($D$1,Menu!$A$1:$F$1,0),0)</f>
        <v>70.540000000000006</v>
      </c>
      <c r="E435" s="15" t="str">
        <f>VLOOKUP($B435,Menu!$A$1:$F$20,MATCH(OrderLines!E$1,Menu!$A$1:$F$1,0),0)</f>
        <v>Snack</v>
      </c>
      <c r="F435" s="36">
        <f>VLOOKUP($B435,Menu!$A$1:$F$20,MATCH(OrderLines!F$1,Menu!$A$1:$F$1,0),0)</f>
        <v>35.81</v>
      </c>
      <c r="G435" s="27">
        <f>VLOOKUP($A435,Orders!$A$1:$H$361,MATCH($G$1,Orders!$A$1:$H$1,0),0)</f>
        <v>45896</v>
      </c>
      <c r="H435" s="15" t="str">
        <f>VLOOKUP($A435,Orders!$A$1:$H$361,MATCH(OrderLines!$H$1,Orders!$A$1:$H$1,0),0)</f>
        <v>Head Office Café</v>
      </c>
      <c r="I435" s="15">
        <f>VLOOKUP($A435,Orders!$A$1:$H$361,MATCH(OrderLines!$I$1,Orders!$A$1:$H$1,0),0)</f>
        <v>0.1</v>
      </c>
      <c r="J435" s="15">
        <f t="shared" si="19"/>
        <v>63.486000000000004</v>
      </c>
      <c r="K435" s="27" t="str">
        <f t="shared" si="20"/>
        <v>August</v>
      </c>
      <c r="L435" s="15" t="str">
        <f>VLOOKUP(OrderLines!$A435,Orders!$A$1:$H$361,MATCH(OrderLines!$L$1,Orders!$A$1:$H$1,0),0)</f>
        <v>Breakfast</v>
      </c>
      <c r="M435" t="str">
        <f>VLOOKUP($A435,Orders!$A$1:$H$361,MATCH(OrderLines!$M$1,Orders!$A$1:$H$1,0),0)</f>
        <v>Card</v>
      </c>
      <c r="N435" t="str">
        <f t="shared" si="18"/>
        <v>Single</v>
      </c>
      <c r="O435" t="str" cm="1">
        <f t="array" ref="O435">IF((SUMPRODUCT((OrderID=OrderLines!$A435)*Qty*UnitPrice*DiscountPct))&gt;40,"HighDisc","OK")</f>
        <v>HighDisc</v>
      </c>
      <c r="P435">
        <f>(orderlinesTABLE[[#This Row],[UnitCost]]*orderlinesTABLE[[#This Row],[Qty]])</f>
        <v>35.81</v>
      </c>
      <c r="Q435">
        <f>(orderlinesTABLE[[#This Row],[LineNetAmount]]-orderlinesTABLE[[#This Row],[totalCOST]])</f>
        <v>27.676000000000002</v>
      </c>
      <c r="R435" t="str">
        <f>VLOOKUP($B435,Menu!$A$1:$F$20,MATCH(OrderLines!R$1,Menu!$A$1:$F$1,0),0)</f>
        <v>Veg Sandwich</v>
      </c>
      <c r="S435" t="str" cm="1">
        <f t="array" ref="S435">_xlfn.TEXTJOIN("+",TRUE,_xlfn._xlws.FILTER(orderlinesTABLE[ItemName],OrderID=orderlinesTABLE[[#This Row],[OrderID]]))</f>
        <v>Rajma Chawal+Veg Sandwich+Paneer Butter Masala + Naan</v>
      </c>
      <c r="T435" s="54">
        <f>orderlinesTABLE[[#This Row],[Profit]]/orderlinesTABLE[[#This Row],[LineNetAmount]]</f>
        <v>0.43593863213936929</v>
      </c>
      <c r="U435" s="70">
        <f>(orderlinesTABLE[[#This Row],[Qty]]*orderlinesTABLE[[#This Row],[UnitCost]])</f>
        <v>35.81</v>
      </c>
    </row>
    <row r="436" spans="1:21" x14ac:dyDescent="0.3">
      <c r="A436" s="14" t="s">
        <v>208</v>
      </c>
      <c r="B436" s="14" t="s">
        <v>405</v>
      </c>
      <c r="C436" s="14">
        <v>2</v>
      </c>
      <c r="D436" s="37">
        <f>VLOOKUP($B436,Menu!$A$1:$F$20,MATCH($D$1,Menu!$A$1:$F$1,0),0)</f>
        <v>170.83</v>
      </c>
      <c r="E436" s="14" t="str">
        <f>VLOOKUP($B436,Menu!$A$1:$F$20,MATCH(OrderLines!E$1,Menu!$A$1:$F$1,0),0)</f>
        <v>Hot Meal</v>
      </c>
      <c r="F436" s="37">
        <f>VLOOKUP($B436,Menu!$A$1:$F$20,MATCH(OrderLines!F$1,Menu!$A$1:$F$1,0),0)</f>
        <v>74.069999999999993</v>
      </c>
      <c r="G436" s="28">
        <f>VLOOKUP($A436,Orders!$A$1:$H$361,MATCH($G$1,Orders!$A$1:$H$1,0),0)</f>
        <v>45896</v>
      </c>
      <c r="H436" s="14" t="str">
        <f>VLOOKUP($A436,Orders!$A$1:$H$361,MATCH(OrderLines!$H$1,Orders!$A$1:$H$1,0),0)</f>
        <v>Head Office Café</v>
      </c>
      <c r="I436" s="14">
        <f>VLOOKUP($A436,Orders!$A$1:$H$361,MATCH(OrderLines!$I$1,Orders!$A$1:$H$1,0),0)</f>
        <v>0.1</v>
      </c>
      <c r="J436" s="14">
        <f t="shared" si="19"/>
        <v>307.49400000000003</v>
      </c>
      <c r="K436" s="28" t="str">
        <f t="shared" si="20"/>
        <v>August</v>
      </c>
      <c r="L436" s="14" t="str">
        <f>VLOOKUP(OrderLines!$A436,Orders!$A$1:$H$361,MATCH(OrderLines!$L$1,Orders!$A$1:$H$1,0),0)</f>
        <v>Breakfast</v>
      </c>
      <c r="M436" t="str">
        <f>VLOOKUP($A436,Orders!$A$1:$H$361,MATCH(OrderLines!$M$1,Orders!$A$1:$H$1,0),0)</f>
        <v>Card</v>
      </c>
      <c r="N436" t="str">
        <f t="shared" si="18"/>
        <v>Single</v>
      </c>
      <c r="O436" t="str" cm="1">
        <f t="array" ref="O436">IF((SUMPRODUCT((OrderID=OrderLines!$A436)*Qty*UnitPrice*DiscountPct))&gt;40,"HighDisc","OK")</f>
        <v>HighDisc</v>
      </c>
      <c r="P436">
        <f>(orderlinesTABLE[[#This Row],[UnitCost]]*orderlinesTABLE[[#This Row],[Qty]])</f>
        <v>148.13999999999999</v>
      </c>
      <c r="Q436">
        <f>(orderlinesTABLE[[#This Row],[LineNetAmount]]-orderlinesTABLE[[#This Row],[totalCOST]])</f>
        <v>159.35400000000004</v>
      </c>
      <c r="R436" t="str">
        <f>VLOOKUP($B436,Menu!$A$1:$F$20,MATCH(OrderLines!R$1,Menu!$A$1:$F$1,0),0)</f>
        <v>Paneer Butter Masala + Naan</v>
      </c>
      <c r="S436" t="str" cm="1">
        <f t="array" ref="S436">_xlfn.TEXTJOIN("+",TRUE,_xlfn._xlws.FILTER(orderlinesTABLE[ItemName],OrderID=orderlinesTABLE[[#This Row],[OrderID]]))</f>
        <v>Rajma Chawal+Veg Sandwich+Paneer Butter Masala + Naan</v>
      </c>
      <c r="T436" s="54">
        <f>orderlinesTABLE[[#This Row],[Profit]]/orderlinesTABLE[[#This Row],[LineNetAmount]]</f>
        <v>0.51823450213662714</v>
      </c>
      <c r="U436" s="70">
        <f>(orderlinesTABLE[[#This Row],[Qty]]*orderlinesTABLE[[#This Row],[UnitCost]])</f>
        <v>148.13999999999999</v>
      </c>
    </row>
    <row r="437" spans="1:21" x14ac:dyDescent="0.3">
      <c r="A437" s="15" t="s">
        <v>209</v>
      </c>
      <c r="B437" s="15" t="s">
        <v>416</v>
      </c>
      <c r="C437" s="15">
        <v>2</v>
      </c>
      <c r="D437" s="36">
        <f>VLOOKUP($B437,Menu!$A$1:$F$20,MATCH($D$1,Menu!$A$1:$F$1,0),0)</f>
        <v>227.61</v>
      </c>
      <c r="E437" s="15" t="str">
        <f>VLOOKUP($B437,Menu!$A$1:$F$20,MATCH(OrderLines!E$1,Menu!$A$1:$F$1,0),0)</f>
        <v>Hot Meal</v>
      </c>
      <c r="F437" s="36">
        <f>VLOOKUP($B437,Menu!$A$1:$F$20,MATCH(OrderLines!F$1,Menu!$A$1:$F$1,0),0)</f>
        <v>96.22</v>
      </c>
      <c r="G437" s="27">
        <f>VLOOKUP($A437,Orders!$A$1:$H$361,MATCH($G$1,Orders!$A$1:$H$1,0),0)</f>
        <v>45882</v>
      </c>
      <c r="H437" s="15" t="str">
        <f>VLOOKUP($A437,Orders!$A$1:$H$361,MATCH(OrderLines!$H$1,Orders!$A$1:$H$1,0),0)</f>
        <v>Head Office Café</v>
      </c>
      <c r="I437" s="15">
        <f>VLOOKUP($A437,Orders!$A$1:$H$361,MATCH(OrderLines!$I$1,Orders!$A$1:$H$1,0),0)</f>
        <v>0.09</v>
      </c>
      <c r="J437" s="15">
        <f t="shared" si="19"/>
        <v>414.25020000000006</v>
      </c>
      <c r="K437" s="27" t="str">
        <f t="shared" si="20"/>
        <v>August</v>
      </c>
      <c r="L437" s="15" t="str">
        <f>VLOOKUP(OrderLines!$A437,Orders!$A$1:$H$361,MATCH(OrderLines!$L$1,Orders!$A$1:$H$1,0),0)</f>
        <v>Lunch</v>
      </c>
      <c r="M437" t="str">
        <f>VLOOKUP($A437,Orders!$A$1:$H$361,MATCH(OrderLines!$M$1,Orders!$A$1:$H$1,0),0)</f>
        <v>Card</v>
      </c>
      <c r="N437" t="str">
        <f t="shared" si="18"/>
        <v>Single</v>
      </c>
      <c r="O437" t="str" cm="1">
        <f t="array" ref="O437">IF((SUMPRODUCT((OrderID=OrderLines!$A437)*Qty*UnitPrice*DiscountPct))&gt;40,"HighDisc","OK")</f>
        <v>HighDisc</v>
      </c>
      <c r="P437">
        <f>(orderlinesTABLE[[#This Row],[UnitCost]]*orderlinesTABLE[[#This Row],[Qty]])</f>
        <v>192.44</v>
      </c>
      <c r="Q437">
        <f>(orderlinesTABLE[[#This Row],[LineNetAmount]]-orderlinesTABLE[[#This Row],[totalCOST]])</f>
        <v>221.81020000000007</v>
      </c>
      <c r="R437" t="str">
        <f>VLOOKUP($B437,Menu!$A$1:$F$20,MATCH(OrderLines!R$1,Menu!$A$1:$F$1,0),0)</f>
        <v>Veg Thali</v>
      </c>
      <c r="S437" t="str" cm="1">
        <f t="array" ref="S437">_xlfn.TEXTJOIN("+",TRUE,_xlfn._xlws.FILTER(orderlinesTABLE[ItemName],OrderID=orderlinesTABLE[[#This Row],[OrderID]]))</f>
        <v>Veg Thali</v>
      </c>
      <c r="T437" s="54">
        <f>orderlinesTABLE[[#This Row],[Profit]]/orderlinesTABLE[[#This Row],[LineNetAmount]]</f>
        <v>0.53544983200973717</v>
      </c>
      <c r="U437" s="70">
        <f>(orderlinesTABLE[[#This Row],[Qty]]*orderlinesTABLE[[#This Row],[UnitCost]])</f>
        <v>192.44</v>
      </c>
    </row>
    <row r="438" spans="1:21" x14ac:dyDescent="0.3">
      <c r="A438" s="14" t="s">
        <v>210</v>
      </c>
      <c r="B438" s="14" t="s">
        <v>415</v>
      </c>
      <c r="C438" s="14">
        <v>2</v>
      </c>
      <c r="D438" s="37">
        <f>VLOOKUP($B438,Menu!$A$1:$F$20,MATCH($D$1,Menu!$A$1:$F$1,0),0)</f>
        <v>256.91000000000003</v>
      </c>
      <c r="E438" s="14" t="str">
        <f>VLOOKUP($B438,Menu!$A$1:$F$20,MATCH(OrderLines!E$1,Menu!$A$1:$F$1,0),0)</f>
        <v>Hot Meal</v>
      </c>
      <c r="F438" s="37">
        <f>VLOOKUP($B438,Menu!$A$1:$F$20,MATCH(OrderLines!F$1,Menu!$A$1:$F$1,0),0)</f>
        <v>121.24</v>
      </c>
      <c r="G438" s="28">
        <f>VLOOKUP($A438,Orders!$A$1:$H$361,MATCH($G$1,Orders!$A$1:$H$1,0),0)</f>
        <v>45892</v>
      </c>
      <c r="H438" s="14" t="str">
        <f>VLOOKUP($A438,Orders!$A$1:$H$361,MATCH(OrderLines!$H$1,Orders!$A$1:$H$1,0),0)</f>
        <v>Head Office Café</v>
      </c>
      <c r="I438" s="14">
        <f>VLOOKUP($A438,Orders!$A$1:$H$361,MATCH(OrderLines!$I$1,Orders!$A$1:$H$1,0),0)</f>
        <v>0.05</v>
      </c>
      <c r="J438" s="14">
        <f t="shared" si="19"/>
        <v>488.12900000000002</v>
      </c>
      <c r="K438" s="28" t="str">
        <f t="shared" si="20"/>
        <v>August</v>
      </c>
      <c r="L438" s="14" t="str">
        <f>VLOOKUP(OrderLines!$A438,Orders!$A$1:$H$361,MATCH(OrderLines!$L$1,Orders!$A$1:$H$1,0),0)</f>
        <v>Dinner</v>
      </c>
      <c r="M438" t="str">
        <f>VLOOKUP($A438,Orders!$A$1:$H$361,MATCH(OrderLines!$M$1,Orders!$A$1:$H$1,0),0)</f>
        <v>Card</v>
      </c>
      <c r="N438" t="str">
        <f t="shared" si="18"/>
        <v>Single</v>
      </c>
      <c r="O438" t="str" cm="1">
        <f t="array" ref="O438">IF((SUMPRODUCT((OrderID=OrderLines!$A438)*Qty*UnitPrice*DiscountPct))&gt;40,"HighDisc","OK")</f>
        <v>OK</v>
      </c>
      <c r="P438">
        <f>(orderlinesTABLE[[#This Row],[UnitCost]]*orderlinesTABLE[[#This Row],[Qty]])</f>
        <v>242.48</v>
      </c>
      <c r="Q438">
        <f>(orderlinesTABLE[[#This Row],[LineNetAmount]]-orderlinesTABLE[[#This Row],[totalCOST]])</f>
        <v>245.64900000000003</v>
      </c>
      <c r="R438" t="str">
        <f>VLOOKUP($B438,Menu!$A$1:$F$20,MATCH(OrderLines!R$1,Menu!$A$1:$F$1,0),0)</f>
        <v>Chicken Thali</v>
      </c>
      <c r="S438" t="str" cm="1">
        <f t="array" ref="S438">_xlfn.TEXTJOIN("+",TRUE,_xlfn._xlws.FILTER(orderlinesTABLE[ItemName],OrderID=orderlinesTABLE[[#This Row],[OrderID]]))</f>
        <v>Chicken Thali</v>
      </c>
      <c r="T438" s="54">
        <f>orderlinesTABLE[[#This Row],[Profit]]/orderlinesTABLE[[#This Row],[LineNetAmount]]</f>
        <v>0.50324606815001771</v>
      </c>
      <c r="U438" s="70">
        <f>(orderlinesTABLE[[#This Row],[Qty]]*orderlinesTABLE[[#This Row],[UnitCost]])</f>
        <v>242.48</v>
      </c>
    </row>
    <row r="439" spans="1:21" x14ac:dyDescent="0.3">
      <c r="A439" s="15" t="s">
        <v>211</v>
      </c>
      <c r="B439" s="15" t="s">
        <v>410</v>
      </c>
      <c r="C439" s="15">
        <v>2</v>
      </c>
      <c r="D439" s="36">
        <f>VLOOKUP($B439,Menu!$A$1:$F$20,MATCH($D$1,Menu!$A$1:$F$1,0),0)</f>
        <v>20.11</v>
      </c>
      <c r="E439" s="15" t="str">
        <f>VLOOKUP($B439,Menu!$A$1:$F$20,MATCH(OrderLines!E$1,Menu!$A$1:$F$1,0),0)</f>
        <v>Beverage</v>
      </c>
      <c r="F439" s="36">
        <f>VLOOKUP($B439,Menu!$A$1:$F$20,MATCH(OrderLines!F$1,Menu!$A$1:$F$1,0),0)</f>
        <v>8</v>
      </c>
      <c r="G439" s="27">
        <f>VLOOKUP($A439,Orders!$A$1:$H$361,MATCH($G$1,Orders!$A$1:$H$1,0),0)</f>
        <v>45857</v>
      </c>
      <c r="H439" s="15" t="str">
        <f>VLOOKUP($A439,Orders!$A$1:$H$361,MATCH(OrderLines!$H$1,Orders!$A$1:$H$1,0),0)</f>
        <v>Head Office Café</v>
      </c>
      <c r="I439" s="15">
        <f>VLOOKUP($A439,Orders!$A$1:$H$361,MATCH(OrderLines!$I$1,Orders!$A$1:$H$1,0),0)</f>
        <v>0.09</v>
      </c>
      <c r="J439" s="15">
        <f t="shared" si="19"/>
        <v>36.600200000000001</v>
      </c>
      <c r="K439" s="27" t="str">
        <f t="shared" si="20"/>
        <v>July</v>
      </c>
      <c r="L439" s="15" t="str">
        <f>VLOOKUP(OrderLines!$A439,Orders!$A$1:$H$361,MATCH(OrderLines!$L$1,Orders!$A$1:$H$1,0),0)</f>
        <v>Lunch</v>
      </c>
      <c r="M439" t="str">
        <f>VLOOKUP($A439,Orders!$A$1:$H$361,MATCH(OrderLines!$M$1,Orders!$A$1:$H$1,0),0)</f>
        <v>UPI</v>
      </c>
      <c r="N439" t="str">
        <f t="shared" si="18"/>
        <v>Single</v>
      </c>
      <c r="O439" t="str" cm="1">
        <f t="array" ref="O439">IF((SUMPRODUCT((OrderID=OrderLines!$A439)*Qty*UnitPrice*DiscountPct))&gt;40,"HighDisc","OK")</f>
        <v>OK</v>
      </c>
      <c r="P439">
        <f>(orderlinesTABLE[[#This Row],[UnitCost]]*orderlinesTABLE[[#This Row],[Qty]])</f>
        <v>16</v>
      </c>
      <c r="Q439">
        <f>(orderlinesTABLE[[#This Row],[LineNetAmount]]-orderlinesTABLE[[#This Row],[totalCOST]])</f>
        <v>20.600200000000001</v>
      </c>
      <c r="R439" t="str">
        <f>VLOOKUP($B439,Menu!$A$1:$F$20,MATCH(OrderLines!R$1,Menu!$A$1:$F$1,0),0)</f>
        <v>Nimbu Pani</v>
      </c>
      <c r="S439" t="str" cm="1">
        <f t="array" ref="S439">_xlfn.TEXTJOIN("+",TRUE,_xlfn._xlws.FILTER(orderlinesTABLE[ItemName],OrderID=orderlinesTABLE[[#This Row],[OrderID]]))</f>
        <v>Nimbu Pani+Gulab Jamun (2 pc)+Masala Chaas+Bottled Water</v>
      </c>
      <c r="T439" s="54">
        <f>orderlinesTABLE[[#This Row],[Profit]]/orderlinesTABLE[[#This Row],[LineNetAmount]]</f>
        <v>0.56284391888568919</v>
      </c>
      <c r="U439" s="70">
        <f>(orderlinesTABLE[[#This Row],[Qty]]*orderlinesTABLE[[#This Row],[UnitCost]])</f>
        <v>16</v>
      </c>
    </row>
    <row r="440" spans="1:21" x14ac:dyDescent="0.3">
      <c r="A440" s="14" t="s">
        <v>211</v>
      </c>
      <c r="B440" s="14" t="s">
        <v>403</v>
      </c>
      <c r="C440" s="14">
        <v>1</v>
      </c>
      <c r="D440" s="37">
        <f>VLOOKUP($B440,Menu!$A$1:$F$20,MATCH($D$1,Menu!$A$1:$F$1,0),0)</f>
        <v>76.55</v>
      </c>
      <c r="E440" s="14" t="str">
        <f>VLOOKUP($B440,Menu!$A$1:$F$20,MATCH(OrderLines!E$1,Menu!$A$1:$F$1,0),0)</f>
        <v>Dessert</v>
      </c>
      <c r="F440" s="37">
        <f>VLOOKUP($B440,Menu!$A$1:$F$20,MATCH(OrderLines!F$1,Menu!$A$1:$F$1,0),0)</f>
        <v>38.229999999999997</v>
      </c>
      <c r="G440" s="28">
        <f>VLOOKUP($A440,Orders!$A$1:$H$361,MATCH($G$1,Orders!$A$1:$H$1,0),0)</f>
        <v>45857</v>
      </c>
      <c r="H440" s="14" t="str">
        <f>VLOOKUP($A440,Orders!$A$1:$H$361,MATCH(OrderLines!$H$1,Orders!$A$1:$H$1,0),0)</f>
        <v>Head Office Café</v>
      </c>
      <c r="I440" s="14">
        <f>VLOOKUP($A440,Orders!$A$1:$H$361,MATCH(OrderLines!$I$1,Orders!$A$1:$H$1,0),0)</f>
        <v>0.09</v>
      </c>
      <c r="J440" s="14">
        <f t="shared" si="19"/>
        <v>69.660499999999999</v>
      </c>
      <c r="K440" s="28" t="str">
        <f t="shared" si="20"/>
        <v>July</v>
      </c>
      <c r="L440" s="14" t="str">
        <f>VLOOKUP(OrderLines!$A440,Orders!$A$1:$H$361,MATCH(OrderLines!$L$1,Orders!$A$1:$H$1,0),0)</f>
        <v>Lunch</v>
      </c>
      <c r="M440" t="str">
        <f>VLOOKUP($A440,Orders!$A$1:$H$361,MATCH(OrderLines!$M$1,Orders!$A$1:$H$1,0),0)</f>
        <v>UPI</v>
      </c>
      <c r="N440" t="str">
        <f t="shared" si="18"/>
        <v>Single</v>
      </c>
      <c r="O440" t="str" cm="1">
        <f t="array" ref="O440">IF((SUMPRODUCT((OrderID=OrderLines!$A440)*Qty*UnitPrice*DiscountPct))&gt;40,"HighDisc","OK")</f>
        <v>OK</v>
      </c>
      <c r="P440">
        <f>(orderlinesTABLE[[#This Row],[UnitCost]]*orderlinesTABLE[[#This Row],[Qty]])</f>
        <v>38.229999999999997</v>
      </c>
      <c r="Q440">
        <f>(orderlinesTABLE[[#This Row],[LineNetAmount]]-orderlinesTABLE[[#This Row],[totalCOST]])</f>
        <v>31.430500000000002</v>
      </c>
      <c r="R440" t="str">
        <f>VLOOKUP($B440,Menu!$A$1:$F$20,MATCH(OrderLines!R$1,Menu!$A$1:$F$1,0),0)</f>
        <v>Gulab Jamun (2 pc)</v>
      </c>
      <c r="S440" t="str" cm="1">
        <f t="array" ref="S440">_xlfn.TEXTJOIN("+",TRUE,_xlfn._xlws.FILTER(orderlinesTABLE[ItemName],OrderID=orderlinesTABLE[[#This Row],[OrderID]]))</f>
        <v>Nimbu Pani+Gulab Jamun (2 pc)+Masala Chaas+Bottled Water</v>
      </c>
      <c r="T440" s="54">
        <f>orderlinesTABLE[[#This Row],[Profit]]/orderlinesTABLE[[#This Row],[LineNetAmount]]</f>
        <v>0.45119544074475493</v>
      </c>
      <c r="U440" s="70">
        <f>(orderlinesTABLE[[#This Row],[Qty]]*orderlinesTABLE[[#This Row],[UnitCost]])</f>
        <v>38.229999999999997</v>
      </c>
    </row>
    <row r="441" spans="1:21" x14ac:dyDescent="0.3">
      <c r="A441" s="15" t="s">
        <v>211</v>
      </c>
      <c r="B441" s="15" t="s">
        <v>404</v>
      </c>
      <c r="C441" s="15">
        <v>2</v>
      </c>
      <c r="D441" s="36">
        <f>VLOOKUP($B441,Menu!$A$1:$F$20,MATCH($D$1,Menu!$A$1:$F$1,0),0)</f>
        <v>32.979999999999997</v>
      </c>
      <c r="E441" s="15" t="str">
        <f>VLOOKUP($B441,Menu!$A$1:$F$20,MATCH(OrderLines!E$1,Menu!$A$1:$F$1,0),0)</f>
        <v>Beverage</v>
      </c>
      <c r="F441" s="36">
        <f>VLOOKUP($B441,Menu!$A$1:$F$20,MATCH(OrderLines!F$1,Menu!$A$1:$F$1,0),0)</f>
        <v>11.84</v>
      </c>
      <c r="G441" s="27">
        <f>VLOOKUP($A441,Orders!$A$1:$H$361,MATCH($G$1,Orders!$A$1:$H$1,0),0)</f>
        <v>45857</v>
      </c>
      <c r="H441" s="15" t="str">
        <f>VLOOKUP($A441,Orders!$A$1:$H$361,MATCH(OrderLines!$H$1,Orders!$A$1:$H$1,0),0)</f>
        <v>Head Office Café</v>
      </c>
      <c r="I441" s="15">
        <f>VLOOKUP($A441,Orders!$A$1:$H$361,MATCH(OrderLines!$I$1,Orders!$A$1:$H$1,0),0)</f>
        <v>0.09</v>
      </c>
      <c r="J441" s="15">
        <f t="shared" si="19"/>
        <v>60.023599999999995</v>
      </c>
      <c r="K441" s="27" t="str">
        <f t="shared" si="20"/>
        <v>July</v>
      </c>
      <c r="L441" s="15" t="str">
        <f>VLOOKUP(OrderLines!$A441,Orders!$A$1:$H$361,MATCH(OrderLines!$L$1,Orders!$A$1:$H$1,0),0)</f>
        <v>Lunch</v>
      </c>
      <c r="M441" t="str">
        <f>VLOOKUP($A441,Orders!$A$1:$H$361,MATCH(OrderLines!$M$1,Orders!$A$1:$H$1,0),0)</f>
        <v>UPI</v>
      </c>
      <c r="N441" t="str">
        <f t="shared" si="18"/>
        <v>Single</v>
      </c>
      <c r="O441" t="str" cm="1">
        <f t="array" ref="O441">IF((SUMPRODUCT((OrderID=OrderLines!$A441)*Qty*UnitPrice*DiscountPct))&gt;40,"HighDisc","OK")</f>
        <v>OK</v>
      </c>
      <c r="P441">
        <f>(orderlinesTABLE[[#This Row],[UnitCost]]*orderlinesTABLE[[#This Row],[Qty]])</f>
        <v>23.68</v>
      </c>
      <c r="Q441">
        <f>(orderlinesTABLE[[#This Row],[LineNetAmount]]-orderlinesTABLE[[#This Row],[totalCOST]])</f>
        <v>36.343599999999995</v>
      </c>
      <c r="R441" t="str">
        <f>VLOOKUP($B441,Menu!$A$1:$F$20,MATCH(OrderLines!R$1,Menu!$A$1:$F$1,0),0)</f>
        <v>Masala Chaas</v>
      </c>
      <c r="S441" t="str" cm="1">
        <f t="array" ref="S441">_xlfn.TEXTJOIN("+",TRUE,_xlfn._xlws.FILTER(orderlinesTABLE[ItemName],OrderID=orderlinesTABLE[[#This Row],[OrderID]]))</f>
        <v>Nimbu Pani+Gulab Jamun (2 pc)+Masala Chaas+Bottled Water</v>
      </c>
      <c r="T441" s="54">
        <f>orderlinesTABLE[[#This Row],[Profit]]/orderlinesTABLE[[#This Row],[LineNetAmount]]</f>
        <v>0.60548850785357755</v>
      </c>
      <c r="U441" s="70">
        <f>(orderlinesTABLE[[#This Row],[Qty]]*orderlinesTABLE[[#This Row],[UnitCost]])</f>
        <v>23.68</v>
      </c>
    </row>
    <row r="442" spans="1:21" x14ac:dyDescent="0.3">
      <c r="A442" s="14" t="s">
        <v>211</v>
      </c>
      <c r="B442" s="14" t="s">
        <v>409</v>
      </c>
      <c r="C442" s="14">
        <v>3</v>
      </c>
      <c r="D442" s="37">
        <f>VLOOKUP($B442,Menu!$A$1:$F$20,MATCH($D$1,Menu!$A$1:$F$1,0),0)</f>
        <v>28.43</v>
      </c>
      <c r="E442" s="14" t="str">
        <f>VLOOKUP($B442,Menu!$A$1:$F$20,MATCH(OrderLines!E$1,Menu!$A$1:$F$1,0),0)</f>
        <v>Beverage</v>
      </c>
      <c r="F442" s="37">
        <f>VLOOKUP($B442,Menu!$A$1:$F$20,MATCH(OrderLines!F$1,Menu!$A$1:$F$1,0),0)</f>
        <v>13.89</v>
      </c>
      <c r="G442" s="28">
        <f>VLOOKUP($A442,Orders!$A$1:$H$361,MATCH($G$1,Orders!$A$1:$H$1,0),0)</f>
        <v>45857</v>
      </c>
      <c r="H442" s="14" t="str">
        <f>VLOOKUP($A442,Orders!$A$1:$H$361,MATCH(OrderLines!$H$1,Orders!$A$1:$H$1,0),0)</f>
        <v>Head Office Café</v>
      </c>
      <c r="I442" s="14">
        <f>VLOOKUP($A442,Orders!$A$1:$H$361,MATCH(OrderLines!$I$1,Orders!$A$1:$H$1,0),0)</f>
        <v>0.09</v>
      </c>
      <c r="J442" s="14">
        <f t="shared" si="19"/>
        <v>77.613900000000001</v>
      </c>
      <c r="K442" s="28" t="str">
        <f t="shared" si="20"/>
        <v>July</v>
      </c>
      <c r="L442" s="14" t="str">
        <f>VLOOKUP(OrderLines!$A442,Orders!$A$1:$H$361,MATCH(OrderLines!$L$1,Orders!$A$1:$H$1,0),0)</f>
        <v>Lunch</v>
      </c>
      <c r="M442" t="str">
        <f>VLOOKUP($A442,Orders!$A$1:$H$361,MATCH(OrderLines!$M$1,Orders!$A$1:$H$1,0),0)</f>
        <v>UPI</v>
      </c>
      <c r="N442" t="str">
        <f t="shared" si="18"/>
        <v>Single</v>
      </c>
      <c r="O442" t="str" cm="1">
        <f t="array" ref="O442">IF((SUMPRODUCT((OrderID=OrderLines!$A442)*Qty*UnitPrice*DiscountPct))&gt;40,"HighDisc","OK")</f>
        <v>OK</v>
      </c>
      <c r="P442">
        <f>(orderlinesTABLE[[#This Row],[UnitCost]]*orderlinesTABLE[[#This Row],[Qty]])</f>
        <v>41.67</v>
      </c>
      <c r="Q442">
        <f>(orderlinesTABLE[[#This Row],[LineNetAmount]]-orderlinesTABLE[[#This Row],[totalCOST]])</f>
        <v>35.943899999999999</v>
      </c>
      <c r="R442" t="str">
        <f>VLOOKUP($B442,Menu!$A$1:$F$20,MATCH(OrderLines!R$1,Menu!$A$1:$F$1,0),0)</f>
        <v>Bottled Water</v>
      </c>
      <c r="S442" t="str" cm="1">
        <f t="array" ref="S442">_xlfn.TEXTJOIN("+",TRUE,_xlfn._xlws.FILTER(orderlinesTABLE[ItemName],OrderID=orderlinesTABLE[[#This Row],[OrderID]]))</f>
        <v>Nimbu Pani+Gulab Jamun (2 pc)+Masala Chaas+Bottled Water</v>
      </c>
      <c r="T442" s="54">
        <f>orderlinesTABLE[[#This Row],[Profit]]/orderlinesTABLE[[#This Row],[LineNetAmount]]</f>
        <v>0.4631116333543347</v>
      </c>
      <c r="U442" s="70">
        <f>(orderlinesTABLE[[#This Row],[Qty]]*orderlinesTABLE[[#This Row],[UnitCost]])</f>
        <v>41.67</v>
      </c>
    </row>
    <row r="443" spans="1:21" x14ac:dyDescent="0.3">
      <c r="A443" s="15" t="s">
        <v>212</v>
      </c>
      <c r="B443" s="15" t="s">
        <v>419</v>
      </c>
      <c r="C443" s="15">
        <v>2</v>
      </c>
      <c r="D443" s="36">
        <f>VLOOKUP($B443,Menu!$A$1:$F$20,MATCH($D$1,Menu!$A$1:$F$1,0),0)</f>
        <v>50.19</v>
      </c>
      <c r="E443" s="15" t="str">
        <f>VLOOKUP($B443,Menu!$A$1:$F$20,MATCH(OrderLines!E$1,Menu!$A$1:$F$1,0),0)</f>
        <v>Snack</v>
      </c>
      <c r="F443" s="36">
        <f>VLOOKUP($B443,Menu!$A$1:$F$20,MATCH(OrderLines!F$1,Menu!$A$1:$F$1,0),0)</f>
        <v>22.61</v>
      </c>
      <c r="G443" s="27">
        <f>VLOOKUP($A443,Orders!$A$1:$H$361,MATCH($G$1,Orders!$A$1:$H$1,0),0)</f>
        <v>45861</v>
      </c>
      <c r="H443" s="15" t="str">
        <f>VLOOKUP($A443,Orders!$A$1:$H$361,MATCH(OrderLines!$H$1,Orders!$A$1:$H$1,0),0)</f>
        <v>Plant 2 Canteen</v>
      </c>
      <c r="I443" s="15">
        <f>VLOOKUP($A443,Orders!$A$1:$H$361,MATCH(OrderLines!$I$1,Orders!$A$1:$H$1,0),0)</f>
        <v>0.03</v>
      </c>
      <c r="J443" s="15">
        <f t="shared" si="19"/>
        <v>97.368599999999986</v>
      </c>
      <c r="K443" s="27" t="str">
        <f t="shared" si="20"/>
        <v>July</v>
      </c>
      <c r="L443" s="15" t="str">
        <f>VLOOKUP(OrderLines!$A443,Orders!$A$1:$H$361,MATCH(OrderLines!$L$1,Orders!$A$1:$H$1,0),0)</f>
        <v>Dinner</v>
      </c>
      <c r="M443" t="str">
        <f>VLOOKUP($A443,Orders!$A$1:$H$361,MATCH(OrderLines!$M$1,Orders!$A$1:$H$1,0),0)</f>
        <v>Card</v>
      </c>
      <c r="N443" t="str">
        <f t="shared" si="18"/>
        <v>Single</v>
      </c>
      <c r="O443" t="str" cm="1">
        <f t="array" ref="O443">IF((SUMPRODUCT((OrderID=OrderLines!$A443)*Qty*UnitPrice*DiscountPct))&gt;40,"HighDisc","OK")</f>
        <v>OK</v>
      </c>
      <c r="P443">
        <f>(orderlinesTABLE[[#This Row],[UnitCost]]*orderlinesTABLE[[#This Row],[Qty]])</f>
        <v>45.22</v>
      </c>
      <c r="Q443">
        <f>(orderlinesTABLE[[#This Row],[LineNetAmount]]-orderlinesTABLE[[#This Row],[totalCOST]])</f>
        <v>52.148599999999988</v>
      </c>
      <c r="R443" t="str">
        <f>VLOOKUP($B443,Menu!$A$1:$F$20,MATCH(OrderLines!R$1,Menu!$A$1:$F$1,0),0)</f>
        <v>Masala Puff</v>
      </c>
      <c r="S443" t="str" cm="1">
        <f t="array" ref="S443">_xlfn.TEXTJOIN("+",TRUE,_xlfn._xlws.FILTER(orderlinesTABLE[ItemName],OrderID=orderlinesTABLE[[#This Row],[OrderID]]))</f>
        <v>Masala Puff+Veg Thali</v>
      </c>
      <c r="T443" s="54">
        <f>orderlinesTABLE[[#This Row],[Profit]]/orderlinesTABLE[[#This Row],[LineNetAmount]]</f>
        <v>0.53557923190843859</v>
      </c>
      <c r="U443" s="70">
        <f>(orderlinesTABLE[[#This Row],[Qty]]*orderlinesTABLE[[#This Row],[UnitCost]])</f>
        <v>45.22</v>
      </c>
    </row>
    <row r="444" spans="1:21" x14ac:dyDescent="0.3">
      <c r="A444" s="14" t="s">
        <v>212</v>
      </c>
      <c r="B444" s="14" t="s">
        <v>416</v>
      </c>
      <c r="C444" s="14">
        <v>1</v>
      </c>
      <c r="D444" s="37">
        <f>VLOOKUP($B444,Menu!$A$1:$F$20,MATCH($D$1,Menu!$A$1:$F$1,0),0)</f>
        <v>227.61</v>
      </c>
      <c r="E444" s="14" t="str">
        <f>VLOOKUP($B444,Menu!$A$1:$F$20,MATCH(OrderLines!E$1,Menu!$A$1:$F$1,0),0)</f>
        <v>Hot Meal</v>
      </c>
      <c r="F444" s="37">
        <f>VLOOKUP($B444,Menu!$A$1:$F$20,MATCH(OrderLines!F$1,Menu!$A$1:$F$1,0),0)</f>
        <v>96.22</v>
      </c>
      <c r="G444" s="28">
        <f>VLOOKUP($A444,Orders!$A$1:$H$361,MATCH($G$1,Orders!$A$1:$H$1,0),0)</f>
        <v>45861</v>
      </c>
      <c r="H444" s="14" t="str">
        <f>VLOOKUP($A444,Orders!$A$1:$H$361,MATCH(OrderLines!$H$1,Orders!$A$1:$H$1,0),0)</f>
        <v>Plant 2 Canteen</v>
      </c>
      <c r="I444" s="14">
        <f>VLOOKUP($A444,Orders!$A$1:$H$361,MATCH(OrderLines!$I$1,Orders!$A$1:$H$1,0),0)</f>
        <v>0.03</v>
      </c>
      <c r="J444" s="14">
        <f t="shared" si="19"/>
        <v>220.7817</v>
      </c>
      <c r="K444" s="28" t="str">
        <f t="shared" si="20"/>
        <v>July</v>
      </c>
      <c r="L444" s="14" t="str">
        <f>VLOOKUP(OrderLines!$A444,Orders!$A$1:$H$361,MATCH(OrderLines!$L$1,Orders!$A$1:$H$1,0),0)</f>
        <v>Dinner</v>
      </c>
      <c r="M444" t="str">
        <f>VLOOKUP($A444,Orders!$A$1:$H$361,MATCH(OrderLines!$M$1,Orders!$A$1:$H$1,0),0)</f>
        <v>Card</v>
      </c>
      <c r="N444" t="str">
        <f t="shared" si="18"/>
        <v>Single</v>
      </c>
      <c r="O444" t="str" cm="1">
        <f t="array" ref="O444">IF((SUMPRODUCT((OrderID=OrderLines!$A444)*Qty*UnitPrice*DiscountPct))&gt;40,"HighDisc","OK")</f>
        <v>OK</v>
      </c>
      <c r="P444">
        <f>(orderlinesTABLE[[#This Row],[UnitCost]]*orderlinesTABLE[[#This Row],[Qty]])</f>
        <v>96.22</v>
      </c>
      <c r="Q444">
        <f>(orderlinesTABLE[[#This Row],[LineNetAmount]]-orderlinesTABLE[[#This Row],[totalCOST]])</f>
        <v>124.5617</v>
      </c>
      <c r="R444" t="str">
        <f>VLOOKUP($B444,Menu!$A$1:$F$20,MATCH(OrderLines!R$1,Menu!$A$1:$F$1,0),0)</f>
        <v>Veg Thali</v>
      </c>
      <c r="S444" t="str" cm="1">
        <f t="array" ref="S444">_xlfn.TEXTJOIN("+",TRUE,_xlfn._xlws.FILTER(orderlinesTABLE[ItemName],OrderID=orderlinesTABLE[[#This Row],[OrderID]]))</f>
        <v>Masala Puff+Veg Thali</v>
      </c>
      <c r="T444" s="54">
        <f>orderlinesTABLE[[#This Row],[Profit]]/orderlinesTABLE[[#This Row],[LineNetAmount]]</f>
        <v>0.56418489394727911</v>
      </c>
      <c r="U444" s="70">
        <f>(orderlinesTABLE[[#This Row],[Qty]]*orderlinesTABLE[[#This Row],[UnitCost]])</f>
        <v>96.22</v>
      </c>
    </row>
    <row r="445" spans="1:21" x14ac:dyDescent="0.3">
      <c r="A445" s="15" t="s">
        <v>213</v>
      </c>
      <c r="B445" s="15" t="s">
        <v>410</v>
      </c>
      <c r="C445" s="15">
        <v>1</v>
      </c>
      <c r="D445" s="36">
        <f>VLOOKUP($B445,Menu!$A$1:$F$20,MATCH($D$1,Menu!$A$1:$F$1,0),0)</f>
        <v>20.11</v>
      </c>
      <c r="E445" s="15" t="str">
        <f>VLOOKUP($B445,Menu!$A$1:$F$20,MATCH(OrderLines!E$1,Menu!$A$1:$F$1,0),0)</f>
        <v>Beverage</v>
      </c>
      <c r="F445" s="36">
        <f>VLOOKUP($B445,Menu!$A$1:$F$20,MATCH(OrderLines!F$1,Menu!$A$1:$F$1,0),0)</f>
        <v>8</v>
      </c>
      <c r="G445" s="27">
        <f>VLOOKUP($A445,Orders!$A$1:$H$361,MATCH($G$1,Orders!$A$1:$H$1,0),0)</f>
        <v>45876</v>
      </c>
      <c r="H445" s="15" t="str">
        <f>VLOOKUP($A445,Orders!$A$1:$H$361,MATCH(OrderLines!$H$1,Orders!$A$1:$H$1,0),0)</f>
        <v>Plant 2 Canteen</v>
      </c>
      <c r="I445" s="15">
        <f>VLOOKUP($A445,Orders!$A$1:$H$361,MATCH(OrderLines!$I$1,Orders!$A$1:$H$1,0),0)</f>
        <v>0.05</v>
      </c>
      <c r="J445" s="15">
        <f t="shared" si="19"/>
        <v>19.104499999999998</v>
      </c>
      <c r="K445" s="27" t="str">
        <f t="shared" si="20"/>
        <v>August</v>
      </c>
      <c r="L445" s="15" t="str">
        <f>VLOOKUP(OrderLines!$A445,Orders!$A$1:$H$361,MATCH(OrderLines!$L$1,Orders!$A$1:$H$1,0),0)</f>
        <v>Breakfast</v>
      </c>
      <c r="M445" t="str">
        <f>VLOOKUP($A445,Orders!$A$1:$H$361,MATCH(OrderLines!$M$1,Orders!$A$1:$H$1,0),0)</f>
        <v>UPI</v>
      </c>
      <c r="N445" t="str">
        <f t="shared" si="18"/>
        <v>Combo</v>
      </c>
      <c r="O445" t="str" cm="1">
        <f t="array" ref="O445">IF((SUMPRODUCT((OrderID=OrderLines!$A445)*Qty*UnitPrice*DiscountPct))&gt;40,"HighDisc","OK")</f>
        <v>OK</v>
      </c>
      <c r="P445">
        <f>(orderlinesTABLE[[#This Row],[UnitCost]]*orderlinesTABLE[[#This Row],[Qty]])</f>
        <v>8</v>
      </c>
      <c r="Q445">
        <f>(orderlinesTABLE[[#This Row],[LineNetAmount]]-orderlinesTABLE[[#This Row],[totalCOST]])</f>
        <v>11.104499999999998</v>
      </c>
      <c r="R445" t="str">
        <f>VLOOKUP($B445,Menu!$A$1:$F$20,MATCH(OrderLines!R$1,Menu!$A$1:$F$1,0),0)</f>
        <v>Nimbu Pani</v>
      </c>
      <c r="S445" t="str" cm="1">
        <f t="array" ref="S445">_xlfn.TEXTJOIN("+",TRUE,_xlfn._xlws.FILTER(orderlinesTABLE[ItemName],OrderID=orderlinesTABLE[[#This Row],[OrderID]]))</f>
        <v>Nimbu Pani+Chicken Thali+Veg Thali</v>
      </c>
      <c r="T445" s="54">
        <f>orderlinesTABLE[[#This Row],[Profit]]/orderlinesTABLE[[#This Row],[LineNetAmount]]</f>
        <v>0.58125049072208113</v>
      </c>
      <c r="U445" s="70">
        <f>(orderlinesTABLE[[#This Row],[Qty]]*orderlinesTABLE[[#This Row],[UnitCost]])</f>
        <v>8</v>
      </c>
    </row>
    <row r="446" spans="1:21" x14ac:dyDescent="0.3">
      <c r="A446" s="14" t="s">
        <v>213</v>
      </c>
      <c r="B446" s="14" t="s">
        <v>415</v>
      </c>
      <c r="C446" s="14">
        <v>1</v>
      </c>
      <c r="D446" s="37">
        <f>VLOOKUP($B446,Menu!$A$1:$F$20,MATCH($D$1,Menu!$A$1:$F$1,0),0)</f>
        <v>256.91000000000003</v>
      </c>
      <c r="E446" s="14" t="str">
        <f>VLOOKUP($B446,Menu!$A$1:$F$20,MATCH(OrderLines!E$1,Menu!$A$1:$F$1,0),0)</f>
        <v>Hot Meal</v>
      </c>
      <c r="F446" s="37">
        <f>VLOOKUP($B446,Menu!$A$1:$F$20,MATCH(OrderLines!F$1,Menu!$A$1:$F$1,0),0)</f>
        <v>121.24</v>
      </c>
      <c r="G446" s="28">
        <f>VLOOKUP($A446,Orders!$A$1:$H$361,MATCH($G$1,Orders!$A$1:$H$1,0),0)</f>
        <v>45876</v>
      </c>
      <c r="H446" s="14" t="str">
        <f>VLOOKUP($A446,Orders!$A$1:$H$361,MATCH(OrderLines!$H$1,Orders!$A$1:$H$1,0),0)</f>
        <v>Plant 2 Canteen</v>
      </c>
      <c r="I446" s="14">
        <f>VLOOKUP($A446,Orders!$A$1:$H$361,MATCH(OrderLines!$I$1,Orders!$A$1:$H$1,0),0)</f>
        <v>0.05</v>
      </c>
      <c r="J446" s="14">
        <f t="shared" si="19"/>
        <v>244.06450000000001</v>
      </c>
      <c r="K446" s="28" t="str">
        <f t="shared" si="20"/>
        <v>August</v>
      </c>
      <c r="L446" s="14" t="str">
        <f>VLOOKUP(OrderLines!$A446,Orders!$A$1:$H$361,MATCH(OrderLines!$L$1,Orders!$A$1:$H$1,0),0)</f>
        <v>Breakfast</v>
      </c>
      <c r="M446" t="str">
        <f>VLOOKUP($A446,Orders!$A$1:$H$361,MATCH(OrderLines!$M$1,Orders!$A$1:$H$1,0),0)</f>
        <v>UPI</v>
      </c>
      <c r="N446" t="str">
        <f t="shared" si="18"/>
        <v>Combo</v>
      </c>
      <c r="O446" t="str" cm="1">
        <f t="array" ref="O446">IF((SUMPRODUCT((OrderID=OrderLines!$A446)*Qty*UnitPrice*DiscountPct))&gt;40,"HighDisc","OK")</f>
        <v>OK</v>
      </c>
      <c r="P446">
        <f>(orderlinesTABLE[[#This Row],[UnitCost]]*orderlinesTABLE[[#This Row],[Qty]])</f>
        <v>121.24</v>
      </c>
      <c r="Q446">
        <f>(orderlinesTABLE[[#This Row],[LineNetAmount]]-orderlinesTABLE[[#This Row],[totalCOST]])</f>
        <v>122.82450000000001</v>
      </c>
      <c r="R446" t="str">
        <f>VLOOKUP($B446,Menu!$A$1:$F$20,MATCH(OrderLines!R$1,Menu!$A$1:$F$1,0),0)</f>
        <v>Chicken Thali</v>
      </c>
      <c r="S446" t="str" cm="1">
        <f t="array" ref="S446">_xlfn.TEXTJOIN("+",TRUE,_xlfn._xlws.FILTER(orderlinesTABLE[ItemName],OrderID=orderlinesTABLE[[#This Row],[OrderID]]))</f>
        <v>Nimbu Pani+Chicken Thali+Veg Thali</v>
      </c>
      <c r="T446" s="54">
        <f>orderlinesTABLE[[#This Row],[Profit]]/orderlinesTABLE[[#This Row],[LineNetAmount]]</f>
        <v>0.50324606815001771</v>
      </c>
      <c r="U446" s="70">
        <f>(orderlinesTABLE[[#This Row],[Qty]]*orderlinesTABLE[[#This Row],[UnitCost]])</f>
        <v>121.24</v>
      </c>
    </row>
    <row r="447" spans="1:21" x14ac:dyDescent="0.3">
      <c r="A447" s="15" t="s">
        <v>213</v>
      </c>
      <c r="B447" s="15" t="s">
        <v>416</v>
      </c>
      <c r="C447" s="15">
        <v>1</v>
      </c>
      <c r="D447" s="36">
        <f>VLOOKUP($B447,Menu!$A$1:$F$20,MATCH($D$1,Menu!$A$1:$F$1,0),0)</f>
        <v>227.61</v>
      </c>
      <c r="E447" s="15" t="str">
        <f>VLOOKUP($B447,Menu!$A$1:$F$20,MATCH(OrderLines!E$1,Menu!$A$1:$F$1,0),0)</f>
        <v>Hot Meal</v>
      </c>
      <c r="F447" s="36">
        <f>VLOOKUP($B447,Menu!$A$1:$F$20,MATCH(OrderLines!F$1,Menu!$A$1:$F$1,0),0)</f>
        <v>96.22</v>
      </c>
      <c r="G447" s="27">
        <f>VLOOKUP($A447,Orders!$A$1:$H$361,MATCH($G$1,Orders!$A$1:$H$1,0),0)</f>
        <v>45876</v>
      </c>
      <c r="H447" s="15" t="str">
        <f>VLOOKUP($A447,Orders!$A$1:$H$361,MATCH(OrderLines!$H$1,Orders!$A$1:$H$1,0),0)</f>
        <v>Plant 2 Canteen</v>
      </c>
      <c r="I447" s="15">
        <f>VLOOKUP($A447,Orders!$A$1:$H$361,MATCH(OrderLines!$I$1,Orders!$A$1:$H$1,0),0)</f>
        <v>0.05</v>
      </c>
      <c r="J447" s="15">
        <f t="shared" si="19"/>
        <v>216.2295</v>
      </c>
      <c r="K447" s="27" t="str">
        <f t="shared" si="20"/>
        <v>August</v>
      </c>
      <c r="L447" s="15" t="str">
        <f>VLOOKUP(OrderLines!$A447,Orders!$A$1:$H$361,MATCH(OrderLines!$L$1,Orders!$A$1:$H$1,0),0)</f>
        <v>Breakfast</v>
      </c>
      <c r="M447" t="str">
        <f>VLOOKUP($A447,Orders!$A$1:$H$361,MATCH(OrderLines!$M$1,Orders!$A$1:$H$1,0),0)</f>
        <v>UPI</v>
      </c>
      <c r="N447" t="str">
        <f t="shared" si="18"/>
        <v>Combo</v>
      </c>
      <c r="O447" t="str" cm="1">
        <f t="array" ref="O447">IF((SUMPRODUCT((OrderID=OrderLines!$A447)*Qty*UnitPrice*DiscountPct))&gt;40,"HighDisc","OK")</f>
        <v>OK</v>
      </c>
      <c r="P447">
        <f>(orderlinesTABLE[[#This Row],[UnitCost]]*orderlinesTABLE[[#This Row],[Qty]])</f>
        <v>96.22</v>
      </c>
      <c r="Q447">
        <f>(orderlinesTABLE[[#This Row],[LineNetAmount]]-orderlinesTABLE[[#This Row],[totalCOST]])</f>
        <v>120.0095</v>
      </c>
      <c r="R447" t="str">
        <f>VLOOKUP($B447,Menu!$A$1:$F$20,MATCH(OrderLines!R$1,Menu!$A$1:$F$1,0),0)</f>
        <v>Veg Thali</v>
      </c>
      <c r="S447" t="str" cm="1">
        <f t="array" ref="S447">_xlfn.TEXTJOIN("+",TRUE,_xlfn._xlws.FILTER(orderlinesTABLE[ItemName],OrderID=orderlinesTABLE[[#This Row],[OrderID]]))</f>
        <v>Nimbu Pani+Chicken Thali+Veg Thali</v>
      </c>
      <c r="T447" s="54">
        <f>orderlinesTABLE[[#This Row],[Profit]]/orderlinesTABLE[[#This Row],[LineNetAmount]]</f>
        <v>0.55500983908301138</v>
      </c>
      <c r="U447" s="70">
        <f>(orderlinesTABLE[[#This Row],[Qty]]*orderlinesTABLE[[#This Row],[UnitCost]])</f>
        <v>96.22</v>
      </c>
    </row>
    <row r="448" spans="1:21" x14ac:dyDescent="0.3">
      <c r="A448" s="14" t="s">
        <v>214</v>
      </c>
      <c r="B448" s="14" t="s">
        <v>412</v>
      </c>
      <c r="C448" s="14">
        <v>1</v>
      </c>
      <c r="D448" s="37">
        <f>VLOOKUP($B448,Menu!$A$1:$F$20,MATCH($D$1,Menu!$A$1:$F$1,0),0)</f>
        <v>57.07</v>
      </c>
      <c r="E448" s="14" t="str">
        <f>VLOOKUP($B448,Menu!$A$1:$F$20,MATCH(OrderLines!E$1,Menu!$A$1:$F$1,0),0)</f>
        <v>Dessert</v>
      </c>
      <c r="F448" s="37">
        <f>VLOOKUP($B448,Menu!$A$1:$F$20,MATCH(OrderLines!F$1,Menu!$A$1:$F$1,0),0)</f>
        <v>29.14</v>
      </c>
      <c r="G448" s="28">
        <f>VLOOKUP($A448,Orders!$A$1:$H$361,MATCH($G$1,Orders!$A$1:$H$1,0),0)</f>
        <v>45887</v>
      </c>
      <c r="H448" s="14" t="str">
        <f>VLOOKUP($A448,Orders!$A$1:$H$361,MATCH(OrderLines!$H$1,Orders!$A$1:$H$1,0),0)</f>
        <v>Plant 1 Canteen</v>
      </c>
      <c r="I448" s="14">
        <f>VLOOKUP($A448,Orders!$A$1:$H$361,MATCH(OrderLines!$I$1,Orders!$A$1:$H$1,0),0)</f>
        <v>0.04</v>
      </c>
      <c r="J448" s="14">
        <f t="shared" si="19"/>
        <v>54.787199999999999</v>
      </c>
      <c r="K448" s="28" t="str">
        <f t="shared" si="20"/>
        <v>August</v>
      </c>
      <c r="L448" s="14" t="str">
        <f>VLOOKUP(OrderLines!$A448,Orders!$A$1:$H$361,MATCH(OrderLines!$L$1,Orders!$A$1:$H$1,0),0)</f>
        <v>Breakfast</v>
      </c>
      <c r="M448" t="str">
        <f>VLOOKUP($A448,Orders!$A$1:$H$361,MATCH(OrderLines!$M$1,Orders!$A$1:$H$1,0),0)</f>
        <v>UPI</v>
      </c>
      <c r="N448" t="str">
        <f t="shared" si="18"/>
        <v>Single</v>
      </c>
      <c r="O448" t="str" cm="1">
        <f t="array" ref="O448">IF((SUMPRODUCT((OrderID=OrderLines!$A448)*Qty*UnitPrice*DiscountPct))&gt;40,"HighDisc","OK")</f>
        <v>OK</v>
      </c>
      <c r="P448">
        <f>(orderlinesTABLE[[#This Row],[UnitCost]]*orderlinesTABLE[[#This Row],[Qty]])</f>
        <v>29.14</v>
      </c>
      <c r="Q448">
        <f>(orderlinesTABLE[[#This Row],[LineNetAmount]]-orderlinesTABLE[[#This Row],[totalCOST]])</f>
        <v>25.647199999999998</v>
      </c>
      <c r="R448" t="str">
        <f>VLOOKUP($B448,Menu!$A$1:$F$20,MATCH(OrderLines!R$1,Menu!$A$1:$F$1,0),0)</f>
        <v>Fruit Cup</v>
      </c>
      <c r="S448" t="str" cm="1">
        <f t="array" ref="S448">_xlfn.TEXTJOIN("+",TRUE,_xlfn._xlws.FILTER(orderlinesTABLE[ItemName],OrderID=orderlinesTABLE[[#This Row],[OrderID]]))</f>
        <v>Fruit Cup+Bottled Water+Paneer Roll</v>
      </c>
      <c r="T448" s="54">
        <f>orderlinesTABLE[[#This Row],[Profit]]/orderlinesTABLE[[#This Row],[LineNetAmount]]</f>
        <v>0.4681239413585655</v>
      </c>
      <c r="U448" s="70">
        <f>(orderlinesTABLE[[#This Row],[Qty]]*orderlinesTABLE[[#This Row],[UnitCost]])</f>
        <v>29.14</v>
      </c>
    </row>
    <row r="449" spans="1:21" x14ac:dyDescent="0.3">
      <c r="A449" s="15" t="s">
        <v>214</v>
      </c>
      <c r="B449" s="15" t="s">
        <v>409</v>
      </c>
      <c r="C449" s="15">
        <v>2</v>
      </c>
      <c r="D449" s="36">
        <f>VLOOKUP($B449,Menu!$A$1:$F$20,MATCH($D$1,Menu!$A$1:$F$1,0),0)</f>
        <v>28.43</v>
      </c>
      <c r="E449" s="15" t="str">
        <f>VLOOKUP($B449,Menu!$A$1:$F$20,MATCH(OrderLines!E$1,Menu!$A$1:$F$1,0),0)</f>
        <v>Beverage</v>
      </c>
      <c r="F449" s="36">
        <f>VLOOKUP($B449,Menu!$A$1:$F$20,MATCH(OrderLines!F$1,Menu!$A$1:$F$1,0),0)</f>
        <v>13.89</v>
      </c>
      <c r="G449" s="27">
        <f>VLOOKUP($A449,Orders!$A$1:$H$361,MATCH($G$1,Orders!$A$1:$H$1,0),0)</f>
        <v>45887</v>
      </c>
      <c r="H449" s="15" t="str">
        <f>VLOOKUP($A449,Orders!$A$1:$H$361,MATCH(OrderLines!$H$1,Orders!$A$1:$H$1,0),0)</f>
        <v>Plant 1 Canteen</v>
      </c>
      <c r="I449" s="15">
        <f>VLOOKUP($A449,Orders!$A$1:$H$361,MATCH(OrderLines!$I$1,Orders!$A$1:$H$1,0),0)</f>
        <v>0.04</v>
      </c>
      <c r="J449" s="15">
        <f t="shared" si="19"/>
        <v>54.585599999999999</v>
      </c>
      <c r="K449" s="27" t="str">
        <f t="shared" si="20"/>
        <v>August</v>
      </c>
      <c r="L449" s="15" t="str">
        <f>VLOOKUP(OrderLines!$A449,Orders!$A$1:$H$361,MATCH(OrderLines!$L$1,Orders!$A$1:$H$1,0),0)</f>
        <v>Breakfast</v>
      </c>
      <c r="M449" t="str">
        <f>VLOOKUP($A449,Orders!$A$1:$H$361,MATCH(OrderLines!$M$1,Orders!$A$1:$H$1,0),0)</f>
        <v>UPI</v>
      </c>
      <c r="N449" t="str">
        <f t="shared" si="18"/>
        <v>Single</v>
      </c>
      <c r="O449" t="str" cm="1">
        <f t="array" ref="O449">IF((SUMPRODUCT((OrderID=OrderLines!$A449)*Qty*UnitPrice*DiscountPct))&gt;40,"HighDisc","OK")</f>
        <v>OK</v>
      </c>
      <c r="P449">
        <f>(orderlinesTABLE[[#This Row],[UnitCost]]*orderlinesTABLE[[#This Row],[Qty]])</f>
        <v>27.78</v>
      </c>
      <c r="Q449">
        <f>(orderlinesTABLE[[#This Row],[LineNetAmount]]-orderlinesTABLE[[#This Row],[totalCOST]])</f>
        <v>26.805599999999998</v>
      </c>
      <c r="R449" t="str">
        <f>VLOOKUP($B449,Menu!$A$1:$F$20,MATCH(OrderLines!R$1,Menu!$A$1:$F$1,0),0)</f>
        <v>Bottled Water</v>
      </c>
      <c r="S449" t="str" cm="1">
        <f t="array" ref="S449">_xlfn.TEXTJOIN("+",TRUE,_xlfn._xlws.FILTER(orderlinesTABLE[ItemName],OrderID=orderlinesTABLE[[#This Row],[OrderID]]))</f>
        <v>Fruit Cup+Bottled Water+Paneer Roll</v>
      </c>
      <c r="T449" s="54">
        <f>orderlinesTABLE[[#This Row],[Profit]]/orderlinesTABLE[[#This Row],[LineNetAmount]]</f>
        <v>0.49107456911712977</v>
      </c>
      <c r="U449" s="70">
        <f>(orderlinesTABLE[[#This Row],[Qty]]*orderlinesTABLE[[#This Row],[UnitCost]])</f>
        <v>27.78</v>
      </c>
    </row>
    <row r="450" spans="1:21" x14ac:dyDescent="0.3">
      <c r="A450" s="14" t="s">
        <v>214</v>
      </c>
      <c r="B450" s="14" t="s">
        <v>406</v>
      </c>
      <c r="C450" s="14">
        <v>1</v>
      </c>
      <c r="D450" s="37">
        <f>VLOOKUP($B450,Menu!$A$1:$F$20,MATCH($D$1,Menu!$A$1:$F$1,0),0)</f>
        <v>38.06</v>
      </c>
      <c r="E450" s="14" t="str">
        <f>VLOOKUP($B450,Menu!$A$1:$F$20,MATCH(OrderLines!E$1,Menu!$A$1:$F$1,0),0)</f>
        <v>Snack</v>
      </c>
      <c r="F450" s="37">
        <f>VLOOKUP($B450,Menu!$A$1:$F$20,MATCH(OrderLines!F$1,Menu!$A$1:$F$1,0),0)</f>
        <v>19.55</v>
      </c>
      <c r="G450" s="28">
        <f>VLOOKUP($A450,Orders!$A$1:$H$361,MATCH($G$1,Orders!$A$1:$H$1,0),0)</f>
        <v>45887</v>
      </c>
      <c r="H450" s="14" t="str">
        <f>VLOOKUP($A450,Orders!$A$1:$H$361,MATCH(OrderLines!$H$1,Orders!$A$1:$H$1,0),0)</f>
        <v>Plant 1 Canteen</v>
      </c>
      <c r="I450" s="14">
        <f>VLOOKUP($A450,Orders!$A$1:$H$361,MATCH(OrderLines!$I$1,Orders!$A$1:$H$1,0),0)</f>
        <v>0.04</v>
      </c>
      <c r="J450" s="14">
        <f t="shared" si="19"/>
        <v>36.537599999999998</v>
      </c>
      <c r="K450" s="28" t="str">
        <f t="shared" si="20"/>
        <v>August</v>
      </c>
      <c r="L450" s="14" t="str">
        <f>VLOOKUP(OrderLines!$A450,Orders!$A$1:$H$361,MATCH(OrderLines!$L$1,Orders!$A$1:$H$1,0),0)</f>
        <v>Breakfast</v>
      </c>
      <c r="M450" t="str">
        <f>VLOOKUP($A450,Orders!$A$1:$H$361,MATCH(OrderLines!$M$1,Orders!$A$1:$H$1,0),0)</f>
        <v>UPI</v>
      </c>
      <c r="N450" t="str">
        <f t="shared" ref="N450:N513" si="21">IF(AND(COUNTIFS(OrderID,$A450,Category,"hot meal")&gt;=1,COUNTIFS(OrderID,$A450,Category,"beverage")&gt;=1),"Combo","Single")</f>
        <v>Single</v>
      </c>
      <c r="O450" t="str" cm="1">
        <f t="array" ref="O450">IF((SUMPRODUCT((OrderID=OrderLines!$A450)*Qty*UnitPrice*DiscountPct))&gt;40,"HighDisc","OK")</f>
        <v>OK</v>
      </c>
      <c r="P450">
        <f>(orderlinesTABLE[[#This Row],[UnitCost]]*orderlinesTABLE[[#This Row],[Qty]])</f>
        <v>19.55</v>
      </c>
      <c r="Q450">
        <f>(orderlinesTABLE[[#This Row],[LineNetAmount]]-orderlinesTABLE[[#This Row],[totalCOST]])</f>
        <v>16.987599999999997</v>
      </c>
      <c r="R450" t="str">
        <f>VLOOKUP($B450,Menu!$A$1:$F$20,MATCH(OrderLines!R$1,Menu!$A$1:$F$1,0),0)</f>
        <v>Paneer Roll</v>
      </c>
      <c r="S450" t="str" cm="1">
        <f t="array" ref="S450">_xlfn.TEXTJOIN("+",TRUE,_xlfn._xlws.FILTER(orderlinesTABLE[ItemName],OrderID=orderlinesTABLE[[#This Row],[OrderID]]))</f>
        <v>Fruit Cup+Bottled Water+Paneer Roll</v>
      </c>
      <c r="T450" s="54">
        <f>orderlinesTABLE[[#This Row],[Profit]]/orderlinesTABLE[[#This Row],[LineNetAmount]]</f>
        <v>0.46493475214573476</v>
      </c>
      <c r="U450" s="70">
        <f>(orderlinesTABLE[[#This Row],[Qty]]*orderlinesTABLE[[#This Row],[UnitCost]])</f>
        <v>19.55</v>
      </c>
    </row>
    <row r="451" spans="1:21" x14ac:dyDescent="0.3">
      <c r="A451" s="15" t="s">
        <v>215</v>
      </c>
      <c r="B451" s="15" t="s">
        <v>405</v>
      </c>
      <c r="C451" s="15">
        <v>2</v>
      </c>
      <c r="D451" s="36">
        <f>VLOOKUP($B451,Menu!$A$1:$F$20,MATCH($D$1,Menu!$A$1:$F$1,0),0)</f>
        <v>170.83</v>
      </c>
      <c r="E451" s="15" t="str">
        <f>VLOOKUP($B451,Menu!$A$1:$F$20,MATCH(OrderLines!E$1,Menu!$A$1:$F$1,0),0)</f>
        <v>Hot Meal</v>
      </c>
      <c r="F451" s="36">
        <f>VLOOKUP($B451,Menu!$A$1:$F$20,MATCH(OrderLines!F$1,Menu!$A$1:$F$1,0),0)</f>
        <v>74.069999999999993</v>
      </c>
      <c r="G451" s="27">
        <f>VLOOKUP($A451,Orders!$A$1:$H$361,MATCH($G$1,Orders!$A$1:$H$1,0),0)</f>
        <v>45848</v>
      </c>
      <c r="H451" s="15" t="str">
        <f>VLOOKUP($A451,Orders!$A$1:$H$361,MATCH(OrderLines!$H$1,Orders!$A$1:$H$1,0),0)</f>
        <v>Plant 2 Canteen</v>
      </c>
      <c r="I451" s="15">
        <f>VLOOKUP($A451,Orders!$A$1:$H$361,MATCH(OrderLines!$I$1,Orders!$A$1:$H$1,0),0)</f>
        <v>0.06</v>
      </c>
      <c r="J451" s="15">
        <f t="shared" ref="J451:J514" si="22">$C451*$D451*(1-$I451)</f>
        <v>321.16039999999998</v>
      </c>
      <c r="K451" s="27" t="str">
        <f t="shared" ref="K451:K514" si="23">TEXT($G451,"mmmm")</f>
        <v>July</v>
      </c>
      <c r="L451" s="15" t="str">
        <f>VLOOKUP(OrderLines!$A451,Orders!$A$1:$H$361,MATCH(OrderLines!$L$1,Orders!$A$1:$H$1,0),0)</f>
        <v>Dinner</v>
      </c>
      <c r="M451" t="str">
        <f>VLOOKUP($A451,Orders!$A$1:$H$361,MATCH(OrderLines!$M$1,Orders!$A$1:$H$1,0),0)</f>
        <v>UPI</v>
      </c>
      <c r="N451" t="str">
        <f t="shared" si="21"/>
        <v>Single</v>
      </c>
      <c r="O451" t="str" cm="1">
        <f t="array" ref="O451">IF((SUMPRODUCT((OrderID=OrderLines!$A451)*Qty*UnitPrice*DiscountPct))&gt;40,"HighDisc","OK")</f>
        <v>HighDisc</v>
      </c>
      <c r="P451">
        <f>(orderlinesTABLE[[#This Row],[UnitCost]]*orderlinesTABLE[[#This Row],[Qty]])</f>
        <v>148.13999999999999</v>
      </c>
      <c r="Q451">
        <f>(orderlinesTABLE[[#This Row],[LineNetAmount]]-orderlinesTABLE[[#This Row],[totalCOST]])</f>
        <v>173.0204</v>
      </c>
      <c r="R451" t="str">
        <f>VLOOKUP($B451,Menu!$A$1:$F$20,MATCH(OrderLines!R$1,Menu!$A$1:$F$1,0),0)</f>
        <v>Paneer Butter Masala + Naan</v>
      </c>
      <c r="S451" t="str" cm="1">
        <f t="array" ref="S451">_xlfn.TEXTJOIN("+",TRUE,_xlfn._xlws.FILTER(orderlinesTABLE[ItemName],OrderID=orderlinesTABLE[[#This Row],[OrderID]]))</f>
        <v>Paneer Butter Masala + Naan+Kheer Cup+Rajma Chawal+Brownie</v>
      </c>
      <c r="T451" s="54">
        <f>orderlinesTABLE[[#This Row],[Profit]]/orderlinesTABLE[[#This Row],[LineNetAmount]]</f>
        <v>0.53873516162017487</v>
      </c>
      <c r="U451" s="70">
        <f>(orderlinesTABLE[[#This Row],[Qty]]*orderlinesTABLE[[#This Row],[UnitCost]])</f>
        <v>148.13999999999999</v>
      </c>
    </row>
    <row r="452" spans="1:21" x14ac:dyDescent="0.3">
      <c r="A452" s="14" t="s">
        <v>215</v>
      </c>
      <c r="B452" s="14" t="s">
        <v>413</v>
      </c>
      <c r="C452" s="14">
        <v>1</v>
      </c>
      <c r="D452" s="37">
        <f>VLOOKUP($B452,Menu!$A$1:$F$20,MATCH($D$1,Menu!$A$1:$F$1,0),0)</f>
        <v>54.2</v>
      </c>
      <c r="E452" s="14" t="str">
        <f>VLOOKUP($B452,Menu!$A$1:$F$20,MATCH(OrderLines!E$1,Menu!$A$1:$F$1,0),0)</f>
        <v>Dessert</v>
      </c>
      <c r="F452" s="37">
        <f>VLOOKUP($B452,Menu!$A$1:$F$20,MATCH(OrderLines!F$1,Menu!$A$1:$F$1,0),0)</f>
        <v>21.95</v>
      </c>
      <c r="G452" s="28">
        <f>VLOOKUP($A452,Orders!$A$1:$H$361,MATCH($G$1,Orders!$A$1:$H$1,0),0)</f>
        <v>45848</v>
      </c>
      <c r="H452" s="14" t="str">
        <f>VLOOKUP($A452,Orders!$A$1:$H$361,MATCH(OrderLines!$H$1,Orders!$A$1:$H$1,0),0)</f>
        <v>Plant 2 Canteen</v>
      </c>
      <c r="I452" s="14">
        <f>VLOOKUP($A452,Orders!$A$1:$H$361,MATCH(OrderLines!$I$1,Orders!$A$1:$H$1,0),0)</f>
        <v>0.06</v>
      </c>
      <c r="J452" s="14">
        <f t="shared" si="22"/>
        <v>50.948</v>
      </c>
      <c r="K452" s="28" t="str">
        <f t="shared" si="23"/>
        <v>July</v>
      </c>
      <c r="L452" s="14" t="str">
        <f>VLOOKUP(OrderLines!$A452,Orders!$A$1:$H$361,MATCH(OrderLines!$L$1,Orders!$A$1:$H$1,0),0)</f>
        <v>Dinner</v>
      </c>
      <c r="M452" t="str">
        <f>VLOOKUP($A452,Orders!$A$1:$H$361,MATCH(OrderLines!$M$1,Orders!$A$1:$H$1,0),0)</f>
        <v>UPI</v>
      </c>
      <c r="N452" t="str">
        <f t="shared" si="21"/>
        <v>Single</v>
      </c>
      <c r="O452" t="str" cm="1">
        <f t="array" ref="O452">IF((SUMPRODUCT((OrderID=OrderLines!$A452)*Qty*UnitPrice*DiscountPct))&gt;40,"HighDisc","OK")</f>
        <v>HighDisc</v>
      </c>
      <c r="P452">
        <f>(orderlinesTABLE[[#This Row],[UnitCost]]*orderlinesTABLE[[#This Row],[Qty]])</f>
        <v>21.95</v>
      </c>
      <c r="Q452">
        <f>(orderlinesTABLE[[#This Row],[LineNetAmount]]-orderlinesTABLE[[#This Row],[totalCOST]])</f>
        <v>28.998000000000001</v>
      </c>
      <c r="R452" t="str">
        <f>VLOOKUP($B452,Menu!$A$1:$F$20,MATCH(OrderLines!R$1,Menu!$A$1:$F$1,0),0)</f>
        <v>Kheer Cup</v>
      </c>
      <c r="S452" t="str" cm="1">
        <f t="array" ref="S452">_xlfn.TEXTJOIN("+",TRUE,_xlfn._xlws.FILTER(orderlinesTABLE[ItemName],OrderID=orderlinesTABLE[[#This Row],[OrderID]]))</f>
        <v>Paneer Butter Masala + Naan+Kheer Cup+Rajma Chawal+Brownie</v>
      </c>
      <c r="T452" s="54">
        <f>orderlinesTABLE[[#This Row],[Profit]]/orderlinesTABLE[[#This Row],[LineNetAmount]]</f>
        <v>0.56916856402606586</v>
      </c>
      <c r="U452" s="70">
        <f>(orderlinesTABLE[[#This Row],[Qty]]*orderlinesTABLE[[#This Row],[UnitCost]])</f>
        <v>21.95</v>
      </c>
    </row>
    <row r="453" spans="1:21" x14ac:dyDescent="0.3">
      <c r="A453" s="15" t="s">
        <v>215</v>
      </c>
      <c r="B453" s="15" t="s">
        <v>417</v>
      </c>
      <c r="C453" s="15">
        <v>2</v>
      </c>
      <c r="D453" s="36">
        <f>VLOOKUP($B453,Menu!$A$1:$F$20,MATCH($D$1,Menu!$A$1:$F$1,0),0)</f>
        <v>146.4</v>
      </c>
      <c r="E453" s="15" t="str">
        <f>VLOOKUP($B453,Menu!$A$1:$F$20,MATCH(OrderLines!E$1,Menu!$A$1:$F$1,0),0)</f>
        <v>Hot Meal</v>
      </c>
      <c r="F453" s="36">
        <f>VLOOKUP($B453,Menu!$A$1:$F$20,MATCH(OrderLines!F$1,Menu!$A$1:$F$1,0),0)</f>
        <v>80.92</v>
      </c>
      <c r="G453" s="27">
        <f>VLOOKUP($A453,Orders!$A$1:$H$361,MATCH($G$1,Orders!$A$1:$H$1,0),0)</f>
        <v>45848</v>
      </c>
      <c r="H453" s="15" t="str">
        <f>VLOOKUP($A453,Orders!$A$1:$H$361,MATCH(OrderLines!$H$1,Orders!$A$1:$H$1,0),0)</f>
        <v>Plant 2 Canteen</v>
      </c>
      <c r="I453" s="15">
        <f>VLOOKUP($A453,Orders!$A$1:$H$361,MATCH(OrderLines!$I$1,Orders!$A$1:$H$1,0),0)</f>
        <v>0.06</v>
      </c>
      <c r="J453" s="15">
        <f t="shared" si="22"/>
        <v>275.23199999999997</v>
      </c>
      <c r="K453" s="27" t="str">
        <f t="shared" si="23"/>
        <v>July</v>
      </c>
      <c r="L453" s="15" t="str">
        <f>VLOOKUP(OrderLines!$A453,Orders!$A$1:$H$361,MATCH(OrderLines!$L$1,Orders!$A$1:$H$1,0),0)</f>
        <v>Dinner</v>
      </c>
      <c r="M453" t="str">
        <f>VLOOKUP($A453,Orders!$A$1:$H$361,MATCH(OrderLines!$M$1,Orders!$A$1:$H$1,0),0)</f>
        <v>UPI</v>
      </c>
      <c r="N453" t="str">
        <f t="shared" si="21"/>
        <v>Single</v>
      </c>
      <c r="O453" t="str" cm="1">
        <f t="array" ref="O453">IF((SUMPRODUCT((OrderID=OrderLines!$A453)*Qty*UnitPrice*DiscountPct))&gt;40,"HighDisc","OK")</f>
        <v>HighDisc</v>
      </c>
      <c r="P453">
        <f>(orderlinesTABLE[[#This Row],[UnitCost]]*orderlinesTABLE[[#This Row],[Qty]])</f>
        <v>161.84</v>
      </c>
      <c r="Q453">
        <f>(orderlinesTABLE[[#This Row],[LineNetAmount]]-orderlinesTABLE[[#This Row],[totalCOST]])</f>
        <v>113.39199999999997</v>
      </c>
      <c r="R453" t="str">
        <f>VLOOKUP($B453,Menu!$A$1:$F$20,MATCH(OrderLines!R$1,Menu!$A$1:$F$1,0),0)</f>
        <v>Rajma Chawal</v>
      </c>
      <c r="S453" t="str" cm="1">
        <f t="array" ref="S453">_xlfn.TEXTJOIN("+",TRUE,_xlfn._xlws.FILTER(orderlinesTABLE[ItemName],OrderID=orderlinesTABLE[[#This Row],[OrderID]]))</f>
        <v>Paneer Butter Masala + Naan+Kheer Cup+Rajma Chawal+Brownie</v>
      </c>
      <c r="T453" s="54">
        <f>orderlinesTABLE[[#This Row],[Profit]]/orderlinesTABLE[[#This Row],[LineNetAmount]]</f>
        <v>0.41198697825834196</v>
      </c>
      <c r="U453" s="70">
        <f>(orderlinesTABLE[[#This Row],[Qty]]*orderlinesTABLE[[#This Row],[UnitCost]])</f>
        <v>161.84</v>
      </c>
    </row>
    <row r="454" spans="1:21" x14ac:dyDescent="0.3">
      <c r="A454" s="14" t="s">
        <v>215</v>
      </c>
      <c r="B454" s="14" t="s">
        <v>414</v>
      </c>
      <c r="C454" s="14">
        <v>3</v>
      </c>
      <c r="D454" s="37">
        <f>VLOOKUP($B454,Menu!$A$1:$F$20,MATCH($D$1,Menu!$A$1:$F$1,0),0)</f>
        <v>116.8</v>
      </c>
      <c r="E454" s="14" t="str">
        <f>VLOOKUP($B454,Menu!$A$1:$F$20,MATCH(OrderLines!E$1,Menu!$A$1:$F$1,0),0)</f>
        <v>Dessert</v>
      </c>
      <c r="F454" s="37">
        <f>VLOOKUP($B454,Menu!$A$1:$F$20,MATCH(OrderLines!F$1,Menu!$A$1:$F$1,0),0)</f>
        <v>48.97</v>
      </c>
      <c r="G454" s="28">
        <f>VLOOKUP($A454,Orders!$A$1:$H$361,MATCH($G$1,Orders!$A$1:$H$1,0),0)</f>
        <v>45848</v>
      </c>
      <c r="H454" s="14" t="str">
        <f>VLOOKUP($A454,Orders!$A$1:$H$361,MATCH(OrderLines!$H$1,Orders!$A$1:$H$1,0),0)</f>
        <v>Plant 2 Canteen</v>
      </c>
      <c r="I454" s="14">
        <f>VLOOKUP($A454,Orders!$A$1:$H$361,MATCH(OrderLines!$I$1,Orders!$A$1:$H$1,0),0)</f>
        <v>0.06</v>
      </c>
      <c r="J454" s="14">
        <f t="shared" si="22"/>
        <v>329.37599999999998</v>
      </c>
      <c r="K454" s="28" t="str">
        <f t="shared" si="23"/>
        <v>July</v>
      </c>
      <c r="L454" s="14" t="str">
        <f>VLOOKUP(OrderLines!$A454,Orders!$A$1:$H$361,MATCH(OrderLines!$L$1,Orders!$A$1:$H$1,0),0)</f>
        <v>Dinner</v>
      </c>
      <c r="M454" t="str">
        <f>VLOOKUP($A454,Orders!$A$1:$H$361,MATCH(OrderLines!$M$1,Orders!$A$1:$H$1,0),0)</f>
        <v>UPI</v>
      </c>
      <c r="N454" t="str">
        <f t="shared" si="21"/>
        <v>Single</v>
      </c>
      <c r="O454" t="str" cm="1">
        <f t="array" ref="O454">IF((SUMPRODUCT((OrderID=OrderLines!$A454)*Qty*UnitPrice*DiscountPct))&gt;40,"HighDisc","OK")</f>
        <v>HighDisc</v>
      </c>
      <c r="P454">
        <f>(orderlinesTABLE[[#This Row],[UnitCost]]*orderlinesTABLE[[#This Row],[Qty]])</f>
        <v>146.91</v>
      </c>
      <c r="Q454">
        <f>(orderlinesTABLE[[#This Row],[LineNetAmount]]-orderlinesTABLE[[#This Row],[totalCOST]])</f>
        <v>182.46599999999998</v>
      </c>
      <c r="R454" t="str">
        <f>VLOOKUP($B454,Menu!$A$1:$F$20,MATCH(OrderLines!R$1,Menu!$A$1:$F$1,0),0)</f>
        <v>Brownie</v>
      </c>
      <c r="S454" t="str" cm="1">
        <f t="array" ref="S454">_xlfn.TEXTJOIN("+",TRUE,_xlfn._xlws.FILTER(orderlinesTABLE[ItemName],OrderID=orderlinesTABLE[[#This Row],[OrderID]]))</f>
        <v>Paneer Butter Masala + Naan+Kheer Cup+Rajma Chawal+Brownie</v>
      </c>
      <c r="T454" s="54">
        <f>orderlinesTABLE[[#This Row],[Profit]]/orderlinesTABLE[[#This Row],[LineNetAmount]]</f>
        <v>0.55397478869134364</v>
      </c>
      <c r="U454" s="70">
        <f>(orderlinesTABLE[[#This Row],[Qty]]*orderlinesTABLE[[#This Row],[UnitCost]])</f>
        <v>146.91</v>
      </c>
    </row>
    <row r="455" spans="1:21" x14ac:dyDescent="0.3">
      <c r="A455" s="15" t="s">
        <v>216</v>
      </c>
      <c r="B455" s="15" t="s">
        <v>407</v>
      </c>
      <c r="C455" s="15">
        <v>1</v>
      </c>
      <c r="D455" s="36">
        <f>VLOOKUP($B455,Menu!$A$1:$F$20,MATCH($D$1,Menu!$A$1:$F$1,0),0)</f>
        <v>246.09</v>
      </c>
      <c r="E455" s="15" t="str">
        <f>VLOOKUP($B455,Menu!$A$1:$F$20,MATCH(OrderLines!E$1,Menu!$A$1:$F$1,0),0)</f>
        <v>Hot Meal</v>
      </c>
      <c r="F455" s="36">
        <f>VLOOKUP($B455,Menu!$A$1:$F$20,MATCH(OrderLines!F$1,Menu!$A$1:$F$1,0),0)</f>
        <v>112.08</v>
      </c>
      <c r="G455" s="27">
        <f>VLOOKUP($A455,Orders!$A$1:$H$361,MATCH($G$1,Orders!$A$1:$H$1,0),0)</f>
        <v>45840</v>
      </c>
      <c r="H455" s="15" t="str">
        <f>VLOOKUP($A455,Orders!$A$1:$H$361,MATCH(OrderLines!$H$1,Orders!$A$1:$H$1,0),0)</f>
        <v>Head Office Café</v>
      </c>
      <c r="I455" s="15">
        <f>VLOOKUP($A455,Orders!$A$1:$H$361,MATCH(OrderLines!$I$1,Orders!$A$1:$H$1,0),0)</f>
        <v>0.15</v>
      </c>
      <c r="J455" s="15">
        <f t="shared" si="22"/>
        <v>209.1765</v>
      </c>
      <c r="K455" s="27" t="str">
        <f t="shared" si="23"/>
        <v>July</v>
      </c>
      <c r="L455" s="15" t="str">
        <f>VLOOKUP(OrderLines!$A455,Orders!$A$1:$H$361,MATCH(OrderLines!$L$1,Orders!$A$1:$H$1,0),0)</f>
        <v>Dinner</v>
      </c>
      <c r="M455" t="str">
        <f>VLOOKUP($A455,Orders!$A$1:$H$361,MATCH(OrderLines!$M$1,Orders!$A$1:$H$1,0),0)</f>
        <v>Card</v>
      </c>
      <c r="N455" t="str">
        <f t="shared" si="21"/>
        <v>Single</v>
      </c>
      <c r="O455" t="str" cm="1">
        <f t="array" ref="O455">IF((SUMPRODUCT((OrderID=OrderLines!$A455)*Qty*UnitPrice*DiscountPct))&gt;40,"HighDisc","OK")</f>
        <v>HighDisc</v>
      </c>
      <c r="P455">
        <f>(orderlinesTABLE[[#This Row],[UnitCost]]*orderlinesTABLE[[#This Row],[Qty]])</f>
        <v>112.08</v>
      </c>
      <c r="Q455">
        <f>(orderlinesTABLE[[#This Row],[LineNetAmount]]-orderlinesTABLE[[#This Row],[totalCOST]])</f>
        <v>97.096500000000006</v>
      </c>
      <c r="R455" t="str">
        <f>VLOOKUP($B455,Menu!$A$1:$F$20,MATCH(OrderLines!R$1,Menu!$A$1:$F$1,0),0)</f>
        <v>Egg Curry + Rice</v>
      </c>
      <c r="S455" t="str" cm="1">
        <f t="array" ref="S455">_xlfn.TEXTJOIN("+",TRUE,_xlfn._xlws.FILTER(orderlinesTABLE[ItemName],OrderID=orderlinesTABLE[[#This Row],[OrderID]]))</f>
        <v>Egg Curry + Rice+Masala Puff+Poha</v>
      </c>
      <c r="T455" s="54">
        <f>orderlinesTABLE[[#This Row],[Profit]]/orderlinesTABLE[[#This Row],[LineNetAmount]]</f>
        <v>0.46418455228001237</v>
      </c>
      <c r="U455" s="70">
        <f>(orderlinesTABLE[[#This Row],[Qty]]*orderlinesTABLE[[#This Row],[UnitCost]])</f>
        <v>112.08</v>
      </c>
    </row>
    <row r="456" spans="1:21" x14ac:dyDescent="0.3">
      <c r="A456" s="14" t="s">
        <v>216</v>
      </c>
      <c r="B456" s="14" t="s">
        <v>419</v>
      </c>
      <c r="C456" s="14">
        <v>2</v>
      </c>
      <c r="D456" s="37">
        <f>VLOOKUP($B456,Menu!$A$1:$F$20,MATCH($D$1,Menu!$A$1:$F$1,0),0)</f>
        <v>50.19</v>
      </c>
      <c r="E456" s="14" t="str">
        <f>VLOOKUP($B456,Menu!$A$1:$F$20,MATCH(OrderLines!E$1,Menu!$A$1:$F$1,0),0)</f>
        <v>Snack</v>
      </c>
      <c r="F456" s="37">
        <f>VLOOKUP($B456,Menu!$A$1:$F$20,MATCH(OrderLines!F$1,Menu!$A$1:$F$1,0),0)</f>
        <v>22.61</v>
      </c>
      <c r="G456" s="28">
        <f>VLOOKUP($A456,Orders!$A$1:$H$361,MATCH($G$1,Orders!$A$1:$H$1,0),0)</f>
        <v>45840</v>
      </c>
      <c r="H456" s="14" t="str">
        <f>VLOOKUP($A456,Orders!$A$1:$H$361,MATCH(OrderLines!$H$1,Orders!$A$1:$H$1,0),0)</f>
        <v>Head Office Café</v>
      </c>
      <c r="I456" s="14">
        <f>VLOOKUP($A456,Orders!$A$1:$H$361,MATCH(OrderLines!$I$1,Orders!$A$1:$H$1,0),0)</f>
        <v>0.15</v>
      </c>
      <c r="J456" s="14">
        <f t="shared" si="22"/>
        <v>85.322999999999993</v>
      </c>
      <c r="K456" s="28" t="str">
        <f t="shared" si="23"/>
        <v>July</v>
      </c>
      <c r="L456" s="14" t="str">
        <f>VLOOKUP(OrderLines!$A456,Orders!$A$1:$H$361,MATCH(OrderLines!$L$1,Orders!$A$1:$H$1,0),0)</f>
        <v>Dinner</v>
      </c>
      <c r="M456" t="str">
        <f>VLOOKUP($A456,Orders!$A$1:$H$361,MATCH(OrderLines!$M$1,Orders!$A$1:$H$1,0),0)</f>
        <v>Card</v>
      </c>
      <c r="N456" t="str">
        <f t="shared" si="21"/>
        <v>Single</v>
      </c>
      <c r="O456" t="str" cm="1">
        <f t="array" ref="O456">IF((SUMPRODUCT((OrderID=OrderLines!$A456)*Qty*UnitPrice*DiscountPct))&gt;40,"HighDisc","OK")</f>
        <v>HighDisc</v>
      </c>
      <c r="P456">
        <f>(orderlinesTABLE[[#This Row],[UnitCost]]*orderlinesTABLE[[#This Row],[Qty]])</f>
        <v>45.22</v>
      </c>
      <c r="Q456">
        <f>(orderlinesTABLE[[#This Row],[LineNetAmount]]-orderlinesTABLE[[#This Row],[totalCOST]])</f>
        <v>40.102999999999994</v>
      </c>
      <c r="R456" t="str">
        <f>VLOOKUP($B456,Menu!$A$1:$F$20,MATCH(OrderLines!R$1,Menu!$A$1:$F$1,0),0)</f>
        <v>Masala Puff</v>
      </c>
      <c r="S456" t="str" cm="1">
        <f t="array" ref="S456">_xlfn.TEXTJOIN("+",TRUE,_xlfn._xlws.FILTER(orderlinesTABLE[ItemName],OrderID=orderlinesTABLE[[#This Row],[OrderID]]))</f>
        <v>Egg Curry + Rice+Masala Puff+Poha</v>
      </c>
      <c r="T456" s="54">
        <f>orderlinesTABLE[[#This Row],[Profit]]/orderlinesTABLE[[#This Row],[LineNetAmount]]</f>
        <v>0.47001394700139465</v>
      </c>
      <c r="U456" s="70">
        <f>(orderlinesTABLE[[#This Row],[Qty]]*orderlinesTABLE[[#This Row],[UnitCost]])</f>
        <v>45.22</v>
      </c>
    </row>
    <row r="457" spans="1:21" x14ac:dyDescent="0.3">
      <c r="A457" s="15" t="s">
        <v>216</v>
      </c>
      <c r="B457" s="15" t="s">
        <v>401</v>
      </c>
      <c r="C457" s="15">
        <v>1</v>
      </c>
      <c r="D457" s="36">
        <f>VLOOKUP($B457,Menu!$A$1:$F$20,MATCH($D$1,Menu!$A$1:$F$1,0),0)</f>
        <v>52.45</v>
      </c>
      <c r="E457" s="15" t="str">
        <f>VLOOKUP($B457,Menu!$A$1:$F$20,MATCH(OrderLines!E$1,Menu!$A$1:$F$1,0),0)</f>
        <v>Snack</v>
      </c>
      <c r="F457" s="36">
        <f>VLOOKUP($B457,Menu!$A$1:$F$20,MATCH(OrderLines!F$1,Menu!$A$1:$F$1,0),0)</f>
        <v>25.8</v>
      </c>
      <c r="G457" s="27">
        <f>VLOOKUP($A457,Orders!$A$1:$H$361,MATCH($G$1,Orders!$A$1:$H$1,0),0)</f>
        <v>45840</v>
      </c>
      <c r="H457" s="15" t="str">
        <f>VLOOKUP($A457,Orders!$A$1:$H$361,MATCH(OrderLines!$H$1,Orders!$A$1:$H$1,0),0)</f>
        <v>Head Office Café</v>
      </c>
      <c r="I457" s="15">
        <f>VLOOKUP($A457,Orders!$A$1:$H$361,MATCH(OrderLines!$I$1,Orders!$A$1:$H$1,0),0)</f>
        <v>0.15</v>
      </c>
      <c r="J457" s="15">
        <f t="shared" si="22"/>
        <v>44.582500000000003</v>
      </c>
      <c r="K457" s="27" t="str">
        <f t="shared" si="23"/>
        <v>July</v>
      </c>
      <c r="L457" s="15" t="str">
        <f>VLOOKUP(OrderLines!$A457,Orders!$A$1:$H$361,MATCH(OrderLines!$L$1,Orders!$A$1:$H$1,0),0)</f>
        <v>Dinner</v>
      </c>
      <c r="M457" t="str">
        <f>VLOOKUP($A457,Orders!$A$1:$H$361,MATCH(OrderLines!$M$1,Orders!$A$1:$H$1,0),0)</f>
        <v>Card</v>
      </c>
      <c r="N457" t="str">
        <f t="shared" si="21"/>
        <v>Single</v>
      </c>
      <c r="O457" t="str" cm="1">
        <f t="array" ref="O457">IF((SUMPRODUCT((OrderID=OrderLines!$A457)*Qty*UnitPrice*DiscountPct))&gt;40,"HighDisc","OK")</f>
        <v>HighDisc</v>
      </c>
      <c r="P457">
        <f>(orderlinesTABLE[[#This Row],[UnitCost]]*orderlinesTABLE[[#This Row],[Qty]])</f>
        <v>25.8</v>
      </c>
      <c r="Q457">
        <f>(orderlinesTABLE[[#This Row],[LineNetAmount]]-orderlinesTABLE[[#This Row],[totalCOST]])</f>
        <v>18.782500000000002</v>
      </c>
      <c r="R457" t="str">
        <f>VLOOKUP($B457,Menu!$A$1:$F$20,MATCH(OrderLines!R$1,Menu!$A$1:$F$1,0),0)</f>
        <v>Poha</v>
      </c>
      <c r="S457" t="str" cm="1">
        <f t="array" ref="S457">_xlfn.TEXTJOIN("+",TRUE,_xlfn._xlws.FILTER(orderlinesTABLE[ItemName],OrderID=orderlinesTABLE[[#This Row],[OrderID]]))</f>
        <v>Egg Curry + Rice+Masala Puff+Poha</v>
      </c>
      <c r="T457" s="54">
        <f>orderlinesTABLE[[#This Row],[Profit]]/orderlinesTABLE[[#This Row],[LineNetAmount]]</f>
        <v>0.42129759434755792</v>
      </c>
      <c r="U457" s="70">
        <f>(orderlinesTABLE[[#This Row],[Qty]]*orderlinesTABLE[[#This Row],[UnitCost]])</f>
        <v>25.8</v>
      </c>
    </row>
    <row r="458" spans="1:21" x14ac:dyDescent="0.3">
      <c r="A458" s="14" t="s">
        <v>217</v>
      </c>
      <c r="B458" s="14" t="s">
        <v>409</v>
      </c>
      <c r="C458" s="14">
        <v>1</v>
      </c>
      <c r="D458" s="37">
        <f>VLOOKUP($B458,Menu!$A$1:$F$20,MATCH($D$1,Menu!$A$1:$F$1,0),0)</f>
        <v>28.43</v>
      </c>
      <c r="E458" s="14" t="str">
        <f>VLOOKUP($B458,Menu!$A$1:$F$20,MATCH(OrderLines!E$1,Menu!$A$1:$F$1,0),0)</f>
        <v>Beverage</v>
      </c>
      <c r="F458" s="37">
        <f>VLOOKUP($B458,Menu!$A$1:$F$20,MATCH(OrderLines!F$1,Menu!$A$1:$F$1,0),0)</f>
        <v>13.89</v>
      </c>
      <c r="G458" s="28">
        <f>VLOOKUP($A458,Orders!$A$1:$H$361,MATCH($G$1,Orders!$A$1:$H$1,0),0)</f>
        <v>45846</v>
      </c>
      <c r="H458" s="14" t="str">
        <f>VLOOKUP($A458,Orders!$A$1:$H$361,MATCH(OrderLines!$H$1,Orders!$A$1:$H$1,0),0)</f>
        <v>Plant 2 Canteen</v>
      </c>
      <c r="I458" s="14">
        <f>VLOOKUP($A458,Orders!$A$1:$H$361,MATCH(OrderLines!$I$1,Orders!$A$1:$H$1,0),0)</f>
        <v>0</v>
      </c>
      <c r="J458" s="14">
        <f t="shared" si="22"/>
        <v>28.43</v>
      </c>
      <c r="K458" s="28" t="str">
        <f t="shared" si="23"/>
        <v>July</v>
      </c>
      <c r="L458" s="14" t="str">
        <f>VLOOKUP(OrderLines!$A458,Orders!$A$1:$H$361,MATCH(OrderLines!$L$1,Orders!$A$1:$H$1,0),0)</f>
        <v>Lunch</v>
      </c>
      <c r="M458" t="str">
        <f>VLOOKUP($A458,Orders!$A$1:$H$361,MATCH(OrderLines!$M$1,Orders!$A$1:$H$1,0),0)</f>
        <v>Card</v>
      </c>
      <c r="N458" t="str">
        <f t="shared" si="21"/>
        <v>Single</v>
      </c>
      <c r="O458" t="str" cm="1">
        <f t="array" ref="O458">IF((SUMPRODUCT((OrderID=OrderLines!$A458)*Qty*UnitPrice*DiscountPct))&gt;40,"HighDisc","OK")</f>
        <v>OK</v>
      </c>
      <c r="P458">
        <f>(orderlinesTABLE[[#This Row],[UnitCost]]*orderlinesTABLE[[#This Row],[Qty]])</f>
        <v>13.89</v>
      </c>
      <c r="Q458">
        <f>(orderlinesTABLE[[#This Row],[LineNetAmount]]-orderlinesTABLE[[#This Row],[totalCOST]])</f>
        <v>14.54</v>
      </c>
      <c r="R458" t="str">
        <f>VLOOKUP($B458,Menu!$A$1:$F$20,MATCH(OrderLines!R$1,Menu!$A$1:$F$1,0),0)</f>
        <v>Bottled Water</v>
      </c>
      <c r="S458" t="str" cm="1">
        <f t="array" ref="S458">_xlfn.TEXTJOIN("+",TRUE,_xlfn._xlws.FILTER(orderlinesTABLE[ItemName],OrderID=orderlinesTABLE[[#This Row],[OrderID]]))</f>
        <v>Bottled Water</v>
      </c>
      <c r="T458" s="54">
        <f>orderlinesTABLE[[#This Row],[Profit]]/orderlinesTABLE[[#This Row],[LineNetAmount]]</f>
        <v>0.51143158635244457</v>
      </c>
      <c r="U458" s="70">
        <f>(orderlinesTABLE[[#This Row],[Qty]]*orderlinesTABLE[[#This Row],[UnitCost]])</f>
        <v>13.89</v>
      </c>
    </row>
    <row r="459" spans="1:21" x14ac:dyDescent="0.3">
      <c r="A459" s="15" t="s">
        <v>218</v>
      </c>
      <c r="B459" s="15" t="s">
        <v>416</v>
      </c>
      <c r="C459" s="15">
        <v>3</v>
      </c>
      <c r="D459" s="36">
        <f>VLOOKUP($B459,Menu!$A$1:$F$20,MATCH($D$1,Menu!$A$1:$F$1,0),0)</f>
        <v>227.61</v>
      </c>
      <c r="E459" s="15" t="str">
        <f>VLOOKUP($B459,Menu!$A$1:$F$20,MATCH(OrderLines!E$1,Menu!$A$1:$F$1,0),0)</f>
        <v>Hot Meal</v>
      </c>
      <c r="F459" s="36">
        <f>VLOOKUP($B459,Menu!$A$1:$F$20,MATCH(OrderLines!F$1,Menu!$A$1:$F$1,0),0)</f>
        <v>96.22</v>
      </c>
      <c r="G459" s="27">
        <f>VLOOKUP($A459,Orders!$A$1:$H$361,MATCH($G$1,Orders!$A$1:$H$1,0),0)</f>
        <v>45847</v>
      </c>
      <c r="H459" s="15" t="str">
        <f>VLOOKUP($A459,Orders!$A$1:$H$361,MATCH(OrderLines!$H$1,Orders!$A$1:$H$1,0),0)</f>
        <v>Plant 2 Canteen</v>
      </c>
      <c r="I459" s="15">
        <f>VLOOKUP($A459,Orders!$A$1:$H$361,MATCH(OrderLines!$I$1,Orders!$A$1:$H$1,0),0)</f>
        <v>0.09</v>
      </c>
      <c r="J459" s="15">
        <f t="shared" si="22"/>
        <v>621.37530000000004</v>
      </c>
      <c r="K459" s="27" t="str">
        <f t="shared" si="23"/>
        <v>July</v>
      </c>
      <c r="L459" s="15" t="str">
        <f>VLOOKUP(OrderLines!$A459,Orders!$A$1:$H$361,MATCH(OrderLines!$L$1,Orders!$A$1:$H$1,0),0)</f>
        <v>Breakfast</v>
      </c>
      <c r="M459" t="str">
        <f>VLOOKUP($A459,Orders!$A$1:$H$361,MATCH(OrderLines!$M$1,Orders!$A$1:$H$1,0),0)</f>
        <v>UPI</v>
      </c>
      <c r="N459" t="str">
        <f t="shared" si="21"/>
        <v>Single</v>
      </c>
      <c r="O459" t="str" cm="1">
        <f t="array" ref="O459">IF((SUMPRODUCT((OrderID=OrderLines!$A459)*Qty*UnitPrice*DiscountPct))&gt;40,"HighDisc","OK")</f>
        <v>HighDisc</v>
      </c>
      <c r="P459">
        <f>(orderlinesTABLE[[#This Row],[UnitCost]]*orderlinesTABLE[[#This Row],[Qty]])</f>
        <v>288.65999999999997</v>
      </c>
      <c r="Q459">
        <f>(orderlinesTABLE[[#This Row],[LineNetAmount]]-orderlinesTABLE[[#This Row],[totalCOST]])</f>
        <v>332.71530000000007</v>
      </c>
      <c r="R459" t="str">
        <f>VLOOKUP($B459,Menu!$A$1:$F$20,MATCH(OrderLines!R$1,Menu!$A$1:$F$1,0),0)</f>
        <v>Veg Thali</v>
      </c>
      <c r="S459" t="str" cm="1">
        <f t="array" ref="S459">_xlfn.TEXTJOIN("+",TRUE,_xlfn._xlws.FILTER(orderlinesTABLE[ItemName],OrderID=orderlinesTABLE[[#This Row],[OrderID]]))</f>
        <v>Veg Thali+Egg Curry + Rice+Chicken Thali+Fruit Cup</v>
      </c>
      <c r="T459" s="54">
        <f>orderlinesTABLE[[#This Row],[Profit]]/orderlinesTABLE[[#This Row],[LineNetAmount]]</f>
        <v>0.53544983200973717</v>
      </c>
      <c r="U459" s="70">
        <f>(orderlinesTABLE[[#This Row],[Qty]]*orderlinesTABLE[[#This Row],[UnitCost]])</f>
        <v>288.65999999999997</v>
      </c>
    </row>
    <row r="460" spans="1:21" x14ac:dyDescent="0.3">
      <c r="A460" s="14" t="s">
        <v>218</v>
      </c>
      <c r="B460" s="14" t="s">
        <v>407</v>
      </c>
      <c r="C460" s="14">
        <v>1</v>
      </c>
      <c r="D460" s="37">
        <f>VLOOKUP($B460,Menu!$A$1:$F$20,MATCH($D$1,Menu!$A$1:$F$1,0),0)</f>
        <v>246.09</v>
      </c>
      <c r="E460" s="14" t="str">
        <f>VLOOKUP($B460,Menu!$A$1:$F$20,MATCH(OrderLines!E$1,Menu!$A$1:$F$1,0),0)</f>
        <v>Hot Meal</v>
      </c>
      <c r="F460" s="37">
        <f>VLOOKUP($B460,Menu!$A$1:$F$20,MATCH(OrderLines!F$1,Menu!$A$1:$F$1,0),0)</f>
        <v>112.08</v>
      </c>
      <c r="G460" s="28">
        <f>VLOOKUP($A460,Orders!$A$1:$H$361,MATCH($G$1,Orders!$A$1:$H$1,0),0)</f>
        <v>45847</v>
      </c>
      <c r="H460" s="14" t="str">
        <f>VLOOKUP($A460,Orders!$A$1:$H$361,MATCH(OrderLines!$H$1,Orders!$A$1:$H$1,0),0)</f>
        <v>Plant 2 Canteen</v>
      </c>
      <c r="I460" s="14">
        <f>VLOOKUP($A460,Orders!$A$1:$H$361,MATCH(OrderLines!$I$1,Orders!$A$1:$H$1,0),0)</f>
        <v>0.09</v>
      </c>
      <c r="J460" s="14">
        <f t="shared" si="22"/>
        <v>223.9419</v>
      </c>
      <c r="K460" s="28" t="str">
        <f t="shared" si="23"/>
        <v>July</v>
      </c>
      <c r="L460" s="14" t="str">
        <f>VLOOKUP(OrderLines!$A460,Orders!$A$1:$H$361,MATCH(OrderLines!$L$1,Orders!$A$1:$H$1,0),0)</f>
        <v>Breakfast</v>
      </c>
      <c r="M460" t="str">
        <f>VLOOKUP($A460,Orders!$A$1:$H$361,MATCH(OrderLines!$M$1,Orders!$A$1:$H$1,0),0)</f>
        <v>UPI</v>
      </c>
      <c r="N460" t="str">
        <f t="shared" si="21"/>
        <v>Single</v>
      </c>
      <c r="O460" t="str" cm="1">
        <f t="array" ref="O460">IF((SUMPRODUCT((OrderID=OrderLines!$A460)*Qty*UnitPrice*DiscountPct))&gt;40,"HighDisc","OK")</f>
        <v>HighDisc</v>
      </c>
      <c r="P460">
        <f>(orderlinesTABLE[[#This Row],[UnitCost]]*orderlinesTABLE[[#This Row],[Qty]])</f>
        <v>112.08</v>
      </c>
      <c r="Q460">
        <f>(orderlinesTABLE[[#This Row],[LineNetAmount]]-orderlinesTABLE[[#This Row],[totalCOST]])</f>
        <v>111.86190000000001</v>
      </c>
      <c r="R460" t="str">
        <f>VLOOKUP($B460,Menu!$A$1:$F$20,MATCH(OrderLines!R$1,Menu!$A$1:$F$1,0),0)</f>
        <v>Egg Curry + Rice</v>
      </c>
      <c r="S460" t="str" cm="1">
        <f t="array" ref="S460">_xlfn.TEXTJOIN("+",TRUE,_xlfn._xlws.FILTER(orderlinesTABLE[ItemName],OrderID=orderlinesTABLE[[#This Row],[OrderID]]))</f>
        <v>Veg Thali+Egg Curry + Rice+Chicken Thali+Fruit Cup</v>
      </c>
      <c r="T460" s="54">
        <f>orderlinesTABLE[[#This Row],[Profit]]/orderlinesTABLE[[#This Row],[LineNetAmount]]</f>
        <v>0.49951304333847307</v>
      </c>
      <c r="U460" s="70">
        <f>(orderlinesTABLE[[#This Row],[Qty]]*orderlinesTABLE[[#This Row],[UnitCost]])</f>
        <v>112.08</v>
      </c>
    </row>
    <row r="461" spans="1:21" x14ac:dyDescent="0.3">
      <c r="A461" s="15" t="s">
        <v>218</v>
      </c>
      <c r="B461" s="15" t="s">
        <v>415</v>
      </c>
      <c r="C461" s="15">
        <v>1</v>
      </c>
      <c r="D461" s="36">
        <f>VLOOKUP($B461,Menu!$A$1:$F$20,MATCH($D$1,Menu!$A$1:$F$1,0),0)</f>
        <v>256.91000000000003</v>
      </c>
      <c r="E461" s="15" t="str">
        <f>VLOOKUP($B461,Menu!$A$1:$F$20,MATCH(OrderLines!E$1,Menu!$A$1:$F$1,0),0)</f>
        <v>Hot Meal</v>
      </c>
      <c r="F461" s="36">
        <f>VLOOKUP($B461,Menu!$A$1:$F$20,MATCH(OrderLines!F$1,Menu!$A$1:$F$1,0),0)</f>
        <v>121.24</v>
      </c>
      <c r="G461" s="27">
        <f>VLOOKUP($A461,Orders!$A$1:$H$361,MATCH($G$1,Orders!$A$1:$H$1,0),0)</f>
        <v>45847</v>
      </c>
      <c r="H461" s="15" t="str">
        <f>VLOOKUP($A461,Orders!$A$1:$H$361,MATCH(OrderLines!$H$1,Orders!$A$1:$H$1,0),0)</f>
        <v>Plant 2 Canteen</v>
      </c>
      <c r="I461" s="15">
        <f>VLOOKUP($A461,Orders!$A$1:$H$361,MATCH(OrderLines!$I$1,Orders!$A$1:$H$1,0),0)</f>
        <v>0.09</v>
      </c>
      <c r="J461" s="15">
        <f t="shared" si="22"/>
        <v>233.78810000000004</v>
      </c>
      <c r="K461" s="27" t="str">
        <f t="shared" si="23"/>
        <v>July</v>
      </c>
      <c r="L461" s="15" t="str">
        <f>VLOOKUP(OrderLines!$A461,Orders!$A$1:$H$361,MATCH(OrderLines!$L$1,Orders!$A$1:$H$1,0),0)</f>
        <v>Breakfast</v>
      </c>
      <c r="M461" t="str">
        <f>VLOOKUP($A461,Orders!$A$1:$H$361,MATCH(OrderLines!$M$1,Orders!$A$1:$H$1,0),0)</f>
        <v>UPI</v>
      </c>
      <c r="N461" t="str">
        <f t="shared" si="21"/>
        <v>Single</v>
      </c>
      <c r="O461" t="str" cm="1">
        <f t="array" ref="O461">IF((SUMPRODUCT((OrderID=OrderLines!$A461)*Qty*UnitPrice*DiscountPct))&gt;40,"HighDisc","OK")</f>
        <v>HighDisc</v>
      </c>
      <c r="P461">
        <f>(orderlinesTABLE[[#This Row],[UnitCost]]*orderlinesTABLE[[#This Row],[Qty]])</f>
        <v>121.24</v>
      </c>
      <c r="Q461">
        <f>(orderlinesTABLE[[#This Row],[LineNetAmount]]-orderlinesTABLE[[#This Row],[totalCOST]])</f>
        <v>112.54810000000005</v>
      </c>
      <c r="R461" t="str">
        <f>VLOOKUP($B461,Menu!$A$1:$F$20,MATCH(OrderLines!R$1,Menu!$A$1:$F$1,0),0)</f>
        <v>Chicken Thali</v>
      </c>
      <c r="S461" t="str" cm="1">
        <f t="array" ref="S461">_xlfn.TEXTJOIN("+",TRUE,_xlfn._xlws.FILTER(orderlinesTABLE[ItemName],OrderID=orderlinesTABLE[[#This Row],[OrderID]]))</f>
        <v>Veg Thali+Egg Curry + Rice+Chicken Thali+Fruit Cup</v>
      </c>
      <c r="T461" s="54">
        <f>orderlinesTABLE[[#This Row],[Profit]]/orderlinesTABLE[[#This Row],[LineNetAmount]]</f>
        <v>0.48141073048628236</v>
      </c>
      <c r="U461" s="70">
        <f>(orderlinesTABLE[[#This Row],[Qty]]*orderlinesTABLE[[#This Row],[UnitCost]])</f>
        <v>121.24</v>
      </c>
    </row>
    <row r="462" spans="1:21" x14ac:dyDescent="0.3">
      <c r="A462" s="14" t="s">
        <v>218</v>
      </c>
      <c r="B462" s="14" t="s">
        <v>412</v>
      </c>
      <c r="C462" s="14">
        <v>2</v>
      </c>
      <c r="D462" s="37">
        <f>VLOOKUP($B462,Menu!$A$1:$F$20,MATCH($D$1,Menu!$A$1:$F$1,0),0)</f>
        <v>57.07</v>
      </c>
      <c r="E462" s="14" t="str">
        <f>VLOOKUP($B462,Menu!$A$1:$F$20,MATCH(OrderLines!E$1,Menu!$A$1:$F$1,0),0)</f>
        <v>Dessert</v>
      </c>
      <c r="F462" s="37">
        <f>VLOOKUP($B462,Menu!$A$1:$F$20,MATCH(OrderLines!F$1,Menu!$A$1:$F$1,0),0)</f>
        <v>29.14</v>
      </c>
      <c r="G462" s="28">
        <f>VLOOKUP($A462,Orders!$A$1:$H$361,MATCH($G$1,Orders!$A$1:$H$1,0),0)</f>
        <v>45847</v>
      </c>
      <c r="H462" s="14" t="str">
        <f>VLOOKUP($A462,Orders!$A$1:$H$361,MATCH(OrderLines!$H$1,Orders!$A$1:$H$1,0),0)</f>
        <v>Plant 2 Canteen</v>
      </c>
      <c r="I462" s="14">
        <f>VLOOKUP($A462,Orders!$A$1:$H$361,MATCH(OrderLines!$I$1,Orders!$A$1:$H$1,0),0)</f>
        <v>0.09</v>
      </c>
      <c r="J462" s="14">
        <f t="shared" si="22"/>
        <v>103.8674</v>
      </c>
      <c r="K462" s="28" t="str">
        <f t="shared" si="23"/>
        <v>July</v>
      </c>
      <c r="L462" s="14" t="str">
        <f>VLOOKUP(OrderLines!$A462,Orders!$A$1:$H$361,MATCH(OrderLines!$L$1,Orders!$A$1:$H$1,0),0)</f>
        <v>Breakfast</v>
      </c>
      <c r="M462" t="str">
        <f>VLOOKUP($A462,Orders!$A$1:$H$361,MATCH(OrderLines!$M$1,Orders!$A$1:$H$1,0),0)</f>
        <v>UPI</v>
      </c>
      <c r="N462" t="str">
        <f t="shared" si="21"/>
        <v>Single</v>
      </c>
      <c r="O462" t="str" cm="1">
        <f t="array" ref="O462">IF((SUMPRODUCT((OrderID=OrderLines!$A462)*Qty*UnitPrice*DiscountPct))&gt;40,"HighDisc","OK")</f>
        <v>HighDisc</v>
      </c>
      <c r="P462">
        <f>(orderlinesTABLE[[#This Row],[UnitCost]]*orderlinesTABLE[[#This Row],[Qty]])</f>
        <v>58.28</v>
      </c>
      <c r="Q462">
        <f>(orderlinesTABLE[[#This Row],[LineNetAmount]]-orderlinesTABLE[[#This Row],[totalCOST]])</f>
        <v>45.587400000000002</v>
      </c>
      <c r="R462" t="str">
        <f>VLOOKUP($B462,Menu!$A$1:$F$20,MATCH(OrderLines!R$1,Menu!$A$1:$F$1,0),0)</f>
        <v>Fruit Cup</v>
      </c>
      <c r="S462" t="str" cm="1">
        <f t="array" ref="S462">_xlfn.TEXTJOIN("+",TRUE,_xlfn._xlws.FILTER(orderlinesTABLE[ItemName],OrderID=orderlinesTABLE[[#This Row],[OrderID]]))</f>
        <v>Veg Thali+Egg Curry + Rice+Chicken Thali+Fruit Cup</v>
      </c>
      <c r="T462" s="54">
        <f>orderlinesTABLE[[#This Row],[Profit]]/orderlinesTABLE[[#This Row],[LineNetAmount]]</f>
        <v>0.43889998209255265</v>
      </c>
      <c r="U462" s="70">
        <f>(orderlinesTABLE[[#This Row],[Qty]]*orderlinesTABLE[[#This Row],[UnitCost]])</f>
        <v>58.28</v>
      </c>
    </row>
    <row r="463" spans="1:21" x14ac:dyDescent="0.3">
      <c r="A463" s="15" t="s">
        <v>219</v>
      </c>
      <c r="B463" s="15" t="s">
        <v>401</v>
      </c>
      <c r="C463" s="15">
        <v>1</v>
      </c>
      <c r="D463" s="36">
        <f>VLOOKUP($B463,Menu!$A$1:$F$20,MATCH($D$1,Menu!$A$1:$F$1,0),0)</f>
        <v>52.45</v>
      </c>
      <c r="E463" s="15" t="str">
        <f>VLOOKUP($B463,Menu!$A$1:$F$20,MATCH(OrderLines!E$1,Menu!$A$1:$F$1,0),0)</f>
        <v>Snack</v>
      </c>
      <c r="F463" s="36">
        <f>VLOOKUP($B463,Menu!$A$1:$F$20,MATCH(OrderLines!F$1,Menu!$A$1:$F$1,0),0)</f>
        <v>25.8</v>
      </c>
      <c r="G463" s="27">
        <f>VLOOKUP($A463,Orders!$A$1:$H$361,MATCH($G$1,Orders!$A$1:$H$1,0),0)</f>
        <v>45869</v>
      </c>
      <c r="H463" s="15" t="str">
        <f>VLOOKUP($A463,Orders!$A$1:$H$361,MATCH(OrderLines!$H$1,Orders!$A$1:$H$1,0),0)</f>
        <v>Head Office Café</v>
      </c>
      <c r="I463" s="15">
        <f>VLOOKUP($A463,Orders!$A$1:$H$361,MATCH(OrderLines!$I$1,Orders!$A$1:$H$1,0),0)</f>
        <v>0</v>
      </c>
      <c r="J463" s="15">
        <f t="shared" si="22"/>
        <v>52.45</v>
      </c>
      <c r="K463" s="27" t="str">
        <f t="shared" si="23"/>
        <v>July</v>
      </c>
      <c r="L463" s="15" t="str">
        <f>VLOOKUP(OrderLines!$A463,Orders!$A$1:$H$361,MATCH(OrderLines!$L$1,Orders!$A$1:$H$1,0),0)</f>
        <v>Dinner</v>
      </c>
      <c r="M463" t="str">
        <f>VLOOKUP($A463,Orders!$A$1:$H$361,MATCH(OrderLines!$M$1,Orders!$A$1:$H$1,0),0)</f>
        <v>Card</v>
      </c>
      <c r="N463" t="str">
        <f t="shared" si="21"/>
        <v>Single</v>
      </c>
      <c r="O463" t="str" cm="1">
        <f t="array" ref="O463">IF((SUMPRODUCT((OrderID=OrderLines!$A463)*Qty*UnitPrice*DiscountPct))&gt;40,"HighDisc","OK")</f>
        <v>OK</v>
      </c>
      <c r="P463">
        <f>(orderlinesTABLE[[#This Row],[UnitCost]]*orderlinesTABLE[[#This Row],[Qty]])</f>
        <v>25.8</v>
      </c>
      <c r="Q463">
        <f>(orderlinesTABLE[[#This Row],[LineNetAmount]]-orderlinesTABLE[[#This Row],[totalCOST]])</f>
        <v>26.650000000000002</v>
      </c>
      <c r="R463" t="str">
        <f>VLOOKUP($B463,Menu!$A$1:$F$20,MATCH(OrderLines!R$1,Menu!$A$1:$F$1,0),0)</f>
        <v>Poha</v>
      </c>
      <c r="S463" t="str" cm="1">
        <f t="array" ref="S463">_xlfn.TEXTJOIN("+",TRUE,_xlfn._xlws.FILTER(orderlinesTABLE[ItemName],OrderID=orderlinesTABLE[[#This Row],[OrderID]]))</f>
        <v>Poha</v>
      </c>
      <c r="T463" s="54">
        <f>orderlinesTABLE[[#This Row],[Profit]]/orderlinesTABLE[[#This Row],[LineNetAmount]]</f>
        <v>0.50810295519542426</v>
      </c>
      <c r="U463" s="70">
        <f>(orderlinesTABLE[[#This Row],[Qty]]*orderlinesTABLE[[#This Row],[UnitCost]])</f>
        <v>25.8</v>
      </c>
    </row>
    <row r="464" spans="1:21" x14ac:dyDescent="0.3">
      <c r="A464" s="14" t="s">
        <v>220</v>
      </c>
      <c r="B464" s="14" t="s">
        <v>402</v>
      </c>
      <c r="C464" s="14">
        <v>3</v>
      </c>
      <c r="D464" s="37">
        <f>VLOOKUP($B464,Menu!$A$1:$F$20,MATCH($D$1,Menu!$A$1:$F$1,0),0)</f>
        <v>30.34</v>
      </c>
      <c r="E464" s="14" t="str">
        <f>VLOOKUP($B464,Menu!$A$1:$F$20,MATCH(OrderLines!E$1,Menu!$A$1:$F$1,0),0)</f>
        <v>Beverage</v>
      </c>
      <c r="F464" s="37">
        <f>VLOOKUP($B464,Menu!$A$1:$F$20,MATCH(OrderLines!F$1,Menu!$A$1:$F$1,0),0)</f>
        <v>14.18</v>
      </c>
      <c r="G464" s="28">
        <f>VLOOKUP($A464,Orders!$A$1:$H$361,MATCH($G$1,Orders!$A$1:$H$1,0),0)</f>
        <v>45842</v>
      </c>
      <c r="H464" s="14" t="str">
        <f>VLOOKUP($A464,Orders!$A$1:$H$361,MATCH(OrderLines!$H$1,Orders!$A$1:$H$1,0),0)</f>
        <v>Head Office Café</v>
      </c>
      <c r="I464" s="14">
        <f>VLOOKUP($A464,Orders!$A$1:$H$361,MATCH(OrderLines!$I$1,Orders!$A$1:$H$1,0),0)</f>
        <v>0.04</v>
      </c>
      <c r="J464" s="14">
        <f t="shared" si="22"/>
        <v>87.379199999999997</v>
      </c>
      <c r="K464" s="28" t="str">
        <f t="shared" si="23"/>
        <v>July</v>
      </c>
      <c r="L464" s="14" t="str">
        <f>VLOOKUP(OrderLines!$A464,Orders!$A$1:$H$361,MATCH(OrderLines!$L$1,Orders!$A$1:$H$1,0),0)</f>
        <v>Dinner</v>
      </c>
      <c r="M464" t="str">
        <f>VLOOKUP($A464,Orders!$A$1:$H$361,MATCH(OrderLines!$M$1,Orders!$A$1:$H$1,0),0)</f>
        <v>Cash</v>
      </c>
      <c r="N464" t="str">
        <f t="shared" si="21"/>
        <v>Single</v>
      </c>
      <c r="O464" t="str" cm="1">
        <f t="array" ref="O464">IF((SUMPRODUCT((OrderID=OrderLines!$A464)*Qty*UnitPrice*DiscountPct))&gt;40,"HighDisc","OK")</f>
        <v>OK</v>
      </c>
      <c r="P464">
        <f>(orderlinesTABLE[[#This Row],[UnitCost]]*orderlinesTABLE[[#This Row],[Qty]])</f>
        <v>42.54</v>
      </c>
      <c r="Q464">
        <f>(orderlinesTABLE[[#This Row],[LineNetAmount]]-orderlinesTABLE[[#This Row],[totalCOST]])</f>
        <v>44.839199999999998</v>
      </c>
      <c r="R464" t="str">
        <f>VLOOKUP($B464,Menu!$A$1:$F$20,MATCH(OrderLines!R$1,Menu!$A$1:$F$1,0),0)</f>
        <v>Tea</v>
      </c>
      <c r="S464" t="str" cm="1">
        <f t="array" ref="S464">_xlfn.TEXTJOIN("+",TRUE,_xlfn._xlws.FILTER(orderlinesTABLE[ItemName],OrderID=orderlinesTABLE[[#This Row],[OrderID]]))</f>
        <v>Tea+Masala Chaas</v>
      </c>
      <c r="T464" s="54">
        <f>orderlinesTABLE[[#This Row],[Profit]]/orderlinesTABLE[[#This Row],[LineNetAmount]]</f>
        <v>0.51315644913205893</v>
      </c>
      <c r="U464" s="70">
        <f>(orderlinesTABLE[[#This Row],[Qty]]*orderlinesTABLE[[#This Row],[UnitCost]])</f>
        <v>42.54</v>
      </c>
    </row>
    <row r="465" spans="1:21" x14ac:dyDescent="0.3">
      <c r="A465" s="15" t="s">
        <v>220</v>
      </c>
      <c r="B465" s="15" t="s">
        <v>404</v>
      </c>
      <c r="C465" s="15">
        <v>2</v>
      </c>
      <c r="D465" s="36">
        <f>VLOOKUP($B465,Menu!$A$1:$F$20,MATCH($D$1,Menu!$A$1:$F$1,0),0)</f>
        <v>32.979999999999997</v>
      </c>
      <c r="E465" s="15" t="str">
        <f>VLOOKUP($B465,Menu!$A$1:$F$20,MATCH(OrderLines!E$1,Menu!$A$1:$F$1,0),0)</f>
        <v>Beverage</v>
      </c>
      <c r="F465" s="36">
        <f>VLOOKUP($B465,Menu!$A$1:$F$20,MATCH(OrderLines!F$1,Menu!$A$1:$F$1,0),0)</f>
        <v>11.84</v>
      </c>
      <c r="G465" s="27">
        <f>VLOOKUP($A465,Orders!$A$1:$H$361,MATCH($G$1,Orders!$A$1:$H$1,0),0)</f>
        <v>45842</v>
      </c>
      <c r="H465" s="15" t="str">
        <f>VLOOKUP($A465,Orders!$A$1:$H$361,MATCH(OrderLines!$H$1,Orders!$A$1:$H$1,0),0)</f>
        <v>Head Office Café</v>
      </c>
      <c r="I465" s="15">
        <f>VLOOKUP($A465,Orders!$A$1:$H$361,MATCH(OrderLines!$I$1,Orders!$A$1:$H$1,0),0)</f>
        <v>0.04</v>
      </c>
      <c r="J465" s="15">
        <f t="shared" si="22"/>
        <v>63.321599999999989</v>
      </c>
      <c r="K465" s="27" t="str">
        <f t="shared" si="23"/>
        <v>July</v>
      </c>
      <c r="L465" s="15" t="str">
        <f>VLOOKUP(OrderLines!$A465,Orders!$A$1:$H$361,MATCH(OrderLines!$L$1,Orders!$A$1:$H$1,0),0)</f>
        <v>Dinner</v>
      </c>
      <c r="M465" t="str">
        <f>VLOOKUP($A465,Orders!$A$1:$H$361,MATCH(OrderLines!$M$1,Orders!$A$1:$H$1,0),0)</f>
        <v>Cash</v>
      </c>
      <c r="N465" t="str">
        <f t="shared" si="21"/>
        <v>Single</v>
      </c>
      <c r="O465" t="str" cm="1">
        <f t="array" ref="O465">IF((SUMPRODUCT((OrderID=OrderLines!$A465)*Qty*UnitPrice*DiscountPct))&gt;40,"HighDisc","OK")</f>
        <v>OK</v>
      </c>
      <c r="P465">
        <f>(orderlinesTABLE[[#This Row],[UnitCost]]*orderlinesTABLE[[#This Row],[Qty]])</f>
        <v>23.68</v>
      </c>
      <c r="Q465">
        <f>(orderlinesTABLE[[#This Row],[LineNetAmount]]-orderlinesTABLE[[#This Row],[totalCOST]])</f>
        <v>39.64159999999999</v>
      </c>
      <c r="R465" t="str">
        <f>VLOOKUP($B465,Menu!$A$1:$F$20,MATCH(OrderLines!R$1,Menu!$A$1:$F$1,0),0)</f>
        <v>Masala Chaas</v>
      </c>
      <c r="S465" t="str" cm="1">
        <f t="array" ref="S465">_xlfn.TEXTJOIN("+",TRUE,_xlfn._xlws.FILTER(orderlinesTABLE[ItemName],OrderID=orderlinesTABLE[[#This Row],[OrderID]]))</f>
        <v>Tea+Masala Chaas</v>
      </c>
      <c r="T465" s="54">
        <f>orderlinesTABLE[[#This Row],[Profit]]/orderlinesTABLE[[#This Row],[LineNetAmount]]</f>
        <v>0.62603598140287042</v>
      </c>
      <c r="U465" s="70">
        <f>(orderlinesTABLE[[#This Row],[Qty]]*orderlinesTABLE[[#This Row],[UnitCost]])</f>
        <v>23.68</v>
      </c>
    </row>
    <row r="466" spans="1:21" x14ac:dyDescent="0.3">
      <c r="A466" s="14" t="s">
        <v>221</v>
      </c>
      <c r="B466" s="14" t="s">
        <v>406</v>
      </c>
      <c r="C466" s="14">
        <v>1</v>
      </c>
      <c r="D466" s="37">
        <f>VLOOKUP($B466,Menu!$A$1:$F$20,MATCH($D$1,Menu!$A$1:$F$1,0),0)</f>
        <v>38.06</v>
      </c>
      <c r="E466" s="14" t="str">
        <f>VLOOKUP($B466,Menu!$A$1:$F$20,MATCH(OrderLines!E$1,Menu!$A$1:$F$1,0),0)</f>
        <v>Snack</v>
      </c>
      <c r="F466" s="37">
        <f>VLOOKUP($B466,Menu!$A$1:$F$20,MATCH(OrderLines!F$1,Menu!$A$1:$F$1,0),0)</f>
        <v>19.55</v>
      </c>
      <c r="G466" s="28">
        <f>VLOOKUP($A466,Orders!$A$1:$H$361,MATCH($G$1,Orders!$A$1:$H$1,0),0)</f>
        <v>45861</v>
      </c>
      <c r="H466" s="14" t="str">
        <f>VLOOKUP($A466,Orders!$A$1:$H$361,MATCH(OrderLines!$H$1,Orders!$A$1:$H$1,0),0)</f>
        <v>Head Office Café</v>
      </c>
      <c r="I466" s="14">
        <f>VLOOKUP($A466,Orders!$A$1:$H$361,MATCH(OrderLines!$I$1,Orders!$A$1:$H$1,0),0)</f>
        <v>0.1</v>
      </c>
      <c r="J466" s="14">
        <f t="shared" si="22"/>
        <v>34.254000000000005</v>
      </c>
      <c r="K466" s="28" t="str">
        <f t="shared" si="23"/>
        <v>July</v>
      </c>
      <c r="L466" s="14" t="str">
        <f>VLOOKUP(OrderLines!$A466,Orders!$A$1:$H$361,MATCH(OrderLines!$L$1,Orders!$A$1:$H$1,0),0)</f>
        <v>Breakfast</v>
      </c>
      <c r="M466" t="str">
        <f>VLOOKUP($A466,Orders!$A$1:$H$361,MATCH(OrderLines!$M$1,Orders!$A$1:$H$1,0),0)</f>
        <v>Card</v>
      </c>
      <c r="N466" t="str">
        <f t="shared" si="21"/>
        <v>Single</v>
      </c>
      <c r="O466" t="str" cm="1">
        <f t="array" ref="O466">IF((SUMPRODUCT((OrderID=OrderLines!$A466)*Qty*UnitPrice*DiscountPct))&gt;40,"HighDisc","OK")</f>
        <v>OK</v>
      </c>
      <c r="P466">
        <f>(orderlinesTABLE[[#This Row],[UnitCost]]*orderlinesTABLE[[#This Row],[Qty]])</f>
        <v>19.55</v>
      </c>
      <c r="Q466">
        <f>(orderlinesTABLE[[#This Row],[LineNetAmount]]-orderlinesTABLE[[#This Row],[totalCOST]])</f>
        <v>14.704000000000004</v>
      </c>
      <c r="R466" t="str">
        <f>VLOOKUP($B466,Menu!$A$1:$F$20,MATCH(OrderLines!R$1,Menu!$A$1:$F$1,0),0)</f>
        <v>Paneer Roll</v>
      </c>
      <c r="S466" t="str" cm="1">
        <f t="array" ref="S466">_xlfn.TEXTJOIN("+",TRUE,_xlfn._xlws.FILTER(orderlinesTABLE[ItemName],OrderID=orderlinesTABLE[[#This Row],[OrderID]]))</f>
        <v>Paneer Roll+Masala Puff+Fruit Cup</v>
      </c>
      <c r="T466" s="54">
        <f>orderlinesTABLE[[#This Row],[Profit]]/orderlinesTABLE[[#This Row],[LineNetAmount]]</f>
        <v>0.42926373562211717</v>
      </c>
      <c r="U466" s="70">
        <f>(orderlinesTABLE[[#This Row],[Qty]]*orderlinesTABLE[[#This Row],[UnitCost]])</f>
        <v>19.55</v>
      </c>
    </row>
    <row r="467" spans="1:21" x14ac:dyDescent="0.3">
      <c r="A467" s="15" t="s">
        <v>221</v>
      </c>
      <c r="B467" s="15" t="s">
        <v>419</v>
      </c>
      <c r="C467" s="15">
        <v>1</v>
      </c>
      <c r="D467" s="36">
        <f>VLOOKUP($B467,Menu!$A$1:$F$20,MATCH($D$1,Menu!$A$1:$F$1,0),0)</f>
        <v>50.19</v>
      </c>
      <c r="E467" s="15" t="str">
        <f>VLOOKUP($B467,Menu!$A$1:$F$20,MATCH(OrderLines!E$1,Menu!$A$1:$F$1,0),0)</f>
        <v>Snack</v>
      </c>
      <c r="F467" s="36">
        <f>VLOOKUP($B467,Menu!$A$1:$F$20,MATCH(OrderLines!F$1,Menu!$A$1:$F$1,0),0)</f>
        <v>22.61</v>
      </c>
      <c r="G467" s="27">
        <f>VLOOKUP($A467,Orders!$A$1:$H$361,MATCH($G$1,Orders!$A$1:$H$1,0),0)</f>
        <v>45861</v>
      </c>
      <c r="H467" s="15" t="str">
        <f>VLOOKUP($A467,Orders!$A$1:$H$361,MATCH(OrderLines!$H$1,Orders!$A$1:$H$1,0),0)</f>
        <v>Head Office Café</v>
      </c>
      <c r="I467" s="15">
        <f>VLOOKUP($A467,Orders!$A$1:$H$361,MATCH(OrderLines!$I$1,Orders!$A$1:$H$1,0),0)</f>
        <v>0.1</v>
      </c>
      <c r="J467" s="15">
        <f t="shared" si="22"/>
        <v>45.170999999999999</v>
      </c>
      <c r="K467" s="27" t="str">
        <f t="shared" si="23"/>
        <v>July</v>
      </c>
      <c r="L467" s="15" t="str">
        <f>VLOOKUP(OrderLines!$A467,Orders!$A$1:$H$361,MATCH(OrderLines!$L$1,Orders!$A$1:$H$1,0),0)</f>
        <v>Breakfast</v>
      </c>
      <c r="M467" t="str">
        <f>VLOOKUP($A467,Orders!$A$1:$H$361,MATCH(OrderLines!$M$1,Orders!$A$1:$H$1,0),0)</f>
        <v>Card</v>
      </c>
      <c r="N467" t="str">
        <f t="shared" si="21"/>
        <v>Single</v>
      </c>
      <c r="O467" t="str" cm="1">
        <f t="array" ref="O467">IF((SUMPRODUCT((OrderID=OrderLines!$A467)*Qty*UnitPrice*DiscountPct))&gt;40,"HighDisc","OK")</f>
        <v>OK</v>
      </c>
      <c r="P467">
        <f>(orderlinesTABLE[[#This Row],[UnitCost]]*orderlinesTABLE[[#This Row],[Qty]])</f>
        <v>22.61</v>
      </c>
      <c r="Q467">
        <f>(orderlinesTABLE[[#This Row],[LineNetAmount]]-orderlinesTABLE[[#This Row],[totalCOST]])</f>
        <v>22.561</v>
      </c>
      <c r="R467" t="str">
        <f>VLOOKUP($B467,Menu!$A$1:$F$20,MATCH(OrderLines!R$1,Menu!$A$1:$F$1,0),0)</f>
        <v>Masala Puff</v>
      </c>
      <c r="S467" t="str" cm="1">
        <f t="array" ref="S467">_xlfn.TEXTJOIN("+",TRUE,_xlfn._xlws.FILTER(orderlinesTABLE[ItemName],OrderID=orderlinesTABLE[[#This Row],[OrderID]]))</f>
        <v>Paneer Roll+Masala Puff+Fruit Cup</v>
      </c>
      <c r="T467" s="54">
        <f>orderlinesTABLE[[#This Row],[Profit]]/orderlinesTABLE[[#This Row],[LineNetAmount]]</f>
        <v>0.49945761661242832</v>
      </c>
      <c r="U467" s="70">
        <f>(orderlinesTABLE[[#This Row],[Qty]]*orderlinesTABLE[[#This Row],[UnitCost]])</f>
        <v>22.61</v>
      </c>
    </row>
    <row r="468" spans="1:21" x14ac:dyDescent="0.3">
      <c r="A468" s="14" t="s">
        <v>221</v>
      </c>
      <c r="B468" s="14" t="s">
        <v>412</v>
      </c>
      <c r="C468" s="14">
        <v>1</v>
      </c>
      <c r="D468" s="37">
        <f>VLOOKUP($B468,Menu!$A$1:$F$20,MATCH($D$1,Menu!$A$1:$F$1,0),0)</f>
        <v>57.07</v>
      </c>
      <c r="E468" s="14" t="str">
        <f>VLOOKUP($B468,Menu!$A$1:$F$20,MATCH(OrderLines!E$1,Menu!$A$1:$F$1,0),0)</f>
        <v>Dessert</v>
      </c>
      <c r="F468" s="37">
        <f>VLOOKUP($B468,Menu!$A$1:$F$20,MATCH(OrderLines!F$1,Menu!$A$1:$F$1,0),0)</f>
        <v>29.14</v>
      </c>
      <c r="G468" s="28">
        <f>VLOOKUP($A468,Orders!$A$1:$H$361,MATCH($G$1,Orders!$A$1:$H$1,0),0)</f>
        <v>45861</v>
      </c>
      <c r="H468" s="14" t="str">
        <f>VLOOKUP($A468,Orders!$A$1:$H$361,MATCH(OrderLines!$H$1,Orders!$A$1:$H$1,0),0)</f>
        <v>Head Office Café</v>
      </c>
      <c r="I468" s="14">
        <f>VLOOKUP($A468,Orders!$A$1:$H$361,MATCH(OrderLines!$I$1,Orders!$A$1:$H$1,0),0)</f>
        <v>0.1</v>
      </c>
      <c r="J468" s="14">
        <f t="shared" si="22"/>
        <v>51.363</v>
      </c>
      <c r="K468" s="28" t="str">
        <f t="shared" si="23"/>
        <v>July</v>
      </c>
      <c r="L468" s="14" t="str">
        <f>VLOOKUP(OrderLines!$A468,Orders!$A$1:$H$361,MATCH(OrderLines!$L$1,Orders!$A$1:$H$1,0),0)</f>
        <v>Breakfast</v>
      </c>
      <c r="M468" t="str">
        <f>VLOOKUP($A468,Orders!$A$1:$H$361,MATCH(OrderLines!$M$1,Orders!$A$1:$H$1,0),0)</f>
        <v>Card</v>
      </c>
      <c r="N468" t="str">
        <f t="shared" si="21"/>
        <v>Single</v>
      </c>
      <c r="O468" t="str" cm="1">
        <f t="array" ref="O468">IF((SUMPRODUCT((OrderID=OrderLines!$A468)*Qty*UnitPrice*DiscountPct))&gt;40,"HighDisc","OK")</f>
        <v>OK</v>
      </c>
      <c r="P468">
        <f>(orderlinesTABLE[[#This Row],[UnitCost]]*orderlinesTABLE[[#This Row],[Qty]])</f>
        <v>29.14</v>
      </c>
      <c r="Q468">
        <f>(orderlinesTABLE[[#This Row],[LineNetAmount]]-orderlinesTABLE[[#This Row],[totalCOST]])</f>
        <v>22.222999999999999</v>
      </c>
      <c r="R468" t="str">
        <f>VLOOKUP($B468,Menu!$A$1:$F$20,MATCH(OrderLines!R$1,Menu!$A$1:$F$1,0),0)</f>
        <v>Fruit Cup</v>
      </c>
      <c r="S468" t="str" cm="1">
        <f t="array" ref="S468">_xlfn.TEXTJOIN("+",TRUE,_xlfn._xlws.FILTER(orderlinesTABLE[ItemName],OrderID=orderlinesTABLE[[#This Row],[OrderID]]))</f>
        <v>Paneer Roll+Masala Puff+Fruit Cup</v>
      </c>
      <c r="T468" s="54">
        <f>orderlinesTABLE[[#This Row],[Profit]]/orderlinesTABLE[[#This Row],[LineNetAmount]]</f>
        <v>0.43266553744913649</v>
      </c>
      <c r="U468" s="70">
        <f>(orderlinesTABLE[[#This Row],[Qty]]*orderlinesTABLE[[#This Row],[UnitCost]])</f>
        <v>29.14</v>
      </c>
    </row>
    <row r="469" spans="1:21" x14ac:dyDescent="0.3">
      <c r="A469" s="15" t="s">
        <v>222</v>
      </c>
      <c r="B469" s="15" t="s">
        <v>408</v>
      </c>
      <c r="C469" s="15">
        <v>1</v>
      </c>
      <c r="D469" s="36">
        <f>VLOOKUP($B469,Menu!$A$1:$F$20,MATCH($D$1,Menu!$A$1:$F$1,0),0)</f>
        <v>70.540000000000006</v>
      </c>
      <c r="E469" s="15" t="str">
        <f>VLOOKUP($B469,Menu!$A$1:$F$20,MATCH(OrderLines!E$1,Menu!$A$1:$F$1,0),0)</f>
        <v>Snack</v>
      </c>
      <c r="F469" s="36">
        <f>VLOOKUP($B469,Menu!$A$1:$F$20,MATCH(OrderLines!F$1,Menu!$A$1:$F$1,0),0)</f>
        <v>35.81</v>
      </c>
      <c r="G469" s="27">
        <f>VLOOKUP($A469,Orders!$A$1:$H$361,MATCH($G$1,Orders!$A$1:$H$1,0),0)</f>
        <v>45849</v>
      </c>
      <c r="H469" s="15" t="str">
        <f>VLOOKUP($A469,Orders!$A$1:$H$361,MATCH(OrderLines!$H$1,Orders!$A$1:$H$1,0),0)</f>
        <v>Plant 2 Canteen</v>
      </c>
      <c r="I469" s="15">
        <f>VLOOKUP($A469,Orders!$A$1:$H$361,MATCH(OrderLines!$I$1,Orders!$A$1:$H$1,0),0)</f>
        <v>0.06</v>
      </c>
      <c r="J469" s="15">
        <f t="shared" si="22"/>
        <v>66.307600000000008</v>
      </c>
      <c r="K469" s="27" t="str">
        <f t="shared" si="23"/>
        <v>July</v>
      </c>
      <c r="L469" s="15" t="str">
        <f>VLOOKUP(OrderLines!$A469,Orders!$A$1:$H$361,MATCH(OrderLines!$L$1,Orders!$A$1:$H$1,0),0)</f>
        <v>Breakfast</v>
      </c>
      <c r="M469" t="str">
        <f>VLOOKUP($A469,Orders!$A$1:$H$361,MATCH(OrderLines!$M$1,Orders!$A$1:$H$1,0),0)</f>
        <v>UPI</v>
      </c>
      <c r="N469" t="str">
        <f t="shared" si="21"/>
        <v>Single</v>
      </c>
      <c r="O469" t="str" cm="1">
        <f t="array" ref="O469">IF((SUMPRODUCT((OrderID=OrderLines!$A469)*Qty*UnitPrice*DiscountPct))&gt;40,"HighDisc","OK")</f>
        <v>OK</v>
      </c>
      <c r="P469">
        <f>(orderlinesTABLE[[#This Row],[UnitCost]]*orderlinesTABLE[[#This Row],[Qty]])</f>
        <v>35.81</v>
      </c>
      <c r="Q469">
        <f>(orderlinesTABLE[[#This Row],[LineNetAmount]]-orderlinesTABLE[[#This Row],[totalCOST]])</f>
        <v>30.497600000000006</v>
      </c>
      <c r="R469" t="str">
        <f>VLOOKUP($B469,Menu!$A$1:$F$20,MATCH(OrderLines!R$1,Menu!$A$1:$F$1,0),0)</f>
        <v>Veg Sandwich</v>
      </c>
      <c r="S469" t="str" cm="1">
        <f t="array" ref="S469">_xlfn.TEXTJOIN("+",TRUE,_xlfn._xlws.FILTER(orderlinesTABLE[ItemName],OrderID=orderlinesTABLE[[#This Row],[OrderID]]))</f>
        <v>Veg Sandwich+Fruit Cup+Nimbu Pani</v>
      </c>
      <c r="T469" s="54">
        <f>orderlinesTABLE[[#This Row],[Profit]]/orderlinesTABLE[[#This Row],[LineNetAmount]]</f>
        <v>0.45994124353769406</v>
      </c>
      <c r="U469" s="70">
        <f>(orderlinesTABLE[[#This Row],[Qty]]*orderlinesTABLE[[#This Row],[UnitCost]])</f>
        <v>35.81</v>
      </c>
    </row>
    <row r="470" spans="1:21" x14ac:dyDescent="0.3">
      <c r="A470" s="14" t="s">
        <v>222</v>
      </c>
      <c r="B470" s="14" t="s">
        <v>412</v>
      </c>
      <c r="C470" s="14">
        <v>1</v>
      </c>
      <c r="D470" s="37">
        <f>VLOOKUP($B470,Menu!$A$1:$F$20,MATCH($D$1,Menu!$A$1:$F$1,0),0)</f>
        <v>57.07</v>
      </c>
      <c r="E470" s="14" t="str">
        <f>VLOOKUP($B470,Menu!$A$1:$F$20,MATCH(OrderLines!E$1,Menu!$A$1:$F$1,0),0)</f>
        <v>Dessert</v>
      </c>
      <c r="F470" s="37">
        <f>VLOOKUP($B470,Menu!$A$1:$F$20,MATCH(OrderLines!F$1,Menu!$A$1:$F$1,0),0)</f>
        <v>29.14</v>
      </c>
      <c r="G470" s="28">
        <f>VLOOKUP($A470,Orders!$A$1:$H$361,MATCH($G$1,Orders!$A$1:$H$1,0),0)</f>
        <v>45849</v>
      </c>
      <c r="H470" s="14" t="str">
        <f>VLOOKUP($A470,Orders!$A$1:$H$361,MATCH(OrderLines!$H$1,Orders!$A$1:$H$1,0),0)</f>
        <v>Plant 2 Canteen</v>
      </c>
      <c r="I470" s="14">
        <f>VLOOKUP($A470,Orders!$A$1:$H$361,MATCH(OrderLines!$I$1,Orders!$A$1:$H$1,0),0)</f>
        <v>0.06</v>
      </c>
      <c r="J470" s="14">
        <f t="shared" si="22"/>
        <v>53.645799999999994</v>
      </c>
      <c r="K470" s="28" t="str">
        <f t="shared" si="23"/>
        <v>July</v>
      </c>
      <c r="L470" s="14" t="str">
        <f>VLOOKUP(OrderLines!$A470,Orders!$A$1:$H$361,MATCH(OrderLines!$L$1,Orders!$A$1:$H$1,0),0)</f>
        <v>Breakfast</v>
      </c>
      <c r="M470" t="str">
        <f>VLOOKUP($A470,Orders!$A$1:$H$361,MATCH(OrderLines!$M$1,Orders!$A$1:$H$1,0),0)</f>
        <v>UPI</v>
      </c>
      <c r="N470" t="str">
        <f t="shared" si="21"/>
        <v>Single</v>
      </c>
      <c r="O470" t="str" cm="1">
        <f t="array" ref="O470">IF((SUMPRODUCT((OrderID=OrderLines!$A470)*Qty*UnitPrice*DiscountPct))&gt;40,"HighDisc","OK")</f>
        <v>OK</v>
      </c>
      <c r="P470">
        <f>(orderlinesTABLE[[#This Row],[UnitCost]]*orderlinesTABLE[[#This Row],[Qty]])</f>
        <v>29.14</v>
      </c>
      <c r="Q470">
        <f>(orderlinesTABLE[[#This Row],[LineNetAmount]]-orderlinesTABLE[[#This Row],[totalCOST]])</f>
        <v>24.505799999999994</v>
      </c>
      <c r="R470" t="str">
        <f>VLOOKUP($B470,Menu!$A$1:$F$20,MATCH(OrderLines!R$1,Menu!$A$1:$F$1,0),0)</f>
        <v>Fruit Cup</v>
      </c>
      <c r="S470" t="str" cm="1">
        <f t="array" ref="S470">_xlfn.TEXTJOIN("+",TRUE,_xlfn._xlws.FILTER(orderlinesTABLE[ItemName],OrderID=orderlinesTABLE[[#This Row],[OrderID]]))</f>
        <v>Veg Sandwich+Fruit Cup+Nimbu Pani</v>
      </c>
      <c r="T470" s="54">
        <f>orderlinesTABLE[[#This Row],[Profit]]/orderlinesTABLE[[#This Row],[LineNetAmount]]</f>
        <v>0.45680742947257746</v>
      </c>
      <c r="U470" s="70">
        <f>(orderlinesTABLE[[#This Row],[Qty]]*orderlinesTABLE[[#This Row],[UnitCost]])</f>
        <v>29.14</v>
      </c>
    </row>
    <row r="471" spans="1:21" x14ac:dyDescent="0.3">
      <c r="A471" s="15" t="s">
        <v>222</v>
      </c>
      <c r="B471" s="15" t="s">
        <v>410</v>
      </c>
      <c r="C471" s="15">
        <v>1</v>
      </c>
      <c r="D471" s="36">
        <f>VLOOKUP($B471,Menu!$A$1:$F$20,MATCH($D$1,Menu!$A$1:$F$1,0),0)</f>
        <v>20.11</v>
      </c>
      <c r="E471" s="15" t="str">
        <f>VLOOKUP($B471,Menu!$A$1:$F$20,MATCH(OrderLines!E$1,Menu!$A$1:$F$1,0),0)</f>
        <v>Beverage</v>
      </c>
      <c r="F471" s="36">
        <f>VLOOKUP($B471,Menu!$A$1:$F$20,MATCH(OrderLines!F$1,Menu!$A$1:$F$1,0),0)</f>
        <v>8</v>
      </c>
      <c r="G471" s="27">
        <f>VLOOKUP($A471,Orders!$A$1:$H$361,MATCH($G$1,Orders!$A$1:$H$1,0),0)</f>
        <v>45849</v>
      </c>
      <c r="H471" s="15" t="str">
        <f>VLOOKUP($A471,Orders!$A$1:$H$361,MATCH(OrderLines!$H$1,Orders!$A$1:$H$1,0),0)</f>
        <v>Plant 2 Canteen</v>
      </c>
      <c r="I471" s="15">
        <f>VLOOKUP($A471,Orders!$A$1:$H$361,MATCH(OrderLines!$I$1,Orders!$A$1:$H$1,0),0)</f>
        <v>0.06</v>
      </c>
      <c r="J471" s="15">
        <f t="shared" si="22"/>
        <v>18.903399999999998</v>
      </c>
      <c r="K471" s="27" t="str">
        <f t="shared" si="23"/>
        <v>July</v>
      </c>
      <c r="L471" s="15" t="str">
        <f>VLOOKUP(OrderLines!$A471,Orders!$A$1:$H$361,MATCH(OrderLines!$L$1,Orders!$A$1:$H$1,0),0)</f>
        <v>Breakfast</v>
      </c>
      <c r="M471" t="str">
        <f>VLOOKUP($A471,Orders!$A$1:$H$361,MATCH(OrderLines!$M$1,Orders!$A$1:$H$1,0),0)</f>
        <v>UPI</v>
      </c>
      <c r="N471" t="str">
        <f t="shared" si="21"/>
        <v>Single</v>
      </c>
      <c r="O471" t="str" cm="1">
        <f t="array" ref="O471">IF((SUMPRODUCT((OrderID=OrderLines!$A471)*Qty*UnitPrice*DiscountPct))&gt;40,"HighDisc","OK")</f>
        <v>OK</v>
      </c>
      <c r="P471">
        <f>(orderlinesTABLE[[#This Row],[UnitCost]]*orderlinesTABLE[[#This Row],[Qty]])</f>
        <v>8</v>
      </c>
      <c r="Q471">
        <f>(orderlinesTABLE[[#This Row],[LineNetAmount]]-orderlinesTABLE[[#This Row],[totalCOST]])</f>
        <v>10.903399999999998</v>
      </c>
      <c r="R471" t="str">
        <f>VLOOKUP($B471,Menu!$A$1:$F$20,MATCH(OrderLines!R$1,Menu!$A$1:$F$1,0),0)</f>
        <v>Nimbu Pani</v>
      </c>
      <c r="S471" t="str" cm="1">
        <f t="array" ref="S471">_xlfn.TEXTJOIN("+",TRUE,_xlfn._xlws.FILTER(orderlinesTABLE[ItemName],OrderID=orderlinesTABLE[[#This Row],[OrderID]]))</f>
        <v>Veg Sandwich+Fruit Cup+Nimbu Pani</v>
      </c>
      <c r="T471" s="54">
        <f>orderlinesTABLE[[#This Row],[Profit]]/orderlinesTABLE[[#This Row],[LineNetAmount]]</f>
        <v>0.57679570870848629</v>
      </c>
      <c r="U471" s="70">
        <f>(orderlinesTABLE[[#This Row],[Qty]]*orderlinesTABLE[[#This Row],[UnitCost]])</f>
        <v>8</v>
      </c>
    </row>
    <row r="472" spans="1:21" x14ac:dyDescent="0.3">
      <c r="A472" s="14" t="s">
        <v>223</v>
      </c>
      <c r="B472" s="14" t="s">
        <v>402</v>
      </c>
      <c r="C472" s="14">
        <v>2</v>
      </c>
      <c r="D472" s="37">
        <f>VLOOKUP($B472,Menu!$A$1:$F$20,MATCH($D$1,Menu!$A$1:$F$1,0),0)</f>
        <v>30.34</v>
      </c>
      <c r="E472" s="14" t="str">
        <f>VLOOKUP($B472,Menu!$A$1:$F$20,MATCH(OrderLines!E$1,Menu!$A$1:$F$1,0),0)</f>
        <v>Beverage</v>
      </c>
      <c r="F472" s="37">
        <f>VLOOKUP($B472,Menu!$A$1:$F$20,MATCH(OrderLines!F$1,Menu!$A$1:$F$1,0),0)</f>
        <v>14.18</v>
      </c>
      <c r="G472" s="28">
        <f>VLOOKUP($A472,Orders!$A$1:$H$361,MATCH($G$1,Orders!$A$1:$H$1,0),0)</f>
        <v>45842</v>
      </c>
      <c r="H472" s="14" t="str">
        <f>VLOOKUP($A472,Orders!$A$1:$H$361,MATCH(OrderLines!$H$1,Orders!$A$1:$H$1,0),0)</f>
        <v>Plant 1 Canteen</v>
      </c>
      <c r="I472" s="14">
        <f>VLOOKUP($A472,Orders!$A$1:$H$361,MATCH(OrderLines!$I$1,Orders!$A$1:$H$1,0),0)</f>
        <v>0.02</v>
      </c>
      <c r="J472" s="14">
        <f t="shared" si="22"/>
        <v>59.4664</v>
      </c>
      <c r="K472" s="28" t="str">
        <f t="shared" si="23"/>
        <v>July</v>
      </c>
      <c r="L472" s="14" t="str">
        <f>VLOOKUP(OrderLines!$A472,Orders!$A$1:$H$361,MATCH(OrderLines!$L$1,Orders!$A$1:$H$1,0),0)</f>
        <v>Breakfast</v>
      </c>
      <c r="M472" t="str">
        <f>VLOOKUP($A472,Orders!$A$1:$H$361,MATCH(OrderLines!$M$1,Orders!$A$1:$H$1,0),0)</f>
        <v>Cash</v>
      </c>
      <c r="N472" t="str">
        <f t="shared" si="21"/>
        <v>Single</v>
      </c>
      <c r="O472" t="str" cm="1">
        <f t="array" ref="O472">IF((SUMPRODUCT((OrderID=OrderLines!$A472)*Qty*UnitPrice*DiscountPct))&gt;40,"HighDisc","OK")</f>
        <v>OK</v>
      </c>
      <c r="P472">
        <f>(orderlinesTABLE[[#This Row],[UnitCost]]*orderlinesTABLE[[#This Row],[Qty]])</f>
        <v>28.36</v>
      </c>
      <c r="Q472">
        <f>(orderlinesTABLE[[#This Row],[LineNetAmount]]-orderlinesTABLE[[#This Row],[totalCOST]])</f>
        <v>31.106400000000001</v>
      </c>
      <c r="R472" t="str">
        <f>VLOOKUP($B472,Menu!$A$1:$F$20,MATCH(OrderLines!R$1,Menu!$A$1:$F$1,0),0)</f>
        <v>Tea</v>
      </c>
      <c r="S472" t="str" cm="1">
        <f t="array" ref="S472">_xlfn.TEXTJOIN("+",TRUE,_xlfn._xlws.FILTER(orderlinesTABLE[ItemName],OrderID=orderlinesTABLE[[#This Row],[OrderID]]))</f>
        <v>Tea</v>
      </c>
      <c r="T472" s="54">
        <f>orderlinesTABLE[[#This Row],[Profit]]/orderlinesTABLE[[#This Row],[LineNetAmount]]</f>
        <v>0.52309203180283326</v>
      </c>
      <c r="U472" s="70">
        <f>(orderlinesTABLE[[#This Row],[Qty]]*orderlinesTABLE[[#This Row],[UnitCost]])</f>
        <v>28.36</v>
      </c>
    </row>
    <row r="473" spans="1:21" x14ac:dyDescent="0.3">
      <c r="A473" s="15" t="s">
        <v>224</v>
      </c>
      <c r="B473" s="15" t="s">
        <v>408</v>
      </c>
      <c r="C473" s="15">
        <v>1</v>
      </c>
      <c r="D473" s="36">
        <f>VLOOKUP($B473,Menu!$A$1:$F$20,MATCH($D$1,Menu!$A$1:$F$1,0),0)</f>
        <v>70.540000000000006</v>
      </c>
      <c r="E473" s="15" t="str">
        <f>VLOOKUP($B473,Menu!$A$1:$F$20,MATCH(OrderLines!E$1,Menu!$A$1:$F$1,0),0)</f>
        <v>Snack</v>
      </c>
      <c r="F473" s="36">
        <f>VLOOKUP($B473,Menu!$A$1:$F$20,MATCH(OrderLines!F$1,Menu!$A$1:$F$1,0),0)</f>
        <v>35.81</v>
      </c>
      <c r="G473" s="27">
        <f>VLOOKUP($A473,Orders!$A$1:$H$361,MATCH($G$1,Orders!$A$1:$H$1,0),0)</f>
        <v>45874</v>
      </c>
      <c r="H473" s="15" t="str">
        <f>VLOOKUP($A473,Orders!$A$1:$H$361,MATCH(OrderLines!$H$1,Orders!$A$1:$H$1,0),0)</f>
        <v>Plant 2 Canteen</v>
      </c>
      <c r="I473" s="15">
        <f>VLOOKUP($A473,Orders!$A$1:$H$361,MATCH(OrderLines!$I$1,Orders!$A$1:$H$1,0),0)</f>
        <v>0.03</v>
      </c>
      <c r="J473" s="15">
        <f t="shared" si="22"/>
        <v>68.4238</v>
      </c>
      <c r="K473" s="27" t="str">
        <f t="shared" si="23"/>
        <v>August</v>
      </c>
      <c r="L473" s="15" t="str">
        <f>VLOOKUP(OrderLines!$A473,Orders!$A$1:$H$361,MATCH(OrderLines!$L$1,Orders!$A$1:$H$1,0),0)</f>
        <v>Breakfast</v>
      </c>
      <c r="M473" t="str">
        <f>VLOOKUP($A473,Orders!$A$1:$H$361,MATCH(OrderLines!$M$1,Orders!$A$1:$H$1,0),0)</f>
        <v>Cash</v>
      </c>
      <c r="N473" t="str">
        <f t="shared" si="21"/>
        <v>Combo</v>
      </c>
      <c r="O473" t="str" cm="1">
        <f t="array" ref="O473">IF((SUMPRODUCT((OrderID=OrderLines!$A473)*Qty*UnitPrice*DiscountPct))&gt;40,"HighDisc","OK")</f>
        <v>OK</v>
      </c>
      <c r="P473">
        <f>(orderlinesTABLE[[#This Row],[UnitCost]]*orderlinesTABLE[[#This Row],[Qty]])</f>
        <v>35.81</v>
      </c>
      <c r="Q473">
        <f>(orderlinesTABLE[[#This Row],[LineNetAmount]]-orderlinesTABLE[[#This Row],[totalCOST]])</f>
        <v>32.613799999999998</v>
      </c>
      <c r="R473" t="str">
        <f>VLOOKUP($B473,Menu!$A$1:$F$20,MATCH(OrderLines!R$1,Menu!$A$1:$F$1,0),0)</f>
        <v>Veg Sandwich</v>
      </c>
      <c r="S473" t="str" cm="1">
        <f t="array" ref="S473">_xlfn.TEXTJOIN("+",TRUE,_xlfn._xlws.FILTER(orderlinesTABLE[ItemName],OrderID=orderlinesTABLE[[#This Row],[OrderID]]))</f>
        <v>Veg Sandwich+Masala Chaas+Kheer Cup+Paneer Butter Masala + Naan</v>
      </c>
      <c r="T473" s="54">
        <f>orderlinesTABLE[[#This Row],[Profit]]/orderlinesTABLE[[#This Row],[LineNetAmount]]</f>
        <v>0.47664409167570343</v>
      </c>
      <c r="U473" s="70">
        <f>(orderlinesTABLE[[#This Row],[Qty]]*orderlinesTABLE[[#This Row],[UnitCost]])</f>
        <v>35.81</v>
      </c>
    </row>
    <row r="474" spans="1:21" x14ac:dyDescent="0.3">
      <c r="A474" s="14" t="s">
        <v>224</v>
      </c>
      <c r="B474" s="14" t="s">
        <v>404</v>
      </c>
      <c r="C474" s="14">
        <v>2</v>
      </c>
      <c r="D474" s="37">
        <f>VLOOKUP($B474,Menu!$A$1:$F$20,MATCH($D$1,Menu!$A$1:$F$1,0),0)</f>
        <v>32.979999999999997</v>
      </c>
      <c r="E474" s="14" t="str">
        <f>VLOOKUP($B474,Menu!$A$1:$F$20,MATCH(OrderLines!E$1,Menu!$A$1:$F$1,0),0)</f>
        <v>Beverage</v>
      </c>
      <c r="F474" s="37">
        <f>VLOOKUP($B474,Menu!$A$1:$F$20,MATCH(OrderLines!F$1,Menu!$A$1:$F$1,0),0)</f>
        <v>11.84</v>
      </c>
      <c r="G474" s="28">
        <f>VLOOKUP($A474,Orders!$A$1:$H$361,MATCH($G$1,Orders!$A$1:$H$1,0),0)</f>
        <v>45874</v>
      </c>
      <c r="H474" s="14" t="str">
        <f>VLOOKUP($A474,Orders!$A$1:$H$361,MATCH(OrderLines!$H$1,Orders!$A$1:$H$1,0),0)</f>
        <v>Plant 2 Canteen</v>
      </c>
      <c r="I474" s="14">
        <f>VLOOKUP($A474,Orders!$A$1:$H$361,MATCH(OrderLines!$I$1,Orders!$A$1:$H$1,0),0)</f>
        <v>0.03</v>
      </c>
      <c r="J474" s="14">
        <f t="shared" si="22"/>
        <v>63.981199999999994</v>
      </c>
      <c r="K474" s="28" t="str">
        <f t="shared" si="23"/>
        <v>August</v>
      </c>
      <c r="L474" s="14" t="str">
        <f>VLOOKUP(OrderLines!$A474,Orders!$A$1:$H$361,MATCH(OrderLines!$L$1,Orders!$A$1:$H$1,0),0)</f>
        <v>Breakfast</v>
      </c>
      <c r="M474" t="str">
        <f>VLOOKUP($A474,Orders!$A$1:$H$361,MATCH(OrderLines!$M$1,Orders!$A$1:$H$1,0),0)</f>
        <v>Cash</v>
      </c>
      <c r="N474" t="str">
        <f t="shared" si="21"/>
        <v>Combo</v>
      </c>
      <c r="O474" t="str" cm="1">
        <f t="array" ref="O474">IF((SUMPRODUCT((OrderID=OrderLines!$A474)*Qty*UnitPrice*DiscountPct))&gt;40,"HighDisc","OK")</f>
        <v>OK</v>
      </c>
      <c r="P474">
        <f>(orderlinesTABLE[[#This Row],[UnitCost]]*orderlinesTABLE[[#This Row],[Qty]])</f>
        <v>23.68</v>
      </c>
      <c r="Q474">
        <f>(orderlinesTABLE[[#This Row],[LineNetAmount]]-orderlinesTABLE[[#This Row],[totalCOST]])</f>
        <v>40.301199999999994</v>
      </c>
      <c r="R474" t="str">
        <f>VLOOKUP($B474,Menu!$A$1:$F$20,MATCH(OrderLines!R$1,Menu!$A$1:$F$1,0),0)</f>
        <v>Masala Chaas</v>
      </c>
      <c r="S474" t="str" cm="1">
        <f t="array" ref="S474">_xlfn.TEXTJOIN("+",TRUE,_xlfn._xlws.FILTER(orderlinesTABLE[ItemName],OrderID=orderlinesTABLE[[#This Row],[OrderID]]))</f>
        <v>Veg Sandwich+Masala Chaas+Kheer Cup+Paneer Butter Masala + Naan</v>
      </c>
      <c r="T474" s="54">
        <f>orderlinesTABLE[[#This Row],[Profit]]/orderlinesTABLE[[#This Row],[LineNetAmount]]</f>
        <v>0.6298912805636655</v>
      </c>
      <c r="U474" s="70">
        <f>(orderlinesTABLE[[#This Row],[Qty]]*orderlinesTABLE[[#This Row],[UnitCost]])</f>
        <v>23.68</v>
      </c>
    </row>
    <row r="475" spans="1:21" x14ac:dyDescent="0.3">
      <c r="A475" s="15" t="s">
        <v>224</v>
      </c>
      <c r="B475" s="15" t="s">
        <v>413</v>
      </c>
      <c r="C475" s="15">
        <v>2</v>
      </c>
      <c r="D475" s="36">
        <f>VLOOKUP($B475,Menu!$A$1:$F$20,MATCH($D$1,Menu!$A$1:$F$1,0),0)</f>
        <v>54.2</v>
      </c>
      <c r="E475" s="15" t="str">
        <f>VLOOKUP($B475,Menu!$A$1:$F$20,MATCH(OrderLines!E$1,Menu!$A$1:$F$1,0),0)</f>
        <v>Dessert</v>
      </c>
      <c r="F475" s="36">
        <f>VLOOKUP($B475,Menu!$A$1:$F$20,MATCH(OrderLines!F$1,Menu!$A$1:$F$1,0),0)</f>
        <v>21.95</v>
      </c>
      <c r="G475" s="27">
        <f>VLOOKUP($A475,Orders!$A$1:$H$361,MATCH($G$1,Orders!$A$1:$H$1,0),0)</f>
        <v>45874</v>
      </c>
      <c r="H475" s="15" t="str">
        <f>VLOOKUP($A475,Orders!$A$1:$H$361,MATCH(OrderLines!$H$1,Orders!$A$1:$H$1,0),0)</f>
        <v>Plant 2 Canteen</v>
      </c>
      <c r="I475" s="15">
        <f>VLOOKUP($A475,Orders!$A$1:$H$361,MATCH(OrderLines!$I$1,Orders!$A$1:$H$1,0),0)</f>
        <v>0.03</v>
      </c>
      <c r="J475" s="15">
        <f t="shared" si="22"/>
        <v>105.148</v>
      </c>
      <c r="K475" s="27" t="str">
        <f t="shared" si="23"/>
        <v>August</v>
      </c>
      <c r="L475" s="15" t="str">
        <f>VLOOKUP(OrderLines!$A475,Orders!$A$1:$H$361,MATCH(OrderLines!$L$1,Orders!$A$1:$H$1,0),0)</f>
        <v>Breakfast</v>
      </c>
      <c r="M475" t="str">
        <f>VLOOKUP($A475,Orders!$A$1:$H$361,MATCH(OrderLines!$M$1,Orders!$A$1:$H$1,0),0)</f>
        <v>Cash</v>
      </c>
      <c r="N475" t="str">
        <f t="shared" si="21"/>
        <v>Combo</v>
      </c>
      <c r="O475" t="str" cm="1">
        <f t="array" ref="O475">IF((SUMPRODUCT((OrderID=OrderLines!$A475)*Qty*UnitPrice*DiscountPct))&gt;40,"HighDisc","OK")</f>
        <v>OK</v>
      </c>
      <c r="P475">
        <f>(orderlinesTABLE[[#This Row],[UnitCost]]*orderlinesTABLE[[#This Row],[Qty]])</f>
        <v>43.9</v>
      </c>
      <c r="Q475">
        <f>(orderlinesTABLE[[#This Row],[LineNetAmount]]-orderlinesTABLE[[#This Row],[totalCOST]])</f>
        <v>61.247999999999998</v>
      </c>
      <c r="R475" t="str">
        <f>VLOOKUP($B475,Menu!$A$1:$F$20,MATCH(OrderLines!R$1,Menu!$A$1:$F$1,0),0)</f>
        <v>Kheer Cup</v>
      </c>
      <c r="S475" t="str" cm="1">
        <f t="array" ref="S475">_xlfn.TEXTJOIN("+",TRUE,_xlfn._xlws.FILTER(orderlinesTABLE[ItemName],OrderID=orderlinesTABLE[[#This Row],[OrderID]]))</f>
        <v>Veg Sandwich+Masala Chaas+Kheer Cup+Paneer Butter Masala + Naan</v>
      </c>
      <c r="T475" s="54">
        <f>orderlinesTABLE[[#This Row],[Profit]]/orderlinesTABLE[[#This Row],[LineNetAmount]]</f>
        <v>0.58249324761288845</v>
      </c>
      <c r="U475" s="70">
        <f>(orderlinesTABLE[[#This Row],[Qty]]*orderlinesTABLE[[#This Row],[UnitCost]])</f>
        <v>43.9</v>
      </c>
    </row>
    <row r="476" spans="1:21" x14ac:dyDescent="0.3">
      <c r="A476" s="14" t="s">
        <v>224</v>
      </c>
      <c r="B476" s="14" t="s">
        <v>405</v>
      </c>
      <c r="C476" s="14">
        <v>1</v>
      </c>
      <c r="D476" s="37">
        <f>VLOOKUP($B476,Menu!$A$1:$F$20,MATCH($D$1,Menu!$A$1:$F$1,0),0)</f>
        <v>170.83</v>
      </c>
      <c r="E476" s="14" t="str">
        <f>VLOOKUP($B476,Menu!$A$1:$F$20,MATCH(OrderLines!E$1,Menu!$A$1:$F$1,0),0)</f>
        <v>Hot Meal</v>
      </c>
      <c r="F476" s="37">
        <f>VLOOKUP($B476,Menu!$A$1:$F$20,MATCH(OrderLines!F$1,Menu!$A$1:$F$1,0),0)</f>
        <v>74.069999999999993</v>
      </c>
      <c r="G476" s="28">
        <f>VLOOKUP($A476,Orders!$A$1:$H$361,MATCH($G$1,Orders!$A$1:$H$1,0),0)</f>
        <v>45874</v>
      </c>
      <c r="H476" s="14" t="str">
        <f>VLOOKUP($A476,Orders!$A$1:$H$361,MATCH(OrderLines!$H$1,Orders!$A$1:$H$1,0),0)</f>
        <v>Plant 2 Canteen</v>
      </c>
      <c r="I476" s="14">
        <f>VLOOKUP($A476,Orders!$A$1:$H$361,MATCH(OrderLines!$I$1,Orders!$A$1:$H$1,0),0)</f>
        <v>0.03</v>
      </c>
      <c r="J476" s="14">
        <f t="shared" si="22"/>
        <v>165.70510000000002</v>
      </c>
      <c r="K476" s="28" t="str">
        <f t="shared" si="23"/>
        <v>August</v>
      </c>
      <c r="L476" s="14" t="str">
        <f>VLOOKUP(OrderLines!$A476,Orders!$A$1:$H$361,MATCH(OrderLines!$L$1,Orders!$A$1:$H$1,0),0)</f>
        <v>Breakfast</v>
      </c>
      <c r="M476" t="str">
        <f>VLOOKUP($A476,Orders!$A$1:$H$361,MATCH(OrderLines!$M$1,Orders!$A$1:$H$1,0),0)</f>
        <v>Cash</v>
      </c>
      <c r="N476" t="str">
        <f t="shared" si="21"/>
        <v>Combo</v>
      </c>
      <c r="O476" t="str" cm="1">
        <f t="array" ref="O476">IF((SUMPRODUCT((OrderID=OrderLines!$A476)*Qty*UnitPrice*DiscountPct))&gt;40,"HighDisc","OK")</f>
        <v>OK</v>
      </c>
      <c r="P476">
        <f>(orderlinesTABLE[[#This Row],[UnitCost]]*orderlinesTABLE[[#This Row],[Qty]])</f>
        <v>74.069999999999993</v>
      </c>
      <c r="Q476">
        <f>(orderlinesTABLE[[#This Row],[LineNetAmount]]-orderlinesTABLE[[#This Row],[totalCOST]])</f>
        <v>91.635100000000023</v>
      </c>
      <c r="R476" t="str">
        <f>VLOOKUP($B476,Menu!$A$1:$F$20,MATCH(OrderLines!R$1,Menu!$A$1:$F$1,0),0)</f>
        <v>Paneer Butter Masala + Naan</v>
      </c>
      <c r="S476" t="str" cm="1">
        <f t="array" ref="S476">_xlfn.TEXTJOIN("+",TRUE,_xlfn._xlws.FILTER(orderlinesTABLE[ItemName],OrderID=orderlinesTABLE[[#This Row],[OrderID]]))</f>
        <v>Veg Sandwich+Masala Chaas+Kheer Cup+Paneer Butter Masala + Naan</v>
      </c>
      <c r="T476" s="54">
        <f>orderlinesTABLE[[#This Row],[Profit]]/orderlinesTABLE[[#This Row],[LineNetAmount]]</f>
        <v>0.5530010844566644</v>
      </c>
      <c r="U476" s="70">
        <f>(orderlinesTABLE[[#This Row],[Qty]]*orderlinesTABLE[[#This Row],[UnitCost]])</f>
        <v>74.069999999999993</v>
      </c>
    </row>
    <row r="477" spans="1:21" x14ac:dyDescent="0.3">
      <c r="A477" s="15" t="s">
        <v>225</v>
      </c>
      <c r="B477" s="15" t="s">
        <v>411</v>
      </c>
      <c r="C477" s="15">
        <v>2</v>
      </c>
      <c r="D477" s="36">
        <f>VLOOKUP($B477,Menu!$A$1:$F$20,MATCH($D$1,Menu!$A$1:$F$1,0),0)</f>
        <v>22.2</v>
      </c>
      <c r="E477" s="15" t="str">
        <f>VLOOKUP($B477,Menu!$A$1:$F$20,MATCH(OrderLines!E$1,Menu!$A$1:$F$1,0),0)</f>
        <v>Beverage</v>
      </c>
      <c r="F477" s="36">
        <f>VLOOKUP($B477,Menu!$A$1:$F$20,MATCH(OrderLines!F$1,Menu!$A$1:$F$1,0),0)</f>
        <v>9.3800000000000008</v>
      </c>
      <c r="G477" s="27">
        <f>VLOOKUP($A477,Orders!$A$1:$H$361,MATCH($G$1,Orders!$A$1:$H$1,0),0)</f>
        <v>45890</v>
      </c>
      <c r="H477" s="15" t="str">
        <f>VLOOKUP($A477,Orders!$A$1:$H$361,MATCH(OrderLines!$H$1,Orders!$A$1:$H$1,0),0)</f>
        <v>Plant 2 Canteen</v>
      </c>
      <c r="I477" s="15">
        <f>VLOOKUP($A477,Orders!$A$1:$H$361,MATCH(OrderLines!$I$1,Orders!$A$1:$H$1,0),0)</f>
        <v>0.09</v>
      </c>
      <c r="J477" s="15">
        <f t="shared" si="22"/>
        <v>40.404000000000003</v>
      </c>
      <c r="K477" s="27" t="str">
        <f t="shared" si="23"/>
        <v>August</v>
      </c>
      <c r="L477" s="15" t="str">
        <f>VLOOKUP(OrderLines!$A477,Orders!$A$1:$H$361,MATCH(OrderLines!$L$1,Orders!$A$1:$H$1,0),0)</f>
        <v>Dinner</v>
      </c>
      <c r="M477" t="str">
        <f>VLOOKUP($A477,Orders!$A$1:$H$361,MATCH(OrderLines!$M$1,Orders!$A$1:$H$1,0),0)</f>
        <v>UPI</v>
      </c>
      <c r="N477" t="str">
        <f t="shared" si="21"/>
        <v>Single</v>
      </c>
      <c r="O477" t="str" cm="1">
        <f t="array" ref="O477">IF((SUMPRODUCT((OrderID=OrderLines!$A477)*Qty*UnitPrice*DiscountPct))&gt;40,"HighDisc","OK")</f>
        <v>OK</v>
      </c>
      <c r="P477">
        <f>(orderlinesTABLE[[#This Row],[UnitCost]]*orderlinesTABLE[[#This Row],[Qty]])</f>
        <v>18.760000000000002</v>
      </c>
      <c r="Q477">
        <f>(orderlinesTABLE[[#This Row],[LineNetAmount]]-orderlinesTABLE[[#This Row],[totalCOST]])</f>
        <v>21.644000000000002</v>
      </c>
      <c r="R477" t="str">
        <f>VLOOKUP($B477,Menu!$A$1:$F$20,MATCH(OrderLines!R$1,Menu!$A$1:$F$1,0),0)</f>
        <v>Coffee</v>
      </c>
      <c r="S477" t="str" cm="1">
        <f t="array" ref="S477">_xlfn.TEXTJOIN("+",TRUE,_xlfn._xlws.FILTER(orderlinesTABLE[ItemName],OrderID=orderlinesTABLE[[#This Row],[OrderID]]))</f>
        <v>Coffee+Nimbu Pani+Veg Sandwich+Masala Puff</v>
      </c>
      <c r="T477" s="54">
        <f>orderlinesTABLE[[#This Row],[Profit]]/orderlinesTABLE[[#This Row],[LineNetAmount]]</f>
        <v>0.5356895356895357</v>
      </c>
      <c r="U477" s="70">
        <f>(orderlinesTABLE[[#This Row],[Qty]]*orderlinesTABLE[[#This Row],[UnitCost]])</f>
        <v>18.760000000000002</v>
      </c>
    </row>
    <row r="478" spans="1:21" x14ac:dyDescent="0.3">
      <c r="A478" s="14" t="s">
        <v>225</v>
      </c>
      <c r="B478" s="14" t="s">
        <v>410</v>
      </c>
      <c r="C478" s="14">
        <v>2</v>
      </c>
      <c r="D478" s="37">
        <f>VLOOKUP($B478,Menu!$A$1:$F$20,MATCH($D$1,Menu!$A$1:$F$1,0),0)</f>
        <v>20.11</v>
      </c>
      <c r="E478" s="14" t="str">
        <f>VLOOKUP($B478,Menu!$A$1:$F$20,MATCH(OrderLines!E$1,Menu!$A$1:$F$1,0),0)</f>
        <v>Beverage</v>
      </c>
      <c r="F478" s="37">
        <f>VLOOKUP($B478,Menu!$A$1:$F$20,MATCH(OrderLines!F$1,Menu!$A$1:$F$1,0),0)</f>
        <v>8</v>
      </c>
      <c r="G478" s="28">
        <f>VLOOKUP($A478,Orders!$A$1:$H$361,MATCH($G$1,Orders!$A$1:$H$1,0),0)</f>
        <v>45890</v>
      </c>
      <c r="H478" s="14" t="str">
        <f>VLOOKUP($A478,Orders!$A$1:$H$361,MATCH(OrderLines!$H$1,Orders!$A$1:$H$1,0),0)</f>
        <v>Plant 2 Canteen</v>
      </c>
      <c r="I478" s="14">
        <f>VLOOKUP($A478,Orders!$A$1:$H$361,MATCH(OrderLines!$I$1,Orders!$A$1:$H$1,0),0)</f>
        <v>0.09</v>
      </c>
      <c r="J478" s="14">
        <f t="shared" si="22"/>
        <v>36.600200000000001</v>
      </c>
      <c r="K478" s="28" t="str">
        <f t="shared" si="23"/>
        <v>August</v>
      </c>
      <c r="L478" s="14" t="str">
        <f>VLOOKUP(OrderLines!$A478,Orders!$A$1:$H$361,MATCH(OrderLines!$L$1,Orders!$A$1:$H$1,0),0)</f>
        <v>Dinner</v>
      </c>
      <c r="M478" t="str">
        <f>VLOOKUP($A478,Orders!$A$1:$H$361,MATCH(OrderLines!$M$1,Orders!$A$1:$H$1,0),0)</f>
        <v>UPI</v>
      </c>
      <c r="N478" t="str">
        <f t="shared" si="21"/>
        <v>Single</v>
      </c>
      <c r="O478" t="str" cm="1">
        <f t="array" ref="O478">IF((SUMPRODUCT((OrderID=OrderLines!$A478)*Qty*UnitPrice*DiscountPct))&gt;40,"HighDisc","OK")</f>
        <v>OK</v>
      </c>
      <c r="P478">
        <f>(orderlinesTABLE[[#This Row],[UnitCost]]*orderlinesTABLE[[#This Row],[Qty]])</f>
        <v>16</v>
      </c>
      <c r="Q478">
        <f>(orderlinesTABLE[[#This Row],[LineNetAmount]]-orderlinesTABLE[[#This Row],[totalCOST]])</f>
        <v>20.600200000000001</v>
      </c>
      <c r="R478" t="str">
        <f>VLOOKUP($B478,Menu!$A$1:$F$20,MATCH(OrderLines!R$1,Menu!$A$1:$F$1,0),0)</f>
        <v>Nimbu Pani</v>
      </c>
      <c r="S478" t="str" cm="1">
        <f t="array" ref="S478">_xlfn.TEXTJOIN("+",TRUE,_xlfn._xlws.FILTER(orderlinesTABLE[ItemName],OrderID=orderlinesTABLE[[#This Row],[OrderID]]))</f>
        <v>Coffee+Nimbu Pani+Veg Sandwich+Masala Puff</v>
      </c>
      <c r="T478" s="54">
        <f>orderlinesTABLE[[#This Row],[Profit]]/orderlinesTABLE[[#This Row],[LineNetAmount]]</f>
        <v>0.56284391888568919</v>
      </c>
      <c r="U478" s="70">
        <f>(orderlinesTABLE[[#This Row],[Qty]]*orderlinesTABLE[[#This Row],[UnitCost]])</f>
        <v>16</v>
      </c>
    </row>
    <row r="479" spans="1:21" x14ac:dyDescent="0.3">
      <c r="A479" s="15" t="s">
        <v>225</v>
      </c>
      <c r="B479" s="15" t="s">
        <v>408</v>
      </c>
      <c r="C479" s="15">
        <v>1</v>
      </c>
      <c r="D479" s="36">
        <f>VLOOKUP($B479,Menu!$A$1:$F$20,MATCH($D$1,Menu!$A$1:$F$1,0),0)</f>
        <v>70.540000000000006</v>
      </c>
      <c r="E479" s="15" t="str">
        <f>VLOOKUP($B479,Menu!$A$1:$F$20,MATCH(OrderLines!E$1,Menu!$A$1:$F$1,0),0)</f>
        <v>Snack</v>
      </c>
      <c r="F479" s="36">
        <f>VLOOKUP($B479,Menu!$A$1:$F$20,MATCH(OrderLines!F$1,Menu!$A$1:$F$1,0),0)</f>
        <v>35.81</v>
      </c>
      <c r="G479" s="27">
        <f>VLOOKUP($A479,Orders!$A$1:$H$361,MATCH($G$1,Orders!$A$1:$H$1,0),0)</f>
        <v>45890</v>
      </c>
      <c r="H479" s="15" t="str">
        <f>VLOOKUP($A479,Orders!$A$1:$H$361,MATCH(OrderLines!$H$1,Orders!$A$1:$H$1,0),0)</f>
        <v>Plant 2 Canteen</v>
      </c>
      <c r="I479" s="15">
        <f>VLOOKUP($A479,Orders!$A$1:$H$361,MATCH(OrderLines!$I$1,Orders!$A$1:$H$1,0),0)</f>
        <v>0.09</v>
      </c>
      <c r="J479" s="15">
        <f t="shared" si="22"/>
        <v>64.191400000000002</v>
      </c>
      <c r="K479" s="27" t="str">
        <f t="shared" si="23"/>
        <v>August</v>
      </c>
      <c r="L479" s="15" t="str">
        <f>VLOOKUP(OrderLines!$A479,Orders!$A$1:$H$361,MATCH(OrderLines!$L$1,Orders!$A$1:$H$1,0),0)</f>
        <v>Dinner</v>
      </c>
      <c r="M479" t="str">
        <f>VLOOKUP($A479,Orders!$A$1:$H$361,MATCH(OrderLines!$M$1,Orders!$A$1:$H$1,0),0)</f>
        <v>UPI</v>
      </c>
      <c r="N479" t="str">
        <f t="shared" si="21"/>
        <v>Single</v>
      </c>
      <c r="O479" t="str" cm="1">
        <f t="array" ref="O479">IF((SUMPRODUCT((OrderID=OrderLines!$A479)*Qty*UnitPrice*DiscountPct))&gt;40,"HighDisc","OK")</f>
        <v>OK</v>
      </c>
      <c r="P479">
        <f>(orderlinesTABLE[[#This Row],[UnitCost]]*orderlinesTABLE[[#This Row],[Qty]])</f>
        <v>35.81</v>
      </c>
      <c r="Q479">
        <f>(orderlinesTABLE[[#This Row],[LineNetAmount]]-orderlinesTABLE[[#This Row],[totalCOST]])</f>
        <v>28.381399999999999</v>
      </c>
      <c r="R479" t="str">
        <f>VLOOKUP($B479,Menu!$A$1:$F$20,MATCH(OrderLines!R$1,Menu!$A$1:$F$1,0),0)</f>
        <v>Veg Sandwich</v>
      </c>
      <c r="S479" t="str" cm="1">
        <f t="array" ref="S479">_xlfn.TEXTJOIN("+",TRUE,_xlfn._xlws.FILTER(orderlinesTABLE[ItemName],OrderID=orderlinesTABLE[[#This Row],[OrderID]]))</f>
        <v>Coffee+Nimbu Pani+Veg Sandwich+Masala Puff</v>
      </c>
      <c r="T479" s="54">
        <f>orderlinesTABLE[[#This Row],[Profit]]/orderlinesTABLE[[#This Row],[LineNetAmount]]</f>
        <v>0.44213710870926631</v>
      </c>
      <c r="U479" s="70">
        <f>(orderlinesTABLE[[#This Row],[Qty]]*orderlinesTABLE[[#This Row],[UnitCost]])</f>
        <v>35.81</v>
      </c>
    </row>
    <row r="480" spans="1:21" x14ac:dyDescent="0.3">
      <c r="A480" s="14" t="s">
        <v>225</v>
      </c>
      <c r="B480" s="14" t="s">
        <v>419</v>
      </c>
      <c r="C480" s="14">
        <v>1</v>
      </c>
      <c r="D480" s="37">
        <f>VLOOKUP($B480,Menu!$A$1:$F$20,MATCH($D$1,Menu!$A$1:$F$1,0),0)</f>
        <v>50.19</v>
      </c>
      <c r="E480" s="14" t="str">
        <f>VLOOKUP($B480,Menu!$A$1:$F$20,MATCH(OrderLines!E$1,Menu!$A$1:$F$1,0),0)</f>
        <v>Snack</v>
      </c>
      <c r="F480" s="37">
        <f>VLOOKUP($B480,Menu!$A$1:$F$20,MATCH(OrderLines!F$1,Menu!$A$1:$F$1,0),0)</f>
        <v>22.61</v>
      </c>
      <c r="G480" s="28">
        <f>VLOOKUP($A480,Orders!$A$1:$H$361,MATCH($G$1,Orders!$A$1:$H$1,0),0)</f>
        <v>45890</v>
      </c>
      <c r="H480" s="14" t="str">
        <f>VLOOKUP($A480,Orders!$A$1:$H$361,MATCH(OrderLines!$H$1,Orders!$A$1:$H$1,0),0)</f>
        <v>Plant 2 Canteen</v>
      </c>
      <c r="I480" s="14">
        <f>VLOOKUP($A480,Orders!$A$1:$H$361,MATCH(OrderLines!$I$1,Orders!$A$1:$H$1,0),0)</f>
        <v>0.09</v>
      </c>
      <c r="J480" s="14">
        <f t="shared" si="22"/>
        <v>45.672899999999998</v>
      </c>
      <c r="K480" s="28" t="str">
        <f t="shared" si="23"/>
        <v>August</v>
      </c>
      <c r="L480" s="14" t="str">
        <f>VLOOKUP(OrderLines!$A480,Orders!$A$1:$H$361,MATCH(OrderLines!$L$1,Orders!$A$1:$H$1,0),0)</f>
        <v>Dinner</v>
      </c>
      <c r="M480" t="str">
        <f>VLOOKUP($A480,Orders!$A$1:$H$361,MATCH(OrderLines!$M$1,Orders!$A$1:$H$1,0),0)</f>
        <v>UPI</v>
      </c>
      <c r="N480" t="str">
        <f t="shared" si="21"/>
        <v>Single</v>
      </c>
      <c r="O480" t="str" cm="1">
        <f t="array" ref="O480">IF((SUMPRODUCT((OrderID=OrderLines!$A480)*Qty*UnitPrice*DiscountPct))&gt;40,"HighDisc","OK")</f>
        <v>OK</v>
      </c>
      <c r="P480">
        <f>(orderlinesTABLE[[#This Row],[UnitCost]]*orderlinesTABLE[[#This Row],[Qty]])</f>
        <v>22.61</v>
      </c>
      <c r="Q480">
        <f>(orderlinesTABLE[[#This Row],[LineNetAmount]]-orderlinesTABLE[[#This Row],[totalCOST]])</f>
        <v>23.062899999999999</v>
      </c>
      <c r="R480" t="str">
        <f>VLOOKUP($B480,Menu!$A$1:$F$20,MATCH(OrderLines!R$1,Menu!$A$1:$F$1,0),0)</f>
        <v>Masala Puff</v>
      </c>
      <c r="S480" t="str" cm="1">
        <f t="array" ref="S480">_xlfn.TEXTJOIN("+",TRUE,_xlfn._xlws.FILTER(orderlinesTABLE[ItemName],OrderID=orderlinesTABLE[[#This Row],[OrderID]]))</f>
        <v>Coffee+Nimbu Pani+Veg Sandwich+Masala Puff</v>
      </c>
      <c r="T480" s="54">
        <f>orderlinesTABLE[[#This Row],[Profit]]/orderlinesTABLE[[#This Row],[LineNetAmount]]</f>
        <v>0.50495808236394013</v>
      </c>
      <c r="U480" s="70">
        <f>(orderlinesTABLE[[#This Row],[Qty]]*orderlinesTABLE[[#This Row],[UnitCost]])</f>
        <v>22.61</v>
      </c>
    </row>
    <row r="481" spans="1:21" x14ac:dyDescent="0.3">
      <c r="A481" s="15" t="s">
        <v>226</v>
      </c>
      <c r="B481" s="15" t="s">
        <v>408</v>
      </c>
      <c r="C481" s="15">
        <v>1</v>
      </c>
      <c r="D481" s="36">
        <f>VLOOKUP($B481,Menu!$A$1:$F$20,MATCH($D$1,Menu!$A$1:$F$1,0),0)</f>
        <v>70.540000000000006</v>
      </c>
      <c r="E481" s="15" t="str">
        <f>VLOOKUP($B481,Menu!$A$1:$F$20,MATCH(OrderLines!E$1,Menu!$A$1:$F$1,0),0)</f>
        <v>Snack</v>
      </c>
      <c r="F481" s="36">
        <f>VLOOKUP($B481,Menu!$A$1:$F$20,MATCH(OrderLines!F$1,Menu!$A$1:$F$1,0),0)</f>
        <v>35.81</v>
      </c>
      <c r="G481" s="27">
        <f>VLOOKUP($A481,Orders!$A$1:$H$361,MATCH($G$1,Orders!$A$1:$H$1,0),0)</f>
        <v>45855</v>
      </c>
      <c r="H481" s="15" t="str">
        <f>VLOOKUP($A481,Orders!$A$1:$H$361,MATCH(OrderLines!$H$1,Orders!$A$1:$H$1,0),0)</f>
        <v>Plant 1 Canteen</v>
      </c>
      <c r="I481" s="15">
        <f>VLOOKUP($A481,Orders!$A$1:$H$361,MATCH(OrderLines!$I$1,Orders!$A$1:$H$1,0),0)</f>
        <v>0.03</v>
      </c>
      <c r="J481" s="15">
        <f t="shared" si="22"/>
        <v>68.4238</v>
      </c>
      <c r="K481" s="27" t="str">
        <f t="shared" si="23"/>
        <v>July</v>
      </c>
      <c r="L481" s="15" t="str">
        <f>VLOOKUP(OrderLines!$A481,Orders!$A$1:$H$361,MATCH(OrderLines!$L$1,Orders!$A$1:$H$1,0),0)</f>
        <v>Dinner</v>
      </c>
      <c r="M481" t="str">
        <f>VLOOKUP($A481,Orders!$A$1:$H$361,MATCH(OrderLines!$M$1,Orders!$A$1:$H$1,0),0)</f>
        <v>UPI</v>
      </c>
      <c r="N481" t="str">
        <f t="shared" si="21"/>
        <v>Combo</v>
      </c>
      <c r="O481" t="str" cm="1">
        <f t="array" ref="O481">IF((SUMPRODUCT((OrderID=OrderLines!$A481)*Qty*UnitPrice*DiscountPct))&gt;40,"HighDisc","OK")</f>
        <v>OK</v>
      </c>
      <c r="P481">
        <f>(orderlinesTABLE[[#This Row],[UnitCost]]*orderlinesTABLE[[#This Row],[Qty]])</f>
        <v>35.81</v>
      </c>
      <c r="Q481">
        <f>(orderlinesTABLE[[#This Row],[LineNetAmount]]-orderlinesTABLE[[#This Row],[totalCOST]])</f>
        <v>32.613799999999998</v>
      </c>
      <c r="R481" t="str">
        <f>VLOOKUP($B481,Menu!$A$1:$F$20,MATCH(OrderLines!R$1,Menu!$A$1:$F$1,0),0)</f>
        <v>Veg Sandwich</v>
      </c>
      <c r="S481" t="str" cm="1">
        <f t="array" ref="S481">_xlfn.TEXTJOIN("+",TRUE,_xlfn._xlws.FILTER(orderlinesTABLE[ItemName],OrderID=orderlinesTABLE[[#This Row],[OrderID]]))</f>
        <v>Veg Sandwich+Nimbu Pani+Egg Curry + Rice</v>
      </c>
      <c r="T481" s="54">
        <f>orderlinesTABLE[[#This Row],[Profit]]/orderlinesTABLE[[#This Row],[LineNetAmount]]</f>
        <v>0.47664409167570343</v>
      </c>
      <c r="U481" s="70">
        <f>(orderlinesTABLE[[#This Row],[Qty]]*orderlinesTABLE[[#This Row],[UnitCost]])</f>
        <v>35.81</v>
      </c>
    </row>
    <row r="482" spans="1:21" x14ac:dyDescent="0.3">
      <c r="A482" s="14" t="s">
        <v>226</v>
      </c>
      <c r="B482" s="14" t="s">
        <v>410</v>
      </c>
      <c r="C482" s="14">
        <v>2</v>
      </c>
      <c r="D482" s="37">
        <f>VLOOKUP($B482,Menu!$A$1:$F$20,MATCH($D$1,Menu!$A$1:$F$1,0),0)</f>
        <v>20.11</v>
      </c>
      <c r="E482" s="14" t="str">
        <f>VLOOKUP($B482,Menu!$A$1:$F$20,MATCH(OrderLines!E$1,Menu!$A$1:$F$1,0),0)</f>
        <v>Beverage</v>
      </c>
      <c r="F482" s="37">
        <f>VLOOKUP($B482,Menu!$A$1:$F$20,MATCH(OrderLines!F$1,Menu!$A$1:$F$1,0),0)</f>
        <v>8</v>
      </c>
      <c r="G482" s="28">
        <f>VLOOKUP($A482,Orders!$A$1:$H$361,MATCH($G$1,Orders!$A$1:$H$1,0),0)</f>
        <v>45855</v>
      </c>
      <c r="H482" s="14" t="str">
        <f>VLOOKUP($A482,Orders!$A$1:$H$361,MATCH(OrderLines!$H$1,Orders!$A$1:$H$1,0),0)</f>
        <v>Plant 1 Canteen</v>
      </c>
      <c r="I482" s="14">
        <f>VLOOKUP($A482,Orders!$A$1:$H$361,MATCH(OrderLines!$I$1,Orders!$A$1:$H$1,0),0)</f>
        <v>0.03</v>
      </c>
      <c r="J482" s="14">
        <f t="shared" si="22"/>
        <v>39.013399999999997</v>
      </c>
      <c r="K482" s="28" t="str">
        <f t="shared" si="23"/>
        <v>July</v>
      </c>
      <c r="L482" s="14" t="str">
        <f>VLOOKUP(OrderLines!$A482,Orders!$A$1:$H$361,MATCH(OrderLines!$L$1,Orders!$A$1:$H$1,0),0)</f>
        <v>Dinner</v>
      </c>
      <c r="M482" t="str">
        <f>VLOOKUP($A482,Orders!$A$1:$H$361,MATCH(OrderLines!$M$1,Orders!$A$1:$H$1,0),0)</f>
        <v>UPI</v>
      </c>
      <c r="N482" t="str">
        <f t="shared" si="21"/>
        <v>Combo</v>
      </c>
      <c r="O482" t="str" cm="1">
        <f t="array" ref="O482">IF((SUMPRODUCT((OrderID=OrderLines!$A482)*Qty*UnitPrice*DiscountPct))&gt;40,"HighDisc","OK")</f>
        <v>OK</v>
      </c>
      <c r="P482">
        <f>(orderlinesTABLE[[#This Row],[UnitCost]]*orderlinesTABLE[[#This Row],[Qty]])</f>
        <v>16</v>
      </c>
      <c r="Q482">
        <f>(orderlinesTABLE[[#This Row],[LineNetAmount]]-orderlinesTABLE[[#This Row],[totalCOST]])</f>
        <v>23.013399999999997</v>
      </c>
      <c r="R482" t="str">
        <f>VLOOKUP($B482,Menu!$A$1:$F$20,MATCH(OrderLines!R$1,Menu!$A$1:$F$1,0),0)</f>
        <v>Nimbu Pani</v>
      </c>
      <c r="S482" t="str" cm="1">
        <f t="array" ref="S482">_xlfn.TEXTJOIN("+",TRUE,_xlfn._xlws.FILTER(orderlinesTABLE[ItemName],OrderID=orderlinesTABLE[[#This Row],[OrderID]]))</f>
        <v>Veg Sandwich+Nimbu Pani+Egg Curry + Rice</v>
      </c>
      <c r="T482" s="54">
        <f>orderlinesTABLE[[#This Row],[Profit]]/orderlinesTABLE[[#This Row],[LineNetAmount]]</f>
        <v>0.58988450122265679</v>
      </c>
      <c r="U482" s="70">
        <f>(orderlinesTABLE[[#This Row],[Qty]]*orderlinesTABLE[[#This Row],[UnitCost]])</f>
        <v>16</v>
      </c>
    </row>
    <row r="483" spans="1:21" x14ac:dyDescent="0.3">
      <c r="A483" s="15" t="s">
        <v>226</v>
      </c>
      <c r="B483" s="15" t="s">
        <v>407</v>
      </c>
      <c r="C483" s="15">
        <v>2</v>
      </c>
      <c r="D483" s="36">
        <f>VLOOKUP($B483,Menu!$A$1:$F$20,MATCH($D$1,Menu!$A$1:$F$1,0),0)</f>
        <v>246.09</v>
      </c>
      <c r="E483" s="15" t="str">
        <f>VLOOKUP($B483,Menu!$A$1:$F$20,MATCH(OrderLines!E$1,Menu!$A$1:$F$1,0),0)</f>
        <v>Hot Meal</v>
      </c>
      <c r="F483" s="36">
        <f>VLOOKUP($B483,Menu!$A$1:$F$20,MATCH(OrderLines!F$1,Menu!$A$1:$F$1,0),0)</f>
        <v>112.08</v>
      </c>
      <c r="G483" s="27">
        <f>VLOOKUP($A483,Orders!$A$1:$H$361,MATCH($G$1,Orders!$A$1:$H$1,0),0)</f>
        <v>45855</v>
      </c>
      <c r="H483" s="15" t="str">
        <f>VLOOKUP($A483,Orders!$A$1:$H$361,MATCH(OrderLines!$H$1,Orders!$A$1:$H$1,0),0)</f>
        <v>Plant 1 Canteen</v>
      </c>
      <c r="I483" s="15">
        <f>VLOOKUP($A483,Orders!$A$1:$H$361,MATCH(OrderLines!$I$1,Orders!$A$1:$H$1,0),0)</f>
        <v>0.03</v>
      </c>
      <c r="J483" s="15">
        <f t="shared" si="22"/>
        <v>477.41460000000001</v>
      </c>
      <c r="K483" s="27" t="str">
        <f t="shared" si="23"/>
        <v>July</v>
      </c>
      <c r="L483" s="15" t="str">
        <f>VLOOKUP(OrderLines!$A483,Orders!$A$1:$H$361,MATCH(OrderLines!$L$1,Orders!$A$1:$H$1,0),0)</f>
        <v>Dinner</v>
      </c>
      <c r="M483" t="str">
        <f>VLOOKUP($A483,Orders!$A$1:$H$361,MATCH(OrderLines!$M$1,Orders!$A$1:$H$1,0),0)</f>
        <v>UPI</v>
      </c>
      <c r="N483" t="str">
        <f t="shared" si="21"/>
        <v>Combo</v>
      </c>
      <c r="O483" t="str" cm="1">
        <f t="array" ref="O483">IF((SUMPRODUCT((OrderID=OrderLines!$A483)*Qty*UnitPrice*DiscountPct))&gt;40,"HighDisc","OK")</f>
        <v>OK</v>
      </c>
      <c r="P483">
        <f>(orderlinesTABLE[[#This Row],[UnitCost]]*orderlinesTABLE[[#This Row],[Qty]])</f>
        <v>224.16</v>
      </c>
      <c r="Q483">
        <f>(orderlinesTABLE[[#This Row],[LineNetAmount]]-orderlinesTABLE[[#This Row],[totalCOST]])</f>
        <v>253.25460000000001</v>
      </c>
      <c r="R483" t="str">
        <f>VLOOKUP($B483,Menu!$A$1:$F$20,MATCH(OrderLines!R$1,Menu!$A$1:$F$1,0),0)</f>
        <v>Egg Curry + Rice</v>
      </c>
      <c r="S483" t="str" cm="1">
        <f t="array" ref="S483">_xlfn.TEXTJOIN("+",TRUE,_xlfn._xlws.FILTER(orderlinesTABLE[ItemName],OrderID=orderlinesTABLE[[#This Row],[OrderID]]))</f>
        <v>Veg Sandwich+Nimbu Pani+Egg Curry + Rice</v>
      </c>
      <c r="T483" s="54">
        <f>orderlinesTABLE[[#This Row],[Profit]]/orderlinesTABLE[[#This Row],[LineNetAmount]]</f>
        <v>0.53047099942062936</v>
      </c>
      <c r="U483" s="70">
        <f>(orderlinesTABLE[[#This Row],[Qty]]*orderlinesTABLE[[#This Row],[UnitCost]])</f>
        <v>224.16</v>
      </c>
    </row>
    <row r="484" spans="1:21" x14ac:dyDescent="0.3">
      <c r="A484" s="14" t="s">
        <v>227</v>
      </c>
      <c r="B484" s="14" t="s">
        <v>417</v>
      </c>
      <c r="C484" s="14">
        <v>1</v>
      </c>
      <c r="D484" s="37">
        <f>VLOOKUP($B484,Menu!$A$1:$F$20,MATCH($D$1,Menu!$A$1:$F$1,0),0)</f>
        <v>146.4</v>
      </c>
      <c r="E484" s="14" t="str">
        <f>VLOOKUP($B484,Menu!$A$1:$F$20,MATCH(OrderLines!E$1,Menu!$A$1:$F$1,0),0)</f>
        <v>Hot Meal</v>
      </c>
      <c r="F484" s="37">
        <f>VLOOKUP($B484,Menu!$A$1:$F$20,MATCH(OrderLines!F$1,Menu!$A$1:$F$1,0),0)</f>
        <v>80.92</v>
      </c>
      <c r="G484" s="28">
        <f>VLOOKUP($A484,Orders!$A$1:$H$361,MATCH($G$1,Orders!$A$1:$H$1,0),0)</f>
        <v>45862</v>
      </c>
      <c r="H484" s="14" t="str">
        <f>VLOOKUP($A484,Orders!$A$1:$H$361,MATCH(OrderLines!$H$1,Orders!$A$1:$H$1,0),0)</f>
        <v>Plant 2 Canteen</v>
      </c>
      <c r="I484" s="14">
        <f>VLOOKUP($A484,Orders!$A$1:$H$361,MATCH(OrderLines!$I$1,Orders!$A$1:$H$1,0),0)</f>
        <v>7.0000000000000007E-2</v>
      </c>
      <c r="J484" s="14">
        <f t="shared" si="22"/>
        <v>136.15199999999999</v>
      </c>
      <c r="K484" s="28" t="str">
        <f t="shared" si="23"/>
        <v>July</v>
      </c>
      <c r="L484" s="14" t="str">
        <f>VLOOKUP(OrderLines!$A484,Orders!$A$1:$H$361,MATCH(OrderLines!$L$1,Orders!$A$1:$H$1,0),0)</f>
        <v>Lunch</v>
      </c>
      <c r="M484" t="str">
        <f>VLOOKUP($A484,Orders!$A$1:$H$361,MATCH(OrderLines!$M$1,Orders!$A$1:$H$1,0),0)</f>
        <v>Cash</v>
      </c>
      <c r="N484" t="str">
        <f t="shared" si="21"/>
        <v>Single</v>
      </c>
      <c r="O484" t="str" cm="1">
        <f t="array" ref="O484">IF((SUMPRODUCT((OrderID=OrderLines!$A484)*Qty*UnitPrice*DiscountPct))&gt;40,"HighDisc","OK")</f>
        <v>OK</v>
      </c>
      <c r="P484">
        <f>(orderlinesTABLE[[#This Row],[UnitCost]]*orderlinesTABLE[[#This Row],[Qty]])</f>
        <v>80.92</v>
      </c>
      <c r="Q484">
        <f>(orderlinesTABLE[[#This Row],[LineNetAmount]]-orderlinesTABLE[[#This Row],[totalCOST]])</f>
        <v>55.231999999999985</v>
      </c>
      <c r="R484" t="str">
        <f>VLOOKUP($B484,Menu!$A$1:$F$20,MATCH(OrderLines!R$1,Menu!$A$1:$F$1,0),0)</f>
        <v>Rajma Chawal</v>
      </c>
      <c r="S484" t="str" cm="1">
        <f t="array" ref="S484">_xlfn.TEXTJOIN("+",TRUE,_xlfn._xlws.FILTER(orderlinesTABLE[ItemName],OrderID=orderlinesTABLE[[#This Row],[OrderID]]))</f>
        <v>Rajma Chawal</v>
      </c>
      <c r="T484" s="54">
        <f>orderlinesTABLE[[#This Row],[Profit]]/orderlinesTABLE[[#This Row],[LineNetAmount]]</f>
        <v>0.40566425759445318</v>
      </c>
      <c r="U484" s="70">
        <f>(orderlinesTABLE[[#This Row],[Qty]]*orderlinesTABLE[[#This Row],[UnitCost]])</f>
        <v>80.92</v>
      </c>
    </row>
    <row r="485" spans="1:21" x14ac:dyDescent="0.3">
      <c r="A485" s="15" t="s">
        <v>228</v>
      </c>
      <c r="B485" s="15" t="s">
        <v>419</v>
      </c>
      <c r="C485" s="15">
        <v>2</v>
      </c>
      <c r="D485" s="36">
        <f>VLOOKUP($B485,Menu!$A$1:$F$20,MATCH($D$1,Menu!$A$1:$F$1,0),0)</f>
        <v>50.19</v>
      </c>
      <c r="E485" s="15" t="str">
        <f>VLOOKUP($B485,Menu!$A$1:$F$20,MATCH(OrderLines!E$1,Menu!$A$1:$F$1,0),0)</f>
        <v>Snack</v>
      </c>
      <c r="F485" s="36">
        <f>VLOOKUP($B485,Menu!$A$1:$F$20,MATCH(OrderLines!F$1,Menu!$A$1:$F$1,0),0)</f>
        <v>22.61</v>
      </c>
      <c r="G485" s="27">
        <f>VLOOKUP($A485,Orders!$A$1:$H$361,MATCH($G$1,Orders!$A$1:$H$1,0),0)</f>
        <v>45884</v>
      </c>
      <c r="H485" s="15" t="str">
        <f>VLOOKUP($A485,Orders!$A$1:$H$361,MATCH(OrderLines!$H$1,Orders!$A$1:$H$1,0),0)</f>
        <v>Head Office Café</v>
      </c>
      <c r="I485" s="15">
        <f>VLOOKUP($A485,Orders!$A$1:$H$361,MATCH(OrderLines!$I$1,Orders!$A$1:$H$1,0),0)</f>
        <v>0.06</v>
      </c>
      <c r="J485" s="15">
        <f t="shared" si="22"/>
        <v>94.357199999999992</v>
      </c>
      <c r="K485" s="27" t="str">
        <f t="shared" si="23"/>
        <v>August</v>
      </c>
      <c r="L485" s="15" t="str">
        <f>VLOOKUP(OrderLines!$A485,Orders!$A$1:$H$361,MATCH(OrderLines!$L$1,Orders!$A$1:$H$1,0),0)</f>
        <v>Breakfast</v>
      </c>
      <c r="M485" t="str">
        <f>VLOOKUP($A485,Orders!$A$1:$H$361,MATCH(OrderLines!$M$1,Orders!$A$1:$H$1,0),0)</f>
        <v>Card</v>
      </c>
      <c r="N485" t="str">
        <f t="shared" si="21"/>
        <v>Single</v>
      </c>
      <c r="O485" t="str" cm="1">
        <f t="array" ref="O485">IF((SUMPRODUCT((OrderID=OrderLines!$A485)*Qty*UnitPrice*DiscountPct))&gt;40,"HighDisc","OK")</f>
        <v>OK</v>
      </c>
      <c r="P485">
        <f>(orderlinesTABLE[[#This Row],[UnitCost]]*orderlinesTABLE[[#This Row],[Qty]])</f>
        <v>45.22</v>
      </c>
      <c r="Q485">
        <f>(orderlinesTABLE[[#This Row],[LineNetAmount]]-orderlinesTABLE[[#This Row],[totalCOST]])</f>
        <v>49.137199999999993</v>
      </c>
      <c r="R485" t="str">
        <f>VLOOKUP($B485,Menu!$A$1:$F$20,MATCH(OrderLines!R$1,Menu!$A$1:$F$1,0),0)</f>
        <v>Masala Puff</v>
      </c>
      <c r="S485" t="str" cm="1">
        <f t="array" ref="S485">_xlfn.TEXTJOIN("+",TRUE,_xlfn._xlws.FILTER(orderlinesTABLE[ItemName],OrderID=orderlinesTABLE[[#This Row],[OrderID]]))</f>
        <v>Masala Puff+Fruit Cup</v>
      </c>
      <c r="T485" s="54">
        <f>orderlinesTABLE[[#This Row],[Profit]]/orderlinesTABLE[[#This Row],[LineNetAmount]]</f>
        <v>0.52075729250126113</v>
      </c>
      <c r="U485" s="70">
        <f>(orderlinesTABLE[[#This Row],[Qty]]*orderlinesTABLE[[#This Row],[UnitCost]])</f>
        <v>45.22</v>
      </c>
    </row>
    <row r="486" spans="1:21" x14ac:dyDescent="0.3">
      <c r="A486" s="14" t="s">
        <v>228</v>
      </c>
      <c r="B486" s="14" t="s">
        <v>412</v>
      </c>
      <c r="C486" s="14">
        <v>3</v>
      </c>
      <c r="D486" s="37">
        <f>VLOOKUP($B486,Menu!$A$1:$F$20,MATCH($D$1,Menu!$A$1:$F$1,0),0)</f>
        <v>57.07</v>
      </c>
      <c r="E486" s="14" t="str">
        <f>VLOOKUP($B486,Menu!$A$1:$F$20,MATCH(OrderLines!E$1,Menu!$A$1:$F$1,0),0)</f>
        <v>Dessert</v>
      </c>
      <c r="F486" s="37">
        <f>VLOOKUP($B486,Menu!$A$1:$F$20,MATCH(OrderLines!F$1,Menu!$A$1:$F$1,0),0)</f>
        <v>29.14</v>
      </c>
      <c r="G486" s="28">
        <f>VLOOKUP($A486,Orders!$A$1:$H$361,MATCH($G$1,Orders!$A$1:$H$1,0),0)</f>
        <v>45884</v>
      </c>
      <c r="H486" s="14" t="str">
        <f>VLOOKUP($A486,Orders!$A$1:$H$361,MATCH(OrderLines!$H$1,Orders!$A$1:$H$1,0),0)</f>
        <v>Head Office Café</v>
      </c>
      <c r="I486" s="14">
        <f>VLOOKUP($A486,Orders!$A$1:$H$361,MATCH(OrderLines!$I$1,Orders!$A$1:$H$1,0),0)</f>
        <v>0.06</v>
      </c>
      <c r="J486" s="14">
        <f t="shared" si="22"/>
        <v>160.9374</v>
      </c>
      <c r="K486" s="28" t="str">
        <f t="shared" si="23"/>
        <v>August</v>
      </c>
      <c r="L486" s="14" t="str">
        <f>VLOOKUP(OrderLines!$A486,Orders!$A$1:$H$361,MATCH(OrderLines!$L$1,Orders!$A$1:$H$1,0),0)</f>
        <v>Breakfast</v>
      </c>
      <c r="M486" t="str">
        <f>VLOOKUP($A486,Orders!$A$1:$H$361,MATCH(OrderLines!$M$1,Orders!$A$1:$H$1,0),0)</f>
        <v>Card</v>
      </c>
      <c r="N486" t="str">
        <f t="shared" si="21"/>
        <v>Single</v>
      </c>
      <c r="O486" t="str" cm="1">
        <f t="array" ref="O486">IF((SUMPRODUCT((OrderID=OrderLines!$A486)*Qty*UnitPrice*DiscountPct))&gt;40,"HighDisc","OK")</f>
        <v>OK</v>
      </c>
      <c r="P486">
        <f>(orderlinesTABLE[[#This Row],[UnitCost]]*orderlinesTABLE[[#This Row],[Qty]])</f>
        <v>87.42</v>
      </c>
      <c r="Q486">
        <f>(orderlinesTABLE[[#This Row],[LineNetAmount]]-orderlinesTABLE[[#This Row],[totalCOST]])</f>
        <v>73.517399999999995</v>
      </c>
      <c r="R486" t="str">
        <f>VLOOKUP($B486,Menu!$A$1:$F$20,MATCH(OrderLines!R$1,Menu!$A$1:$F$1,0),0)</f>
        <v>Fruit Cup</v>
      </c>
      <c r="S486" t="str" cm="1">
        <f t="array" ref="S486">_xlfn.TEXTJOIN("+",TRUE,_xlfn._xlws.FILTER(orderlinesTABLE[ItemName],OrderID=orderlinesTABLE[[#This Row],[OrderID]]))</f>
        <v>Masala Puff+Fruit Cup</v>
      </c>
      <c r="T486" s="54">
        <f>orderlinesTABLE[[#This Row],[Profit]]/orderlinesTABLE[[#This Row],[LineNetAmount]]</f>
        <v>0.45680742947257752</v>
      </c>
      <c r="U486" s="70">
        <f>(orderlinesTABLE[[#This Row],[Qty]]*orderlinesTABLE[[#This Row],[UnitCost]])</f>
        <v>87.42</v>
      </c>
    </row>
    <row r="487" spans="1:21" x14ac:dyDescent="0.3">
      <c r="A487" s="15" t="s">
        <v>229</v>
      </c>
      <c r="B487" s="15" t="s">
        <v>415</v>
      </c>
      <c r="C487" s="15">
        <v>2</v>
      </c>
      <c r="D487" s="36">
        <f>VLOOKUP($B487,Menu!$A$1:$F$20,MATCH($D$1,Menu!$A$1:$F$1,0),0)</f>
        <v>256.91000000000003</v>
      </c>
      <c r="E487" s="15" t="str">
        <f>VLOOKUP($B487,Menu!$A$1:$F$20,MATCH(OrderLines!E$1,Menu!$A$1:$F$1,0),0)</f>
        <v>Hot Meal</v>
      </c>
      <c r="F487" s="36">
        <f>VLOOKUP($B487,Menu!$A$1:$F$20,MATCH(OrderLines!F$1,Menu!$A$1:$F$1,0),0)</f>
        <v>121.24</v>
      </c>
      <c r="G487" s="27">
        <f>VLOOKUP($A487,Orders!$A$1:$H$361,MATCH($G$1,Orders!$A$1:$H$1,0),0)</f>
        <v>45840</v>
      </c>
      <c r="H487" s="15" t="str">
        <f>VLOOKUP($A487,Orders!$A$1:$H$361,MATCH(OrderLines!$H$1,Orders!$A$1:$H$1,0),0)</f>
        <v>Plant 2 Canteen</v>
      </c>
      <c r="I487" s="15">
        <f>VLOOKUP($A487,Orders!$A$1:$H$361,MATCH(OrderLines!$I$1,Orders!$A$1:$H$1,0),0)</f>
        <v>0.03</v>
      </c>
      <c r="J487" s="15">
        <f t="shared" si="22"/>
        <v>498.40540000000004</v>
      </c>
      <c r="K487" s="27" t="str">
        <f t="shared" si="23"/>
        <v>July</v>
      </c>
      <c r="L487" s="15" t="str">
        <f>VLOOKUP(OrderLines!$A487,Orders!$A$1:$H$361,MATCH(OrderLines!$L$1,Orders!$A$1:$H$1,0),0)</f>
        <v>Breakfast</v>
      </c>
      <c r="M487" t="str">
        <f>VLOOKUP($A487,Orders!$A$1:$H$361,MATCH(OrderLines!$M$1,Orders!$A$1:$H$1,0),0)</f>
        <v>UPI</v>
      </c>
      <c r="N487" t="str">
        <f t="shared" si="21"/>
        <v>Single</v>
      </c>
      <c r="O487" t="str" cm="1">
        <f t="array" ref="O487">IF((SUMPRODUCT((OrderID=OrderLines!$A487)*Qty*UnitPrice*DiscountPct))&gt;40,"HighDisc","OK")</f>
        <v>OK</v>
      </c>
      <c r="P487">
        <f>(orderlinesTABLE[[#This Row],[UnitCost]]*orderlinesTABLE[[#This Row],[Qty]])</f>
        <v>242.48</v>
      </c>
      <c r="Q487">
        <f>(orderlinesTABLE[[#This Row],[LineNetAmount]]-orderlinesTABLE[[#This Row],[totalCOST]])</f>
        <v>255.92540000000005</v>
      </c>
      <c r="R487" t="str">
        <f>VLOOKUP($B487,Menu!$A$1:$F$20,MATCH(OrderLines!R$1,Menu!$A$1:$F$1,0),0)</f>
        <v>Chicken Thali</v>
      </c>
      <c r="S487" t="str" cm="1">
        <f t="array" ref="S487">_xlfn.TEXTJOIN("+",TRUE,_xlfn._xlws.FILTER(orderlinesTABLE[ItemName],OrderID=orderlinesTABLE[[#This Row],[OrderID]]))</f>
        <v>Chicken Thali</v>
      </c>
      <c r="T487" s="54">
        <f>orderlinesTABLE[[#This Row],[Profit]]/orderlinesTABLE[[#This Row],[LineNetAmount]]</f>
        <v>0.51348841726032668</v>
      </c>
      <c r="U487" s="70">
        <f>(orderlinesTABLE[[#This Row],[Qty]]*orderlinesTABLE[[#This Row],[UnitCost]])</f>
        <v>242.48</v>
      </c>
    </row>
    <row r="488" spans="1:21" x14ac:dyDescent="0.3">
      <c r="A488" s="14" t="s">
        <v>230</v>
      </c>
      <c r="B488" s="14" t="s">
        <v>410</v>
      </c>
      <c r="C488" s="14">
        <v>1</v>
      </c>
      <c r="D488" s="37">
        <f>VLOOKUP($B488,Menu!$A$1:$F$20,MATCH($D$1,Menu!$A$1:$F$1,0),0)</f>
        <v>20.11</v>
      </c>
      <c r="E488" s="14" t="str">
        <f>VLOOKUP($B488,Menu!$A$1:$F$20,MATCH(OrderLines!E$1,Menu!$A$1:$F$1,0),0)</f>
        <v>Beverage</v>
      </c>
      <c r="F488" s="37">
        <f>VLOOKUP($B488,Menu!$A$1:$F$20,MATCH(OrderLines!F$1,Menu!$A$1:$F$1,0),0)</f>
        <v>8</v>
      </c>
      <c r="G488" s="28">
        <f>VLOOKUP($A488,Orders!$A$1:$H$361,MATCH($G$1,Orders!$A$1:$H$1,0),0)</f>
        <v>45854</v>
      </c>
      <c r="H488" s="14" t="str">
        <f>VLOOKUP($A488,Orders!$A$1:$H$361,MATCH(OrderLines!$H$1,Orders!$A$1:$H$1,0),0)</f>
        <v>Plant 1 Canteen</v>
      </c>
      <c r="I488" s="14">
        <f>VLOOKUP($A488,Orders!$A$1:$H$361,MATCH(OrderLines!$I$1,Orders!$A$1:$H$1,0),0)</f>
        <v>0.15</v>
      </c>
      <c r="J488" s="14">
        <f t="shared" si="22"/>
        <v>17.093499999999999</v>
      </c>
      <c r="K488" s="28" t="str">
        <f t="shared" si="23"/>
        <v>July</v>
      </c>
      <c r="L488" s="14" t="str">
        <f>VLOOKUP(OrderLines!$A488,Orders!$A$1:$H$361,MATCH(OrderLines!$L$1,Orders!$A$1:$H$1,0),0)</f>
        <v>Lunch</v>
      </c>
      <c r="M488" t="str">
        <f>VLOOKUP($A488,Orders!$A$1:$H$361,MATCH(OrderLines!$M$1,Orders!$A$1:$H$1,0),0)</f>
        <v>Card</v>
      </c>
      <c r="N488" t="str">
        <f t="shared" si="21"/>
        <v>Single</v>
      </c>
      <c r="O488" t="str" cm="1">
        <f t="array" ref="O488">IF((SUMPRODUCT((OrderID=OrderLines!$A488)*Qty*UnitPrice*DiscountPct))&gt;40,"HighDisc","OK")</f>
        <v>OK</v>
      </c>
      <c r="P488">
        <f>(orderlinesTABLE[[#This Row],[UnitCost]]*orderlinesTABLE[[#This Row],[Qty]])</f>
        <v>8</v>
      </c>
      <c r="Q488">
        <f>(orderlinesTABLE[[#This Row],[LineNetAmount]]-orderlinesTABLE[[#This Row],[totalCOST]])</f>
        <v>9.0934999999999988</v>
      </c>
      <c r="R488" t="str">
        <f>VLOOKUP($B488,Menu!$A$1:$F$20,MATCH(OrderLines!R$1,Menu!$A$1:$F$1,0),0)</f>
        <v>Nimbu Pani</v>
      </c>
      <c r="S488" t="str" cm="1">
        <f t="array" ref="S488">_xlfn.TEXTJOIN("+",TRUE,_xlfn._xlws.FILTER(orderlinesTABLE[ItemName],OrderID=orderlinesTABLE[[#This Row],[OrderID]]))</f>
        <v>Nimbu Pani+Veg Sandwich+Masala Chaas+Fruit Cup</v>
      </c>
      <c r="T488" s="54">
        <f>orderlinesTABLE[[#This Row],[Profit]]/orderlinesTABLE[[#This Row],[LineNetAmount]]</f>
        <v>0.53198584257173775</v>
      </c>
      <c r="U488" s="70">
        <f>(orderlinesTABLE[[#This Row],[Qty]]*orderlinesTABLE[[#This Row],[UnitCost]])</f>
        <v>8</v>
      </c>
    </row>
    <row r="489" spans="1:21" x14ac:dyDescent="0.3">
      <c r="A489" s="15" t="s">
        <v>230</v>
      </c>
      <c r="B489" s="15" t="s">
        <v>408</v>
      </c>
      <c r="C489" s="15">
        <v>1</v>
      </c>
      <c r="D489" s="36">
        <f>VLOOKUP($B489,Menu!$A$1:$F$20,MATCH($D$1,Menu!$A$1:$F$1,0),0)</f>
        <v>70.540000000000006</v>
      </c>
      <c r="E489" s="15" t="str">
        <f>VLOOKUP($B489,Menu!$A$1:$F$20,MATCH(OrderLines!E$1,Menu!$A$1:$F$1,0),0)</f>
        <v>Snack</v>
      </c>
      <c r="F489" s="36">
        <f>VLOOKUP($B489,Menu!$A$1:$F$20,MATCH(OrderLines!F$1,Menu!$A$1:$F$1,0),0)</f>
        <v>35.81</v>
      </c>
      <c r="G489" s="27">
        <f>VLOOKUP($A489,Orders!$A$1:$H$361,MATCH($G$1,Orders!$A$1:$H$1,0),0)</f>
        <v>45854</v>
      </c>
      <c r="H489" s="15" t="str">
        <f>VLOOKUP($A489,Orders!$A$1:$H$361,MATCH(OrderLines!$H$1,Orders!$A$1:$H$1,0),0)</f>
        <v>Plant 1 Canteen</v>
      </c>
      <c r="I489" s="15">
        <f>VLOOKUP($A489,Orders!$A$1:$H$361,MATCH(OrderLines!$I$1,Orders!$A$1:$H$1,0),0)</f>
        <v>0.15</v>
      </c>
      <c r="J489" s="15">
        <f t="shared" si="22"/>
        <v>59.959000000000003</v>
      </c>
      <c r="K489" s="27" t="str">
        <f t="shared" si="23"/>
        <v>July</v>
      </c>
      <c r="L489" s="15" t="str">
        <f>VLOOKUP(OrderLines!$A489,Orders!$A$1:$H$361,MATCH(OrderLines!$L$1,Orders!$A$1:$H$1,0),0)</f>
        <v>Lunch</v>
      </c>
      <c r="M489" t="str">
        <f>VLOOKUP($A489,Orders!$A$1:$H$361,MATCH(OrderLines!$M$1,Orders!$A$1:$H$1,0),0)</f>
        <v>Card</v>
      </c>
      <c r="N489" t="str">
        <f t="shared" si="21"/>
        <v>Single</v>
      </c>
      <c r="O489" t="str" cm="1">
        <f t="array" ref="O489">IF((SUMPRODUCT((OrderID=OrderLines!$A489)*Qty*UnitPrice*DiscountPct))&gt;40,"HighDisc","OK")</f>
        <v>OK</v>
      </c>
      <c r="P489">
        <f>(orderlinesTABLE[[#This Row],[UnitCost]]*orderlinesTABLE[[#This Row],[Qty]])</f>
        <v>35.81</v>
      </c>
      <c r="Q489">
        <f>(orderlinesTABLE[[#This Row],[LineNetAmount]]-orderlinesTABLE[[#This Row],[totalCOST]])</f>
        <v>24.149000000000001</v>
      </c>
      <c r="R489" t="str">
        <f>VLOOKUP($B489,Menu!$A$1:$F$20,MATCH(OrderLines!R$1,Menu!$A$1:$F$1,0),0)</f>
        <v>Veg Sandwich</v>
      </c>
      <c r="S489" t="str" cm="1">
        <f t="array" ref="S489">_xlfn.TEXTJOIN("+",TRUE,_xlfn._xlws.FILTER(orderlinesTABLE[ItemName],OrderID=orderlinesTABLE[[#This Row],[OrderID]]))</f>
        <v>Nimbu Pani+Veg Sandwich+Masala Chaas+Fruit Cup</v>
      </c>
      <c r="T489" s="54">
        <f>orderlinesTABLE[[#This Row],[Profit]]/orderlinesTABLE[[#This Row],[LineNetAmount]]</f>
        <v>0.40275855167697927</v>
      </c>
      <c r="U489" s="70">
        <f>(orderlinesTABLE[[#This Row],[Qty]]*orderlinesTABLE[[#This Row],[UnitCost]])</f>
        <v>35.81</v>
      </c>
    </row>
    <row r="490" spans="1:21" x14ac:dyDescent="0.3">
      <c r="A490" s="14" t="s">
        <v>230</v>
      </c>
      <c r="B490" s="14" t="s">
        <v>404</v>
      </c>
      <c r="C490" s="14">
        <v>3</v>
      </c>
      <c r="D490" s="37">
        <f>VLOOKUP($B490,Menu!$A$1:$F$20,MATCH($D$1,Menu!$A$1:$F$1,0),0)</f>
        <v>32.979999999999997</v>
      </c>
      <c r="E490" s="14" t="str">
        <f>VLOOKUP($B490,Menu!$A$1:$F$20,MATCH(OrderLines!E$1,Menu!$A$1:$F$1,0),0)</f>
        <v>Beverage</v>
      </c>
      <c r="F490" s="37">
        <f>VLOOKUP($B490,Menu!$A$1:$F$20,MATCH(OrderLines!F$1,Menu!$A$1:$F$1,0),0)</f>
        <v>11.84</v>
      </c>
      <c r="G490" s="28">
        <f>VLOOKUP($A490,Orders!$A$1:$H$361,MATCH($G$1,Orders!$A$1:$H$1,0),0)</f>
        <v>45854</v>
      </c>
      <c r="H490" s="14" t="str">
        <f>VLOOKUP($A490,Orders!$A$1:$H$361,MATCH(OrderLines!$H$1,Orders!$A$1:$H$1,0),0)</f>
        <v>Plant 1 Canteen</v>
      </c>
      <c r="I490" s="14">
        <f>VLOOKUP($A490,Orders!$A$1:$H$361,MATCH(OrderLines!$I$1,Orders!$A$1:$H$1,0),0)</f>
        <v>0.15</v>
      </c>
      <c r="J490" s="14">
        <f t="shared" si="22"/>
        <v>84.09899999999999</v>
      </c>
      <c r="K490" s="28" t="str">
        <f t="shared" si="23"/>
        <v>July</v>
      </c>
      <c r="L490" s="14" t="str">
        <f>VLOOKUP(OrderLines!$A490,Orders!$A$1:$H$361,MATCH(OrderLines!$L$1,Orders!$A$1:$H$1,0),0)</f>
        <v>Lunch</v>
      </c>
      <c r="M490" t="str">
        <f>VLOOKUP($A490,Orders!$A$1:$H$361,MATCH(OrderLines!$M$1,Orders!$A$1:$H$1,0),0)</f>
        <v>Card</v>
      </c>
      <c r="N490" t="str">
        <f t="shared" si="21"/>
        <v>Single</v>
      </c>
      <c r="O490" t="str" cm="1">
        <f t="array" ref="O490">IF((SUMPRODUCT((OrderID=OrderLines!$A490)*Qty*UnitPrice*DiscountPct))&gt;40,"HighDisc","OK")</f>
        <v>OK</v>
      </c>
      <c r="P490">
        <f>(orderlinesTABLE[[#This Row],[UnitCost]]*orderlinesTABLE[[#This Row],[Qty]])</f>
        <v>35.519999999999996</v>
      </c>
      <c r="Q490">
        <f>(orderlinesTABLE[[#This Row],[LineNetAmount]]-orderlinesTABLE[[#This Row],[totalCOST]])</f>
        <v>48.578999999999994</v>
      </c>
      <c r="R490" t="str">
        <f>VLOOKUP($B490,Menu!$A$1:$F$20,MATCH(OrderLines!R$1,Menu!$A$1:$F$1,0),0)</f>
        <v>Masala Chaas</v>
      </c>
      <c r="S490" t="str" cm="1">
        <f t="array" ref="S490">_xlfn.TEXTJOIN("+",TRUE,_xlfn._xlws.FILTER(orderlinesTABLE[ItemName],OrderID=orderlinesTABLE[[#This Row],[OrderID]]))</f>
        <v>Nimbu Pani+Veg Sandwich+Masala Chaas+Fruit Cup</v>
      </c>
      <c r="T490" s="54">
        <f>orderlinesTABLE[[#This Row],[Profit]]/orderlinesTABLE[[#This Row],[LineNetAmount]]</f>
        <v>0.57764063781971242</v>
      </c>
      <c r="U490" s="70">
        <f>(orderlinesTABLE[[#This Row],[Qty]]*orderlinesTABLE[[#This Row],[UnitCost]])</f>
        <v>35.519999999999996</v>
      </c>
    </row>
    <row r="491" spans="1:21" x14ac:dyDescent="0.3">
      <c r="A491" s="15" t="s">
        <v>230</v>
      </c>
      <c r="B491" s="15" t="s">
        <v>412</v>
      </c>
      <c r="C491" s="15">
        <v>1</v>
      </c>
      <c r="D491" s="36">
        <f>VLOOKUP($B491,Menu!$A$1:$F$20,MATCH($D$1,Menu!$A$1:$F$1,0),0)</f>
        <v>57.07</v>
      </c>
      <c r="E491" s="15" t="str">
        <f>VLOOKUP($B491,Menu!$A$1:$F$20,MATCH(OrderLines!E$1,Menu!$A$1:$F$1,0),0)</f>
        <v>Dessert</v>
      </c>
      <c r="F491" s="36">
        <f>VLOOKUP($B491,Menu!$A$1:$F$20,MATCH(OrderLines!F$1,Menu!$A$1:$F$1,0),0)</f>
        <v>29.14</v>
      </c>
      <c r="G491" s="27">
        <f>VLOOKUP($A491,Orders!$A$1:$H$361,MATCH($G$1,Orders!$A$1:$H$1,0),0)</f>
        <v>45854</v>
      </c>
      <c r="H491" s="15" t="str">
        <f>VLOOKUP($A491,Orders!$A$1:$H$361,MATCH(OrderLines!$H$1,Orders!$A$1:$H$1,0),0)</f>
        <v>Plant 1 Canteen</v>
      </c>
      <c r="I491" s="15">
        <f>VLOOKUP($A491,Orders!$A$1:$H$361,MATCH(OrderLines!$I$1,Orders!$A$1:$H$1,0),0)</f>
        <v>0.15</v>
      </c>
      <c r="J491" s="15">
        <f t="shared" si="22"/>
        <v>48.509499999999996</v>
      </c>
      <c r="K491" s="27" t="str">
        <f t="shared" si="23"/>
        <v>July</v>
      </c>
      <c r="L491" s="15" t="str">
        <f>VLOOKUP(OrderLines!$A491,Orders!$A$1:$H$361,MATCH(OrderLines!$L$1,Orders!$A$1:$H$1,0),0)</f>
        <v>Lunch</v>
      </c>
      <c r="M491" t="str">
        <f>VLOOKUP($A491,Orders!$A$1:$H$361,MATCH(OrderLines!$M$1,Orders!$A$1:$H$1,0),0)</f>
        <v>Card</v>
      </c>
      <c r="N491" t="str">
        <f t="shared" si="21"/>
        <v>Single</v>
      </c>
      <c r="O491" t="str" cm="1">
        <f t="array" ref="O491">IF((SUMPRODUCT((OrderID=OrderLines!$A491)*Qty*UnitPrice*DiscountPct))&gt;40,"HighDisc","OK")</f>
        <v>OK</v>
      </c>
      <c r="P491">
        <f>(orderlinesTABLE[[#This Row],[UnitCost]]*orderlinesTABLE[[#This Row],[Qty]])</f>
        <v>29.14</v>
      </c>
      <c r="Q491">
        <f>(orderlinesTABLE[[#This Row],[LineNetAmount]]-orderlinesTABLE[[#This Row],[totalCOST]])</f>
        <v>19.369499999999995</v>
      </c>
      <c r="R491" t="str">
        <f>VLOOKUP($B491,Menu!$A$1:$F$20,MATCH(OrderLines!R$1,Menu!$A$1:$F$1,0),0)</f>
        <v>Fruit Cup</v>
      </c>
      <c r="S491" t="str" cm="1">
        <f t="array" ref="S491">_xlfn.TEXTJOIN("+",TRUE,_xlfn._xlws.FILTER(orderlinesTABLE[ItemName],OrderID=orderlinesTABLE[[#This Row],[OrderID]]))</f>
        <v>Nimbu Pani+Veg Sandwich+Masala Chaas+Fruit Cup</v>
      </c>
      <c r="T491" s="54">
        <f>orderlinesTABLE[[#This Row],[Profit]]/orderlinesTABLE[[#This Row],[LineNetAmount]]</f>
        <v>0.39929292200496802</v>
      </c>
      <c r="U491" s="70">
        <f>(orderlinesTABLE[[#This Row],[Qty]]*orderlinesTABLE[[#This Row],[UnitCost]])</f>
        <v>29.14</v>
      </c>
    </row>
    <row r="492" spans="1:21" x14ac:dyDescent="0.3">
      <c r="A492" s="14" t="s">
        <v>231</v>
      </c>
      <c r="B492" s="14" t="s">
        <v>411</v>
      </c>
      <c r="C492" s="14">
        <v>2</v>
      </c>
      <c r="D492" s="37">
        <f>VLOOKUP($B492,Menu!$A$1:$F$20,MATCH($D$1,Menu!$A$1:$F$1,0),0)</f>
        <v>22.2</v>
      </c>
      <c r="E492" s="14" t="str">
        <f>VLOOKUP($B492,Menu!$A$1:$F$20,MATCH(OrderLines!E$1,Menu!$A$1:$F$1,0),0)</f>
        <v>Beverage</v>
      </c>
      <c r="F492" s="37">
        <f>VLOOKUP($B492,Menu!$A$1:$F$20,MATCH(OrderLines!F$1,Menu!$A$1:$F$1,0),0)</f>
        <v>9.3800000000000008</v>
      </c>
      <c r="G492" s="28">
        <f>VLOOKUP($A492,Orders!$A$1:$H$361,MATCH($G$1,Orders!$A$1:$H$1,0),0)</f>
        <v>45880</v>
      </c>
      <c r="H492" s="14" t="str">
        <f>VLOOKUP($A492,Orders!$A$1:$H$361,MATCH(OrderLines!$H$1,Orders!$A$1:$H$1,0),0)</f>
        <v>Head Office Café</v>
      </c>
      <c r="I492" s="14">
        <f>VLOOKUP($A492,Orders!$A$1:$H$361,MATCH(OrderLines!$I$1,Orders!$A$1:$H$1,0),0)</f>
        <v>0.09</v>
      </c>
      <c r="J492" s="14">
        <f t="shared" si="22"/>
        <v>40.404000000000003</v>
      </c>
      <c r="K492" s="28" t="str">
        <f t="shared" si="23"/>
        <v>August</v>
      </c>
      <c r="L492" s="14" t="str">
        <f>VLOOKUP(OrderLines!$A492,Orders!$A$1:$H$361,MATCH(OrderLines!$L$1,Orders!$A$1:$H$1,0),0)</f>
        <v>Breakfast</v>
      </c>
      <c r="M492" t="str">
        <f>VLOOKUP($A492,Orders!$A$1:$H$361,MATCH(OrderLines!$M$1,Orders!$A$1:$H$1,0),0)</f>
        <v>Card</v>
      </c>
      <c r="N492" t="str">
        <f t="shared" si="21"/>
        <v>Single</v>
      </c>
      <c r="O492" t="str" cm="1">
        <f t="array" ref="O492">IF((SUMPRODUCT((OrderID=OrderLines!$A492)*Qty*UnitPrice*DiscountPct))&gt;40,"HighDisc","OK")</f>
        <v>OK</v>
      </c>
      <c r="P492">
        <f>(orderlinesTABLE[[#This Row],[UnitCost]]*orderlinesTABLE[[#This Row],[Qty]])</f>
        <v>18.760000000000002</v>
      </c>
      <c r="Q492">
        <f>(orderlinesTABLE[[#This Row],[LineNetAmount]]-orderlinesTABLE[[#This Row],[totalCOST]])</f>
        <v>21.644000000000002</v>
      </c>
      <c r="R492" t="str">
        <f>VLOOKUP($B492,Menu!$A$1:$F$20,MATCH(OrderLines!R$1,Menu!$A$1:$F$1,0),0)</f>
        <v>Coffee</v>
      </c>
      <c r="S492" t="str" cm="1">
        <f t="array" ref="S492">_xlfn.TEXTJOIN("+",TRUE,_xlfn._xlws.FILTER(orderlinesTABLE[ItemName],OrderID=orderlinesTABLE[[#This Row],[OrderID]]))</f>
        <v>Coffee+Masala Puff+Poha</v>
      </c>
      <c r="T492" s="54">
        <f>orderlinesTABLE[[#This Row],[Profit]]/orderlinesTABLE[[#This Row],[LineNetAmount]]</f>
        <v>0.5356895356895357</v>
      </c>
      <c r="U492" s="70">
        <f>(orderlinesTABLE[[#This Row],[Qty]]*orderlinesTABLE[[#This Row],[UnitCost]])</f>
        <v>18.760000000000002</v>
      </c>
    </row>
    <row r="493" spans="1:21" x14ac:dyDescent="0.3">
      <c r="A493" s="15" t="s">
        <v>231</v>
      </c>
      <c r="B493" s="15" t="s">
        <v>419</v>
      </c>
      <c r="C493" s="15">
        <v>2</v>
      </c>
      <c r="D493" s="36">
        <f>VLOOKUP($B493,Menu!$A$1:$F$20,MATCH($D$1,Menu!$A$1:$F$1,0),0)</f>
        <v>50.19</v>
      </c>
      <c r="E493" s="15" t="str">
        <f>VLOOKUP($B493,Menu!$A$1:$F$20,MATCH(OrderLines!E$1,Menu!$A$1:$F$1,0),0)</f>
        <v>Snack</v>
      </c>
      <c r="F493" s="36">
        <f>VLOOKUP($B493,Menu!$A$1:$F$20,MATCH(OrderLines!F$1,Menu!$A$1:$F$1,0),0)</f>
        <v>22.61</v>
      </c>
      <c r="G493" s="27">
        <f>VLOOKUP($A493,Orders!$A$1:$H$361,MATCH($G$1,Orders!$A$1:$H$1,0),0)</f>
        <v>45880</v>
      </c>
      <c r="H493" s="15" t="str">
        <f>VLOOKUP($A493,Orders!$A$1:$H$361,MATCH(OrderLines!$H$1,Orders!$A$1:$H$1,0),0)</f>
        <v>Head Office Café</v>
      </c>
      <c r="I493" s="15">
        <f>VLOOKUP($A493,Orders!$A$1:$H$361,MATCH(OrderLines!$I$1,Orders!$A$1:$H$1,0),0)</f>
        <v>0.09</v>
      </c>
      <c r="J493" s="15">
        <f t="shared" si="22"/>
        <v>91.345799999999997</v>
      </c>
      <c r="K493" s="27" t="str">
        <f t="shared" si="23"/>
        <v>August</v>
      </c>
      <c r="L493" s="15" t="str">
        <f>VLOOKUP(OrderLines!$A493,Orders!$A$1:$H$361,MATCH(OrderLines!$L$1,Orders!$A$1:$H$1,0),0)</f>
        <v>Breakfast</v>
      </c>
      <c r="M493" t="str">
        <f>VLOOKUP($A493,Orders!$A$1:$H$361,MATCH(OrderLines!$M$1,Orders!$A$1:$H$1,0),0)</f>
        <v>Card</v>
      </c>
      <c r="N493" t="str">
        <f t="shared" si="21"/>
        <v>Single</v>
      </c>
      <c r="O493" t="str" cm="1">
        <f t="array" ref="O493">IF((SUMPRODUCT((OrderID=OrderLines!$A493)*Qty*UnitPrice*DiscountPct))&gt;40,"HighDisc","OK")</f>
        <v>OK</v>
      </c>
      <c r="P493">
        <f>(orderlinesTABLE[[#This Row],[UnitCost]]*orderlinesTABLE[[#This Row],[Qty]])</f>
        <v>45.22</v>
      </c>
      <c r="Q493">
        <f>(orderlinesTABLE[[#This Row],[LineNetAmount]]-orderlinesTABLE[[#This Row],[totalCOST]])</f>
        <v>46.125799999999998</v>
      </c>
      <c r="R493" t="str">
        <f>VLOOKUP($B493,Menu!$A$1:$F$20,MATCH(OrderLines!R$1,Menu!$A$1:$F$1,0),0)</f>
        <v>Masala Puff</v>
      </c>
      <c r="S493" t="str" cm="1">
        <f t="array" ref="S493">_xlfn.TEXTJOIN("+",TRUE,_xlfn._xlws.FILTER(orderlinesTABLE[ItemName],OrderID=orderlinesTABLE[[#This Row],[OrderID]]))</f>
        <v>Coffee+Masala Puff+Poha</v>
      </c>
      <c r="T493" s="54">
        <f>orderlinesTABLE[[#This Row],[Profit]]/orderlinesTABLE[[#This Row],[LineNetAmount]]</f>
        <v>0.50495808236394013</v>
      </c>
      <c r="U493" s="70">
        <f>(orderlinesTABLE[[#This Row],[Qty]]*orderlinesTABLE[[#This Row],[UnitCost]])</f>
        <v>45.22</v>
      </c>
    </row>
    <row r="494" spans="1:21" x14ac:dyDescent="0.3">
      <c r="A494" s="14" t="s">
        <v>231</v>
      </c>
      <c r="B494" s="14" t="s">
        <v>401</v>
      </c>
      <c r="C494" s="14">
        <v>2</v>
      </c>
      <c r="D494" s="37">
        <f>VLOOKUP($B494,Menu!$A$1:$F$20,MATCH($D$1,Menu!$A$1:$F$1,0),0)</f>
        <v>52.45</v>
      </c>
      <c r="E494" s="14" t="str">
        <f>VLOOKUP($B494,Menu!$A$1:$F$20,MATCH(OrderLines!E$1,Menu!$A$1:$F$1,0),0)</f>
        <v>Snack</v>
      </c>
      <c r="F494" s="37">
        <f>VLOOKUP($B494,Menu!$A$1:$F$20,MATCH(OrderLines!F$1,Menu!$A$1:$F$1,0),0)</f>
        <v>25.8</v>
      </c>
      <c r="G494" s="28">
        <f>VLOOKUP($A494,Orders!$A$1:$H$361,MATCH($G$1,Orders!$A$1:$H$1,0),0)</f>
        <v>45880</v>
      </c>
      <c r="H494" s="14" t="str">
        <f>VLOOKUP($A494,Orders!$A$1:$H$361,MATCH(OrderLines!$H$1,Orders!$A$1:$H$1,0),0)</f>
        <v>Head Office Café</v>
      </c>
      <c r="I494" s="14">
        <f>VLOOKUP($A494,Orders!$A$1:$H$361,MATCH(OrderLines!$I$1,Orders!$A$1:$H$1,0),0)</f>
        <v>0.09</v>
      </c>
      <c r="J494" s="14">
        <f t="shared" si="22"/>
        <v>95.459000000000003</v>
      </c>
      <c r="K494" s="28" t="str">
        <f t="shared" si="23"/>
        <v>August</v>
      </c>
      <c r="L494" s="14" t="str">
        <f>VLOOKUP(OrderLines!$A494,Orders!$A$1:$H$361,MATCH(OrderLines!$L$1,Orders!$A$1:$H$1,0),0)</f>
        <v>Breakfast</v>
      </c>
      <c r="M494" t="str">
        <f>VLOOKUP($A494,Orders!$A$1:$H$361,MATCH(OrderLines!$M$1,Orders!$A$1:$H$1,0),0)</f>
        <v>Card</v>
      </c>
      <c r="N494" t="str">
        <f t="shared" si="21"/>
        <v>Single</v>
      </c>
      <c r="O494" t="str" cm="1">
        <f t="array" ref="O494">IF((SUMPRODUCT((OrderID=OrderLines!$A494)*Qty*UnitPrice*DiscountPct))&gt;40,"HighDisc","OK")</f>
        <v>OK</v>
      </c>
      <c r="P494">
        <f>(orderlinesTABLE[[#This Row],[UnitCost]]*orderlinesTABLE[[#This Row],[Qty]])</f>
        <v>51.6</v>
      </c>
      <c r="Q494">
        <f>(orderlinesTABLE[[#This Row],[LineNetAmount]]-orderlinesTABLE[[#This Row],[totalCOST]])</f>
        <v>43.859000000000002</v>
      </c>
      <c r="R494" t="str">
        <f>VLOOKUP($B494,Menu!$A$1:$F$20,MATCH(OrderLines!R$1,Menu!$A$1:$F$1,0),0)</f>
        <v>Poha</v>
      </c>
      <c r="S494" t="str" cm="1">
        <f t="array" ref="S494">_xlfn.TEXTJOIN("+",TRUE,_xlfn._xlws.FILTER(orderlinesTABLE[ItemName],OrderID=orderlinesTABLE[[#This Row],[OrderID]]))</f>
        <v>Coffee+Masala Puff+Poha</v>
      </c>
      <c r="T494" s="54">
        <f>orderlinesTABLE[[#This Row],[Profit]]/orderlinesTABLE[[#This Row],[LineNetAmount]]</f>
        <v>0.45945379691804861</v>
      </c>
      <c r="U494" s="70">
        <f>(orderlinesTABLE[[#This Row],[Qty]]*orderlinesTABLE[[#This Row],[UnitCost]])</f>
        <v>51.6</v>
      </c>
    </row>
    <row r="495" spans="1:21" x14ac:dyDescent="0.3">
      <c r="A495" s="15" t="s">
        <v>232</v>
      </c>
      <c r="B495" s="15" t="s">
        <v>414</v>
      </c>
      <c r="C495" s="15">
        <v>1</v>
      </c>
      <c r="D495" s="36">
        <f>VLOOKUP($B495,Menu!$A$1:$F$20,MATCH($D$1,Menu!$A$1:$F$1,0),0)</f>
        <v>116.8</v>
      </c>
      <c r="E495" s="15" t="str">
        <f>VLOOKUP($B495,Menu!$A$1:$F$20,MATCH(OrderLines!E$1,Menu!$A$1:$F$1,0),0)</f>
        <v>Dessert</v>
      </c>
      <c r="F495" s="36">
        <f>VLOOKUP($B495,Menu!$A$1:$F$20,MATCH(OrderLines!F$1,Menu!$A$1:$F$1,0),0)</f>
        <v>48.97</v>
      </c>
      <c r="G495" s="27">
        <f>VLOOKUP($A495,Orders!$A$1:$H$361,MATCH($G$1,Orders!$A$1:$H$1,0),0)</f>
        <v>45858</v>
      </c>
      <c r="H495" s="15" t="str">
        <f>VLOOKUP($A495,Orders!$A$1:$H$361,MATCH(OrderLines!$H$1,Orders!$A$1:$H$1,0),0)</f>
        <v>Plant 2 Canteen</v>
      </c>
      <c r="I495" s="15">
        <f>VLOOKUP($A495,Orders!$A$1:$H$361,MATCH(OrderLines!$I$1,Orders!$A$1:$H$1,0),0)</f>
        <v>0</v>
      </c>
      <c r="J495" s="15">
        <f t="shared" si="22"/>
        <v>116.8</v>
      </c>
      <c r="K495" s="27" t="str">
        <f t="shared" si="23"/>
        <v>July</v>
      </c>
      <c r="L495" s="15" t="str">
        <f>VLOOKUP(OrderLines!$A495,Orders!$A$1:$H$361,MATCH(OrderLines!$L$1,Orders!$A$1:$H$1,0),0)</f>
        <v>Lunch</v>
      </c>
      <c r="M495" t="str">
        <f>VLOOKUP($A495,Orders!$A$1:$H$361,MATCH(OrderLines!$M$1,Orders!$A$1:$H$1,0),0)</f>
        <v>Cash</v>
      </c>
      <c r="N495" t="str">
        <f t="shared" si="21"/>
        <v>Single</v>
      </c>
      <c r="O495" t="str" cm="1">
        <f t="array" ref="O495">IF((SUMPRODUCT((OrderID=OrderLines!$A495)*Qty*UnitPrice*DiscountPct))&gt;40,"HighDisc","OK")</f>
        <v>OK</v>
      </c>
      <c r="P495">
        <f>(orderlinesTABLE[[#This Row],[UnitCost]]*orderlinesTABLE[[#This Row],[Qty]])</f>
        <v>48.97</v>
      </c>
      <c r="Q495">
        <f>(orderlinesTABLE[[#This Row],[LineNetAmount]]-orderlinesTABLE[[#This Row],[totalCOST]])</f>
        <v>67.83</v>
      </c>
      <c r="R495" t="str">
        <f>VLOOKUP($B495,Menu!$A$1:$F$20,MATCH(OrderLines!R$1,Menu!$A$1:$F$1,0),0)</f>
        <v>Brownie</v>
      </c>
      <c r="S495" t="str" cm="1">
        <f t="array" ref="S495">_xlfn.TEXTJOIN("+",TRUE,_xlfn._xlws.FILTER(orderlinesTABLE[ItemName],OrderID=orderlinesTABLE[[#This Row],[OrderID]]))</f>
        <v>Brownie+Masala Puff+Chicken Thali</v>
      </c>
      <c r="T495" s="54">
        <f>orderlinesTABLE[[#This Row],[Profit]]/orderlinesTABLE[[#This Row],[LineNetAmount]]</f>
        <v>0.58073630136986298</v>
      </c>
      <c r="U495" s="70">
        <f>(orderlinesTABLE[[#This Row],[Qty]]*orderlinesTABLE[[#This Row],[UnitCost]])</f>
        <v>48.97</v>
      </c>
    </row>
    <row r="496" spans="1:21" x14ac:dyDescent="0.3">
      <c r="A496" s="14" t="s">
        <v>232</v>
      </c>
      <c r="B496" s="14" t="s">
        <v>419</v>
      </c>
      <c r="C496" s="14">
        <v>2</v>
      </c>
      <c r="D496" s="37">
        <f>VLOOKUP($B496,Menu!$A$1:$F$20,MATCH($D$1,Menu!$A$1:$F$1,0),0)</f>
        <v>50.19</v>
      </c>
      <c r="E496" s="14" t="str">
        <f>VLOOKUP($B496,Menu!$A$1:$F$20,MATCH(OrderLines!E$1,Menu!$A$1:$F$1,0),0)</f>
        <v>Snack</v>
      </c>
      <c r="F496" s="37">
        <f>VLOOKUP($B496,Menu!$A$1:$F$20,MATCH(OrderLines!F$1,Menu!$A$1:$F$1,0),0)</f>
        <v>22.61</v>
      </c>
      <c r="G496" s="28">
        <f>VLOOKUP($A496,Orders!$A$1:$H$361,MATCH($G$1,Orders!$A$1:$H$1,0),0)</f>
        <v>45858</v>
      </c>
      <c r="H496" s="14" t="str">
        <f>VLOOKUP($A496,Orders!$A$1:$H$361,MATCH(OrderLines!$H$1,Orders!$A$1:$H$1,0),0)</f>
        <v>Plant 2 Canteen</v>
      </c>
      <c r="I496" s="14">
        <f>VLOOKUP($A496,Orders!$A$1:$H$361,MATCH(OrderLines!$I$1,Orders!$A$1:$H$1,0),0)</f>
        <v>0</v>
      </c>
      <c r="J496" s="14">
        <f t="shared" si="22"/>
        <v>100.38</v>
      </c>
      <c r="K496" s="28" t="str">
        <f t="shared" si="23"/>
        <v>July</v>
      </c>
      <c r="L496" s="14" t="str">
        <f>VLOOKUP(OrderLines!$A496,Orders!$A$1:$H$361,MATCH(OrderLines!$L$1,Orders!$A$1:$H$1,0),0)</f>
        <v>Lunch</v>
      </c>
      <c r="M496" t="str">
        <f>VLOOKUP($A496,Orders!$A$1:$H$361,MATCH(OrderLines!$M$1,Orders!$A$1:$H$1,0),0)</f>
        <v>Cash</v>
      </c>
      <c r="N496" t="str">
        <f t="shared" si="21"/>
        <v>Single</v>
      </c>
      <c r="O496" t="str" cm="1">
        <f t="array" ref="O496">IF((SUMPRODUCT((OrderID=OrderLines!$A496)*Qty*UnitPrice*DiscountPct))&gt;40,"HighDisc","OK")</f>
        <v>OK</v>
      </c>
      <c r="P496">
        <f>(orderlinesTABLE[[#This Row],[UnitCost]]*orderlinesTABLE[[#This Row],[Qty]])</f>
        <v>45.22</v>
      </c>
      <c r="Q496">
        <f>(orderlinesTABLE[[#This Row],[LineNetAmount]]-orderlinesTABLE[[#This Row],[totalCOST]])</f>
        <v>55.16</v>
      </c>
      <c r="R496" t="str">
        <f>VLOOKUP($B496,Menu!$A$1:$F$20,MATCH(OrderLines!R$1,Menu!$A$1:$F$1,0),0)</f>
        <v>Masala Puff</v>
      </c>
      <c r="S496" t="str" cm="1">
        <f t="array" ref="S496">_xlfn.TEXTJOIN("+",TRUE,_xlfn._xlws.FILTER(orderlinesTABLE[ItemName],OrderID=orderlinesTABLE[[#This Row],[OrderID]]))</f>
        <v>Brownie+Masala Puff+Chicken Thali</v>
      </c>
      <c r="T496" s="54">
        <f>orderlinesTABLE[[#This Row],[Profit]]/orderlinesTABLE[[#This Row],[LineNetAmount]]</f>
        <v>0.54951185495118549</v>
      </c>
      <c r="U496" s="70">
        <f>(orderlinesTABLE[[#This Row],[Qty]]*orderlinesTABLE[[#This Row],[UnitCost]])</f>
        <v>45.22</v>
      </c>
    </row>
    <row r="497" spans="1:21" x14ac:dyDescent="0.3">
      <c r="A497" s="15" t="s">
        <v>232</v>
      </c>
      <c r="B497" s="15" t="s">
        <v>415</v>
      </c>
      <c r="C497" s="15">
        <v>2</v>
      </c>
      <c r="D497" s="36">
        <f>VLOOKUP($B497,Menu!$A$1:$F$20,MATCH($D$1,Menu!$A$1:$F$1,0),0)</f>
        <v>256.91000000000003</v>
      </c>
      <c r="E497" s="15" t="str">
        <f>VLOOKUP($B497,Menu!$A$1:$F$20,MATCH(OrderLines!E$1,Menu!$A$1:$F$1,0),0)</f>
        <v>Hot Meal</v>
      </c>
      <c r="F497" s="36">
        <f>VLOOKUP($B497,Menu!$A$1:$F$20,MATCH(OrderLines!F$1,Menu!$A$1:$F$1,0),0)</f>
        <v>121.24</v>
      </c>
      <c r="G497" s="27">
        <f>VLOOKUP($A497,Orders!$A$1:$H$361,MATCH($G$1,Orders!$A$1:$H$1,0),0)</f>
        <v>45858</v>
      </c>
      <c r="H497" s="15" t="str">
        <f>VLOOKUP($A497,Orders!$A$1:$H$361,MATCH(OrderLines!$H$1,Orders!$A$1:$H$1,0),0)</f>
        <v>Plant 2 Canteen</v>
      </c>
      <c r="I497" s="15">
        <f>VLOOKUP($A497,Orders!$A$1:$H$361,MATCH(OrderLines!$I$1,Orders!$A$1:$H$1,0),0)</f>
        <v>0</v>
      </c>
      <c r="J497" s="15">
        <f t="shared" si="22"/>
        <v>513.82000000000005</v>
      </c>
      <c r="K497" s="27" t="str">
        <f t="shared" si="23"/>
        <v>July</v>
      </c>
      <c r="L497" s="15" t="str">
        <f>VLOOKUP(OrderLines!$A497,Orders!$A$1:$H$361,MATCH(OrderLines!$L$1,Orders!$A$1:$H$1,0),0)</f>
        <v>Lunch</v>
      </c>
      <c r="M497" t="str">
        <f>VLOOKUP($A497,Orders!$A$1:$H$361,MATCH(OrderLines!$M$1,Orders!$A$1:$H$1,0),0)</f>
        <v>Cash</v>
      </c>
      <c r="N497" t="str">
        <f t="shared" si="21"/>
        <v>Single</v>
      </c>
      <c r="O497" t="str" cm="1">
        <f t="array" ref="O497">IF((SUMPRODUCT((OrderID=OrderLines!$A497)*Qty*UnitPrice*DiscountPct))&gt;40,"HighDisc","OK")</f>
        <v>OK</v>
      </c>
      <c r="P497">
        <f>(orderlinesTABLE[[#This Row],[UnitCost]]*orderlinesTABLE[[#This Row],[Qty]])</f>
        <v>242.48</v>
      </c>
      <c r="Q497">
        <f>(orderlinesTABLE[[#This Row],[LineNetAmount]]-orderlinesTABLE[[#This Row],[totalCOST]])</f>
        <v>271.34000000000003</v>
      </c>
      <c r="R497" t="str">
        <f>VLOOKUP($B497,Menu!$A$1:$F$20,MATCH(OrderLines!R$1,Menu!$A$1:$F$1,0),0)</f>
        <v>Chicken Thali</v>
      </c>
      <c r="S497" t="str" cm="1">
        <f t="array" ref="S497">_xlfn.TEXTJOIN("+",TRUE,_xlfn._xlws.FILTER(orderlinesTABLE[ItemName],OrderID=orderlinesTABLE[[#This Row],[OrderID]]))</f>
        <v>Brownie+Masala Puff+Chicken Thali</v>
      </c>
      <c r="T497" s="54">
        <f>orderlinesTABLE[[#This Row],[Profit]]/orderlinesTABLE[[#This Row],[LineNetAmount]]</f>
        <v>0.52808376474251684</v>
      </c>
      <c r="U497" s="70">
        <f>(orderlinesTABLE[[#This Row],[Qty]]*orderlinesTABLE[[#This Row],[UnitCost]])</f>
        <v>242.48</v>
      </c>
    </row>
    <row r="498" spans="1:21" x14ac:dyDescent="0.3">
      <c r="A498" s="14" t="s">
        <v>233</v>
      </c>
      <c r="B498" s="14" t="s">
        <v>403</v>
      </c>
      <c r="C498" s="14">
        <v>1</v>
      </c>
      <c r="D498" s="37">
        <f>VLOOKUP($B498,Menu!$A$1:$F$20,MATCH($D$1,Menu!$A$1:$F$1,0),0)</f>
        <v>76.55</v>
      </c>
      <c r="E498" s="14" t="str">
        <f>VLOOKUP($B498,Menu!$A$1:$F$20,MATCH(OrderLines!E$1,Menu!$A$1:$F$1,0),0)</f>
        <v>Dessert</v>
      </c>
      <c r="F498" s="37">
        <f>VLOOKUP($B498,Menu!$A$1:$F$20,MATCH(OrderLines!F$1,Menu!$A$1:$F$1,0),0)</f>
        <v>38.229999999999997</v>
      </c>
      <c r="G498" s="28">
        <f>VLOOKUP($A498,Orders!$A$1:$H$361,MATCH($G$1,Orders!$A$1:$H$1,0),0)</f>
        <v>45876</v>
      </c>
      <c r="H498" s="14" t="str">
        <f>VLOOKUP($A498,Orders!$A$1:$H$361,MATCH(OrderLines!$H$1,Orders!$A$1:$H$1,0),0)</f>
        <v>Head Office Café</v>
      </c>
      <c r="I498" s="14">
        <f>VLOOKUP($A498,Orders!$A$1:$H$361,MATCH(OrderLines!$I$1,Orders!$A$1:$H$1,0),0)</f>
        <v>7.0000000000000007E-2</v>
      </c>
      <c r="J498" s="14">
        <f t="shared" si="22"/>
        <v>71.191499999999991</v>
      </c>
      <c r="K498" s="28" t="str">
        <f t="shared" si="23"/>
        <v>August</v>
      </c>
      <c r="L498" s="14" t="str">
        <f>VLOOKUP(OrderLines!$A498,Orders!$A$1:$H$361,MATCH(OrderLines!$L$1,Orders!$A$1:$H$1,0),0)</f>
        <v>Breakfast</v>
      </c>
      <c r="M498" t="str">
        <f>VLOOKUP($A498,Orders!$A$1:$H$361,MATCH(OrderLines!$M$1,Orders!$A$1:$H$1,0),0)</f>
        <v>UPI</v>
      </c>
      <c r="N498" t="str">
        <f t="shared" si="21"/>
        <v>Single</v>
      </c>
      <c r="O498" t="str" cm="1">
        <f t="array" ref="O498">IF((SUMPRODUCT((OrderID=OrderLines!$A498)*Qty*UnitPrice*DiscountPct))&gt;40,"HighDisc","OK")</f>
        <v>OK</v>
      </c>
      <c r="P498">
        <f>(orderlinesTABLE[[#This Row],[UnitCost]]*orderlinesTABLE[[#This Row],[Qty]])</f>
        <v>38.229999999999997</v>
      </c>
      <c r="Q498">
        <f>(orderlinesTABLE[[#This Row],[LineNetAmount]]-orderlinesTABLE[[#This Row],[totalCOST]])</f>
        <v>32.961499999999994</v>
      </c>
      <c r="R498" t="str">
        <f>VLOOKUP($B498,Menu!$A$1:$F$20,MATCH(OrderLines!R$1,Menu!$A$1:$F$1,0),0)</f>
        <v>Gulab Jamun (2 pc)</v>
      </c>
      <c r="S498" t="str" cm="1">
        <f t="array" ref="S498">_xlfn.TEXTJOIN("+",TRUE,_xlfn._xlws.FILTER(orderlinesTABLE[ItemName],OrderID=orderlinesTABLE[[#This Row],[OrderID]]))</f>
        <v>Gulab Jamun (2 pc)+Samosa+Rajma Chawal</v>
      </c>
      <c r="T498" s="54">
        <f>orderlinesTABLE[[#This Row],[Profit]]/orderlinesTABLE[[#This Row],[LineNetAmount]]</f>
        <v>0.46299768933088919</v>
      </c>
      <c r="U498" s="70">
        <f>(orderlinesTABLE[[#This Row],[Qty]]*orderlinesTABLE[[#This Row],[UnitCost]])</f>
        <v>38.229999999999997</v>
      </c>
    </row>
    <row r="499" spans="1:21" x14ac:dyDescent="0.3">
      <c r="A499" s="15" t="s">
        <v>233</v>
      </c>
      <c r="B499" s="15" t="s">
        <v>418</v>
      </c>
      <c r="C499" s="15">
        <v>3</v>
      </c>
      <c r="D499" s="36">
        <f>VLOOKUP($B499,Menu!$A$1:$F$20,MATCH($D$1,Menu!$A$1:$F$1,0),0)</f>
        <v>39.950000000000003</v>
      </c>
      <c r="E499" s="15" t="str">
        <f>VLOOKUP($B499,Menu!$A$1:$F$20,MATCH(OrderLines!E$1,Menu!$A$1:$F$1,0),0)</f>
        <v>Snack</v>
      </c>
      <c r="F499" s="36">
        <f>VLOOKUP($B499,Menu!$A$1:$F$20,MATCH(OrderLines!F$1,Menu!$A$1:$F$1,0),0)</f>
        <v>15.51</v>
      </c>
      <c r="G499" s="27">
        <f>VLOOKUP($A499,Orders!$A$1:$H$361,MATCH($G$1,Orders!$A$1:$H$1,0),0)</f>
        <v>45876</v>
      </c>
      <c r="H499" s="15" t="str">
        <f>VLOOKUP($A499,Orders!$A$1:$H$361,MATCH(OrderLines!$H$1,Orders!$A$1:$H$1,0),0)</f>
        <v>Head Office Café</v>
      </c>
      <c r="I499" s="15">
        <f>VLOOKUP($A499,Orders!$A$1:$H$361,MATCH(OrderLines!$I$1,Orders!$A$1:$H$1,0),0)</f>
        <v>7.0000000000000007E-2</v>
      </c>
      <c r="J499" s="15">
        <f t="shared" si="22"/>
        <v>111.4605</v>
      </c>
      <c r="K499" s="27" t="str">
        <f t="shared" si="23"/>
        <v>August</v>
      </c>
      <c r="L499" s="15" t="str">
        <f>VLOOKUP(OrderLines!$A499,Orders!$A$1:$H$361,MATCH(OrderLines!$L$1,Orders!$A$1:$H$1,0),0)</f>
        <v>Breakfast</v>
      </c>
      <c r="M499" t="str">
        <f>VLOOKUP($A499,Orders!$A$1:$H$361,MATCH(OrderLines!$M$1,Orders!$A$1:$H$1,0),0)</f>
        <v>UPI</v>
      </c>
      <c r="N499" t="str">
        <f t="shared" si="21"/>
        <v>Single</v>
      </c>
      <c r="O499" t="str" cm="1">
        <f t="array" ref="O499">IF((SUMPRODUCT((OrderID=OrderLines!$A499)*Qty*UnitPrice*DiscountPct))&gt;40,"HighDisc","OK")</f>
        <v>OK</v>
      </c>
      <c r="P499">
        <f>(orderlinesTABLE[[#This Row],[UnitCost]]*orderlinesTABLE[[#This Row],[Qty]])</f>
        <v>46.53</v>
      </c>
      <c r="Q499">
        <f>(orderlinesTABLE[[#This Row],[LineNetAmount]]-orderlinesTABLE[[#This Row],[totalCOST]])</f>
        <v>64.930499999999995</v>
      </c>
      <c r="R499" t="str">
        <f>VLOOKUP($B499,Menu!$A$1:$F$20,MATCH(OrderLines!R$1,Menu!$A$1:$F$1,0),0)</f>
        <v>Samosa</v>
      </c>
      <c r="S499" t="str" cm="1">
        <f t="array" ref="S499">_xlfn.TEXTJOIN("+",TRUE,_xlfn._xlws.FILTER(orderlinesTABLE[ItemName],OrderID=orderlinesTABLE[[#This Row],[OrderID]]))</f>
        <v>Gulab Jamun (2 pc)+Samosa+Rajma Chawal</v>
      </c>
      <c r="T499" s="54">
        <f>orderlinesTABLE[[#This Row],[Profit]]/orderlinesTABLE[[#This Row],[LineNetAmount]]</f>
        <v>0.58254269449715368</v>
      </c>
      <c r="U499" s="70">
        <f>(orderlinesTABLE[[#This Row],[Qty]]*orderlinesTABLE[[#This Row],[UnitCost]])</f>
        <v>46.53</v>
      </c>
    </row>
    <row r="500" spans="1:21" x14ac:dyDescent="0.3">
      <c r="A500" s="14" t="s">
        <v>233</v>
      </c>
      <c r="B500" s="14" t="s">
        <v>417</v>
      </c>
      <c r="C500" s="14">
        <v>1</v>
      </c>
      <c r="D500" s="37">
        <f>VLOOKUP($B500,Menu!$A$1:$F$20,MATCH($D$1,Menu!$A$1:$F$1,0),0)</f>
        <v>146.4</v>
      </c>
      <c r="E500" s="14" t="str">
        <f>VLOOKUP($B500,Menu!$A$1:$F$20,MATCH(OrderLines!E$1,Menu!$A$1:$F$1,0),0)</f>
        <v>Hot Meal</v>
      </c>
      <c r="F500" s="37">
        <f>VLOOKUP($B500,Menu!$A$1:$F$20,MATCH(OrderLines!F$1,Menu!$A$1:$F$1,0),0)</f>
        <v>80.92</v>
      </c>
      <c r="G500" s="28">
        <f>VLOOKUP($A500,Orders!$A$1:$H$361,MATCH($G$1,Orders!$A$1:$H$1,0),0)</f>
        <v>45876</v>
      </c>
      <c r="H500" s="14" t="str">
        <f>VLOOKUP($A500,Orders!$A$1:$H$361,MATCH(OrderLines!$H$1,Orders!$A$1:$H$1,0),0)</f>
        <v>Head Office Café</v>
      </c>
      <c r="I500" s="14">
        <f>VLOOKUP($A500,Orders!$A$1:$H$361,MATCH(OrderLines!$I$1,Orders!$A$1:$H$1,0),0)</f>
        <v>7.0000000000000007E-2</v>
      </c>
      <c r="J500" s="14">
        <f t="shared" si="22"/>
        <v>136.15199999999999</v>
      </c>
      <c r="K500" s="28" t="str">
        <f t="shared" si="23"/>
        <v>August</v>
      </c>
      <c r="L500" s="14" t="str">
        <f>VLOOKUP(OrderLines!$A500,Orders!$A$1:$H$361,MATCH(OrderLines!$L$1,Orders!$A$1:$H$1,0),0)</f>
        <v>Breakfast</v>
      </c>
      <c r="M500" t="str">
        <f>VLOOKUP($A500,Orders!$A$1:$H$361,MATCH(OrderLines!$M$1,Orders!$A$1:$H$1,0),0)</f>
        <v>UPI</v>
      </c>
      <c r="N500" t="str">
        <f t="shared" si="21"/>
        <v>Single</v>
      </c>
      <c r="O500" t="str" cm="1">
        <f t="array" ref="O500">IF((SUMPRODUCT((OrderID=OrderLines!$A500)*Qty*UnitPrice*DiscountPct))&gt;40,"HighDisc","OK")</f>
        <v>OK</v>
      </c>
      <c r="P500">
        <f>(orderlinesTABLE[[#This Row],[UnitCost]]*orderlinesTABLE[[#This Row],[Qty]])</f>
        <v>80.92</v>
      </c>
      <c r="Q500">
        <f>(orderlinesTABLE[[#This Row],[LineNetAmount]]-orderlinesTABLE[[#This Row],[totalCOST]])</f>
        <v>55.231999999999985</v>
      </c>
      <c r="R500" t="str">
        <f>VLOOKUP($B500,Menu!$A$1:$F$20,MATCH(OrderLines!R$1,Menu!$A$1:$F$1,0),0)</f>
        <v>Rajma Chawal</v>
      </c>
      <c r="S500" t="str" cm="1">
        <f t="array" ref="S500">_xlfn.TEXTJOIN("+",TRUE,_xlfn._xlws.FILTER(orderlinesTABLE[ItemName],OrderID=orderlinesTABLE[[#This Row],[OrderID]]))</f>
        <v>Gulab Jamun (2 pc)+Samosa+Rajma Chawal</v>
      </c>
      <c r="T500" s="54">
        <f>orderlinesTABLE[[#This Row],[Profit]]/orderlinesTABLE[[#This Row],[LineNetAmount]]</f>
        <v>0.40566425759445318</v>
      </c>
      <c r="U500" s="70">
        <f>(orderlinesTABLE[[#This Row],[Qty]]*orderlinesTABLE[[#This Row],[UnitCost]])</f>
        <v>80.92</v>
      </c>
    </row>
    <row r="501" spans="1:21" x14ac:dyDescent="0.3">
      <c r="A501" s="15" t="s">
        <v>234</v>
      </c>
      <c r="B501" s="15" t="s">
        <v>402</v>
      </c>
      <c r="C501" s="15">
        <v>2</v>
      </c>
      <c r="D501" s="36">
        <f>VLOOKUP($B501,Menu!$A$1:$F$20,MATCH($D$1,Menu!$A$1:$F$1,0),0)</f>
        <v>30.34</v>
      </c>
      <c r="E501" s="15" t="str">
        <f>VLOOKUP($B501,Menu!$A$1:$F$20,MATCH(OrderLines!E$1,Menu!$A$1:$F$1,0),0)</f>
        <v>Beverage</v>
      </c>
      <c r="F501" s="36">
        <f>VLOOKUP($B501,Menu!$A$1:$F$20,MATCH(OrderLines!F$1,Menu!$A$1:$F$1,0),0)</f>
        <v>14.18</v>
      </c>
      <c r="G501" s="27">
        <f>VLOOKUP($A501,Orders!$A$1:$H$361,MATCH($G$1,Orders!$A$1:$H$1,0),0)</f>
        <v>45867</v>
      </c>
      <c r="H501" s="15" t="str">
        <f>VLOOKUP($A501,Orders!$A$1:$H$361,MATCH(OrderLines!$H$1,Orders!$A$1:$H$1,0),0)</f>
        <v>Plant 1 Canteen</v>
      </c>
      <c r="I501" s="15">
        <f>VLOOKUP($A501,Orders!$A$1:$H$361,MATCH(OrderLines!$I$1,Orders!$A$1:$H$1,0),0)</f>
        <v>0.03</v>
      </c>
      <c r="J501" s="15">
        <f t="shared" si="22"/>
        <v>58.8596</v>
      </c>
      <c r="K501" s="27" t="str">
        <f t="shared" si="23"/>
        <v>July</v>
      </c>
      <c r="L501" s="15" t="str">
        <f>VLOOKUP(OrderLines!$A501,Orders!$A$1:$H$361,MATCH(OrderLines!$L$1,Orders!$A$1:$H$1,0),0)</f>
        <v>Dinner</v>
      </c>
      <c r="M501" t="str">
        <f>VLOOKUP($A501,Orders!$A$1:$H$361,MATCH(OrderLines!$M$1,Orders!$A$1:$H$1,0),0)</f>
        <v>Card</v>
      </c>
      <c r="N501" t="str">
        <f t="shared" si="21"/>
        <v>Combo</v>
      </c>
      <c r="O501" t="str" cm="1">
        <f t="array" ref="O501">IF((SUMPRODUCT((OrderID=OrderLines!$A501)*Qty*UnitPrice*DiscountPct))&gt;40,"HighDisc","OK")</f>
        <v>OK</v>
      </c>
      <c r="P501">
        <f>(orderlinesTABLE[[#This Row],[UnitCost]]*orderlinesTABLE[[#This Row],[Qty]])</f>
        <v>28.36</v>
      </c>
      <c r="Q501">
        <f>(orderlinesTABLE[[#This Row],[LineNetAmount]]-orderlinesTABLE[[#This Row],[totalCOST]])</f>
        <v>30.499600000000001</v>
      </c>
      <c r="R501" t="str">
        <f>VLOOKUP($B501,Menu!$A$1:$F$20,MATCH(OrderLines!R$1,Menu!$A$1:$F$1,0),0)</f>
        <v>Tea</v>
      </c>
      <c r="S501" t="str" cm="1">
        <f t="array" ref="S501">_xlfn.TEXTJOIN("+",TRUE,_xlfn._xlws.FILTER(orderlinesTABLE[ItemName],OrderID=orderlinesTABLE[[#This Row],[OrderID]]))</f>
        <v>Tea+Chicken Thali</v>
      </c>
      <c r="T501" s="54">
        <f>orderlinesTABLE[[#This Row],[Profit]]/orderlinesTABLE[[#This Row],[LineNetAmount]]</f>
        <v>0.51817545481110983</v>
      </c>
      <c r="U501" s="70">
        <f>(orderlinesTABLE[[#This Row],[Qty]]*orderlinesTABLE[[#This Row],[UnitCost]])</f>
        <v>28.36</v>
      </c>
    </row>
    <row r="502" spans="1:21" x14ac:dyDescent="0.3">
      <c r="A502" s="14" t="s">
        <v>234</v>
      </c>
      <c r="B502" s="14" t="s">
        <v>415</v>
      </c>
      <c r="C502" s="14">
        <v>1</v>
      </c>
      <c r="D502" s="37">
        <f>VLOOKUP($B502,Menu!$A$1:$F$20,MATCH($D$1,Menu!$A$1:$F$1,0),0)</f>
        <v>256.91000000000003</v>
      </c>
      <c r="E502" s="14" t="str">
        <f>VLOOKUP($B502,Menu!$A$1:$F$20,MATCH(OrderLines!E$1,Menu!$A$1:$F$1,0),0)</f>
        <v>Hot Meal</v>
      </c>
      <c r="F502" s="37">
        <f>VLOOKUP($B502,Menu!$A$1:$F$20,MATCH(OrderLines!F$1,Menu!$A$1:$F$1,0),0)</f>
        <v>121.24</v>
      </c>
      <c r="G502" s="28">
        <f>VLOOKUP($A502,Orders!$A$1:$H$361,MATCH($G$1,Orders!$A$1:$H$1,0),0)</f>
        <v>45867</v>
      </c>
      <c r="H502" s="14" t="str">
        <f>VLOOKUP($A502,Orders!$A$1:$H$361,MATCH(OrderLines!$H$1,Orders!$A$1:$H$1,0),0)</f>
        <v>Plant 1 Canteen</v>
      </c>
      <c r="I502" s="14">
        <f>VLOOKUP($A502,Orders!$A$1:$H$361,MATCH(OrderLines!$I$1,Orders!$A$1:$H$1,0),0)</f>
        <v>0.03</v>
      </c>
      <c r="J502" s="14">
        <f t="shared" si="22"/>
        <v>249.20270000000002</v>
      </c>
      <c r="K502" s="28" t="str">
        <f t="shared" si="23"/>
        <v>July</v>
      </c>
      <c r="L502" s="14" t="str">
        <f>VLOOKUP(OrderLines!$A502,Orders!$A$1:$H$361,MATCH(OrderLines!$L$1,Orders!$A$1:$H$1,0),0)</f>
        <v>Dinner</v>
      </c>
      <c r="M502" t="str">
        <f>VLOOKUP($A502,Orders!$A$1:$H$361,MATCH(OrderLines!$M$1,Orders!$A$1:$H$1,0),0)</f>
        <v>Card</v>
      </c>
      <c r="N502" t="str">
        <f t="shared" si="21"/>
        <v>Combo</v>
      </c>
      <c r="O502" t="str" cm="1">
        <f t="array" ref="O502">IF((SUMPRODUCT((OrderID=OrderLines!$A502)*Qty*UnitPrice*DiscountPct))&gt;40,"HighDisc","OK")</f>
        <v>OK</v>
      </c>
      <c r="P502">
        <f>(orderlinesTABLE[[#This Row],[UnitCost]]*orderlinesTABLE[[#This Row],[Qty]])</f>
        <v>121.24</v>
      </c>
      <c r="Q502">
        <f>(orderlinesTABLE[[#This Row],[LineNetAmount]]-orderlinesTABLE[[#This Row],[totalCOST]])</f>
        <v>127.96270000000003</v>
      </c>
      <c r="R502" t="str">
        <f>VLOOKUP($B502,Menu!$A$1:$F$20,MATCH(OrderLines!R$1,Menu!$A$1:$F$1,0),0)</f>
        <v>Chicken Thali</v>
      </c>
      <c r="S502" t="str" cm="1">
        <f t="array" ref="S502">_xlfn.TEXTJOIN("+",TRUE,_xlfn._xlws.FILTER(orderlinesTABLE[ItemName],OrderID=orderlinesTABLE[[#This Row],[OrderID]]))</f>
        <v>Tea+Chicken Thali</v>
      </c>
      <c r="T502" s="54">
        <f>orderlinesTABLE[[#This Row],[Profit]]/orderlinesTABLE[[#This Row],[LineNetAmount]]</f>
        <v>0.51348841726032668</v>
      </c>
      <c r="U502" s="70">
        <f>(orderlinesTABLE[[#This Row],[Qty]]*orderlinesTABLE[[#This Row],[UnitCost]])</f>
        <v>121.24</v>
      </c>
    </row>
    <row r="503" spans="1:21" x14ac:dyDescent="0.3">
      <c r="A503" s="15" t="s">
        <v>235</v>
      </c>
      <c r="B503" s="15" t="s">
        <v>412</v>
      </c>
      <c r="C503" s="15">
        <v>1</v>
      </c>
      <c r="D503" s="36">
        <f>VLOOKUP($B503,Menu!$A$1:$F$20,MATCH($D$1,Menu!$A$1:$F$1,0),0)</f>
        <v>57.07</v>
      </c>
      <c r="E503" s="15" t="str">
        <f>VLOOKUP($B503,Menu!$A$1:$F$20,MATCH(OrderLines!E$1,Menu!$A$1:$F$1,0),0)</f>
        <v>Dessert</v>
      </c>
      <c r="F503" s="36">
        <f>VLOOKUP($B503,Menu!$A$1:$F$20,MATCH(OrderLines!F$1,Menu!$A$1:$F$1,0),0)</f>
        <v>29.14</v>
      </c>
      <c r="G503" s="27">
        <f>VLOOKUP($A503,Orders!$A$1:$H$361,MATCH($G$1,Orders!$A$1:$H$1,0),0)</f>
        <v>45840</v>
      </c>
      <c r="H503" s="15" t="str">
        <f>VLOOKUP($A503,Orders!$A$1:$H$361,MATCH(OrderLines!$H$1,Orders!$A$1:$H$1,0),0)</f>
        <v>Head Office Café</v>
      </c>
      <c r="I503" s="15">
        <f>VLOOKUP($A503,Orders!$A$1:$H$361,MATCH(OrderLines!$I$1,Orders!$A$1:$H$1,0),0)</f>
        <v>0.09</v>
      </c>
      <c r="J503" s="15">
        <f t="shared" si="22"/>
        <v>51.933700000000002</v>
      </c>
      <c r="K503" s="27" t="str">
        <f t="shared" si="23"/>
        <v>July</v>
      </c>
      <c r="L503" s="15" t="str">
        <f>VLOOKUP(OrderLines!$A503,Orders!$A$1:$H$361,MATCH(OrderLines!$L$1,Orders!$A$1:$H$1,0),0)</f>
        <v>Breakfast</v>
      </c>
      <c r="M503" t="str">
        <f>VLOOKUP($A503,Orders!$A$1:$H$361,MATCH(OrderLines!$M$1,Orders!$A$1:$H$1,0),0)</f>
        <v>UPI</v>
      </c>
      <c r="N503" t="str">
        <f t="shared" si="21"/>
        <v>Single</v>
      </c>
      <c r="O503" t="str" cm="1">
        <f t="array" ref="O503">IF((SUMPRODUCT((OrderID=OrderLines!$A503)*Qty*UnitPrice*DiscountPct))&gt;40,"HighDisc","OK")</f>
        <v>OK</v>
      </c>
      <c r="P503">
        <f>(orderlinesTABLE[[#This Row],[UnitCost]]*orderlinesTABLE[[#This Row],[Qty]])</f>
        <v>29.14</v>
      </c>
      <c r="Q503">
        <f>(orderlinesTABLE[[#This Row],[LineNetAmount]]-orderlinesTABLE[[#This Row],[totalCOST]])</f>
        <v>22.793700000000001</v>
      </c>
      <c r="R503" t="str">
        <f>VLOOKUP($B503,Menu!$A$1:$F$20,MATCH(OrderLines!R$1,Menu!$A$1:$F$1,0),0)</f>
        <v>Fruit Cup</v>
      </c>
      <c r="S503" t="str" cm="1">
        <f t="array" ref="S503">_xlfn.TEXTJOIN("+",TRUE,_xlfn._xlws.FILTER(orderlinesTABLE[ItemName],OrderID=orderlinesTABLE[[#This Row],[OrderID]]))</f>
        <v>Fruit Cup+Tea</v>
      </c>
      <c r="T503" s="54">
        <f>orderlinesTABLE[[#This Row],[Profit]]/orderlinesTABLE[[#This Row],[LineNetAmount]]</f>
        <v>0.43889998209255265</v>
      </c>
      <c r="U503" s="70">
        <f>(orderlinesTABLE[[#This Row],[Qty]]*orderlinesTABLE[[#This Row],[UnitCost]])</f>
        <v>29.14</v>
      </c>
    </row>
    <row r="504" spans="1:21" x14ac:dyDescent="0.3">
      <c r="A504" s="14" t="s">
        <v>235</v>
      </c>
      <c r="B504" s="14" t="s">
        <v>402</v>
      </c>
      <c r="C504" s="14">
        <v>2</v>
      </c>
      <c r="D504" s="37">
        <f>VLOOKUP($B504,Menu!$A$1:$F$20,MATCH($D$1,Menu!$A$1:$F$1,0),0)</f>
        <v>30.34</v>
      </c>
      <c r="E504" s="14" t="str">
        <f>VLOOKUP($B504,Menu!$A$1:$F$20,MATCH(OrderLines!E$1,Menu!$A$1:$F$1,0),0)</f>
        <v>Beverage</v>
      </c>
      <c r="F504" s="37">
        <f>VLOOKUP($B504,Menu!$A$1:$F$20,MATCH(OrderLines!F$1,Menu!$A$1:$F$1,0),0)</f>
        <v>14.18</v>
      </c>
      <c r="G504" s="28">
        <f>VLOOKUP($A504,Orders!$A$1:$H$361,MATCH($G$1,Orders!$A$1:$H$1,0),0)</f>
        <v>45840</v>
      </c>
      <c r="H504" s="14" t="str">
        <f>VLOOKUP($A504,Orders!$A$1:$H$361,MATCH(OrderLines!$H$1,Orders!$A$1:$H$1,0),0)</f>
        <v>Head Office Café</v>
      </c>
      <c r="I504" s="14">
        <f>VLOOKUP($A504,Orders!$A$1:$H$361,MATCH(OrderLines!$I$1,Orders!$A$1:$H$1,0),0)</f>
        <v>0.09</v>
      </c>
      <c r="J504" s="14">
        <f t="shared" si="22"/>
        <v>55.218800000000002</v>
      </c>
      <c r="K504" s="28" t="str">
        <f t="shared" si="23"/>
        <v>July</v>
      </c>
      <c r="L504" s="14" t="str">
        <f>VLOOKUP(OrderLines!$A504,Orders!$A$1:$H$361,MATCH(OrderLines!$L$1,Orders!$A$1:$H$1,0),0)</f>
        <v>Breakfast</v>
      </c>
      <c r="M504" t="str">
        <f>VLOOKUP($A504,Orders!$A$1:$H$361,MATCH(OrderLines!$M$1,Orders!$A$1:$H$1,0),0)</f>
        <v>UPI</v>
      </c>
      <c r="N504" t="str">
        <f t="shared" si="21"/>
        <v>Single</v>
      </c>
      <c r="O504" t="str" cm="1">
        <f t="array" ref="O504">IF((SUMPRODUCT((OrderID=OrderLines!$A504)*Qty*UnitPrice*DiscountPct))&gt;40,"HighDisc","OK")</f>
        <v>OK</v>
      </c>
      <c r="P504">
        <f>(orderlinesTABLE[[#This Row],[UnitCost]]*orderlinesTABLE[[#This Row],[Qty]])</f>
        <v>28.36</v>
      </c>
      <c r="Q504">
        <f>(orderlinesTABLE[[#This Row],[LineNetAmount]]-orderlinesTABLE[[#This Row],[totalCOST]])</f>
        <v>26.858800000000002</v>
      </c>
      <c r="R504" t="str">
        <f>VLOOKUP($B504,Menu!$A$1:$F$20,MATCH(OrderLines!R$1,Menu!$A$1:$F$1,0),0)</f>
        <v>Tea</v>
      </c>
      <c r="S504" t="str" cm="1">
        <f t="array" ref="S504">_xlfn.TEXTJOIN("+",TRUE,_xlfn._xlws.FILTER(orderlinesTABLE[ItemName],OrderID=orderlinesTABLE[[#This Row],[OrderID]]))</f>
        <v>Fruit Cup+Tea</v>
      </c>
      <c r="T504" s="54">
        <f>orderlinesTABLE[[#This Row],[Profit]]/orderlinesTABLE[[#This Row],[LineNetAmount]]</f>
        <v>0.48640680347997423</v>
      </c>
      <c r="U504" s="70">
        <f>(orderlinesTABLE[[#This Row],[Qty]]*orderlinesTABLE[[#This Row],[UnitCost]])</f>
        <v>28.36</v>
      </c>
    </row>
    <row r="505" spans="1:21" x14ac:dyDescent="0.3">
      <c r="A505" s="15" t="s">
        <v>236</v>
      </c>
      <c r="B505" s="15" t="s">
        <v>407</v>
      </c>
      <c r="C505" s="15">
        <v>1</v>
      </c>
      <c r="D505" s="36">
        <f>VLOOKUP($B505,Menu!$A$1:$F$20,MATCH($D$1,Menu!$A$1:$F$1,0),0)</f>
        <v>246.09</v>
      </c>
      <c r="E505" s="15" t="str">
        <f>VLOOKUP($B505,Menu!$A$1:$F$20,MATCH(OrderLines!E$1,Menu!$A$1:$F$1,0),0)</f>
        <v>Hot Meal</v>
      </c>
      <c r="F505" s="36">
        <f>VLOOKUP($B505,Menu!$A$1:$F$20,MATCH(OrderLines!F$1,Menu!$A$1:$F$1,0),0)</f>
        <v>112.08</v>
      </c>
      <c r="G505" s="27">
        <f>VLOOKUP($A505,Orders!$A$1:$H$361,MATCH($G$1,Orders!$A$1:$H$1,0),0)</f>
        <v>45898</v>
      </c>
      <c r="H505" s="15" t="str">
        <f>VLOOKUP($A505,Orders!$A$1:$H$361,MATCH(OrderLines!$H$1,Orders!$A$1:$H$1,0),0)</f>
        <v>Head Office Café</v>
      </c>
      <c r="I505" s="15">
        <f>VLOOKUP($A505,Orders!$A$1:$H$361,MATCH(OrderLines!$I$1,Orders!$A$1:$H$1,0),0)</f>
        <v>0.03</v>
      </c>
      <c r="J505" s="15">
        <f t="shared" si="22"/>
        <v>238.7073</v>
      </c>
      <c r="K505" s="27" t="str">
        <f t="shared" si="23"/>
        <v>August</v>
      </c>
      <c r="L505" s="15" t="str">
        <f>VLOOKUP(OrderLines!$A505,Orders!$A$1:$H$361,MATCH(OrderLines!$L$1,Orders!$A$1:$H$1,0),0)</f>
        <v>Breakfast</v>
      </c>
      <c r="M505" t="str">
        <f>VLOOKUP($A505,Orders!$A$1:$H$361,MATCH(OrderLines!$M$1,Orders!$A$1:$H$1,0),0)</f>
        <v>Card</v>
      </c>
      <c r="N505" t="str">
        <f t="shared" si="21"/>
        <v>Combo</v>
      </c>
      <c r="O505" t="str" cm="1">
        <f t="array" ref="O505">IF((SUMPRODUCT((OrderID=OrderLines!$A505)*Qty*UnitPrice*DiscountPct))&gt;40,"HighDisc","OK")</f>
        <v>OK</v>
      </c>
      <c r="P505">
        <f>(orderlinesTABLE[[#This Row],[UnitCost]]*orderlinesTABLE[[#This Row],[Qty]])</f>
        <v>112.08</v>
      </c>
      <c r="Q505">
        <f>(orderlinesTABLE[[#This Row],[LineNetAmount]]-orderlinesTABLE[[#This Row],[totalCOST]])</f>
        <v>126.62730000000001</v>
      </c>
      <c r="R505" t="str">
        <f>VLOOKUP($B505,Menu!$A$1:$F$20,MATCH(OrderLines!R$1,Menu!$A$1:$F$1,0),0)</f>
        <v>Egg Curry + Rice</v>
      </c>
      <c r="S505" t="str" cm="1">
        <f t="array" ref="S505">_xlfn.TEXTJOIN("+",TRUE,_xlfn._xlws.FILTER(orderlinesTABLE[ItemName],OrderID=orderlinesTABLE[[#This Row],[OrderID]]))</f>
        <v>Egg Curry + Rice+Chicken Thali+Paneer Butter Masala + Naan+Masala Chaas</v>
      </c>
      <c r="T505" s="54">
        <f>orderlinesTABLE[[#This Row],[Profit]]/orderlinesTABLE[[#This Row],[LineNetAmount]]</f>
        <v>0.53047099942062936</v>
      </c>
      <c r="U505" s="70">
        <f>(orderlinesTABLE[[#This Row],[Qty]]*orderlinesTABLE[[#This Row],[UnitCost]])</f>
        <v>112.08</v>
      </c>
    </row>
    <row r="506" spans="1:21" x14ac:dyDescent="0.3">
      <c r="A506" s="14" t="s">
        <v>236</v>
      </c>
      <c r="B506" s="14" t="s">
        <v>415</v>
      </c>
      <c r="C506" s="14">
        <v>1</v>
      </c>
      <c r="D506" s="37">
        <f>VLOOKUP($B506,Menu!$A$1:$F$20,MATCH($D$1,Menu!$A$1:$F$1,0),0)</f>
        <v>256.91000000000003</v>
      </c>
      <c r="E506" s="14" t="str">
        <f>VLOOKUP($B506,Menu!$A$1:$F$20,MATCH(OrderLines!E$1,Menu!$A$1:$F$1,0),0)</f>
        <v>Hot Meal</v>
      </c>
      <c r="F506" s="37">
        <f>VLOOKUP($B506,Menu!$A$1:$F$20,MATCH(OrderLines!F$1,Menu!$A$1:$F$1,0),0)</f>
        <v>121.24</v>
      </c>
      <c r="G506" s="28">
        <f>VLOOKUP($A506,Orders!$A$1:$H$361,MATCH($G$1,Orders!$A$1:$H$1,0),0)</f>
        <v>45898</v>
      </c>
      <c r="H506" s="14" t="str">
        <f>VLOOKUP($A506,Orders!$A$1:$H$361,MATCH(OrderLines!$H$1,Orders!$A$1:$H$1,0),0)</f>
        <v>Head Office Café</v>
      </c>
      <c r="I506" s="14">
        <f>VLOOKUP($A506,Orders!$A$1:$H$361,MATCH(OrderLines!$I$1,Orders!$A$1:$H$1,0),0)</f>
        <v>0.03</v>
      </c>
      <c r="J506" s="14">
        <f t="shared" si="22"/>
        <v>249.20270000000002</v>
      </c>
      <c r="K506" s="28" t="str">
        <f t="shared" si="23"/>
        <v>August</v>
      </c>
      <c r="L506" s="14" t="str">
        <f>VLOOKUP(OrderLines!$A506,Orders!$A$1:$H$361,MATCH(OrderLines!$L$1,Orders!$A$1:$H$1,0),0)</f>
        <v>Breakfast</v>
      </c>
      <c r="M506" t="str">
        <f>VLOOKUP($A506,Orders!$A$1:$H$361,MATCH(OrderLines!$M$1,Orders!$A$1:$H$1,0),0)</f>
        <v>Card</v>
      </c>
      <c r="N506" t="str">
        <f t="shared" si="21"/>
        <v>Combo</v>
      </c>
      <c r="O506" t="str" cm="1">
        <f t="array" ref="O506">IF((SUMPRODUCT((OrderID=OrderLines!$A506)*Qty*UnitPrice*DiscountPct))&gt;40,"HighDisc","OK")</f>
        <v>OK</v>
      </c>
      <c r="P506">
        <f>(orderlinesTABLE[[#This Row],[UnitCost]]*orderlinesTABLE[[#This Row],[Qty]])</f>
        <v>121.24</v>
      </c>
      <c r="Q506">
        <f>(orderlinesTABLE[[#This Row],[LineNetAmount]]-orderlinesTABLE[[#This Row],[totalCOST]])</f>
        <v>127.96270000000003</v>
      </c>
      <c r="R506" t="str">
        <f>VLOOKUP($B506,Menu!$A$1:$F$20,MATCH(OrderLines!R$1,Menu!$A$1:$F$1,0),0)</f>
        <v>Chicken Thali</v>
      </c>
      <c r="S506" t="str" cm="1">
        <f t="array" ref="S506">_xlfn.TEXTJOIN("+",TRUE,_xlfn._xlws.FILTER(orderlinesTABLE[ItemName],OrderID=orderlinesTABLE[[#This Row],[OrderID]]))</f>
        <v>Egg Curry + Rice+Chicken Thali+Paneer Butter Masala + Naan+Masala Chaas</v>
      </c>
      <c r="T506" s="54">
        <f>orderlinesTABLE[[#This Row],[Profit]]/orderlinesTABLE[[#This Row],[LineNetAmount]]</f>
        <v>0.51348841726032668</v>
      </c>
      <c r="U506" s="70">
        <f>(orderlinesTABLE[[#This Row],[Qty]]*orderlinesTABLE[[#This Row],[UnitCost]])</f>
        <v>121.24</v>
      </c>
    </row>
    <row r="507" spans="1:21" x14ac:dyDescent="0.3">
      <c r="A507" s="15" t="s">
        <v>236</v>
      </c>
      <c r="B507" s="15" t="s">
        <v>405</v>
      </c>
      <c r="C507" s="15">
        <v>2</v>
      </c>
      <c r="D507" s="36">
        <f>VLOOKUP($B507,Menu!$A$1:$F$20,MATCH($D$1,Menu!$A$1:$F$1,0),0)</f>
        <v>170.83</v>
      </c>
      <c r="E507" s="15" t="str">
        <f>VLOOKUP($B507,Menu!$A$1:$F$20,MATCH(OrderLines!E$1,Menu!$A$1:$F$1,0),0)</f>
        <v>Hot Meal</v>
      </c>
      <c r="F507" s="36">
        <f>VLOOKUP($B507,Menu!$A$1:$F$20,MATCH(OrderLines!F$1,Menu!$A$1:$F$1,0),0)</f>
        <v>74.069999999999993</v>
      </c>
      <c r="G507" s="27">
        <f>VLOOKUP($A507,Orders!$A$1:$H$361,MATCH($G$1,Orders!$A$1:$H$1,0),0)</f>
        <v>45898</v>
      </c>
      <c r="H507" s="15" t="str">
        <f>VLOOKUP($A507,Orders!$A$1:$H$361,MATCH(OrderLines!$H$1,Orders!$A$1:$H$1,0),0)</f>
        <v>Head Office Café</v>
      </c>
      <c r="I507" s="15">
        <f>VLOOKUP($A507,Orders!$A$1:$H$361,MATCH(OrderLines!$I$1,Orders!$A$1:$H$1,0),0)</f>
        <v>0.03</v>
      </c>
      <c r="J507" s="15">
        <f t="shared" si="22"/>
        <v>331.41020000000003</v>
      </c>
      <c r="K507" s="27" t="str">
        <f t="shared" si="23"/>
        <v>August</v>
      </c>
      <c r="L507" s="15" t="str">
        <f>VLOOKUP(OrderLines!$A507,Orders!$A$1:$H$361,MATCH(OrderLines!$L$1,Orders!$A$1:$H$1,0),0)</f>
        <v>Breakfast</v>
      </c>
      <c r="M507" t="str">
        <f>VLOOKUP($A507,Orders!$A$1:$H$361,MATCH(OrderLines!$M$1,Orders!$A$1:$H$1,0),0)</f>
        <v>Card</v>
      </c>
      <c r="N507" t="str">
        <f t="shared" si="21"/>
        <v>Combo</v>
      </c>
      <c r="O507" t="str" cm="1">
        <f t="array" ref="O507">IF((SUMPRODUCT((OrderID=OrderLines!$A507)*Qty*UnitPrice*DiscountPct))&gt;40,"HighDisc","OK")</f>
        <v>OK</v>
      </c>
      <c r="P507">
        <f>(orderlinesTABLE[[#This Row],[UnitCost]]*orderlinesTABLE[[#This Row],[Qty]])</f>
        <v>148.13999999999999</v>
      </c>
      <c r="Q507">
        <f>(orderlinesTABLE[[#This Row],[LineNetAmount]]-orderlinesTABLE[[#This Row],[totalCOST]])</f>
        <v>183.27020000000005</v>
      </c>
      <c r="R507" t="str">
        <f>VLOOKUP($B507,Menu!$A$1:$F$20,MATCH(OrderLines!R$1,Menu!$A$1:$F$1,0),0)</f>
        <v>Paneer Butter Masala + Naan</v>
      </c>
      <c r="S507" t="str" cm="1">
        <f t="array" ref="S507">_xlfn.TEXTJOIN("+",TRUE,_xlfn._xlws.FILTER(orderlinesTABLE[ItemName],OrderID=orderlinesTABLE[[#This Row],[OrderID]]))</f>
        <v>Egg Curry + Rice+Chicken Thali+Paneer Butter Masala + Naan+Masala Chaas</v>
      </c>
      <c r="T507" s="54">
        <f>orderlinesTABLE[[#This Row],[Profit]]/orderlinesTABLE[[#This Row],[LineNetAmount]]</f>
        <v>0.5530010844566644</v>
      </c>
      <c r="U507" s="70">
        <f>(orderlinesTABLE[[#This Row],[Qty]]*orderlinesTABLE[[#This Row],[UnitCost]])</f>
        <v>148.13999999999999</v>
      </c>
    </row>
    <row r="508" spans="1:21" x14ac:dyDescent="0.3">
      <c r="A508" s="14" t="s">
        <v>236</v>
      </c>
      <c r="B508" s="14" t="s">
        <v>404</v>
      </c>
      <c r="C508" s="14">
        <v>1</v>
      </c>
      <c r="D508" s="37">
        <f>VLOOKUP($B508,Menu!$A$1:$F$20,MATCH($D$1,Menu!$A$1:$F$1,0),0)</f>
        <v>32.979999999999997</v>
      </c>
      <c r="E508" s="14" t="str">
        <f>VLOOKUP($B508,Menu!$A$1:$F$20,MATCH(OrderLines!E$1,Menu!$A$1:$F$1,0),0)</f>
        <v>Beverage</v>
      </c>
      <c r="F508" s="37">
        <f>VLOOKUP($B508,Menu!$A$1:$F$20,MATCH(OrderLines!F$1,Menu!$A$1:$F$1,0),0)</f>
        <v>11.84</v>
      </c>
      <c r="G508" s="28">
        <f>VLOOKUP($A508,Orders!$A$1:$H$361,MATCH($G$1,Orders!$A$1:$H$1,0),0)</f>
        <v>45898</v>
      </c>
      <c r="H508" s="14" t="str">
        <f>VLOOKUP($A508,Orders!$A$1:$H$361,MATCH(OrderLines!$H$1,Orders!$A$1:$H$1,0),0)</f>
        <v>Head Office Café</v>
      </c>
      <c r="I508" s="14">
        <f>VLOOKUP($A508,Orders!$A$1:$H$361,MATCH(OrderLines!$I$1,Orders!$A$1:$H$1,0),0)</f>
        <v>0.03</v>
      </c>
      <c r="J508" s="14">
        <f t="shared" si="22"/>
        <v>31.990599999999997</v>
      </c>
      <c r="K508" s="28" t="str">
        <f t="shared" si="23"/>
        <v>August</v>
      </c>
      <c r="L508" s="14" t="str">
        <f>VLOOKUP(OrderLines!$A508,Orders!$A$1:$H$361,MATCH(OrderLines!$L$1,Orders!$A$1:$H$1,0),0)</f>
        <v>Breakfast</v>
      </c>
      <c r="M508" t="str">
        <f>VLOOKUP($A508,Orders!$A$1:$H$361,MATCH(OrderLines!$M$1,Orders!$A$1:$H$1,0),0)</f>
        <v>Card</v>
      </c>
      <c r="N508" t="str">
        <f t="shared" si="21"/>
        <v>Combo</v>
      </c>
      <c r="O508" t="str" cm="1">
        <f t="array" ref="O508">IF((SUMPRODUCT((OrderID=OrderLines!$A508)*Qty*UnitPrice*DiscountPct))&gt;40,"HighDisc","OK")</f>
        <v>OK</v>
      </c>
      <c r="P508">
        <f>(orderlinesTABLE[[#This Row],[UnitCost]]*orderlinesTABLE[[#This Row],[Qty]])</f>
        <v>11.84</v>
      </c>
      <c r="Q508">
        <f>(orderlinesTABLE[[#This Row],[LineNetAmount]]-orderlinesTABLE[[#This Row],[totalCOST]])</f>
        <v>20.150599999999997</v>
      </c>
      <c r="R508" t="str">
        <f>VLOOKUP($B508,Menu!$A$1:$F$20,MATCH(OrderLines!R$1,Menu!$A$1:$F$1,0),0)</f>
        <v>Masala Chaas</v>
      </c>
      <c r="S508" t="str" cm="1">
        <f t="array" ref="S508">_xlfn.TEXTJOIN("+",TRUE,_xlfn._xlws.FILTER(orderlinesTABLE[ItemName],OrderID=orderlinesTABLE[[#This Row],[OrderID]]))</f>
        <v>Egg Curry + Rice+Chicken Thali+Paneer Butter Masala + Naan+Masala Chaas</v>
      </c>
      <c r="T508" s="54">
        <f>orderlinesTABLE[[#This Row],[Profit]]/orderlinesTABLE[[#This Row],[LineNetAmount]]</f>
        <v>0.6298912805636655</v>
      </c>
      <c r="U508" s="70">
        <f>(orderlinesTABLE[[#This Row],[Qty]]*orderlinesTABLE[[#This Row],[UnitCost]])</f>
        <v>11.84</v>
      </c>
    </row>
    <row r="509" spans="1:21" x14ac:dyDescent="0.3">
      <c r="A509" s="15" t="s">
        <v>237</v>
      </c>
      <c r="B509" s="15" t="s">
        <v>418</v>
      </c>
      <c r="C509" s="15">
        <v>1</v>
      </c>
      <c r="D509" s="36">
        <f>VLOOKUP($B509,Menu!$A$1:$F$20,MATCH($D$1,Menu!$A$1:$F$1,0),0)</f>
        <v>39.950000000000003</v>
      </c>
      <c r="E509" s="15" t="str">
        <f>VLOOKUP($B509,Menu!$A$1:$F$20,MATCH(OrderLines!E$1,Menu!$A$1:$F$1,0),0)</f>
        <v>Snack</v>
      </c>
      <c r="F509" s="36">
        <f>VLOOKUP($B509,Menu!$A$1:$F$20,MATCH(OrderLines!F$1,Menu!$A$1:$F$1,0),0)</f>
        <v>15.51</v>
      </c>
      <c r="G509" s="27">
        <f>VLOOKUP($A509,Orders!$A$1:$H$361,MATCH($G$1,Orders!$A$1:$H$1,0),0)</f>
        <v>45898</v>
      </c>
      <c r="H509" s="15" t="str">
        <f>VLOOKUP($A509,Orders!$A$1:$H$361,MATCH(OrderLines!$H$1,Orders!$A$1:$H$1,0),0)</f>
        <v>Plant 2 Canteen</v>
      </c>
      <c r="I509" s="15">
        <f>VLOOKUP($A509,Orders!$A$1:$H$361,MATCH(OrderLines!$I$1,Orders!$A$1:$H$1,0),0)</f>
        <v>0.06</v>
      </c>
      <c r="J509" s="15">
        <f t="shared" si="22"/>
        <v>37.552999999999997</v>
      </c>
      <c r="K509" s="27" t="str">
        <f t="shared" si="23"/>
        <v>August</v>
      </c>
      <c r="L509" s="15" t="str">
        <f>VLOOKUP(OrderLines!$A509,Orders!$A$1:$H$361,MATCH(OrderLines!$L$1,Orders!$A$1:$H$1,0),0)</f>
        <v>Breakfast</v>
      </c>
      <c r="M509" t="str">
        <f>VLOOKUP($A509,Orders!$A$1:$H$361,MATCH(OrderLines!$M$1,Orders!$A$1:$H$1,0),0)</f>
        <v>UPI</v>
      </c>
      <c r="N509" t="str">
        <f t="shared" si="21"/>
        <v>Single</v>
      </c>
      <c r="O509" t="str" cm="1">
        <f t="array" ref="O509">IF((SUMPRODUCT((OrderID=OrderLines!$A509)*Qty*UnitPrice*DiscountPct))&gt;40,"HighDisc","OK")</f>
        <v>OK</v>
      </c>
      <c r="P509">
        <f>(orderlinesTABLE[[#This Row],[UnitCost]]*orderlinesTABLE[[#This Row],[Qty]])</f>
        <v>15.51</v>
      </c>
      <c r="Q509">
        <f>(orderlinesTABLE[[#This Row],[LineNetAmount]]-orderlinesTABLE[[#This Row],[totalCOST]])</f>
        <v>22.042999999999999</v>
      </c>
      <c r="R509" t="str">
        <f>VLOOKUP($B509,Menu!$A$1:$F$20,MATCH(OrderLines!R$1,Menu!$A$1:$F$1,0),0)</f>
        <v>Samosa</v>
      </c>
      <c r="S509" t="str" cm="1">
        <f t="array" ref="S509">_xlfn.TEXTJOIN("+",TRUE,_xlfn._xlws.FILTER(orderlinesTABLE[ItemName],OrderID=orderlinesTABLE[[#This Row],[OrderID]]))</f>
        <v>Samosa</v>
      </c>
      <c r="T509" s="54">
        <f>orderlinesTABLE[[#This Row],[Profit]]/orderlinesTABLE[[#This Row],[LineNetAmount]]</f>
        <v>0.58698372966207757</v>
      </c>
      <c r="U509" s="70">
        <f>(orderlinesTABLE[[#This Row],[Qty]]*orderlinesTABLE[[#This Row],[UnitCost]])</f>
        <v>15.51</v>
      </c>
    </row>
    <row r="510" spans="1:21" x14ac:dyDescent="0.3">
      <c r="A510" s="14" t="s">
        <v>238</v>
      </c>
      <c r="B510" s="14" t="s">
        <v>406</v>
      </c>
      <c r="C510" s="14">
        <v>1</v>
      </c>
      <c r="D510" s="37">
        <f>VLOOKUP($B510,Menu!$A$1:$F$20,MATCH($D$1,Menu!$A$1:$F$1,0),0)</f>
        <v>38.06</v>
      </c>
      <c r="E510" s="14" t="str">
        <f>VLOOKUP($B510,Menu!$A$1:$F$20,MATCH(OrderLines!E$1,Menu!$A$1:$F$1,0),0)</f>
        <v>Snack</v>
      </c>
      <c r="F510" s="37">
        <f>VLOOKUP($B510,Menu!$A$1:$F$20,MATCH(OrderLines!F$1,Menu!$A$1:$F$1,0),0)</f>
        <v>19.55</v>
      </c>
      <c r="G510" s="28">
        <f>VLOOKUP($A510,Orders!$A$1:$H$361,MATCH($G$1,Orders!$A$1:$H$1,0),0)</f>
        <v>45863</v>
      </c>
      <c r="H510" s="14" t="str">
        <f>VLOOKUP($A510,Orders!$A$1:$H$361,MATCH(OrderLines!$H$1,Orders!$A$1:$H$1,0),0)</f>
        <v>Head Office Café</v>
      </c>
      <c r="I510" s="14">
        <f>VLOOKUP($A510,Orders!$A$1:$H$361,MATCH(OrderLines!$I$1,Orders!$A$1:$H$1,0),0)</f>
        <v>0.08</v>
      </c>
      <c r="J510" s="14">
        <f t="shared" si="22"/>
        <v>35.0152</v>
      </c>
      <c r="K510" s="28" t="str">
        <f t="shared" si="23"/>
        <v>July</v>
      </c>
      <c r="L510" s="14" t="str">
        <f>VLOOKUP(OrderLines!$A510,Orders!$A$1:$H$361,MATCH(OrderLines!$L$1,Orders!$A$1:$H$1,0),0)</f>
        <v>Lunch</v>
      </c>
      <c r="M510" t="str">
        <f>VLOOKUP($A510,Orders!$A$1:$H$361,MATCH(OrderLines!$M$1,Orders!$A$1:$H$1,0),0)</f>
        <v>UPI</v>
      </c>
      <c r="N510" t="str">
        <f t="shared" si="21"/>
        <v>Single</v>
      </c>
      <c r="O510" t="str" cm="1">
        <f t="array" ref="O510">IF((SUMPRODUCT((OrderID=OrderLines!$A510)*Qty*UnitPrice*DiscountPct))&gt;40,"HighDisc","OK")</f>
        <v>OK</v>
      </c>
      <c r="P510">
        <f>(orderlinesTABLE[[#This Row],[UnitCost]]*orderlinesTABLE[[#This Row],[Qty]])</f>
        <v>19.55</v>
      </c>
      <c r="Q510">
        <f>(orderlinesTABLE[[#This Row],[LineNetAmount]]-orderlinesTABLE[[#This Row],[totalCOST]])</f>
        <v>15.465199999999999</v>
      </c>
      <c r="R510" t="str">
        <f>VLOOKUP($B510,Menu!$A$1:$F$20,MATCH(OrderLines!R$1,Menu!$A$1:$F$1,0),0)</f>
        <v>Paneer Roll</v>
      </c>
      <c r="S510" t="str" cm="1">
        <f t="array" ref="S510">_xlfn.TEXTJOIN("+",TRUE,_xlfn._xlws.FILTER(orderlinesTABLE[ItemName],OrderID=orderlinesTABLE[[#This Row],[OrderID]]))</f>
        <v>Paneer Roll</v>
      </c>
      <c r="T510" s="54">
        <f>orderlinesTABLE[[#This Row],[Profit]]/orderlinesTABLE[[#This Row],[LineNetAmount]]</f>
        <v>0.44167104571728849</v>
      </c>
      <c r="U510" s="70">
        <f>(orderlinesTABLE[[#This Row],[Qty]]*orderlinesTABLE[[#This Row],[UnitCost]])</f>
        <v>19.55</v>
      </c>
    </row>
    <row r="511" spans="1:21" x14ac:dyDescent="0.3">
      <c r="A511" s="15" t="s">
        <v>239</v>
      </c>
      <c r="B511" s="15" t="s">
        <v>405</v>
      </c>
      <c r="C511" s="15">
        <v>1</v>
      </c>
      <c r="D511" s="36">
        <f>VLOOKUP($B511,Menu!$A$1:$F$20,MATCH($D$1,Menu!$A$1:$F$1,0),0)</f>
        <v>170.83</v>
      </c>
      <c r="E511" s="15" t="str">
        <f>VLOOKUP($B511,Menu!$A$1:$F$20,MATCH(OrderLines!E$1,Menu!$A$1:$F$1,0),0)</f>
        <v>Hot Meal</v>
      </c>
      <c r="F511" s="36">
        <f>VLOOKUP($B511,Menu!$A$1:$F$20,MATCH(OrderLines!F$1,Menu!$A$1:$F$1,0),0)</f>
        <v>74.069999999999993</v>
      </c>
      <c r="G511" s="27">
        <f>VLOOKUP($A511,Orders!$A$1:$H$361,MATCH($G$1,Orders!$A$1:$H$1,0),0)</f>
        <v>45848</v>
      </c>
      <c r="H511" s="15" t="str">
        <f>VLOOKUP($A511,Orders!$A$1:$H$361,MATCH(OrderLines!$H$1,Orders!$A$1:$H$1,0),0)</f>
        <v>Head Office Café</v>
      </c>
      <c r="I511" s="15">
        <f>VLOOKUP($A511,Orders!$A$1:$H$361,MATCH(OrderLines!$I$1,Orders!$A$1:$H$1,0),0)</f>
        <v>0.09</v>
      </c>
      <c r="J511" s="15">
        <f t="shared" si="22"/>
        <v>155.45530000000002</v>
      </c>
      <c r="K511" s="27" t="str">
        <f t="shared" si="23"/>
        <v>July</v>
      </c>
      <c r="L511" s="15" t="str">
        <f>VLOOKUP(OrderLines!$A511,Orders!$A$1:$H$361,MATCH(OrderLines!$L$1,Orders!$A$1:$H$1,0),0)</f>
        <v>Dinner</v>
      </c>
      <c r="M511" t="str">
        <f>VLOOKUP($A511,Orders!$A$1:$H$361,MATCH(OrderLines!$M$1,Orders!$A$1:$H$1,0),0)</f>
        <v>Cash</v>
      </c>
      <c r="N511" t="str">
        <f t="shared" si="21"/>
        <v>Single</v>
      </c>
      <c r="O511" t="str" cm="1">
        <f t="array" ref="O511">IF((SUMPRODUCT((OrderID=OrderLines!$A511)*Qty*UnitPrice*DiscountPct))&gt;40,"HighDisc","OK")</f>
        <v>OK</v>
      </c>
      <c r="P511">
        <f>(orderlinesTABLE[[#This Row],[UnitCost]]*orderlinesTABLE[[#This Row],[Qty]])</f>
        <v>74.069999999999993</v>
      </c>
      <c r="Q511">
        <f>(orderlinesTABLE[[#This Row],[LineNetAmount]]-orderlinesTABLE[[#This Row],[totalCOST]])</f>
        <v>81.385300000000029</v>
      </c>
      <c r="R511" t="str">
        <f>VLOOKUP($B511,Menu!$A$1:$F$20,MATCH(OrderLines!R$1,Menu!$A$1:$F$1,0),0)</f>
        <v>Paneer Butter Masala + Naan</v>
      </c>
      <c r="S511" t="str" cm="1">
        <f t="array" ref="S511">_xlfn.TEXTJOIN("+",TRUE,_xlfn._xlws.FILTER(orderlinesTABLE[ItemName],OrderID=orderlinesTABLE[[#This Row],[OrderID]]))</f>
        <v>Paneer Butter Masala + Naan</v>
      </c>
      <c r="T511" s="54">
        <f>orderlinesTABLE[[#This Row],[Profit]]/orderlinesTABLE[[#This Row],[LineNetAmount]]</f>
        <v>0.52352862848677417</v>
      </c>
      <c r="U511" s="70">
        <f>(orderlinesTABLE[[#This Row],[Qty]]*orderlinesTABLE[[#This Row],[UnitCost]])</f>
        <v>74.069999999999993</v>
      </c>
    </row>
    <row r="512" spans="1:21" x14ac:dyDescent="0.3">
      <c r="A512" s="14" t="s">
        <v>240</v>
      </c>
      <c r="B512" s="14" t="s">
        <v>417</v>
      </c>
      <c r="C512" s="14">
        <v>1</v>
      </c>
      <c r="D512" s="37">
        <f>VLOOKUP($B512,Menu!$A$1:$F$20,MATCH($D$1,Menu!$A$1:$F$1,0),0)</f>
        <v>146.4</v>
      </c>
      <c r="E512" s="14" t="str">
        <f>VLOOKUP($B512,Menu!$A$1:$F$20,MATCH(OrderLines!E$1,Menu!$A$1:$F$1,0),0)</f>
        <v>Hot Meal</v>
      </c>
      <c r="F512" s="37">
        <f>VLOOKUP($B512,Menu!$A$1:$F$20,MATCH(OrderLines!F$1,Menu!$A$1:$F$1,0),0)</f>
        <v>80.92</v>
      </c>
      <c r="G512" s="28">
        <f>VLOOKUP($A512,Orders!$A$1:$H$361,MATCH($G$1,Orders!$A$1:$H$1,0),0)</f>
        <v>45882</v>
      </c>
      <c r="H512" s="14" t="str">
        <f>VLOOKUP($A512,Orders!$A$1:$H$361,MATCH(OrderLines!$H$1,Orders!$A$1:$H$1,0),0)</f>
        <v>Plant 1 Canteen</v>
      </c>
      <c r="I512" s="14">
        <f>VLOOKUP($A512,Orders!$A$1:$H$361,MATCH(OrderLines!$I$1,Orders!$A$1:$H$1,0),0)</f>
        <v>0.01</v>
      </c>
      <c r="J512" s="14">
        <f t="shared" si="22"/>
        <v>144.93600000000001</v>
      </c>
      <c r="K512" s="28" t="str">
        <f t="shared" si="23"/>
        <v>August</v>
      </c>
      <c r="L512" s="14" t="str">
        <f>VLOOKUP(OrderLines!$A512,Orders!$A$1:$H$361,MATCH(OrderLines!$L$1,Orders!$A$1:$H$1,0),0)</f>
        <v>Breakfast</v>
      </c>
      <c r="M512" t="str">
        <f>VLOOKUP($A512,Orders!$A$1:$H$361,MATCH(OrderLines!$M$1,Orders!$A$1:$H$1,0),0)</f>
        <v>Card</v>
      </c>
      <c r="N512" t="str">
        <f t="shared" si="21"/>
        <v>Single</v>
      </c>
      <c r="O512" t="str" cm="1">
        <f t="array" ref="O512">IF((SUMPRODUCT((OrderID=OrderLines!$A512)*Qty*UnitPrice*DiscountPct))&gt;40,"HighDisc","OK")</f>
        <v>OK</v>
      </c>
      <c r="P512">
        <f>(orderlinesTABLE[[#This Row],[UnitCost]]*orderlinesTABLE[[#This Row],[Qty]])</f>
        <v>80.92</v>
      </c>
      <c r="Q512">
        <f>(orderlinesTABLE[[#This Row],[LineNetAmount]]-orderlinesTABLE[[#This Row],[totalCOST]])</f>
        <v>64.016000000000005</v>
      </c>
      <c r="R512" t="str">
        <f>VLOOKUP($B512,Menu!$A$1:$F$20,MATCH(OrderLines!R$1,Menu!$A$1:$F$1,0),0)</f>
        <v>Rajma Chawal</v>
      </c>
      <c r="S512" t="str" cm="1">
        <f t="array" ref="S512">_xlfn.TEXTJOIN("+",TRUE,_xlfn._xlws.FILTER(orderlinesTABLE[ItemName],OrderID=orderlinesTABLE[[#This Row],[OrderID]]))</f>
        <v>Rajma Chawal+Kheer Cup</v>
      </c>
      <c r="T512" s="54">
        <f>orderlinesTABLE[[#This Row],[Profit]]/orderlinesTABLE[[#This Row],[LineNetAmount]]</f>
        <v>0.44168460561903189</v>
      </c>
      <c r="U512" s="70">
        <f>(orderlinesTABLE[[#This Row],[Qty]]*orderlinesTABLE[[#This Row],[UnitCost]])</f>
        <v>80.92</v>
      </c>
    </row>
    <row r="513" spans="1:21" x14ac:dyDescent="0.3">
      <c r="A513" s="15" t="s">
        <v>240</v>
      </c>
      <c r="B513" s="15" t="s">
        <v>413</v>
      </c>
      <c r="C513" s="15">
        <v>2</v>
      </c>
      <c r="D513" s="36">
        <f>VLOOKUP($B513,Menu!$A$1:$F$20,MATCH($D$1,Menu!$A$1:$F$1,0),0)</f>
        <v>54.2</v>
      </c>
      <c r="E513" s="15" t="str">
        <f>VLOOKUP($B513,Menu!$A$1:$F$20,MATCH(OrderLines!E$1,Menu!$A$1:$F$1,0),0)</f>
        <v>Dessert</v>
      </c>
      <c r="F513" s="36">
        <f>VLOOKUP($B513,Menu!$A$1:$F$20,MATCH(OrderLines!F$1,Menu!$A$1:$F$1,0),0)</f>
        <v>21.95</v>
      </c>
      <c r="G513" s="27">
        <f>VLOOKUP($A513,Orders!$A$1:$H$361,MATCH($G$1,Orders!$A$1:$H$1,0),0)</f>
        <v>45882</v>
      </c>
      <c r="H513" s="15" t="str">
        <f>VLOOKUP($A513,Orders!$A$1:$H$361,MATCH(OrderLines!$H$1,Orders!$A$1:$H$1,0),0)</f>
        <v>Plant 1 Canteen</v>
      </c>
      <c r="I513" s="15">
        <f>VLOOKUP($A513,Orders!$A$1:$H$361,MATCH(OrderLines!$I$1,Orders!$A$1:$H$1,0),0)</f>
        <v>0.01</v>
      </c>
      <c r="J513" s="15">
        <f t="shared" si="22"/>
        <v>107.316</v>
      </c>
      <c r="K513" s="27" t="str">
        <f t="shared" si="23"/>
        <v>August</v>
      </c>
      <c r="L513" s="15" t="str">
        <f>VLOOKUP(OrderLines!$A513,Orders!$A$1:$H$361,MATCH(OrderLines!$L$1,Orders!$A$1:$H$1,0),0)</f>
        <v>Breakfast</v>
      </c>
      <c r="M513" t="str">
        <f>VLOOKUP($A513,Orders!$A$1:$H$361,MATCH(OrderLines!$M$1,Orders!$A$1:$H$1,0),0)</f>
        <v>Card</v>
      </c>
      <c r="N513" t="str">
        <f t="shared" si="21"/>
        <v>Single</v>
      </c>
      <c r="O513" t="str" cm="1">
        <f t="array" ref="O513">IF((SUMPRODUCT((OrderID=OrderLines!$A513)*Qty*UnitPrice*DiscountPct))&gt;40,"HighDisc","OK")</f>
        <v>OK</v>
      </c>
      <c r="P513">
        <f>(orderlinesTABLE[[#This Row],[UnitCost]]*orderlinesTABLE[[#This Row],[Qty]])</f>
        <v>43.9</v>
      </c>
      <c r="Q513">
        <f>(orderlinesTABLE[[#This Row],[LineNetAmount]]-orderlinesTABLE[[#This Row],[totalCOST]])</f>
        <v>63.416000000000004</v>
      </c>
      <c r="R513" t="str">
        <f>VLOOKUP($B513,Menu!$A$1:$F$20,MATCH(OrderLines!R$1,Menu!$A$1:$F$1,0),0)</f>
        <v>Kheer Cup</v>
      </c>
      <c r="S513" t="str" cm="1">
        <f t="array" ref="S513">_xlfn.TEXTJOIN("+",TRUE,_xlfn._xlws.FILTER(orderlinesTABLE[ItemName],OrderID=orderlinesTABLE[[#This Row],[OrderID]]))</f>
        <v>Rajma Chawal+Kheer Cup</v>
      </c>
      <c r="T513" s="54">
        <f>orderlinesTABLE[[#This Row],[Profit]]/orderlinesTABLE[[#This Row],[LineNetAmount]]</f>
        <v>0.59092772745909283</v>
      </c>
      <c r="U513" s="70">
        <f>(orderlinesTABLE[[#This Row],[Qty]]*orderlinesTABLE[[#This Row],[UnitCost]])</f>
        <v>43.9</v>
      </c>
    </row>
    <row r="514" spans="1:21" x14ac:dyDescent="0.3">
      <c r="A514" s="14" t="s">
        <v>241</v>
      </c>
      <c r="B514" s="14" t="s">
        <v>411</v>
      </c>
      <c r="C514" s="14">
        <v>1</v>
      </c>
      <c r="D514" s="37">
        <f>VLOOKUP($B514,Menu!$A$1:$F$20,MATCH($D$1,Menu!$A$1:$F$1,0),0)</f>
        <v>22.2</v>
      </c>
      <c r="E514" s="14" t="str">
        <f>VLOOKUP($B514,Menu!$A$1:$F$20,MATCH(OrderLines!E$1,Menu!$A$1:$F$1,0),0)</f>
        <v>Beverage</v>
      </c>
      <c r="F514" s="37">
        <f>VLOOKUP($B514,Menu!$A$1:$F$20,MATCH(OrderLines!F$1,Menu!$A$1:$F$1,0),0)</f>
        <v>9.3800000000000008</v>
      </c>
      <c r="G514" s="28">
        <f>VLOOKUP($A514,Orders!$A$1:$H$361,MATCH($G$1,Orders!$A$1:$H$1,0),0)</f>
        <v>45848</v>
      </c>
      <c r="H514" s="14" t="str">
        <f>VLOOKUP($A514,Orders!$A$1:$H$361,MATCH(OrderLines!$H$1,Orders!$A$1:$H$1,0),0)</f>
        <v>Plant 2 Canteen</v>
      </c>
      <c r="I514" s="14">
        <f>VLOOKUP($A514,Orders!$A$1:$H$361,MATCH(OrderLines!$I$1,Orders!$A$1:$H$1,0),0)</f>
        <v>0.05</v>
      </c>
      <c r="J514" s="14">
        <f t="shared" si="22"/>
        <v>21.09</v>
      </c>
      <c r="K514" s="28" t="str">
        <f t="shared" si="23"/>
        <v>July</v>
      </c>
      <c r="L514" s="14" t="str">
        <f>VLOOKUP(OrderLines!$A514,Orders!$A$1:$H$361,MATCH(OrderLines!$L$1,Orders!$A$1:$H$1,0),0)</f>
        <v>Breakfast</v>
      </c>
      <c r="M514" t="str">
        <f>VLOOKUP($A514,Orders!$A$1:$H$361,MATCH(OrderLines!$M$1,Orders!$A$1:$H$1,0),0)</f>
        <v>UPI</v>
      </c>
      <c r="N514" t="str">
        <f t="shared" ref="N514:N577" si="24">IF(AND(COUNTIFS(OrderID,$A514,Category,"hot meal")&gt;=1,COUNTIFS(OrderID,$A514,Category,"beverage")&gt;=1),"Combo","Single")</f>
        <v>Combo</v>
      </c>
      <c r="O514" t="str" cm="1">
        <f t="array" ref="O514">IF((SUMPRODUCT((OrderID=OrderLines!$A514)*Qty*UnitPrice*DiscountPct))&gt;40,"HighDisc","OK")</f>
        <v>HighDisc</v>
      </c>
      <c r="P514">
        <f>(orderlinesTABLE[[#This Row],[UnitCost]]*orderlinesTABLE[[#This Row],[Qty]])</f>
        <v>9.3800000000000008</v>
      </c>
      <c r="Q514">
        <f>(orderlinesTABLE[[#This Row],[LineNetAmount]]-orderlinesTABLE[[#This Row],[totalCOST]])</f>
        <v>11.709999999999999</v>
      </c>
      <c r="R514" t="str">
        <f>VLOOKUP($B514,Menu!$A$1:$F$20,MATCH(OrderLines!R$1,Menu!$A$1:$F$1,0),0)</f>
        <v>Coffee</v>
      </c>
      <c r="S514" t="str" cm="1">
        <f t="array" ref="S514">_xlfn.TEXTJOIN("+",TRUE,_xlfn._xlws.FILTER(orderlinesTABLE[ItemName],OrderID=orderlinesTABLE[[#This Row],[OrderID]]))</f>
        <v>Coffee+Veg Thali+Egg Curry + Rice</v>
      </c>
      <c r="T514" s="54">
        <f>orderlinesTABLE[[#This Row],[Profit]]/orderlinesTABLE[[#This Row],[LineNetAmount]]</f>
        <v>0.55523944997629204</v>
      </c>
      <c r="U514" s="70">
        <f>(orderlinesTABLE[[#This Row],[Qty]]*orderlinesTABLE[[#This Row],[UnitCost]])</f>
        <v>9.3800000000000008</v>
      </c>
    </row>
    <row r="515" spans="1:21" x14ac:dyDescent="0.3">
      <c r="A515" s="15" t="s">
        <v>241</v>
      </c>
      <c r="B515" s="15" t="s">
        <v>416</v>
      </c>
      <c r="C515" s="15">
        <v>3</v>
      </c>
      <c r="D515" s="36">
        <f>VLOOKUP($B515,Menu!$A$1:$F$20,MATCH($D$1,Menu!$A$1:$F$1,0),0)</f>
        <v>227.61</v>
      </c>
      <c r="E515" s="15" t="str">
        <f>VLOOKUP($B515,Menu!$A$1:$F$20,MATCH(OrderLines!E$1,Menu!$A$1:$F$1,0),0)</f>
        <v>Hot Meal</v>
      </c>
      <c r="F515" s="36">
        <f>VLOOKUP($B515,Menu!$A$1:$F$20,MATCH(OrderLines!F$1,Menu!$A$1:$F$1,0),0)</f>
        <v>96.22</v>
      </c>
      <c r="G515" s="27">
        <f>VLOOKUP($A515,Orders!$A$1:$H$361,MATCH($G$1,Orders!$A$1:$H$1,0),0)</f>
        <v>45848</v>
      </c>
      <c r="H515" s="15" t="str">
        <f>VLOOKUP($A515,Orders!$A$1:$H$361,MATCH(OrderLines!$H$1,Orders!$A$1:$H$1,0),0)</f>
        <v>Plant 2 Canteen</v>
      </c>
      <c r="I515" s="15">
        <f>VLOOKUP($A515,Orders!$A$1:$H$361,MATCH(OrderLines!$I$1,Orders!$A$1:$H$1,0),0)</f>
        <v>0.05</v>
      </c>
      <c r="J515" s="15">
        <f t="shared" ref="J515:J578" si="25">$C515*$D515*(1-$I515)</f>
        <v>648.68849999999998</v>
      </c>
      <c r="K515" s="27" t="str">
        <f t="shared" ref="K515:K578" si="26">TEXT($G515,"mmmm")</f>
        <v>July</v>
      </c>
      <c r="L515" s="15" t="str">
        <f>VLOOKUP(OrderLines!$A515,Orders!$A$1:$H$361,MATCH(OrderLines!$L$1,Orders!$A$1:$H$1,0),0)</f>
        <v>Breakfast</v>
      </c>
      <c r="M515" t="str">
        <f>VLOOKUP($A515,Orders!$A$1:$H$361,MATCH(OrderLines!$M$1,Orders!$A$1:$H$1,0),0)</f>
        <v>UPI</v>
      </c>
      <c r="N515" t="str">
        <f t="shared" si="24"/>
        <v>Combo</v>
      </c>
      <c r="O515" t="str" cm="1">
        <f t="array" ref="O515">IF((SUMPRODUCT((OrderID=OrderLines!$A515)*Qty*UnitPrice*DiscountPct))&gt;40,"HighDisc","OK")</f>
        <v>HighDisc</v>
      </c>
      <c r="P515">
        <f>(orderlinesTABLE[[#This Row],[UnitCost]]*orderlinesTABLE[[#This Row],[Qty]])</f>
        <v>288.65999999999997</v>
      </c>
      <c r="Q515">
        <f>(orderlinesTABLE[[#This Row],[LineNetAmount]]-orderlinesTABLE[[#This Row],[totalCOST]])</f>
        <v>360.02850000000001</v>
      </c>
      <c r="R515" t="str">
        <f>VLOOKUP($B515,Menu!$A$1:$F$20,MATCH(OrderLines!R$1,Menu!$A$1:$F$1,0),0)</f>
        <v>Veg Thali</v>
      </c>
      <c r="S515" t="str" cm="1">
        <f t="array" ref="S515">_xlfn.TEXTJOIN("+",TRUE,_xlfn._xlws.FILTER(orderlinesTABLE[ItemName],OrderID=orderlinesTABLE[[#This Row],[OrderID]]))</f>
        <v>Coffee+Veg Thali+Egg Curry + Rice</v>
      </c>
      <c r="T515" s="54">
        <f>orderlinesTABLE[[#This Row],[Profit]]/orderlinesTABLE[[#This Row],[LineNetAmount]]</f>
        <v>0.55500983908301138</v>
      </c>
      <c r="U515" s="70">
        <f>(orderlinesTABLE[[#This Row],[Qty]]*orderlinesTABLE[[#This Row],[UnitCost]])</f>
        <v>288.65999999999997</v>
      </c>
    </row>
    <row r="516" spans="1:21" x14ac:dyDescent="0.3">
      <c r="A516" s="14" t="s">
        <v>241</v>
      </c>
      <c r="B516" s="14" t="s">
        <v>407</v>
      </c>
      <c r="C516" s="14">
        <v>1</v>
      </c>
      <c r="D516" s="37">
        <f>VLOOKUP($B516,Menu!$A$1:$F$20,MATCH($D$1,Menu!$A$1:$F$1,0),0)</f>
        <v>246.09</v>
      </c>
      <c r="E516" s="14" t="str">
        <f>VLOOKUP($B516,Menu!$A$1:$F$20,MATCH(OrderLines!E$1,Menu!$A$1:$F$1,0),0)</f>
        <v>Hot Meal</v>
      </c>
      <c r="F516" s="37">
        <f>VLOOKUP($B516,Menu!$A$1:$F$20,MATCH(OrderLines!F$1,Menu!$A$1:$F$1,0),0)</f>
        <v>112.08</v>
      </c>
      <c r="G516" s="28">
        <f>VLOOKUP($A516,Orders!$A$1:$H$361,MATCH($G$1,Orders!$A$1:$H$1,0),0)</f>
        <v>45848</v>
      </c>
      <c r="H516" s="14" t="str">
        <f>VLOOKUP($A516,Orders!$A$1:$H$361,MATCH(OrderLines!$H$1,Orders!$A$1:$H$1,0),0)</f>
        <v>Plant 2 Canteen</v>
      </c>
      <c r="I516" s="14">
        <f>VLOOKUP($A516,Orders!$A$1:$H$361,MATCH(OrderLines!$I$1,Orders!$A$1:$H$1,0),0)</f>
        <v>0.05</v>
      </c>
      <c r="J516" s="14">
        <f t="shared" si="25"/>
        <v>233.78549999999998</v>
      </c>
      <c r="K516" s="28" t="str">
        <f t="shared" si="26"/>
        <v>July</v>
      </c>
      <c r="L516" s="14" t="str">
        <f>VLOOKUP(OrderLines!$A516,Orders!$A$1:$H$361,MATCH(OrderLines!$L$1,Orders!$A$1:$H$1,0),0)</f>
        <v>Breakfast</v>
      </c>
      <c r="M516" t="str">
        <f>VLOOKUP($A516,Orders!$A$1:$H$361,MATCH(OrderLines!$M$1,Orders!$A$1:$H$1,0),0)</f>
        <v>UPI</v>
      </c>
      <c r="N516" t="str">
        <f t="shared" si="24"/>
        <v>Combo</v>
      </c>
      <c r="O516" t="str" cm="1">
        <f t="array" ref="O516">IF((SUMPRODUCT((OrderID=OrderLines!$A516)*Qty*UnitPrice*DiscountPct))&gt;40,"HighDisc","OK")</f>
        <v>HighDisc</v>
      </c>
      <c r="P516">
        <f>(orderlinesTABLE[[#This Row],[UnitCost]]*orderlinesTABLE[[#This Row],[Qty]])</f>
        <v>112.08</v>
      </c>
      <c r="Q516">
        <f>(orderlinesTABLE[[#This Row],[LineNetAmount]]-orderlinesTABLE[[#This Row],[totalCOST]])</f>
        <v>121.70549999999999</v>
      </c>
      <c r="R516" t="str">
        <f>VLOOKUP($B516,Menu!$A$1:$F$20,MATCH(OrderLines!R$1,Menu!$A$1:$F$1,0),0)</f>
        <v>Egg Curry + Rice</v>
      </c>
      <c r="S516" t="str" cm="1">
        <f t="array" ref="S516">_xlfn.TEXTJOIN("+",TRUE,_xlfn._xlws.FILTER(orderlinesTABLE[ItemName],OrderID=orderlinesTABLE[[#This Row],[OrderID]]))</f>
        <v>Coffee+Veg Thali+Egg Curry + Rice</v>
      </c>
      <c r="T516" s="54">
        <f>orderlinesTABLE[[#This Row],[Profit]]/orderlinesTABLE[[#This Row],[LineNetAmount]]</f>
        <v>0.52058617835580046</v>
      </c>
      <c r="U516" s="70">
        <f>(orderlinesTABLE[[#This Row],[Qty]]*orderlinesTABLE[[#This Row],[UnitCost]])</f>
        <v>112.08</v>
      </c>
    </row>
    <row r="517" spans="1:21" x14ac:dyDescent="0.3">
      <c r="A517" s="15" t="s">
        <v>242</v>
      </c>
      <c r="B517" s="15" t="s">
        <v>417</v>
      </c>
      <c r="C517" s="15">
        <v>1</v>
      </c>
      <c r="D517" s="36">
        <f>VLOOKUP($B517,Menu!$A$1:$F$20,MATCH($D$1,Menu!$A$1:$F$1,0),0)</f>
        <v>146.4</v>
      </c>
      <c r="E517" s="15" t="str">
        <f>VLOOKUP($B517,Menu!$A$1:$F$20,MATCH(OrderLines!E$1,Menu!$A$1:$F$1,0),0)</f>
        <v>Hot Meal</v>
      </c>
      <c r="F517" s="36">
        <f>VLOOKUP($B517,Menu!$A$1:$F$20,MATCH(OrderLines!F$1,Menu!$A$1:$F$1,0),0)</f>
        <v>80.92</v>
      </c>
      <c r="G517" s="27">
        <f>VLOOKUP($A517,Orders!$A$1:$H$361,MATCH($G$1,Orders!$A$1:$H$1,0),0)</f>
        <v>45856</v>
      </c>
      <c r="H517" s="15" t="str">
        <f>VLOOKUP($A517,Orders!$A$1:$H$361,MATCH(OrderLines!$H$1,Orders!$A$1:$H$1,0),0)</f>
        <v>Plant 1 Canteen</v>
      </c>
      <c r="I517" s="15">
        <f>VLOOKUP($A517,Orders!$A$1:$H$361,MATCH(OrderLines!$I$1,Orders!$A$1:$H$1,0),0)</f>
        <v>0.04</v>
      </c>
      <c r="J517" s="15">
        <f t="shared" si="25"/>
        <v>140.54400000000001</v>
      </c>
      <c r="K517" s="27" t="str">
        <f t="shared" si="26"/>
        <v>July</v>
      </c>
      <c r="L517" s="15" t="str">
        <f>VLOOKUP(OrderLines!$A517,Orders!$A$1:$H$361,MATCH(OrderLines!$L$1,Orders!$A$1:$H$1,0),0)</f>
        <v>Breakfast</v>
      </c>
      <c r="M517" t="str">
        <f>VLOOKUP($A517,Orders!$A$1:$H$361,MATCH(OrderLines!$M$1,Orders!$A$1:$H$1,0),0)</f>
        <v>UPI</v>
      </c>
      <c r="N517" t="str">
        <f t="shared" si="24"/>
        <v>Combo</v>
      </c>
      <c r="O517" t="str" cm="1">
        <f t="array" ref="O517">IF((SUMPRODUCT((OrderID=OrderLines!$A517)*Qty*UnitPrice*DiscountPct))&gt;40,"HighDisc","OK")</f>
        <v>OK</v>
      </c>
      <c r="P517">
        <f>(orderlinesTABLE[[#This Row],[UnitCost]]*orderlinesTABLE[[#This Row],[Qty]])</f>
        <v>80.92</v>
      </c>
      <c r="Q517">
        <f>(orderlinesTABLE[[#This Row],[LineNetAmount]]-orderlinesTABLE[[#This Row],[totalCOST]])</f>
        <v>59.624000000000009</v>
      </c>
      <c r="R517" t="str">
        <f>VLOOKUP($B517,Menu!$A$1:$F$20,MATCH(OrderLines!R$1,Menu!$A$1:$F$1,0),0)</f>
        <v>Rajma Chawal</v>
      </c>
      <c r="S517" t="str" cm="1">
        <f t="array" ref="S517">_xlfn.TEXTJOIN("+",TRUE,_xlfn._xlws.FILTER(orderlinesTABLE[ItemName],OrderID=orderlinesTABLE[[#This Row],[OrderID]]))</f>
        <v>Rajma Chawal+Samosa+Tea+Poha</v>
      </c>
      <c r="T517" s="54">
        <f>orderlinesTABLE[[#This Row],[Profit]]/orderlinesTABLE[[#This Row],[LineNetAmount]]</f>
        <v>0.4242372495446266</v>
      </c>
      <c r="U517" s="70">
        <f>(orderlinesTABLE[[#This Row],[Qty]]*orderlinesTABLE[[#This Row],[UnitCost]])</f>
        <v>80.92</v>
      </c>
    </row>
    <row r="518" spans="1:21" x14ac:dyDescent="0.3">
      <c r="A518" s="14" t="s">
        <v>242</v>
      </c>
      <c r="B518" s="14" t="s">
        <v>418</v>
      </c>
      <c r="C518" s="14">
        <v>2</v>
      </c>
      <c r="D518" s="37">
        <f>VLOOKUP($B518,Menu!$A$1:$F$20,MATCH($D$1,Menu!$A$1:$F$1,0),0)</f>
        <v>39.950000000000003</v>
      </c>
      <c r="E518" s="14" t="str">
        <f>VLOOKUP($B518,Menu!$A$1:$F$20,MATCH(OrderLines!E$1,Menu!$A$1:$F$1,0),0)</f>
        <v>Snack</v>
      </c>
      <c r="F518" s="37">
        <f>VLOOKUP($B518,Menu!$A$1:$F$20,MATCH(OrderLines!F$1,Menu!$A$1:$F$1,0),0)</f>
        <v>15.51</v>
      </c>
      <c r="G518" s="28">
        <f>VLOOKUP($A518,Orders!$A$1:$H$361,MATCH($G$1,Orders!$A$1:$H$1,0),0)</f>
        <v>45856</v>
      </c>
      <c r="H518" s="14" t="str">
        <f>VLOOKUP($A518,Orders!$A$1:$H$361,MATCH(OrderLines!$H$1,Orders!$A$1:$H$1,0),0)</f>
        <v>Plant 1 Canteen</v>
      </c>
      <c r="I518" s="14">
        <f>VLOOKUP($A518,Orders!$A$1:$H$361,MATCH(OrderLines!$I$1,Orders!$A$1:$H$1,0),0)</f>
        <v>0.04</v>
      </c>
      <c r="J518" s="14">
        <f t="shared" si="25"/>
        <v>76.704000000000008</v>
      </c>
      <c r="K518" s="28" t="str">
        <f t="shared" si="26"/>
        <v>July</v>
      </c>
      <c r="L518" s="14" t="str">
        <f>VLOOKUP(OrderLines!$A518,Orders!$A$1:$H$361,MATCH(OrderLines!$L$1,Orders!$A$1:$H$1,0),0)</f>
        <v>Breakfast</v>
      </c>
      <c r="M518" t="str">
        <f>VLOOKUP($A518,Orders!$A$1:$H$361,MATCH(OrderLines!$M$1,Orders!$A$1:$H$1,0),0)</f>
        <v>UPI</v>
      </c>
      <c r="N518" t="str">
        <f t="shared" si="24"/>
        <v>Combo</v>
      </c>
      <c r="O518" t="str" cm="1">
        <f t="array" ref="O518">IF((SUMPRODUCT((OrderID=OrderLines!$A518)*Qty*UnitPrice*DiscountPct))&gt;40,"HighDisc","OK")</f>
        <v>OK</v>
      </c>
      <c r="P518">
        <f>(orderlinesTABLE[[#This Row],[UnitCost]]*orderlinesTABLE[[#This Row],[Qty]])</f>
        <v>31.02</v>
      </c>
      <c r="Q518">
        <f>(orderlinesTABLE[[#This Row],[LineNetAmount]]-orderlinesTABLE[[#This Row],[totalCOST]])</f>
        <v>45.684000000000012</v>
      </c>
      <c r="R518" t="str">
        <f>VLOOKUP($B518,Menu!$A$1:$F$20,MATCH(OrderLines!R$1,Menu!$A$1:$F$1,0),0)</f>
        <v>Samosa</v>
      </c>
      <c r="S518" t="str" cm="1">
        <f t="array" ref="S518">_xlfn.TEXTJOIN("+",TRUE,_xlfn._xlws.FILTER(orderlinesTABLE[ItemName],OrderID=orderlinesTABLE[[#This Row],[OrderID]]))</f>
        <v>Rajma Chawal+Samosa+Tea+Poha</v>
      </c>
      <c r="T518" s="54">
        <f>orderlinesTABLE[[#This Row],[Profit]]/orderlinesTABLE[[#This Row],[LineNetAmount]]</f>
        <v>0.59558823529411775</v>
      </c>
      <c r="U518" s="70">
        <f>(orderlinesTABLE[[#This Row],[Qty]]*orderlinesTABLE[[#This Row],[UnitCost]])</f>
        <v>31.02</v>
      </c>
    </row>
    <row r="519" spans="1:21" x14ac:dyDescent="0.3">
      <c r="A519" s="15" t="s">
        <v>242</v>
      </c>
      <c r="B519" s="15" t="s">
        <v>402</v>
      </c>
      <c r="C519" s="15">
        <v>1</v>
      </c>
      <c r="D519" s="36">
        <f>VLOOKUP($B519,Menu!$A$1:$F$20,MATCH($D$1,Menu!$A$1:$F$1,0),0)</f>
        <v>30.34</v>
      </c>
      <c r="E519" s="15" t="str">
        <f>VLOOKUP($B519,Menu!$A$1:$F$20,MATCH(OrderLines!E$1,Menu!$A$1:$F$1,0),0)</f>
        <v>Beverage</v>
      </c>
      <c r="F519" s="36">
        <f>VLOOKUP($B519,Menu!$A$1:$F$20,MATCH(OrderLines!F$1,Menu!$A$1:$F$1,0),0)</f>
        <v>14.18</v>
      </c>
      <c r="G519" s="27">
        <f>VLOOKUP($A519,Orders!$A$1:$H$361,MATCH($G$1,Orders!$A$1:$H$1,0),0)</f>
        <v>45856</v>
      </c>
      <c r="H519" s="15" t="str">
        <f>VLOOKUP($A519,Orders!$A$1:$H$361,MATCH(OrderLines!$H$1,Orders!$A$1:$H$1,0),0)</f>
        <v>Plant 1 Canteen</v>
      </c>
      <c r="I519" s="15">
        <f>VLOOKUP($A519,Orders!$A$1:$H$361,MATCH(OrderLines!$I$1,Orders!$A$1:$H$1,0),0)</f>
        <v>0.04</v>
      </c>
      <c r="J519" s="15">
        <f t="shared" si="25"/>
        <v>29.1264</v>
      </c>
      <c r="K519" s="27" t="str">
        <f t="shared" si="26"/>
        <v>July</v>
      </c>
      <c r="L519" s="15" t="str">
        <f>VLOOKUP(OrderLines!$A519,Orders!$A$1:$H$361,MATCH(OrderLines!$L$1,Orders!$A$1:$H$1,0),0)</f>
        <v>Breakfast</v>
      </c>
      <c r="M519" t="str">
        <f>VLOOKUP($A519,Orders!$A$1:$H$361,MATCH(OrderLines!$M$1,Orders!$A$1:$H$1,0),0)</f>
        <v>UPI</v>
      </c>
      <c r="N519" t="str">
        <f t="shared" si="24"/>
        <v>Combo</v>
      </c>
      <c r="O519" t="str" cm="1">
        <f t="array" ref="O519">IF((SUMPRODUCT((OrderID=OrderLines!$A519)*Qty*UnitPrice*DiscountPct))&gt;40,"HighDisc","OK")</f>
        <v>OK</v>
      </c>
      <c r="P519">
        <f>(orderlinesTABLE[[#This Row],[UnitCost]]*orderlinesTABLE[[#This Row],[Qty]])</f>
        <v>14.18</v>
      </c>
      <c r="Q519">
        <f>(orderlinesTABLE[[#This Row],[LineNetAmount]]-orderlinesTABLE[[#This Row],[totalCOST]])</f>
        <v>14.946400000000001</v>
      </c>
      <c r="R519" t="str">
        <f>VLOOKUP($B519,Menu!$A$1:$F$20,MATCH(OrderLines!R$1,Menu!$A$1:$F$1,0),0)</f>
        <v>Tea</v>
      </c>
      <c r="S519" t="str" cm="1">
        <f t="array" ref="S519">_xlfn.TEXTJOIN("+",TRUE,_xlfn._xlws.FILTER(orderlinesTABLE[ItemName],OrderID=orderlinesTABLE[[#This Row],[OrderID]]))</f>
        <v>Rajma Chawal+Samosa+Tea+Poha</v>
      </c>
      <c r="T519" s="54">
        <f>orderlinesTABLE[[#This Row],[Profit]]/orderlinesTABLE[[#This Row],[LineNetAmount]]</f>
        <v>0.51315644913205893</v>
      </c>
      <c r="U519" s="70">
        <f>(orderlinesTABLE[[#This Row],[Qty]]*orderlinesTABLE[[#This Row],[UnitCost]])</f>
        <v>14.18</v>
      </c>
    </row>
    <row r="520" spans="1:21" x14ac:dyDescent="0.3">
      <c r="A520" s="14" t="s">
        <v>242</v>
      </c>
      <c r="B520" s="14" t="s">
        <v>401</v>
      </c>
      <c r="C520" s="14">
        <v>1</v>
      </c>
      <c r="D520" s="37">
        <f>VLOOKUP($B520,Menu!$A$1:$F$20,MATCH($D$1,Menu!$A$1:$F$1,0),0)</f>
        <v>52.45</v>
      </c>
      <c r="E520" s="14" t="str">
        <f>VLOOKUP($B520,Menu!$A$1:$F$20,MATCH(OrderLines!E$1,Menu!$A$1:$F$1,0),0)</f>
        <v>Snack</v>
      </c>
      <c r="F520" s="37">
        <f>VLOOKUP($B520,Menu!$A$1:$F$20,MATCH(OrderLines!F$1,Menu!$A$1:$F$1,0),0)</f>
        <v>25.8</v>
      </c>
      <c r="G520" s="28">
        <f>VLOOKUP($A520,Orders!$A$1:$H$361,MATCH($G$1,Orders!$A$1:$H$1,0),0)</f>
        <v>45856</v>
      </c>
      <c r="H520" s="14" t="str">
        <f>VLOOKUP($A520,Orders!$A$1:$H$361,MATCH(OrderLines!$H$1,Orders!$A$1:$H$1,0),0)</f>
        <v>Plant 1 Canteen</v>
      </c>
      <c r="I520" s="14">
        <f>VLOOKUP($A520,Orders!$A$1:$H$361,MATCH(OrderLines!$I$1,Orders!$A$1:$H$1,0),0)</f>
        <v>0.04</v>
      </c>
      <c r="J520" s="14">
        <f t="shared" si="25"/>
        <v>50.352000000000004</v>
      </c>
      <c r="K520" s="28" t="str">
        <f t="shared" si="26"/>
        <v>July</v>
      </c>
      <c r="L520" s="14" t="str">
        <f>VLOOKUP(OrderLines!$A520,Orders!$A$1:$H$361,MATCH(OrderLines!$L$1,Orders!$A$1:$H$1,0),0)</f>
        <v>Breakfast</v>
      </c>
      <c r="M520" t="str">
        <f>VLOOKUP($A520,Orders!$A$1:$H$361,MATCH(OrderLines!$M$1,Orders!$A$1:$H$1,0),0)</f>
        <v>UPI</v>
      </c>
      <c r="N520" t="str">
        <f t="shared" si="24"/>
        <v>Combo</v>
      </c>
      <c r="O520" t="str" cm="1">
        <f t="array" ref="O520">IF((SUMPRODUCT((OrderID=OrderLines!$A520)*Qty*UnitPrice*DiscountPct))&gt;40,"HighDisc","OK")</f>
        <v>OK</v>
      </c>
      <c r="P520">
        <f>(orderlinesTABLE[[#This Row],[UnitCost]]*orderlinesTABLE[[#This Row],[Qty]])</f>
        <v>25.8</v>
      </c>
      <c r="Q520">
        <f>(orderlinesTABLE[[#This Row],[LineNetAmount]]-orderlinesTABLE[[#This Row],[totalCOST]])</f>
        <v>24.552000000000003</v>
      </c>
      <c r="R520" t="str">
        <f>VLOOKUP($B520,Menu!$A$1:$F$20,MATCH(OrderLines!R$1,Menu!$A$1:$F$1,0),0)</f>
        <v>Poha</v>
      </c>
      <c r="S520" t="str" cm="1">
        <f t="array" ref="S520">_xlfn.TEXTJOIN("+",TRUE,_xlfn._xlws.FILTER(orderlinesTABLE[ItemName],OrderID=orderlinesTABLE[[#This Row],[OrderID]]))</f>
        <v>Rajma Chawal+Samosa+Tea+Poha</v>
      </c>
      <c r="T520" s="54">
        <f>orderlinesTABLE[[#This Row],[Profit]]/orderlinesTABLE[[#This Row],[LineNetAmount]]</f>
        <v>0.48760724499523356</v>
      </c>
      <c r="U520" s="70">
        <f>(orderlinesTABLE[[#This Row],[Qty]]*orderlinesTABLE[[#This Row],[UnitCost]])</f>
        <v>25.8</v>
      </c>
    </row>
    <row r="521" spans="1:21" x14ac:dyDescent="0.3">
      <c r="A521" s="15" t="s">
        <v>243</v>
      </c>
      <c r="B521" s="15" t="s">
        <v>409</v>
      </c>
      <c r="C521" s="15">
        <v>3</v>
      </c>
      <c r="D521" s="36">
        <f>VLOOKUP($B521,Menu!$A$1:$F$20,MATCH($D$1,Menu!$A$1:$F$1,0),0)</f>
        <v>28.43</v>
      </c>
      <c r="E521" s="15" t="str">
        <f>VLOOKUP($B521,Menu!$A$1:$F$20,MATCH(OrderLines!E$1,Menu!$A$1:$F$1,0),0)</f>
        <v>Beverage</v>
      </c>
      <c r="F521" s="36">
        <f>VLOOKUP($B521,Menu!$A$1:$F$20,MATCH(OrderLines!F$1,Menu!$A$1:$F$1,0),0)</f>
        <v>13.89</v>
      </c>
      <c r="G521" s="27">
        <f>VLOOKUP($A521,Orders!$A$1:$H$361,MATCH($G$1,Orders!$A$1:$H$1,0),0)</f>
        <v>45890</v>
      </c>
      <c r="H521" s="15" t="str">
        <f>VLOOKUP($A521,Orders!$A$1:$H$361,MATCH(OrderLines!$H$1,Orders!$A$1:$H$1,0),0)</f>
        <v>Head Office Café</v>
      </c>
      <c r="I521" s="15">
        <f>VLOOKUP($A521,Orders!$A$1:$H$361,MATCH(OrderLines!$I$1,Orders!$A$1:$H$1,0),0)</f>
        <v>0.03</v>
      </c>
      <c r="J521" s="15">
        <f t="shared" si="25"/>
        <v>82.73129999999999</v>
      </c>
      <c r="K521" s="27" t="str">
        <f t="shared" si="26"/>
        <v>August</v>
      </c>
      <c r="L521" s="15" t="str">
        <f>VLOOKUP(OrderLines!$A521,Orders!$A$1:$H$361,MATCH(OrderLines!$L$1,Orders!$A$1:$H$1,0),0)</f>
        <v>Dinner</v>
      </c>
      <c r="M521" t="str">
        <f>VLOOKUP($A521,Orders!$A$1:$H$361,MATCH(OrderLines!$M$1,Orders!$A$1:$H$1,0),0)</f>
        <v>Cash</v>
      </c>
      <c r="N521" t="str">
        <f t="shared" si="24"/>
        <v>Single</v>
      </c>
      <c r="O521" t="str" cm="1">
        <f t="array" ref="O521">IF((SUMPRODUCT((OrderID=OrderLines!$A521)*Qty*UnitPrice*DiscountPct))&gt;40,"HighDisc","OK")</f>
        <v>OK</v>
      </c>
      <c r="P521">
        <f>(orderlinesTABLE[[#This Row],[UnitCost]]*orderlinesTABLE[[#This Row],[Qty]])</f>
        <v>41.67</v>
      </c>
      <c r="Q521">
        <f>(orderlinesTABLE[[#This Row],[LineNetAmount]]-orderlinesTABLE[[#This Row],[totalCOST]])</f>
        <v>41.061299999999989</v>
      </c>
      <c r="R521" t="str">
        <f>VLOOKUP($B521,Menu!$A$1:$F$20,MATCH(OrderLines!R$1,Menu!$A$1:$F$1,0),0)</f>
        <v>Bottled Water</v>
      </c>
      <c r="S521" t="str" cm="1">
        <f t="array" ref="S521">_xlfn.TEXTJOIN("+",TRUE,_xlfn._xlws.FILTER(orderlinesTABLE[ItemName],OrderID=orderlinesTABLE[[#This Row],[OrderID]]))</f>
        <v>Bottled Water+Paneer Roll+Masala Chaas+Tea</v>
      </c>
      <c r="T521" s="54">
        <f>orderlinesTABLE[[#This Row],[Profit]]/orderlinesTABLE[[#This Row],[LineNetAmount]]</f>
        <v>0.49632122304375725</v>
      </c>
      <c r="U521" s="70">
        <f>(orderlinesTABLE[[#This Row],[Qty]]*orderlinesTABLE[[#This Row],[UnitCost]])</f>
        <v>41.67</v>
      </c>
    </row>
    <row r="522" spans="1:21" x14ac:dyDescent="0.3">
      <c r="A522" s="14" t="s">
        <v>243</v>
      </c>
      <c r="B522" s="14" t="s">
        <v>406</v>
      </c>
      <c r="C522" s="14">
        <v>1</v>
      </c>
      <c r="D522" s="37">
        <f>VLOOKUP($B522,Menu!$A$1:$F$20,MATCH($D$1,Menu!$A$1:$F$1,0),0)</f>
        <v>38.06</v>
      </c>
      <c r="E522" s="14" t="str">
        <f>VLOOKUP($B522,Menu!$A$1:$F$20,MATCH(OrderLines!E$1,Menu!$A$1:$F$1,0),0)</f>
        <v>Snack</v>
      </c>
      <c r="F522" s="37">
        <f>VLOOKUP($B522,Menu!$A$1:$F$20,MATCH(OrderLines!F$1,Menu!$A$1:$F$1,0),0)</f>
        <v>19.55</v>
      </c>
      <c r="G522" s="28">
        <f>VLOOKUP($A522,Orders!$A$1:$H$361,MATCH($G$1,Orders!$A$1:$H$1,0),0)</f>
        <v>45890</v>
      </c>
      <c r="H522" s="14" t="str">
        <f>VLOOKUP($A522,Orders!$A$1:$H$361,MATCH(OrderLines!$H$1,Orders!$A$1:$H$1,0),0)</f>
        <v>Head Office Café</v>
      </c>
      <c r="I522" s="14">
        <f>VLOOKUP($A522,Orders!$A$1:$H$361,MATCH(OrderLines!$I$1,Orders!$A$1:$H$1,0),0)</f>
        <v>0.03</v>
      </c>
      <c r="J522" s="14">
        <f t="shared" si="25"/>
        <v>36.918199999999999</v>
      </c>
      <c r="K522" s="28" t="str">
        <f t="shared" si="26"/>
        <v>August</v>
      </c>
      <c r="L522" s="14" t="str">
        <f>VLOOKUP(OrderLines!$A522,Orders!$A$1:$H$361,MATCH(OrderLines!$L$1,Orders!$A$1:$H$1,0),0)</f>
        <v>Dinner</v>
      </c>
      <c r="M522" t="str">
        <f>VLOOKUP($A522,Orders!$A$1:$H$361,MATCH(OrderLines!$M$1,Orders!$A$1:$H$1,0),0)</f>
        <v>Cash</v>
      </c>
      <c r="N522" t="str">
        <f t="shared" si="24"/>
        <v>Single</v>
      </c>
      <c r="O522" t="str" cm="1">
        <f t="array" ref="O522">IF((SUMPRODUCT((OrderID=OrderLines!$A522)*Qty*UnitPrice*DiscountPct))&gt;40,"HighDisc","OK")</f>
        <v>OK</v>
      </c>
      <c r="P522">
        <f>(orderlinesTABLE[[#This Row],[UnitCost]]*orderlinesTABLE[[#This Row],[Qty]])</f>
        <v>19.55</v>
      </c>
      <c r="Q522">
        <f>(orderlinesTABLE[[#This Row],[LineNetAmount]]-orderlinesTABLE[[#This Row],[totalCOST]])</f>
        <v>17.368199999999998</v>
      </c>
      <c r="R522" t="str">
        <f>VLOOKUP($B522,Menu!$A$1:$F$20,MATCH(OrderLines!R$1,Menu!$A$1:$F$1,0),0)</f>
        <v>Paneer Roll</v>
      </c>
      <c r="S522" t="str" cm="1">
        <f t="array" ref="S522">_xlfn.TEXTJOIN("+",TRUE,_xlfn._xlws.FILTER(orderlinesTABLE[ItemName],OrderID=orderlinesTABLE[[#This Row],[OrderID]]))</f>
        <v>Bottled Water+Paneer Roll+Masala Chaas+Tea</v>
      </c>
      <c r="T522" s="54">
        <f>orderlinesTABLE[[#This Row],[Profit]]/orderlinesTABLE[[#This Row],[LineNetAmount]]</f>
        <v>0.47045088872155194</v>
      </c>
      <c r="U522" s="70">
        <f>(orderlinesTABLE[[#This Row],[Qty]]*orderlinesTABLE[[#This Row],[UnitCost]])</f>
        <v>19.55</v>
      </c>
    </row>
    <row r="523" spans="1:21" x14ac:dyDescent="0.3">
      <c r="A523" s="15" t="s">
        <v>243</v>
      </c>
      <c r="B523" s="15" t="s">
        <v>404</v>
      </c>
      <c r="C523" s="15">
        <v>2</v>
      </c>
      <c r="D523" s="36">
        <f>VLOOKUP($B523,Menu!$A$1:$F$20,MATCH($D$1,Menu!$A$1:$F$1,0),0)</f>
        <v>32.979999999999997</v>
      </c>
      <c r="E523" s="15" t="str">
        <f>VLOOKUP($B523,Menu!$A$1:$F$20,MATCH(OrderLines!E$1,Menu!$A$1:$F$1,0),0)</f>
        <v>Beverage</v>
      </c>
      <c r="F523" s="36">
        <f>VLOOKUP($B523,Menu!$A$1:$F$20,MATCH(OrderLines!F$1,Menu!$A$1:$F$1,0),0)</f>
        <v>11.84</v>
      </c>
      <c r="G523" s="27">
        <f>VLOOKUP($A523,Orders!$A$1:$H$361,MATCH($G$1,Orders!$A$1:$H$1,0),0)</f>
        <v>45890</v>
      </c>
      <c r="H523" s="15" t="str">
        <f>VLOOKUP($A523,Orders!$A$1:$H$361,MATCH(OrderLines!$H$1,Orders!$A$1:$H$1,0),0)</f>
        <v>Head Office Café</v>
      </c>
      <c r="I523" s="15">
        <f>VLOOKUP($A523,Orders!$A$1:$H$361,MATCH(OrderLines!$I$1,Orders!$A$1:$H$1,0),0)</f>
        <v>0.03</v>
      </c>
      <c r="J523" s="15">
        <f t="shared" si="25"/>
        <v>63.981199999999994</v>
      </c>
      <c r="K523" s="27" t="str">
        <f t="shared" si="26"/>
        <v>August</v>
      </c>
      <c r="L523" s="15" t="str">
        <f>VLOOKUP(OrderLines!$A523,Orders!$A$1:$H$361,MATCH(OrderLines!$L$1,Orders!$A$1:$H$1,0),0)</f>
        <v>Dinner</v>
      </c>
      <c r="M523" t="str">
        <f>VLOOKUP($A523,Orders!$A$1:$H$361,MATCH(OrderLines!$M$1,Orders!$A$1:$H$1,0),0)</f>
        <v>Cash</v>
      </c>
      <c r="N523" t="str">
        <f t="shared" si="24"/>
        <v>Single</v>
      </c>
      <c r="O523" t="str" cm="1">
        <f t="array" ref="O523">IF((SUMPRODUCT((OrderID=OrderLines!$A523)*Qty*UnitPrice*DiscountPct))&gt;40,"HighDisc","OK")</f>
        <v>OK</v>
      </c>
      <c r="P523">
        <f>(orderlinesTABLE[[#This Row],[UnitCost]]*orderlinesTABLE[[#This Row],[Qty]])</f>
        <v>23.68</v>
      </c>
      <c r="Q523">
        <f>(orderlinesTABLE[[#This Row],[LineNetAmount]]-orderlinesTABLE[[#This Row],[totalCOST]])</f>
        <v>40.301199999999994</v>
      </c>
      <c r="R523" t="str">
        <f>VLOOKUP($B523,Menu!$A$1:$F$20,MATCH(OrderLines!R$1,Menu!$A$1:$F$1,0),0)</f>
        <v>Masala Chaas</v>
      </c>
      <c r="S523" t="str" cm="1">
        <f t="array" ref="S523">_xlfn.TEXTJOIN("+",TRUE,_xlfn._xlws.FILTER(orderlinesTABLE[ItemName],OrderID=orderlinesTABLE[[#This Row],[OrderID]]))</f>
        <v>Bottled Water+Paneer Roll+Masala Chaas+Tea</v>
      </c>
      <c r="T523" s="54">
        <f>orderlinesTABLE[[#This Row],[Profit]]/orderlinesTABLE[[#This Row],[LineNetAmount]]</f>
        <v>0.6298912805636655</v>
      </c>
      <c r="U523" s="70">
        <f>(orderlinesTABLE[[#This Row],[Qty]]*orderlinesTABLE[[#This Row],[UnitCost]])</f>
        <v>23.68</v>
      </c>
    </row>
    <row r="524" spans="1:21" x14ac:dyDescent="0.3">
      <c r="A524" s="14" t="s">
        <v>243</v>
      </c>
      <c r="B524" s="14" t="s">
        <v>402</v>
      </c>
      <c r="C524" s="14">
        <v>1</v>
      </c>
      <c r="D524" s="37">
        <f>VLOOKUP($B524,Menu!$A$1:$F$20,MATCH($D$1,Menu!$A$1:$F$1,0),0)</f>
        <v>30.34</v>
      </c>
      <c r="E524" s="14" t="str">
        <f>VLOOKUP($B524,Menu!$A$1:$F$20,MATCH(OrderLines!E$1,Menu!$A$1:$F$1,0),0)</f>
        <v>Beverage</v>
      </c>
      <c r="F524" s="37">
        <f>VLOOKUP($B524,Menu!$A$1:$F$20,MATCH(OrderLines!F$1,Menu!$A$1:$F$1,0),0)</f>
        <v>14.18</v>
      </c>
      <c r="G524" s="28">
        <f>VLOOKUP($A524,Orders!$A$1:$H$361,MATCH($G$1,Orders!$A$1:$H$1,0),0)</f>
        <v>45890</v>
      </c>
      <c r="H524" s="14" t="str">
        <f>VLOOKUP($A524,Orders!$A$1:$H$361,MATCH(OrderLines!$H$1,Orders!$A$1:$H$1,0),0)</f>
        <v>Head Office Café</v>
      </c>
      <c r="I524" s="14">
        <f>VLOOKUP($A524,Orders!$A$1:$H$361,MATCH(OrderLines!$I$1,Orders!$A$1:$H$1,0),0)</f>
        <v>0.03</v>
      </c>
      <c r="J524" s="14">
        <f t="shared" si="25"/>
        <v>29.4298</v>
      </c>
      <c r="K524" s="28" t="str">
        <f t="shared" si="26"/>
        <v>August</v>
      </c>
      <c r="L524" s="14" t="str">
        <f>VLOOKUP(OrderLines!$A524,Orders!$A$1:$H$361,MATCH(OrderLines!$L$1,Orders!$A$1:$H$1,0),0)</f>
        <v>Dinner</v>
      </c>
      <c r="M524" t="str">
        <f>VLOOKUP($A524,Orders!$A$1:$H$361,MATCH(OrderLines!$M$1,Orders!$A$1:$H$1,0),0)</f>
        <v>Cash</v>
      </c>
      <c r="N524" t="str">
        <f t="shared" si="24"/>
        <v>Single</v>
      </c>
      <c r="O524" t="str" cm="1">
        <f t="array" ref="O524">IF((SUMPRODUCT((OrderID=OrderLines!$A524)*Qty*UnitPrice*DiscountPct))&gt;40,"HighDisc","OK")</f>
        <v>OK</v>
      </c>
      <c r="P524">
        <f>(orderlinesTABLE[[#This Row],[UnitCost]]*orderlinesTABLE[[#This Row],[Qty]])</f>
        <v>14.18</v>
      </c>
      <c r="Q524">
        <f>(orderlinesTABLE[[#This Row],[LineNetAmount]]-orderlinesTABLE[[#This Row],[totalCOST]])</f>
        <v>15.2498</v>
      </c>
      <c r="R524" t="str">
        <f>VLOOKUP($B524,Menu!$A$1:$F$20,MATCH(OrderLines!R$1,Menu!$A$1:$F$1,0),0)</f>
        <v>Tea</v>
      </c>
      <c r="S524" t="str" cm="1">
        <f t="array" ref="S524">_xlfn.TEXTJOIN("+",TRUE,_xlfn._xlws.FILTER(orderlinesTABLE[ItemName],OrderID=orderlinesTABLE[[#This Row],[OrderID]]))</f>
        <v>Bottled Water+Paneer Roll+Masala Chaas+Tea</v>
      </c>
      <c r="T524" s="54">
        <f>orderlinesTABLE[[#This Row],[Profit]]/orderlinesTABLE[[#This Row],[LineNetAmount]]</f>
        <v>0.51817545481110983</v>
      </c>
      <c r="U524" s="70">
        <f>(orderlinesTABLE[[#This Row],[Qty]]*orderlinesTABLE[[#This Row],[UnitCost]])</f>
        <v>14.18</v>
      </c>
    </row>
    <row r="525" spans="1:21" x14ac:dyDescent="0.3">
      <c r="A525" s="15" t="s">
        <v>244</v>
      </c>
      <c r="B525" s="15" t="s">
        <v>407</v>
      </c>
      <c r="C525" s="15">
        <v>1</v>
      </c>
      <c r="D525" s="36">
        <f>VLOOKUP($B525,Menu!$A$1:$F$20,MATCH($D$1,Menu!$A$1:$F$1,0),0)</f>
        <v>246.09</v>
      </c>
      <c r="E525" s="15" t="str">
        <f>VLOOKUP($B525,Menu!$A$1:$F$20,MATCH(OrderLines!E$1,Menu!$A$1:$F$1,0),0)</f>
        <v>Hot Meal</v>
      </c>
      <c r="F525" s="36">
        <f>VLOOKUP($B525,Menu!$A$1:$F$20,MATCH(OrderLines!F$1,Menu!$A$1:$F$1,0),0)</f>
        <v>112.08</v>
      </c>
      <c r="G525" s="27">
        <f>VLOOKUP($A525,Orders!$A$1:$H$361,MATCH($G$1,Orders!$A$1:$H$1,0),0)</f>
        <v>45886</v>
      </c>
      <c r="H525" s="15" t="str">
        <f>VLOOKUP($A525,Orders!$A$1:$H$361,MATCH(OrderLines!$H$1,Orders!$A$1:$H$1,0),0)</f>
        <v>Plant 2 Canteen</v>
      </c>
      <c r="I525" s="15">
        <f>VLOOKUP($A525,Orders!$A$1:$H$361,MATCH(OrderLines!$I$1,Orders!$A$1:$H$1,0),0)</f>
        <v>0.13</v>
      </c>
      <c r="J525" s="15">
        <f t="shared" si="25"/>
        <v>214.09829999999999</v>
      </c>
      <c r="K525" s="27" t="str">
        <f t="shared" si="26"/>
        <v>August</v>
      </c>
      <c r="L525" s="15" t="str">
        <f>VLOOKUP(OrderLines!$A525,Orders!$A$1:$H$361,MATCH(OrderLines!$L$1,Orders!$A$1:$H$1,0),0)</f>
        <v>Breakfast</v>
      </c>
      <c r="M525" t="str">
        <f>VLOOKUP($A525,Orders!$A$1:$H$361,MATCH(OrderLines!$M$1,Orders!$A$1:$H$1,0),0)</f>
        <v>Card</v>
      </c>
      <c r="N525" t="str">
        <f t="shared" si="24"/>
        <v>Single</v>
      </c>
      <c r="O525" t="str" cm="1">
        <f t="array" ref="O525">IF((SUMPRODUCT((OrderID=OrderLines!$A525)*Qty*UnitPrice*DiscountPct))&gt;40,"HighDisc","OK")</f>
        <v>HighDisc</v>
      </c>
      <c r="P525">
        <f>(orderlinesTABLE[[#This Row],[UnitCost]]*orderlinesTABLE[[#This Row],[Qty]])</f>
        <v>112.08</v>
      </c>
      <c r="Q525">
        <f>(orderlinesTABLE[[#This Row],[LineNetAmount]]-orderlinesTABLE[[#This Row],[totalCOST]])</f>
        <v>102.0183</v>
      </c>
      <c r="R525" t="str">
        <f>VLOOKUP($B525,Menu!$A$1:$F$20,MATCH(OrderLines!R$1,Menu!$A$1:$F$1,0),0)</f>
        <v>Egg Curry + Rice</v>
      </c>
      <c r="S525" t="str" cm="1">
        <f t="array" ref="S525">_xlfn.TEXTJOIN("+",TRUE,_xlfn._xlws.FILTER(orderlinesTABLE[ItemName],OrderID=orderlinesTABLE[[#This Row],[OrderID]]))</f>
        <v>Egg Curry + Rice+Fruit Cup</v>
      </c>
      <c r="T525" s="54">
        <f>orderlinesTABLE[[#This Row],[Profit]]/orderlinesTABLE[[#This Row],[LineNetAmount]]</f>
        <v>0.4765021487793224</v>
      </c>
      <c r="U525" s="70">
        <f>(orderlinesTABLE[[#This Row],[Qty]]*orderlinesTABLE[[#This Row],[UnitCost]])</f>
        <v>112.08</v>
      </c>
    </row>
    <row r="526" spans="1:21" x14ac:dyDescent="0.3">
      <c r="A526" s="14" t="s">
        <v>244</v>
      </c>
      <c r="B526" s="14" t="s">
        <v>412</v>
      </c>
      <c r="C526" s="14">
        <v>3</v>
      </c>
      <c r="D526" s="37">
        <f>VLOOKUP($B526,Menu!$A$1:$F$20,MATCH($D$1,Menu!$A$1:$F$1,0),0)</f>
        <v>57.07</v>
      </c>
      <c r="E526" s="14" t="str">
        <f>VLOOKUP($B526,Menu!$A$1:$F$20,MATCH(OrderLines!E$1,Menu!$A$1:$F$1,0),0)</f>
        <v>Dessert</v>
      </c>
      <c r="F526" s="37">
        <f>VLOOKUP($B526,Menu!$A$1:$F$20,MATCH(OrderLines!F$1,Menu!$A$1:$F$1,0),0)</f>
        <v>29.14</v>
      </c>
      <c r="G526" s="28">
        <f>VLOOKUP($A526,Orders!$A$1:$H$361,MATCH($G$1,Orders!$A$1:$H$1,0),0)</f>
        <v>45886</v>
      </c>
      <c r="H526" s="14" t="str">
        <f>VLOOKUP($A526,Orders!$A$1:$H$361,MATCH(OrderLines!$H$1,Orders!$A$1:$H$1,0),0)</f>
        <v>Plant 2 Canteen</v>
      </c>
      <c r="I526" s="14">
        <f>VLOOKUP($A526,Orders!$A$1:$H$361,MATCH(OrderLines!$I$1,Orders!$A$1:$H$1,0),0)</f>
        <v>0.13</v>
      </c>
      <c r="J526" s="14">
        <f t="shared" si="25"/>
        <v>148.95269999999999</v>
      </c>
      <c r="K526" s="28" t="str">
        <f t="shared" si="26"/>
        <v>August</v>
      </c>
      <c r="L526" s="14" t="str">
        <f>VLOOKUP(OrderLines!$A526,Orders!$A$1:$H$361,MATCH(OrderLines!$L$1,Orders!$A$1:$H$1,0),0)</f>
        <v>Breakfast</v>
      </c>
      <c r="M526" t="str">
        <f>VLOOKUP($A526,Orders!$A$1:$H$361,MATCH(OrderLines!$M$1,Orders!$A$1:$H$1,0),0)</f>
        <v>Card</v>
      </c>
      <c r="N526" t="str">
        <f t="shared" si="24"/>
        <v>Single</v>
      </c>
      <c r="O526" t="str" cm="1">
        <f t="array" ref="O526">IF((SUMPRODUCT((OrderID=OrderLines!$A526)*Qty*UnitPrice*DiscountPct))&gt;40,"HighDisc","OK")</f>
        <v>HighDisc</v>
      </c>
      <c r="P526">
        <f>(orderlinesTABLE[[#This Row],[UnitCost]]*orderlinesTABLE[[#This Row],[Qty]])</f>
        <v>87.42</v>
      </c>
      <c r="Q526">
        <f>(orderlinesTABLE[[#This Row],[LineNetAmount]]-orderlinesTABLE[[#This Row],[totalCOST]])</f>
        <v>61.532699999999991</v>
      </c>
      <c r="R526" t="str">
        <f>VLOOKUP($B526,Menu!$A$1:$F$20,MATCH(OrderLines!R$1,Menu!$A$1:$F$1,0),0)</f>
        <v>Fruit Cup</v>
      </c>
      <c r="S526" t="str" cm="1">
        <f t="array" ref="S526">_xlfn.TEXTJOIN("+",TRUE,_xlfn._xlws.FILTER(orderlinesTABLE[ItemName],OrderID=orderlinesTABLE[[#This Row],[OrderID]]))</f>
        <v>Egg Curry + Rice+Fruit Cup</v>
      </c>
      <c r="T526" s="54">
        <f>orderlinesTABLE[[#This Row],[Profit]]/orderlinesTABLE[[#This Row],[LineNetAmount]]</f>
        <v>0.41310228011979638</v>
      </c>
      <c r="U526" s="70">
        <f>(orderlinesTABLE[[#This Row],[Qty]]*orderlinesTABLE[[#This Row],[UnitCost]])</f>
        <v>87.42</v>
      </c>
    </row>
    <row r="527" spans="1:21" x14ac:dyDescent="0.3">
      <c r="A527" s="15" t="s">
        <v>245</v>
      </c>
      <c r="B527" s="15" t="s">
        <v>411</v>
      </c>
      <c r="C527" s="15">
        <v>3</v>
      </c>
      <c r="D527" s="36">
        <f>VLOOKUP($B527,Menu!$A$1:$F$20,MATCH($D$1,Menu!$A$1:$F$1,0),0)</f>
        <v>22.2</v>
      </c>
      <c r="E527" s="15" t="str">
        <f>VLOOKUP($B527,Menu!$A$1:$F$20,MATCH(OrderLines!E$1,Menu!$A$1:$F$1,0),0)</f>
        <v>Beverage</v>
      </c>
      <c r="F527" s="36">
        <f>VLOOKUP($B527,Menu!$A$1:$F$20,MATCH(OrderLines!F$1,Menu!$A$1:$F$1,0),0)</f>
        <v>9.3800000000000008</v>
      </c>
      <c r="G527" s="27">
        <f>VLOOKUP($A527,Orders!$A$1:$H$361,MATCH($G$1,Orders!$A$1:$H$1,0),0)</f>
        <v>45884</v>
      </c>
      <c r="H527" s="15" t="str">
        <f>VLOOKUP($A527,Orders!$A$1:$H$361,MATCH(OrderLines!$H$1,Orders!$A$1:$H$1,0),0)</f>
        <v>Plant 1 Canteen</v>
      </c>
      <c r="I527" s="15">
        <f>VLOOKUP($A527,Orders!$A$1:$H$361,MATCH(OrderLines!$I$1,Orders!$A$1:$H$1,0),0)</f>
        <v>0.08</v>
      </c>
      <c r="J527" s="15">
        <f t="shared" si="25"/>
        <v>61.271999999999998</v>
      </c>
      <c r="K527" s="27" t="str">
        <f t="shared" si="26"/>
        <v>August</v>
      </c>
      <c r="L527" s="15" t="str">
        <f>VLOOKUP(OrderLines!$A527,Orders!$A$1:$H$361,MATCH(OrderLines!$L$1,Orders!$A$1:$H$1,0),0)</f>
        <v>Dinner</v>
      </c>
      <c r="M527" t="str">
        <f>VLOOKUP($A527,Orders!$A$1:$H$361,MATCH(OrderLines!$M$1,Orders!$A$1:$H$1,0),0)</f>
        <v>Cash</v>
      </c>
      <c r="N527" t="str">
        <f t="shared" si="24"/>
        <v>Single</v>
      </c>
      <c r="O527" t="str" cm="1">
        <f t="array" ref="O527">IF((SUMPRODUCT((OrderID=OrderLines!$A527)*Qty*UnitPrice*DiscountPct))&gt;40,"HighDisc","OK")</f>
        <v>OK</v>
      </c>
      <c r="P527">
        <f>(orderlinesTABLE[[#This Row],[UnitCost]]*orderlinesTABLE[[#This Row],[Qty]])</f>
        <v>28.14</v>
      </c>
      <c r="Q527">
        <f>(orderlinesTABLE[[#This Row],[LineNetAmount]]-orderlinesTABLE[[#This Row],[totalCOST]])</f>
        <v>33.131999999999998</v>
      </c>
      <c r="R527" t="str">
        <f>VLOOKUP($B527,Menu!$A$1:$F$20,MATCH(OrderLines!R$1,Menu!$A$1:$F$1,0),0)</f>
        <v>Coffee</v>
      </c>
      <c r="S527" t="str" cm="1">
        <f t="array" ref="S527">_xlfn.TEXTJOIN("+",TRUE,_xlfn._xlws.FILTER(orderlinesTABLE[ItemName],OrderID=orderlinesTABLE[[#This Row],[OrderID]]))</f>
        <v>Coffee+Paneer Roll</v>
      </c>
      <c r="T527" s="54">
        <f>orderlinesTABLE[[#This Row],[Profit]]/orderlinesTABLE[[#This Row],[LineNetAmount]]</f>
        <v>0.54073638856247552</v>
      </c>
      <c r="U527" s="70">
        <f>(orderlinesTABLE[[#This Row],[Qty]]*orderlinesTABLE[[#This Row],[UnitCost]])</f>
        <v>28.14</v>
      </c>
    </row>
    <row r="528" spans="1:21" x14ac:dyDescent="0.3">
      <c r="A528" s="14" t="s">
        <v>245</v>
      </c>
      <c r="B528" s="14" t="s">
        <v>406</v>
      </c>
      <c r="C528" s="14">
        <v>2</v>
      </c>
      <c r="D528" s="37">
        <f>VLOOKUP($B528,Menu!$A$1:$F$20,MATCH($D$1,Menu!$A$1:$F$1,0),0)</f>
        <v>38.06</v>
      </c>
      <c r="E528" s="14" t="str">
        <f>VLOOKUP($B528,Menu!$A$1:$F$20,MATCH(OrderLines!E$1,Menu!$A$1:$F$1,0),0)</f>
        <v>Snack</v>
      </c>
      <c r="F528" s="37">
        <f>VLOOKUP($B528,Menu!$A$1:$F$20,MATCH(OrderLines!F$1,Menu!$A$1:$F$1,0),0)</f>
        <v>19.55</v>
      </c>
      <c r="G528" s="28">
        <f>VLOOKUP($A528,Orders!$A$1:$H$361,MATCH($G$1,Orders!$A$1:$H$1,0),0)</f>
        <v>45884</v>
      </c>
      <c r="H528" s="14" t="str">
        <f>VLOOKUP($A528,Orders!$A$1:$H$361,MATCH(OrderLines!$H$1,Orders!$A$1:$H$1,0),0)</f>
        <v>Plant 1 Canteen</v>
      </c>
      <c r="I528" s="14">
        <f>VLOOKUP($A528,Orders!$A$1:$H$361,MATCH(OrderLines!$I$1,Orders!$A$1:$H$1,0),0)</f>
        <v>0.08</v>
      </c>
      <c r="J528" s="14">
        <f t="shared" si="25"/>
        <v>70.0304</v>
      </c>
      <c r="K528" s="28" t="str">
        <f t="shared" si="26"/>
        <v>August</v>
      </c>
      <c r="L528" s="14" t="str">
        <f>VLOOKUP(OrderLines!$A528,Orders!$A$1:$H$361,MATCH(OrderLines!$L$1,Orders!$A$1:$H$1,0),0)</f>
        <v>Dinner</v>
      </c>
      <c r="M528" t="str">
        <f>VLOOKUP($A528,Orders!$A$1:$H$361,MATCH(OrderLines!$M$1,Orders!$A$1:$H$1,0),0)</f>
        <v>Cash</v>
      </c>
      <c r="N528" t="str">
        <f t="shared" si="24"/>
        <v>Single</v>
      </c>
      <c r="O528" t="str" cm="1">
        <f t="array" ref="O528">IF((SUMPRODUCT((OrderID=OrderLines!$A528)*Qty*UnitPrice*DiscountPct))&gt;40,"HighDisc","OK")</f>
        <v>OK</v>
      </c>
      <c r="P528">
        <f>(orderlinesTABLE[[#This Row],[UnitCost]]*orderlinesTABLE[[#This Row],[Qty]])</f>
        <v>39.1</v>
      </c>
      <c r="Q528">
        <f>(orderlinesTABLE[[#This Row],[LineNetAmount]]-orderlinesTABLE[[#This Row],[totalCOST]])</f>
        <v>30.930399999999999</v>
      </c>
      <c r="R528" t="str">
        <f>VLOOKUP($B528,Menu!$A$1:$F$20,MATCH(OrderLines!R$1,Menu!$A$1:$F$1,0),0)</f>
        <v>Paneer Roll</v>
      </c>
      <c r="S528" t="str" cm="1">
        <f t="array" ref="S528">_xlfn.TEXTJOIN("+",TRUE,_xlfn._xlws.FILTER(orderlinesTABLE[ItemName],OrderID=orderlinesTABLE[[#This Row],[OrderID]]))</f>
        <v>Coffee+Paneer Roll</v>
      </c>
      <c r="T528" s="54">
        <f>orderlinesTABLE[[#This Row],[Profit]]/orderlinesTABLE[[#This Row],[LineNetAmount]]</f>
        <v>0.44167104571728849</v>
      </c>
      <c r="U528" s="70">
        <f>(orderlinesTABLE[[#This Row],[Qty]]*orderlinesTABLE[[#This Row],[UnitCost]])</f>
        <v>39.1</v>
      </c>
    </row>
    <row r="529" spans="1:21" x14ac:dyDescent="0.3">
      <c r="A529" s="15" t="s">
        <v>246</v>
      </c>
      <c r="B529" s="15" t="s">
        <v>419</v>
      </c>
      <c r="C529" s="15">
        <v>3</v>
      </c>
      <c r="D529" s="36">
        <f>VLOOKUP($B529,Menu!$A$1:$F$20,MATCH($D$1,Menu!$A$1:$F$1,0),0)</f>
        <v>50.19</v>
      </c>
      <c r="E529" s="15" t="str">
        <f>VLOOKUP($B529,Menu!$A$1:$F$20,MATCH(OrderLines!E$1,Menu!$A$1:$F$1,0),0)</f>
        <v>Snack</v>
      </c>
      <c r="F529" s="36">
        <f>VLOOKUP($B529,Menu!$A$1:$F$20,MATCH(OrderLines!F$1,Menu!$A$1:$F$1,0),0)</f>
        <v>22.61</v>
      </c>
      <c r="G529" s="27">
        <f>VLOOKUP($A529,Orders!$A$1:$H$361,MATCH($G$1,Orders!$A$1:$H$1,0),0)</f>
        <v>45893</v>
      </c>
      <c r="H529" s="15" t="str">
        <f>VLOOKUP($A529,Orders!$A$1:$H$361,MATCH(OrderLines!$H$1,Orders!$A$1:$H$1,0),0)</f>
        <v>Plant 2 Canteen</v>
      </c>
      <c r="I529" s="15">
        <f>VLOOKUP($A529,Orders!$A$1:$H$361,MATCH(OrderLines!$I$1,Orders!$A$1:$H$1,0),0)</f>
        <v>0.01</v>
      </c>
      <c r="J529" s="15">
        <f t="shared" si="25"/>
        <v>149.0643</v>
      </c>
      <c r="K529" s="27" t="str">
        <f t="shared" si="26"/>
        <v>August</v>
      </c>
      <c r="L529" s="15" t="str">
        <f>VLOOKUP(OrderLines!$A529,Orders!$A$1:$H$361,MATCH(OrderLines!$L$1,Orders!$A$1:$H$1,0),0)</f>
        <v>Breakfast</v>
      </c>
      <c r="M529" t="str">
        <f>VLOOKUP($A529,Orders!$A$1:$H$361,MATCH(OrderLines!$M$1,Orders!$A$1:$H$1,0),0)</f>
        <v>Card</v>
      </c>
      <c r="N529" t="str">
        <f t="shared" si="24"/>
        <v>Single</v>
      </c>
      <c r="O529" t="str" cm="1">
        <f t="array" ref="O529">IF((SUMPRODUCT((OrderID=OrderLines!$A529)*Qty*UnitPrice*DiscountPct))&gt;40,"HighDisc","OK")</f>
        <v>OK</v>
      </c>
      <c r="P529">
        <f>(orderlinesTABLE[[#This Row],[UnitCost]]*orderlinesTABLE[[#This Row],[Qty]])</f>
        <v>67.83</v>
      </c>
      <c r="Q529">
        <f>(orderlinesTABLE[[#This Row],[LineNetAmount]]-orderlinesTABLE[[#This Row],[totalCOST]])</f>
        <v>81.234300000000005</v>
      </c>
      <c r="R529" t="str">
        <f>VLOOKUP($B529,Menu!$A$1:$F$20,MATCH(OrderLines!R$1,Menu!$A$1:$F$1,0),0)</f>
        <v>Masala Puff</v>
      </c>
      <c r="S529" t="str" cm="1">
        <f t="array" ref="S529">_xlfn.TEXTJOIN("+",TRUE,_xlfn._xlws.FILTER(orderlinesTABLE[ItemName],OrderID=orderlinesTABLE[[#This Row],[OrderID]]))</f>
        <v>Masala Puff+Nimbu Pani+Bottled Water</v>
      </c>
      <c r="T529" s="54">
        <f>orderlinesTABLE[[#This Row],[Profit]]/orderlinesTABLE[[#This Row],[LineNetAmount]]</f>
        <v>0.54496146964766212</v>
      </c>
      <c r="U529" s="70">
        <f>(orderlinesTABLE[[#This Row],[Qty]]*orderlinesTABLE[[#This Row],[UnitCost]])</f>
        <v>67.83</v>
      </c>
    </row>
    <row r="530" spans="1:21" x14ac:dyDescent="0.3">
      <c r="A530" s="14" t="s">
        <v>246</v>
      </c>
      <c r="B530" s="14" t="s">
        <v>410</v>
      </c>
      <c r="C530" s="14">
        <v>1</v>
      </c>
      <c r="D530" s="37">
        <f>VLOOKUP($B530,Menu!$A$1:$F$20,MATCH($D$1,Menu!$A$1:$F$1,0),0)</f>
        <v>20.11</v>
      </c>
      <c r="E530" s="14" t="str">
        <f>VLOOKUP($B530,Menu!$A$1:$F$20,MATCH(OrderLines!E$1,Menu!$A$1:$F$1,0),0)</f>
        <v>Beverage</v>
      </c>
      <c r="F530" s="37">
        <f>VLOOKUP($B530,Menu!$A$1:$F$20,MATCH(OrderLines!F$1,Menu!$A$1:$F$1,0),0)</f>
        <v>8</v>
      </c>
      <c r="G530" s="28">
        <f>VLOOKUP($A530,Orders!$A$1:$H$361,MATCH($G$1,Orders!$A$1:$H$1,0),0)</f>
        <v>45893</v>
      </c>
      <c r="H530" s="14" t="str">
        <f>VLOOKUP($A530,Orders!$A$1:$H$361,MATCH(OrderLines!$H$1,Orders!$A$1:$H$1,0),0)</f>
        <v>Plant 2 Canteen</v>
      </c>
      <c r="I530" s="14">
        <f>VLOOKUP($A530,Orders!$A$1:$H$361,MATCH(OrderLines!$I$1,Orders!$A$1:$H$1,0),0)</f>
        <v>0.01</v>
      </c>
      <c r="J530" s="14">
        <f t="shared" si="25"/>
        <v>19.908899999999999</v>
      </c>
      <c r="K530" s="28" t="str">
        <f t="shared" si="26"/>
        <v>August</v>
      </c>
      <c r="L530" s="14" t="str">
        <f>VLOOKUP(OrderLines!$A530,Orders!$A$1:$H$361,MATCH(OrderLines!$L$1,Orders!$A$1:$H$1,0),0)</f>
        <v>Breakfast</v>
      </c>
      <c r="M530" t="str">
        <f>VLOOKUP($A530,Orders!$A$1:$H$361,MATCH(OrderLines!$M$1,Orders!$A$1:$H$1,0),0)</f>
        <v>Card</v>
      </c>
      <c r="N530" t="str">
        <f t="shared" si="24"/>
        <v>Single</v>
      </c>
      <c r="O530" t="str" cm="1">
        <f t="array" ref="O530">IF((SUMPRODUCT((OrderID=OrderLines!$A530)*Qty*UnitPrice*DiscountPct))&gt;40,"HighDisc","OK")</f>
        <v>OK</v>
      </c>
      <c r="P530">
        <f>(orderlinesTABLE[[#This Row],[UnitCost]]*orderlinesTABLE[[#This Row],[Qty]])</f>
        <v>8</v>
      </c>
      <c r="Q530">
        <f>(orderlinesTABLE[[#This Row],[LineNetAmount]]-orderlinesTABLE[[#This Row],[totalCOST]])</f>
        <v>11.908899999999999</v>
      </c>
      <c r="R530" t="str">
        <f>VLOOKUP($B530,Menu!$A$1:$F$20,MATCH(OrderLines!R$1,Menu!$A$1:$F$1,0),0)</f>
        <v>Nimbu Pani</v>
      </c>
      <c r="S530" t="str" cm="1">
        <f t="array" ref="S530">_xlfn.TEXTJOIN("+",TRUE,_xlfn._xlws.FILTER(orderlinesTABLE[ItemName],OrderID=orderlinesTABLE[[#This Row],[OrderID]]))</f>
        <v>Masala Puff+Nimbu Pani+Bottled Water</v>
      </c>
      <c r="T530" s="54">
        <f>orderlinesTABLE[[#This Row],[Profit]]/orderlinesTABLE[[#This Row],[LineNetAmount]]</f>
        <v>0.59816966281411832</v>
      </c>
      <c r="U530" s="70">
        <f>(orderlinesTABLE[[#This Row],[Qty]]*orderlinesTABLE[[#This Row],[UnitCost]])</f>
        <v>8</v>
      </c>
    </row>
    <row r="531" spans="1:21" x14ac:dyDescent="0.3">
      <c r="A531" s="15" t="s">
        <v>246</v>
      </c>
      <c r="B531" s="15" t="s">
        <v>409</v>
      </c>
      <c r="C531" s="15">
        <v>2</v>
      </c>
      <c r="D531" s="36">
        <f>VLOOKUP($B531,Menu!$A$1:$F$20,MATCH($D$1,Menu!$A$1:$F$1,0),0)</f>
        <v>28.43</v>
      </c>
      <c r="E531" s="15" t="str">
        <f>VLOOKUP($B531,Menu!$A$1:$F$20,MATCH(OrderLines!E$1,Menu!$A$1:$F$1,0),0)</f>
        <v>Beverage</v>
      </c>
      <c r="F531" s="36">
        <f>VLOOKUP($B531,Menu!$A$1:$F$20,MATCH(OrderLines!F$1,Menu!$A$1:$F$1,0),0)</f>
        <v>13.89</v>
      </c>
      <c r="G531" s="27">
        <f>VLOOKUP($A531,Orders!$A$1:$H$361,MATCH($G$1,Orders!$A$1:$H$1,0),0)</f>
        <v>45893</v>
      </c>
      <c r="H531" s="15" t="str">
        <f>VLOOKUP($A531,Orders!$A$1:$H$361,MATCH(OrderLines!$H$1,Orders!$A$1:$H$1,0),0)</f>
        <v>Plant 2 Canteen</v>
      </c>
      <c r="I531" s="15">
        <f>VLOOKUP($A531,Orders!$A$1:$H$361,MATCH(OrderLines!$I$1,Orders!$A$1:$H$1,0),0)</f>
        <v>0.01</v>
      </c>
      <c r="J531" s="15">
        <f t="shared" si="25"/>
        <v>56.291399999999996</v>
      </c>
      <c r="K531" s="27" t="str">
        <f t="shared" si="26"/>
        <v>August</v>
      </c>
      <c r="L531" s="15" t="str">
        <f>VLOOKUP(OrderLines!$A531,Orders!$A$1:$H$361,MATCH(OrderLines!$L$1,Orders!$A$1:$H$1,0),0)</f>
        <v>Breakfast</v>
      </c>
      <c r="M531" t="str">
        <f>VLOOKUP($A531,Orders!$A$1:$H$361,MATCH(OrderLines!$M$1,Orders!$A$1:$H$1,0),0)</f>
        <v>Card</v>
      </c>
      <c r="N531" t="str">
        <f t="shared" si="24"/>
        <v>Single</v>
      </c>
      <c r="O531" t="str" cm="1">
        <f t="array" ref="O531">IF((SUMPRODUCT((OrderID=OrderLines!$A531)*Qty*UnitPrice*DiscountPct))&gt;40,"HighDisc","OK")</f>
        <v>OK</v>
      </c>
      <c r="P531">
        <f>(orderlinesTABLE[[#This Row],[UnitCost]]*orderlinesTABLE[[#This Row],[Qty]])</f>
        <v>27.78</v>
      </c>
      <c r="Q531">
        <f>(orderlinesTABLE[[#This Row],[LineNetAmount]]-orderlinesTABLE[[#This Row],[totalCOST]])</f>
        <v>28.511399999999995</v>
      </c>
      <c r="R531" t="str">
        <f>VLOOKUP($B531,Menu!$A$1:$F$20,MATCH(OrderLines!R$1,Menu!$A$1:$F$1,0),0)</f>
        <v>Bottled Water</v>
      </c>
      <c r="S531" t="str" cm="1">
        <f t="array" ref="S531">_xlfn.TEXTJOIN("+",TRUE,_xlfn._xlws.FILTER(orderlinesTABLE[ItemName],OrderID=orderlinesTABLE[[#This Row],[OrderID]]))</f>
        <v>Masala Puff+Nimbu Pani+Bottled Water</v>
      </c>
      <c r="T531" s="54">
        <f>orderlinesTABLE[[#This Row],[Profit]]/orderlinesTABLE[[#This Row],[LineNetAmount]]</f>
        <v>0.50649655187115605</v>
      </c>
      <c r="U531" s="70">
        <f>(orderlinesTABLE[[#This Row],[Qty]]*orderlinesTABLE[[#This Row],[UnitCost]])</f>
        <v>27.78</v>
      </c>
    </row>
    <row r="532" spans="1:21" x14ac:dyDescent="0.3">
      <c r="A532" s="14" t="s">
        <v>247</v>
      </c>
      <c r="B532" s="14" t="s">
        <v>410</v>
      </c>
      <c r="C532" s="14">
        <v>1</v>
      </c>
      <c r="D532" s="37">
        <f>VLOOKUP($B532,Menu!$A$1:$F$20,MATCH($D$1,Menu!$A$1:$F$1,0),0)</f>
        <v>20.11</v>
      </c>
      <c r="E532" s="14" t="str">
        <f>VLOOKUP($B532,Menu!$A$1:$F$20,MATCH(OrderLines!E$1,Menu!$A$1:$F$1,0),0)</f>
        <v>Beverage</v>
      </c>
      <c r="F532" s="37">
        <f>VLOOKUP($B532,Menu!$A$1:$F$20,MATCH(OrderLines!F$1,Menu!$A$1:$F$1,0),0)</f>
        <v>8</v>
      </c>
      <c r="G532" s="28">
        <f>VLOOKUP($A532,Orders!$A$1:$H$361,MATCH($G$1,Orders!$A$1:$H$1,0),0)</f>
        <v>45864</v>
      </c>
      <c r="H532" s="14" t="str">
        <f>VLOOKUP($A532,Orders!$A$1:$H$361,MATCH(OrderLines!$H$1,Orders!$A$1:$H$1,0),0)</f>
        <v>Head Office Café</v>
      </c>
      <c r="I532" s="14">
        <f>VLOOKUP($A532,Orders!$A$1:$H$361,MATCH(OrderLines!$I$1,Orders!$A$1:$H$1,0),0)</f>
        <v>0.1</v>
      </c>
      <c r="J532" s="14">
        <f t="shared" si="25"/>
        <v>18.099</v>
      </c>
      <c r="K532" s="28" t="str">
        <f t="shared" si="26"/>
        <v>July</v>
      </c>
      <c r="L532" s="14" t="str">
        <f>VLOOKUP(OrderLines!$A532,Orders!$A$1:$H$361,MATCH(OrderLines!$L$1,Orders!$A$1:$H$1,0),0)</f>
        <v>Dinner</v>
      </c>
      <c r="M532" t="str">
        <f>VLOOKUP($A532,Orders!$A$1:$H$361,MATCH(OrderLines!$M$1,Orders!$A$1:$H$1,0),0)</f>
        <v>Card</v>
      </c>
      <c r="N532" t="str">
        <f t="shared" si="24"/>
        <v>Combo</v>
      </c>
      <c r="O532" t="str" cm="1">
        <f t="array" ref="O532">IF((SUMPRODUCT((OrderID=OrderLines!$A532)*Qty*UnitPrice*DiscountPct))&gt;40,"HighDisc","OK")</f>
        <v>HighDisc</v>
      </c>
      <c r="P532">
        <f>(orderlinesTABLE[[#This Row],[UnitCost]]*orderlinesTABLE[[#This Row],[Qty]])</f>
        <v>8</v>
      </c>
      <c r="Q532">
        <f>(orderlinesTABLE[[#This Row],[LineNetAmount]]-orderlinesTABLE[[#This Row],[totalCOST]])</f>
        <v>10.099</v>
      </c>
      <c r="R532" t="str">
        <f>VLOOKUP($B532,Menu!$A$1:$F$20,MATCH(OrderLines!R$1,Menu!$A$1:$F$1,0),0)</f>
        <v>Nimbu Pani</v>
      </c>
      <c r="S532" t="str" cm="1">
        <f t="array" ref="S532">_xlfn.TEXTJOIN("+",TRUE,_xlfn._xlws.FILTER(orderlinesTABLE[ItemName],OrderID=orderlinesTABLE[[#This Row],[OrderID]]))</f>
        <v>Nimbu Pani+Egg Curry + Rice+Coffee</v>
      </c>
      <c r="T532" s="54">
        <f>orderlinesTABLE[[#This Row],[Profit]]/orderlinesTABLE[[#This Row],[LineNetAmount]]</f>
        <v>0.5579866290955301</v>
      </c>
      <c r="U532" s="70">
        <f>(orderlinesTABLE[[#This Row],[Qty]]*orderlinesTABLE[[#This Row],[UnitCost]])</f>
        <v>8</v>
      </c>
    </row>
    <row r="533" spans="1:21" x14ac:dyDescent="0.3">
      <c r="A533" s="15" t="s">
        <v>247</v>
      </c>
      <c r="B533" s="15" t="s">
        <v>407</v>
      </c>
      <c r="C533" s="15">
        <v>2</v>
      </c>
      <c r="D533" s="36">
        <f>VLOOKUP($B533,Menu!$A$1:$F$20,MATCH($D$1,Menu!$A$1:$F$1,0),0)</f>
        <v>246.09</v>
      </c>
      <c r="E533" s="15" t="str">
        <f>VLOOKUP($B533,Menu!$A$1:$F$20,MATCH(OrderLines!E$1,Menu!$A$1:$F$1,0),0)</f>
        <v>Hot Meal</v>
      </c>
      <c r="F533" s="36">
        <f>VLOOKUP($B533,Menu!$A$1:$F$20,MATCH(OrderLines!F$1,Menu!$A$1:$F$1,0),0)</f>
        <v>112.08</v>
      </c>
      <c r="G533" s="27">
        <f>VLOOKUP($A533,Orders!$A$1:$H$361,MATCH($G$1,Orders!$A$1:$H$1,0),0)</f>
        <v>45864</v>
      </c>
      <c r="H533" s="15" t="str">
        <f>VLOOKUP($A533,Orders!$A$1:$H$361,MATCH(OrderLines!$H$1,Orders!$A$1:$H$1,0),0)</f>
        <v>Head Office Café</v>
      </c>
      <c r="I533" s="15">
        <f>VLOOKUP($A533,Orders!$A$1:$H$361,MATCH(OrderLines!$I$1,Orders!$A$1:$H$1,0),0)</f>
        <v>0.1</v>
      </c>
      <c r="J533" s="15">
        <f t="shared" si="25"/>
        <v>442.96199999999999</v>
      </c>
      <c r="K533" s="27" t="str">
        <f t="shared" si="26"/>
        <v>July</v>
      </c>
      <c r="L533" s="15" t="str">
        <f>VLOOKUP(OrderLines!$A533,Orders!$A$1:$H$361,MATCH(OrderLines!$L$1,Orders!$A$1:$H$1,0),0)</f>
        <v>Dinner</v>
      </c>
      <c r="M533" t="str">
        <f>VLOOKUP($A533,Orders!$A$1:$H$361,MATCH(OrderLines!$M$1,Orders!$A$1:$H$1,0),0)</f>
        <v>Card</v>
      </c>
      <c r="N533" t="str">
        <f t="shared" si="24"/>
        <v>Combo</v>
      </c>
      <c r="O533" t="str" cm="1">
        <f t="array" ref="O533">IF((SUMPRODUCT((OrderID=OrderLines!$A533)*Qty*UnitPrice*DiscountPct))&gt;40,"HighDisc","OK")</f>
        <v>HighDisc</v>
      </c>
      <c r="P533">
        <f>(orderlinesTABLE[[#This Row],[UnitCost]]*orderlinesTABLE[[#This Row],[Qty]])</f>
        <v>224.16</v>
      </c>
      <c r="Q533">
        <f>(orderlinesTABLE[[#This Row],[LineNetAmount]]-orderlinesTABLE[[#This Row],[totalCOST]])</f>
        <v>218.80199999999999</v>
      </c>
      <c r="R533" t="str">
        <f>VLOOKUP($B533,Menu!$A$1:$F$20,MATCH(OrderLines!R$1,Menu!$A$1:$F$1,0),0)</f>
        <v>Egg Curry + Rice</v>
      </c>
      <c r="S533" t="str" cm="1">
        <f t="array" ref="S533">_xlfn.TEXTJOIN("+",TRUE,_xlfn._xlws.FILTER(orderlinesTABLE[ItemName],OrderID=orderlinesTABLE[[#This Row],[OrderID]]))</f>
        <v>Nimbu Pani+Egg Curry + Rice+Coffee</v>
      </c>
      <c r="T533" s="54">
        <f>orderlinesTABLE[[#This Row],[Profit]]/orderlinesTABLE[[#This Row],[LineNetAmount]]</f>
        <v>0.49395207715334499</v>
      </c>
      <c r="U533" s="70">
        <f>(orderlinesTABLE[[#This Row],[Qty]]*orderlinesTABLE[[#This Row],[UnitCost]])</f>
        <v>224.16</v>
      </c>
    </row>
    <row r="534" spans="1:21" x14ac:dyDescent="0.3">
      <c r="A534" s="14" t="s">
        <v>247</v>
      </c>
      <c r="B534" s="14" t="s">
        <v>411</v>
      </c>
      <c r="C534" s="14">
        <v>1</v>
      </c>
      <c r="D534" s="37">
        <f>VLOOKUP($B534,Menu!$A$1:$F$20,MATCH($D$1,Menu!$A$1:$F$1,0),0)</f>
        <v>22.2</v>
      </c>
      <c r="E534" s="14" t="str">
        <f>VLOOKUP($B534,Menu!$A$1:$F$20,MATCH(OrderLines!E$1,Menu!$A$1:$F$1,0),0)</f>
        <v>Beverage</v>
      </c>
      <c r="F534" s="37">
        <f>VLOOKUP($B534,Menu!$A$1:$F$20,MATCH(OrderLines!F$1,Menu!$A$1:$F$1,0),0)</f>
        <v>9.3800000000000008</v>
      </c>
      <c r="G534" s="28">
        <f>VLOOKUP($A534,Orders!$A$1:$H$361,MATCH($G$1,Orders!$A$1:$H$1,0),0)</f>
        <v>45864</v>
      </c>
      <c r="H534" s="14" t="str">
        <f>VLOOKUP($A534,Orders!$A$1:$H$361,MATCH(OrderLines!$H$1,Orders!$A$1:$H$1,0),0)</f>
        <v>Head Office Café</v>
      </c>
      <c r="I534" s="14">
        <f>VLOOKUP($A534,Orders!$A$1:$H$361,MATCH(OrderLines!$I$1,Orders!$A$1:$H$1,0),0)</f>
        <v>0.1</v>
      </c>
      <c r="J534" s="14">
        <f t="shared" si="25"/>
        <v>19.98</v>
      </c>
      <c r="K534" s="28" t="str">
        <f t="shared" si="26"/>
        <v>July</v>
      </c>
      <c r="L534" s="14" t="str">
        <f>VLOOKUP(OrderLines!$A534,Orders!$A$1:$H$361,MATCH(OrderLines!$L$1,Orders!$A$1:$H$1,0),0)</f>
        <v>Dinner</v>
      </c>
      <c r="M534" t="str">
        <f>VLOOKUP($A534,Orders!$A$1:$H$361,MATCH(OrderLines!$M$1,Orders!$A$1:$H$1,0),0)</f>
        <v>Card</v>
      </c>
      <c r="N534" t="str">
        <f t="shared" si="24"/>
        <v>Combo</v>
      </c>
      <c r="O534" t="str" cm="1">
        <f t="array" ref="O534">IF((SUMPRODUCT((OrderID=OrderLines!$A534)*Qty*UnitPrice*DiscountPct))&gt;40,"HighDisc","OK")</f>
        <v>HighDisc</v>
      </c>
      <c r="P534">
        <f>(orderlinesTABLE[[#This Row],[UnitCost]]*orderlinesTABLE[[#This Row],[Qty]])</f>
        <v>9.3800000000000008</v>
      </c>
      <c r="Q534">
        <f>(orderlinesTABLE[[#This Row],[LineNetAmount]]-orderlinesTABLE[[#This Row],[totalCOST]])</f>
        <v>10.6</v>
      </c>
      <c r="R534" t="str">
        <f>VLOOKUP($B534,Menu!$A$1:$F$20,MATCH(OrderLines!R$1,Menu!$A$1:$F$1,0),0)</f>
        <v>Coffee</v>
      </c>
      <c r="S534" t="str" cm="1">
        <f t="array" ref="S534">_xlfn.TEXTJOIN("+",TRUE,_xlfn._xlws.FILTER(orderlinesTABLE[ItemName],OrderID=orderlinesTABLE[[#This Row],[OrderID]]))</f>
        <v>Nimbu Pani+Egg Curry + Rice+Coffee</v>
      </c>
      <c r="T534" s="54">
        <f>orderlinesTABLE[[#This Row],[Profit]]/orderlinesTABLE[[#This Row],[LineNetAmount]]</f>
        <v>0.53053053053053045</v>
      </c>
      <c r="U534" s="70">
        <f>(orderlinesTABLE[[#This Row],[Qty]]*orderlinesTABLE[[#This Row],[UnitCost]])</f>
        <v>9.3800000000000008</v>
      </c>
    </row>
    <row r="535" spans="1:21" x14ac:dyDescent="0.3">
      <c r="A535" s="15" t="s">
        <v>248</v>
      </c>
      <c r="B535" s="15" t="s">
        <v>415</v>
      </c>
      <c r="C535" s="15">
        <v>3</v>
      </c>
      <c r="D535" s="36">
        <f>VLOOKUP($B535,Menu!$A$1:$F$20,MATCH($D$1,Menu!$A$1:$F$1,0),0)</f>
        <v>256.91000000000003</v>
      </c>
      <c r="E535" s="15" t="str">
        <f>VLOOKUP($B535,Menu!$A$1:$F$20,MATCH(OrderLines!E$1,Menu!$A$1:$F$1,0),0)</f>
        <v>Hot Meal</v>
      </c>
      <c r="F535" s="36">
        <f>VLOOKUP($B535,Menu!$A$1:$F$20,MATCH(OrderLines!F$1,Menu!$A$1:$F$1,0),0)</f>
        <v>121.24</v>
      </c>
      <c r="G535" s="27">
        <f>VLOOKUP($A535,Orders!$A$1:$H$361,MATCH($G$1,Orders!$A$1:$H$1,0),0)</f>
        <v>45864</v>
      </c>
      <c r="H535" s="15" t="str">
        <f>VLOOKUP($A535,Orders!$A$1:$H$361,MATCH(OrderLines!$H$1,Orders!$A$1:$H$1,0),0)</f>
        <v>Head Office Café</v>
      </c>
      <c r="I535" s="15">
        <f>VLOOKUP($A535,Orders!$A$1:$H$361,MATCH(OrderLines!$I$1,Orders!$A$1:$H$1,0),0)</f>
        <v>0.14000000000000001</v>
      </c>
      <c r="J535" s="15">
        <f t="shared" si="25"/>
        <v>662.82780000000002</v>
      </c>
      <c r="K535" s="27" t="str">
        <f t="shared" si="26"/>
        <v>July</v>
      </c>
      <c r="L535" s="15" t="str">
        <f>VLOOKUP(OrderLines!$A535,Orders!$A$1:$H$361,MATCH(OrderLines!$L$1,Orders!$A$1:$H$1,0),0)</f>
        <v>Dinner</v>
      </c>
      <c r="M535" t="str">
        <f>VLOOKUP($A535,Orders!$A$1:$H$361,MATCH(OrderLines!$M$1,Orders!$A$1:$H$1,0),0)</f>
        <v>UPI</v>
      </c>
      <c r="N535" t="str">
        <f t="shared" si="24"/>
        <v>Single</v>
      </c>
      <c r="O535" t="str" cm="1">
        <f t="array" ref="O535">IF((SUMPRODUCT((OrderID=OrderLines!$A535)*Qty*UnitPrice*DiscountPct))&gt;40,"HighDisc","OK")</f>
        <v>HighDisc</v>
      </c>
      <c r="P535">
        <f>(orderlinesTABLE[[#This Row],[UnitCost]]*orderlinesTABLE[[#This Row],[Qty]])</f>
        <v>363.71999999999997</v>
      </c>
      <c r="Q535">
        <f>(orderlinesTABLE[[#This Row],[LineNetAmount]]-orderlinesTABLE[[#This Row],[totalCOST]])</f>
        <v>299.10780000000005</v>
      </c>
      <c r="R535" t="str">
        <f>VLOOKUP($B535,Menu!$A$1:$F$20,MATCH(OrderLines!R$1,Menu!$A$1:$F$1,0),0)</f>
        <v>Chicken Thali</v>
      </c>
      <c r="S535" t="str" cm="1">
        <f t="array" ref="S535">_xlfn.TEXTJOIN("+",TRUE,_xlfn._xlws.FILTER(orderlinesTABLE[ItemName],OrderID=orderlinesTABLE[[#This Row],[OrderID]]))</f>
        <v>Chicken Thali+Veg Sandwich</v>
      </c>
      <c r="T535" s="54">
        <f>orderlinesTABLE[[#This Row],[Profit]]/orderlinesTABLE[[#This Row],[LineNetAmount]]</f>
        <v>0.45126019156106617</v>
      </c>
      <c r="U535" s="70">
        <f>(orderlinesTABLE[[#This Row],[Qty]]*orderlinesTABLE[[#This Row],[UnitCost]])</f>
        <v>363.71999999999997</v>
      </c>
    </row>
    <row r="536" spans="1:21" x14ac:dyDescent="0.3">
      <c r="A536" s="14" t="s">
        <v>248</v>
      </c>
      <c r="B536" s="14" t="s">
        <v>408</v>
      </c>
      <c r="C536" s="14">
        <v>3</v>
      </c>
      <c r="D536" s="37">
        <f>VLOOKUP($B536,Menu!$A$1:$F$20,MATCH($D$1,Menu!$A$1:$F$1,0),0)</f>
        <v>70.540000000000006</v>
      </c>
      <c r="E536" s="14" t="str">
        <f>VLOOKUP($B536,Menu!$A$1:$F$20,MATCH(OrderLines!E$1,Menu!$A$1:$F$1,0),0)</f>
        <v>Snack</v>
      </c>
      <c r="F536" s="37">
        <f>VLOOKUP($B536,Menu!$A$1:$F$20,MATCH(OrderLines!F$1,Menu!$A$1:$F$1,0),0)</f>
        <v>35.81</v>
      </c>
      <c r="G536" s="28">
        <f>VLOOKUP($A536,Orders!$A$1:$H$361,MATCH($G$1,Orders!$A$1:$H$1,0),0)</f>
        <v>45864</v>
      </c>
      <c r="H536" s="14" t="str">
        <f>VLOOKUP($A536,Orders!$A$1:$H$361,MATCH(OrderLines!$H$1,Orders!$A$1:$H$1,0),0)</f>
        <v>Head Office Café</v>
      </c>
      <c r="I536" s="14">
        <f>VLOOKUP($A536,Orders!$A$1:$H$361,MATCH(OrderLines!$I$1,Orders!$A$1:$H$1,0),0)</f>
        <v>0.14000000000000001</v>
      </c>
      <c r="J536" s="14">
        <f t="shared" si="25"/>
        <v>181.9932</v>
      </c>
      <c r="K536" s="28" t="str">
        <f t="shared" si="26"/>
        <v>July</v>
      </c>
      <c r="L536" s="14" t="str">
        <f>VLOOKUP(OrderLines!$A536,Orders!$A$1:$H$361,MATCH(OrderLines!$L$1,Orders!$A$1:$H$1,0),0)</f>
        <v>Dinner</v>
      </c>
      <c r="M536" t="str">
        <f>VLOOKUP($A536,Orders!$A$1:$H$361,MATCH(OrderLines!$M$1,Orders!$A$1:$H$1,0),0)</f>
        <v>UPI</v>
      </c>
      <c r="N536" t="str">
        <f t="shared" si="24"/>
        <v>Single</v>
      </c>
      <c r="O536" t="str" cm="1">
        <f t="array" ref="O536">IF((SUMPRODUCT((OrderID=OrderLines!$A536)*Qty*UnitPrice*DiscountPct))&gt;40,"HighDisc","OK")</f>
        <v>HighDisc</v>
      </c>
      <c r="P536">
        <f>(orderlinesTABLE[[#This Row],[UnitCost]]*orderlinesTABLE[[#This Row],[Qty]])</f>
        <v>107.43</v>
      </c>
      <c r="Q536">
        <f>(orderlinesTABLE[[#This Row],[LineNetAmount]]-orderlinesTABLE[[#This Row],[totalCOST]])</f>
        <v>74.563199999999995</v>
      </c>
      <c r="R536" t="str">
        <f>VLOOKUP($B536,Menu!$A$1:$F$20,MATCH(OrderLines!R$1,Menu!$A$1:$F$1,0),0)</f>
        <v>Veg Sandwich</v>
      </c>
      <c r="S536" t="str" cm="1">
        <f t="array" ref="S536">_xlfn.TEXTJOIN("+",TRUE,_xlfn._xlws.FILTER(orderlinesTABLE[ItemName],OrderID=orderlinesTABLE[[#This Row],[OrderID]]))</f>
        <v>Chicken Thali+Veg Sandwich</v>
      </c>
      <c r="T536" s="54">
        <f>orderlinesTABLE[[#This Row],[Profit]]/orderlinesTABLE[[#This Row],[LineNetAmount]]</f>
        <v>0.40970321968073531</v>
      </c>
      <c r="U536" s="70">
        <f>(orderlinesTABLE[[#This Row],[Qty]]*orderlinesTABLE[[#This Row],[UnitCost]])</f>
        <v>107.43</v>
      </c>
    </row>
    <row r="537" spans="1:21" x14ac:dyDescent="0.3">
      <c r="A537" s="15" t="s">
        <v>249</v>
      </c>
      <c r="B537" s="15" t="s">
        <v>418</v>
      </c>
      <c r="C537" s="15">
        <v>1</v>
      </c>
      <c r="D537" s="36">
        <f>VLOOKUP($B537,Menu!$A$1:$F$20,MATCH($D$1,Menu!$A$1:$F$1,0),0)</f>
        <v>39.950000000000003</v>
      </c>
      <c r="E537" s="15" t="str">
        <f>VLOOKUP($B537,Menu!$A$1:$F$20,MATCH(OrderLines!E$1,Menu!$A$1:$F$1,0),0)</f>
        <v>Snack</v>
      </c>
      <c r="F537" s="36">
        <f>VLOOKUP($B537,Menu!$A$1:$F$20,MATCH(OrderLines!F$1,Menu!$A$1:$F$1,0),0)</f>
        <v>15.51</v>
      </c>
      <c r="G537" s="27">
        <f>VLOOKUP($A537,Orders!$A$1:$H$361,MATCH($G$1,Orders!$A$1:$H$1,0),0)</f>
        <v>45849</v>
      </c>
      <c r="H537" s="15" t="str">
        <f>VLOOKUP($A537,Orders!$A$1:$H$361,MATCH(OrderLines!$H$1,Orders!$A$1:$H$1,0),0)</f>
        <v>Head Office Café</v>
      </c>
      <c r="I537" s="15">
        <f>VLOOKUP($A537,Orders!$A$1:$H$361,MATCH(OrderLines!$I$1,Orders!$A$1:$H$1,0),0)</f>
        <v>0.1</v>
      </c>
      <c r="J537" s="15">
        <f t="shared" si="25"/>
        <v>35.955000000000005</v>
      </c>
      <c r="K537" s="27" t="str">
        <f t="shared" si="26"/>
        <v>July</v>
      </c>
      <c r="L537" s="15" t="str">
        <f>VLOOKUP(OrderLines!$A537,Orders!$A$1:$H$361,MATCH(OrderLines!$L$1,Orders!$A$1:$H$1,0),0)</f>
        <v>Dinner</v>
      </c>
      <c r="M537" t="str">
        <f>VLOOKUP($A537,Orders!$A$1:$H$361,MATCH(OrderLines!$M$1,Orders!$A$1:$H$1,0),0)</f>
        <v>Card</v>
      </c>
      <c r="N537" t="str">
        <f t="shared" si="24"/>
        <v>Combo</v>
      </c>
      <c r="O537" t="str" cm="1">
        <f t="array" ref="O537">IF((SUMPRODUCT((OrderID=OrderLines!$A537)*Qty*UnitPrice*DiscountPct))&gt;40,"HighDisc","OK")</f>
        <v>OK</v>
      </c>
      <c r="P537">
        <f>(orderlinesTABLE[[#This Row],[UnitCost]]*orderlinesTABLE[[#This Row],[Qty]])</f>
        <v>15.51</v>
      </c>
      <c r="Q537">
        <f>(orderlinesTABLE[[#This Row],[LineNetAmount]]-orderlinesTABLE[[#This Row],[totalCOST]])</f>
        <v>20.445000000000007</v>
      </c>
      <c r="R537" t="str">
        <f>VLOOKUP($B537,Menu!$A$1:$F$20,MATCH(OrderLines!R$1,Menu!$A$1:$F$1,0),0)</f>
        <v>Samosa</v>
      </c>
      <c r="S537" t="str" cm="1">
        <f t="array" ref="S537">_xlfn.TEXTJOIN("+",TRUE,_xlfn._xlws.FILTER(orderlinesTABLE[ItemName],OrderID=orderlinesTABLE[[#This Row],[OrderID]]))</f>
        <v>Samosa+Fruit Cup+Bottled Water+Veg Thali</v>
      </c>
      <c r="T537" s="54">
        <f>orderlinesTABLE[[#This Row],[Profit]]/orderlinesTABLE[[#This Row],[LineNetAmount]]</f>
        <v>0.56862745098039225</v>
      </c>
      <c r="U537" s="70">
        <f>(orderlinesTABLE[[#This Row],[Qty]]*orderlinesTABLE[[#This Row],[UnitCost]])</f>
        <v>15.51</v>
      </c>
    </row>
    <row r="538" spans="1:21" x14ac:dyDescent="0.3">
      <c r="A538" s="14" t="s">
        <v>249</v>
      </c>
      <c r="B538" s="14" t="s">
        <v>412</v>
      </c>
      <c r="C538" s="14">
        <v>1</v>
      </c>
      <c r="D538" s="37">
        <f>VLOOKUP($B538,Menu!$A$1:$F$20,MATCH($D$1,Menu!$A$1:$F$1,0),0)</f>
        <v>57.07</v>
      </c>
      <c r="E538" s="14" t="str">
        <f>VLOOKUP($B538,Menu!$A$1:$F$20,MATCH(OrderLines!E$1,Menu!$A$1:$F$1,0),0)</f>
        <v>Dessert</v>
      </c>
      <c r="F538" s="37">
        <f>VLOOKUP($B538,Menu!$A$1:$F$20,MATCH(OrderLines!F$1,Menu!$A$1:$F$1,0),0)</f>
        <v>29.14</v>
      </c>
      <c r="G538" s="28">
        <f>VLOOKUP($A538,Orders!$A$1:$H$361,MATCH($G$1,Orders!$A$1:$H$1,0),0)</f>
        <v>45849</v>
      </c>
      <c r="H538" s="14" t="str">
        <f>VLOOKUP($A538,Orders!$A$1:$H$361,MATCH(OrderLines!$H$1,Orders!$A$1:$H$1,0),0)</f>
        <v>Head Office Café</v>
      </c>
      <c r="I538" s="14">
        <f>VLOOKUP($A538,Orders!$A$1:$H$361,MATCH(OrderLines!$I$1,Orders!$A$1:$H$1,0),0)</f>
        <v>0.1</v>
      </c>
      <c r="J538" s="14">
        <f t="shared" si="25"/>
        <v>51.363</v>
      </c>
      <c r="K538" s="28" t="str">
        <f t="shared" si="26"/>
        <v>July</v>
      </c>
      <c r="L538" s="14" t="str">
        <f>VLOOKUP(OrderLines!$A538,Orders!$A$1:$H$361,MATCH(OrderLines!$L$1,Orders!$A$1:$H$1,0),0)</f>
        <v>Dinner</v>
      </c>
      <c r="M538" t="str">
        <f>VLOOKUP($A538,Orders!$A$1:$H$361,MATCH(OrderLines!$M$1,Orders!$A$1:$H$1,0),0)</f>
        <v>Card</v>
      </c>
      <c r="N538" t="str">
        <f t="shared" si="24"/>
        <v>Combo</v>
      </c>
      <c r="O538" t="str" cm="1">
        <f t="array" ref="O538">IF((SUMPRODUCT((OrderID=OrderLines!$A538)*Qty*UnitPrice*DiscountPct))&gt;40,"HighDisc","OK")</f>
        <v>OK</v>
      </c>
      <c r="P538">
        <f>(orderlinesTABLE[[#This Row],[UnitCost]]*orderlinesTABLE[[#This Row],[Qty]])</f>
        <v>29.14</v>
      </c>
      <c r="Q538">
        <f>(orderlinesTABLE[[#This Row],[LineNetAmount]]-orderlinesTABLE[[#This Row],[totalCOST]])</f>
        <v>22.222999999999999</v>
      </c>
      <c r="R538" t="str">
        <f>VLOOKUP($B538,Menu!$A$1:$F$20,MATCH(OrderLines!R$1,Menu!$A$1:$F$1,0),0)</f>
        <v>Fruit Cup</v>
      </c>
      <c r="S538" t="str" cm="1">
        <f t="array" ref="S538">_xlfn.TEXTJOIN("+",TRUE,_xlfn._xlws.FILTER(orderlinesTABLE[ItemName],OrderID=orderlinesTABLE[[#This Row],[OrderID]]))</f>
        <v>Samosa+Fruit Cup+Bottled Water+Veg Thali</v>
      </c>
      <c r="T538" s="54">
        <f>orderlinesTABLE[[#This Row],[Profit]]/orderlinesTABLE[[#This Row],[LineNetAmount]]</f>
        <v>0.43266553744913649</v>
      </c>
      <c r="U538" s="70">
        <f>(orderlinesTABLE[[#This Row],[Qty]]*orderlinesTABLE[[#This Row],[UnitCost]])</f>
        <v>29.14</v>
      </c>
    </row>
    <row r="539" spans="1:21" x14ac:dyDescent="0.3">
      <c r="A539" s="15" t="s">
        <v>249</v>
      </c>
      <c r="B539" s="15" t="s">
        <v>409</v>
      </c>
      <c r="C539" s="15">
        <v>1</v>
      </c>
      <c r="D539" s="36">
        <f>VLOOKUP($B539,Menu!$A$1:$F$20,MATCH($D$1,Menu!$A$1:$F$1,0),0)</f>
        <v>28.43</v>
      </c>
      <c r="E539" s="15" t="str">
        <f>VLOOKUP($B539,Menu!$A$1:$F$20,MATCH(OrderLines!E$1,Menu!$A$1:$F$1,0),0)</f>
        <v>Beverage</v>
      </c>
      <c r="F539" s="36">
        <f>VLOOKUP($B539,Menu!$A$1:$F$20,MATCH(OrderLines!F$1,Menu!$A$1:$F$1,0),0)</f>
        <v>13.89</v>
      </c>
      <c r="G539" s="27">
        <f>VLOOKUP($A539,Orders!$A$1:$H$361,MATCH($G$1,Orders!$A$1:$H$1,0),0)</f>
        <v>45849</v>
      </c>
      <c r="H539" s="15" t="str">
        <f>VLOOKUP($A539,Orders!$A$1:$H$361,MATCH(OrderLines!$H$1,Orders!$A$1:$H$1,0),0)</f>
        <v>Head Office Café</v>
      </c>
      <c r="I539" s="15">
        <f>VLOOKUP($A539,Orders!$A$1:$H$361,MATCH(OrderLines!$I$1,Orders!$A$1:$H$1,0),0)</f>
        <v>0.1</v>
      </c>
      <c r="J539" s="15">
        <f t="shared" si="25"/>
        <v>25.587</v>
      </c>
      <c r="K539" s="27" t="str">
        <f t="shared" si="26"/>
        <v>July</v>
      </c>
      <c r="L539" s="15" t="str">
        <f>VLOOKUP(OrderLines!$A539,Orders!$A$1:$H$361,MATCH(OrderLines!$L$1,Orders!$A$1:$H$1,0),0)</f>
        <v>Dinner</v>
      </c>
      <c r="M539" t="str">
        <f>VLOOKUP($A539,Orders!$A$1:$H$361,MATCH(OrderLines!$M$1,Orders!$A$1:$H$1,0),0)</f>
        <v>Card</v>
      </c>
      <c r="N539" t="str">
        <f t="shared" si="24"/>
        <v>Combo</v>
      </c>
      <c r="O539" t="str" cm="1">
        <f t="array" ref="O539">IF((SUMPRODUCT((OrderID=OrderLines!$A539)*Qty*UnitPrice*DiscountPct))&gt;40,"HighDisc","OK")</f>
        <v>OK</v>
      </c>
      <c r="P539">
        <f>(orderlinesTABLE[[#This Row],[UnitCost]]*orderlinesTABLE[[#This Row],[Qty]])</f>
        <v>13.89</v>
      </c>
      <c r="Q539">
        <f>(orderlinesTABLE[[#This Row],[LineNetAmount]]-orderlinesTABLE[[#This Row],[totalCOST]])</f>
        <v>11.696999999999999</v>
      </c>
      <c r="R539" t="str">
        <f>VLOOKUP($B539,Menu!$A$1:$F$20,MATCH(OrderLines!R$1,Menu!$A$1:$F$1,0),0)</f>
        <v>Bottled Water</v>
      </c>
      <c r="S539" t="str" cm="1">
        <f t="array" ref="S539">_xlfn.TEXTJOIN("+",TRUE,_xlfn._xlws.FILTER(orderlinesTABLE[ItemName],OrderID=orderlinesTABLE[[#This Row],[OrderID]]))</f>
        <v>Samosa+Fruit Cup+Bottled Water+Veg Thali</v>
      </c>
      <c r="T539" s="54">
        <f>orderlinesTABLE[[#This Row],[Profit]]/orderlinesTABLE[[#This Row],[LineNetAmount]]</f>
        <v>0.45714620705827175</v>
      </c>
      <c r="U539" s="70">
        <f>(orderlinesTABLE[[#This Row],[Qty]]*orderlinesTABLE[[#This Row],[UnitCost]])</f>
        <v>13.89</v>
      </c>
    </row>
    <row r="540" spans="1:21" x14ac:dyDescent="0.3">
      <c r="A540" s="14" t="s">
        <v>249</v>
      </c>
      <c r="B540" s="14" t="s">
        <v>416</v>
      </c>
      <c r="C540" s="14">
        <v>1</v>
      </c>
      <c r="D540" s="37">
        <f>VLOOKUP($B540,Menu!$A$1:$F$20,MATCH($D$1,Menu!$A$1:$F$1,0),0)</f>
        <v>227.61</v>
      </c>
      <c r="E540" s="14" t="str">
        <f>VLOOKUP($B540,Menu!$A$1:$F$20,MATCH(OrderLines!E$1,Menu!$A$1:$F$1,0),0)</f>
        <v>Hot Meal</v>
      </c>
      <c r="F540" s="37">
        <f>VLOOKUP($B540,Menu!$A$1:$F$20,MATCH(OrderLines!F$1,Menu!$A$1:$F$1,0),0)</f>
        <v>96.22</v>
      </c>
      <c r="G540" s="28">
        <f>VLOOKUP($A540,Orders!$A$1:$H$361,MATCH($G$1,Orders!$A$1:$H$1,0),0)</f>
        <v>45849</v>
      </c>
      <c r="H540" s="14" t="str">
        <f>VLOOKUP($A540,Orders!$A$1:$H$361,MATCH(OrderLines!$H$1,Orders!$A$1:$H$1,0),0)</f>
        <v>Head Office Café</v>
      </c>
      <c r="I540" s="14">
        <f>VLOOKUP($A540,Orders!$A$1:$H$361,MATCH(OrderLines!$I$1,Orders!$A$1:$H$1,0),0)</f>
        <v>0.1</v>
      </c>
      <c r="J540" s="14">
        <f t="shared" si="25"/>
        <v>204.84900000000002</v>
      </c>
      <c r="K540" s="28" t="str">
        <f t="shared" si="26"/>
        <v>July</v>
      </c>
      <c r="L540" s="14" t="str">
        <f>VLOOKUP(OrderLines!$A540,Orders!$A$1:$H$361,MATCH(OrderLines!$L$1,Orders!$A$1:$H$1,0),0)</f>
        <v>Dinner</v>
      </c>
      <c r="M540" t="str">
        <f>VLOOKUP($A540,Orders!$A$1:$H$361,MATCH(OrderLines!$M$1,Orders!$A$1:$H$1,0),0)</f>
        <v>Card</v>
      </c>
      <c r="N540" t="str">
        <f t="shared" si="24"/>
        <v>Combo</v>
      </c>
      <c r="O540" t="str" cm="1">
        <f t="array" ref="O540">IF((SUMPRODUCT((OrderID=OrderLines!$A540)*Qty*UnitPrice*DiscountPct))&gt;40,"HighDisc","OK")</f>
        <v>OK</v>
      </c>
      <c r="P540">
        <f>(orderlinesTABLE[[#This Row],[UnitCost]]*orderlinesTABLE[[#This Row],[Qty]])</f>
        <v>96.22</v>
      </c>
      <c r="Q540">
        <f>(orderlinesTABLE[[#This Row],[LineNetAmount]]-orderlinesTABLE[[#This Row],[totalCOST]])</f>
        <v>108.62900000000002</v>
      </c>
      <c r="R540" t="str">
        <f>VLOOKUP($B540,Menu!$A$1:$F$20,MATCH(OrderLines!R$1,Menu!$A$1:$F$1,0),0)</f>
        <v>Veg Thali</v>
      </c>
      <c r="S540" t="str" cm="1">
        <f t="array" ref="S540">_xlfn.TEXTJOIN("+",TRUE,_xlfn._xlws.FILTER(orderlinesTABLE[ItemName],OrderID=orderlinesTABLE[[#This Row],[OrderID]]))</f>
        <v>Samosa+Fruit Cup+Bottled Water+Veg Thali</v>
      </c>
      <c r="T540" s="54">
        <f>orderlinesTABLE[[#This Row],[Profit]]/orderlinesTABLE[[#This Row],[LineNetAmount]]</f>
        <v>0.53028816347651198</v>
      </c>
      <c r="U540" s="70">
        <f>(orderlinesTABLE[[#This Row],[Qty]]*orderlinesTABLE[[#This Row],[UnitCost]])</f>
        <v>96.22</v>
      </c>
    </row>
    <row r="541" spans="1:21" x14ac:dyDescent="0.3">
      <c r="A541" s="15" t="s">
        <v>250</v>
      </c>
      <c r="B541" s="15" t="s">
        <v>419</v>
      </c>
      <c r="C541" s="15">
        <v>2</v>
      </c>
      <c r="D541" s="36">
        <f>VLOOKUP($B541,Menu!$A$1:$F$20,MATCH($D$1,Menu!$A$1:$F$1,0),0)</f>
        <v>50.19</v>
      </c>
      <c r="E541" s="15" t="str">
        <f>VLOOKUP($B541,Menu!$A$1:$F$20,MATCH(OrderLines!E$1,Menu!$A$1:$F$1,0),0)</f>
        <v>Snack</v>
      </c>
      <c r="F541" s="36">
        <f>VLOOKUP($B541,Menu!$A$1:$F$20,MATCH(OrderLines!F$1,Menu!$A$1:$F$1,0),0)</f>
        <v>22.61</v>
      </c>
      <c r="G541" s="27">
        <f>VLOOKUP($A541,Orders!$A$1:$H$361,MATCH($G$1,Orders!$A$1:$H$1,0),0)</f>
        <v>45893</v>
      </c>
      <c r="H541" s="15" t="str">
        <f>VLOOKUP($A541,Orders!$A$1:$H$361,MATCH(OrderLines!$H$1,Orders!$A$1:$H$1,0),0)</f>
        <v>Plant 2 Canteen</v>
      </c>
      <c r="I541" s="15">
        <f>VLOOKUP($A541,Orders!$A$1:$H$361,MATCH(OrderLines!$I$1,Orders!$A$1:$H$1,0),0)</f>
        <v>0</v>
      </c>
      <c r="J541" s="15">
        <f t="shared" si="25"/>
        <v>100.38</v>
      </c>
      <c r="K541" s="27" t="str">
        <f t="shared" si="26"/>
        <v>August</v>
      </c>
      <c r="L541" s="15" t="str">
        <f>VLOOKUP(OrderLines!$A541,Orders!$A$1:$H$361,MATCH(OrderLines!$L$1,Orders!$A$1:$H$1,0),0)</f>
        <v>Dinner</v>
      </c>
      <c r="M541" t="str">
        <f>VLOOKUP($A541,Orders!$A$1:$H$361,MATCH(OrderLines!$M$1,Orders!$A$1:$H$1,0),0)</f>
        <v>Cash</v>
      </c>
      <c r="N541" t="str">
        <f t="shared" si="24"/>
        <v>Single</v>
      </c>
      <c r="O541" t="str" cm="1">
        <f t="array" ref="O541">IF((SUMPRODUCT((OrderID=OrderLines!$A541)*Qty*UnitPrice*DiscountPct))&gt;40,"HighDisc","OK")</f>
        <v>OK</v>
      </c>
      <c r="P541">
        <f>(orderlinesTABLE[[#This Row],[UnitCost]]*orderlinesTABLE[[#This Row],[Qty]])</f>
        <v>45.22</v>
      </c>
      <c r="Q541">
        <f>(orderlinesTABLE[[#This Row],[LineNetAmount]]-orderlinesTABLE[[#This Row],[totalCOST]])</f>
        <v>55.16</v>
      </c>
      <c r="R541" t="str">
        <f>VLOOKUP($B541,Menu!$A$1:$F$20,MATCH(OrderLines!R$1,Menu!$A$1:$F$1,0),0)</f>
        <v>Masala Puff</v>
      </c>
      <c r="S541" t="str" cm="1">
        <f t="array" ref="S541">_xlfn.TEXTJOIN("+",TRUE,_xlfn._xlws.FILTER(orderlinesTABLE[ItemName],OrderID=orderlinesTABLE[[#This Row],[OrderID]]))</f>
        <v>Masala Puff+Paneer Roll+Veg Thali</v>
      </c>
      <c r="T541" s="54">
        <f>orderlinesTABLE[[#This Row],[Profit]]/orderlinesTABLE[[#This Row],[LineNetAmount]]</f>
        <v>0.54951185495118549</v>
      </c>
      <c r="U541" s="70">
        <f>(orderlinesTABLE[[#This Row],[Qty]]*orderlinesTABLE[[#This Row],[UnitCost]])</f>
        <v>45.22</v>
      </c>
    </row>
    <row r="542" spans="1:21" x14ac:dyDescent="0.3">
      <c r="A542" s="14" t="s">
        <v>250</v>
      </c>
      <c r="B542" s="14" t="s">
        <v>406</v>
      </c>
      <c r="C542" s="14">
        <v>3</v>
      </c>
      <c r="D542" s="37">
        <f>VLOOKUP($B542,Menu!$A$1:$F$20,MATCH($D$1,Menu!$A$1:$F$1,0),0)</f>
        <v>38.06</v>
      </c>
      <c r="E542" s="14" t="str">
        <f>VLOOKUP($B542,Menu!$A$1:$F$20,MATCH(OrderLines!E$1,Menu!$A$1:$F$1,0),0)</f>
        <v>Snack</v>
      </c>
      <c r="F542" s="37">
        <f>VLOOKUP($B542,Menu!$A$1:$F$20,MATCH(OrderLines!F$1,Menu!$A$1:$F$1,0),0)</f>
        <v>19.55</v>
      </c>
      <c r="G542" s="28">
        <f>VLOOKUP($A542,Orders!$A$1:$H$361,MATCH($G$1,Orders!$A$1:$H$1,0),0)</f>
        <v>45893</v>
      </c>
      <c r="H542" s="14" t="str">
        <f>VLOOKUP($A542,Orders!$A$1:$H$361,MATCH(OrderLines!$H$1,Orders!$A$1:$H$1,0),0)</f>
        <v>Plant 2 Canteen</v>
      </c>
      <c r="I542" s="14">
        <f>VLOOKUP($A542,Orders!$A$1:$H$361,MATCH(OrderLines!$I$1,Orders!$A$1:$H$1,0),0)</f>
        <v>0</v>
      </c>
      <c r="J542" s="14">
        <f t="shared" si="25"/>
        <v>114.18</v>
      </c>
      <c r="K542" s="28" t="str">
        <f t="shared" si="26"/>
        <v>August</v>
      </c>
      <c r="L542" s="14" t="str">
        <f>VLOOKUP(OrderLines!$A542,Orders!$A$1:$H$361,MATCH(OrderLines!$L$1,Orders!$A$1:$H$1,0),0)</f>
        <v>Dinner</v>
      </c>
      <c r="M542" t="str">
        <f>VLOOKUP($A542,Orders!$A$1:$H$361,MATCH(OrderLines!$M$1,Orders!$A$1:$H$1,0),0)</f>
        <v>Cash</v>
      </c>
      <c r="N542" t="str">
        <f t="shared" si="24"/>
        <v>Single</v>
      </c>
      <c r="O542" t="str" cm="1">
        <f t="array" ref="O542">IF((SUMPRODUCT((OrderID=OrderLines!$A542)*Qty*UnitPrice*DiscountPct))&gt;40,"HighDisc","OK")</f>
        <v>OK</v>
      </c>
      <c r="P542">
        <f>(orderlinesTABLE[[#This Row],[UnitCost]]*orderlinesTABLE[[#This Row],[Qty]])</f>
        <v>58.650000000000006</v>
      </c>
      <c r="Q542">
        <f>(orderlinesTABLE[[#This Row],[LineNetAmount]]-orderlinesTABLE[[#This Row],[totalCOST]])</f>
        <v>55.53</v>
      </c>
      <c r="R542" t="str">
        <f>VLOOKUP($B542,Menu!$A$1:$F$20,MATCH(OrderLines!R$1,Menu!$A$1:$F$1,0),0)</f>
        <v>Paneer Roll</v>
      </c>
      <c r="S542" t="str" cm="1">
        <f t="array" ref="S542">_xlfn.TEXTJOIN("+",TRUE,_xlfn._xlws.FILTER(orderlinesTABLE[ItemName],OrderID=orderlinesTABLE[[#This Row],[OrderID]]))</f>
        <v>Masala Puff+Paneer Roll+Veg Thali</v>
      </c>
      <c r="T542" s="54">
        <f>orderlinesTABLE[[#This Row],[Profit]]/orderlinesTABLE[[#This Row],[LineNetAmount]]</f>
        <v>0.48633736205990541</v>
      </c>
      <c r="U542" s="70">
        <f>(orderlinesTABLE[[#This Row],[Qty]]*orderlinesTABLE[[#This Row],[UnitCost]])</f>
        <v>58.650000000000006</v>
      </c>
    </row>
    <row r="543" spans="1:21" x14ac:dyDescent="0.3">
      <c r="A543" s="15" t="s">
        <v>250</v>
      </c>
      <c r="B543" s="15" t="s">
        <v>416</v>
      </c>
      <c r="C543" s="15">
        <v>1</v>
      </c>
      <c r="D543" s="36">
        <f>VLOOKUP($B543,Menu!$A$1:$F$20,MATCH($D$1,Menu!$A$1:$F$1,0),0)</f>
        <v>227.61</v>
      </c>
      <c r="E543" s="15" t="str">
        <f>VLOOKUP($B543,Menu!$A$1:$F$20,MATCH(OrderLines!E$1,Menu!$A$1:$F$1,0),0)</f>
        <v>Hot Meal</v>
      </c>
      <c r="F543" s="36">
        <f>VLOOKUP($B543,Menu!$A$1:$F$20,MATCH(OrderLines!F$1,Menu!$A$1:$F$1,0),0)</f>
        <v>96.22</v>
      </c>
      <c r="G543" s="27">
        <f>VLOOKUP($A543,Orders!$A$1:$H$361,MATCH($G$1,Orders!$A$1:$H$1,0),0)</f>
        <v>45893</v>
      </c>
      <c r="H543" s="15" t="str">
        <f>VLOOKUP($A543,Orders!$A$1:$H$361,MATCH(OrderLines!$H$1,Orders!$A$1:$H$1,0),0)</f>
        <v>Plant 2 Canteen</v>
      </c>
      <c r="I543" s="15">
        <f>VLOOKUP($A543,Orders!$A$1:$H$361,MATCH(OrderLines!$I$1,Orders!$A$1:$H$1,0),0)</f>
        <v>0</v>
      </c>
      <c r="J543" s="15">
        <f t="shared" si="25"/>
        <v>227.61</v>
      </c>
      <c r="K543" s="27" t="str">
        <f t="shared" si="26"/>
        <v>August</v>
      </c>
      <c r="L543" s="15" t="str">
        <f>VLOOKUP(OrderLines!$A543,Orders!$A$1:$H$361,MATCH(OrderLines!$L$1,Orders!$A$1:$H$1,0),0)</f>
        <v>Dinner</v>
      </c>
      <c r="M543" t="str">
        <f>VLOOKUP($A543,Orders!$A$1:$H$361,MATCH(OrderLines!$M$1,Orders!$A$1:$H$1,0),0)</f>
        <v>Cash</v>
      </c>
      <c r="N543" t="str">
        <f t="shared" si="24"/>
        <v>Single</v>
      </c>
      <c r="O543" t="str" cm="1">
        <f t="array" ref="O543">IF((SUMPRODUCT((OrderID=OrderLines!$A543)*Qty*UnitPrice*DiscountPct))&gt;40,"HighDisc","OK")</f>
        <v>OK</v>
      </c>
      <c r="P543">
        <f>(orderlinesTABLE[[#This Row],[UnitCost]]*orderlinesTABLE[[#This Row],[Qty]])</f>
        <v>96.22</v>
      </c>
      <c r="Q543">
        <f>(orderlinesTABLE[[#This Row],[LineNetAmount]]-orderlinesTABLE[[#This Row],[totalCOST]])</f>
        <v>131.39000000000001</v>
      </c>
      <c r="R543" t="str">
        <f>VLOOKUP($B543,Menu!$A$1:$F$20,MATCH(OrderLines!R$1,Menu!$A$1:$F$1,0),0)</f>
        <v>Veg Thali</v>
      </c>
      <c r="S543" t="str" cm="1">
        <f t="array" ref="S543">_xlfn.TEXTJOIN("+",TRUE,_xlfn._xlws.FILTER(orderlinesTABLE[ItemName],OrderID=orderlinesTABLE[[#This Row],[OrderID]]))</f>
        <v>Masala Puff+Paneer Roll+Veg Thali</v>
      </c>
      <c r="T543" s="54">
        <f>orderlinesTABLE[[#This Row],[Profit]]/orderlinesTABLE[[#This Row],[LineNetAmount]]</f>
        <v>0.57725934712886084</v>
      </c>
      <c r="U543" s="70">
        <f>(orderlinesTABLE[[#This Row],[Qty]]*orderlinesTABLE[[#This Row],[UnitCost]])</f>
        <v>96.22</v>
      </c>
    </row>
    <row r="544" spans="1:21" x14ac:dyDescent="0.3">
      <c r="A544" s="14" t="s">
        <v>251</v>
      </c>
      <c r="B544" s="14" t="s">
        <v>412</v>
      </c>
      <c r="C544" s="14">
        <v>1</v>
      </c>
      <c r="D544" s="37">
        <f>VLOOKUP($B544,Menu!$A$1:$F$20,MATCH($D$1,Menu!$A$1:$F$1,0),0)</f>
        <v>57.07</v>
      </c>
      <c r="E544" s="14" t="str">
        <f>VLOOKUP($B544,Menu!$A$1:$F$20,MATCH(OrderLines!E$1,Menu!$A$1:$F$1,0),0)</f>
        <v>Dessert</v>
      </c>
      <c r="F544" s="37">
        <f>VLOOKUP($B544,Menu!$A$1:$F$20,MATCH(OrderLines!F$1,Menu!$A$1:$F$1,0),0)</f>
        <v>29.14</v>
      </c>
      <c r="G544" s="28">
        <f>VLOOKUP($A544,Orders!$A$1:$H$361,MATCH($G$1,Orders!$A$1:$H$1,0),0)</f>
        <v>45884</v>
      </c>
      <c r="H544" s="14" t="str">
        <f>VLOOKUP($A544,Orders!$A$1:$H$361,MATCH(OrderLines!$H$1,Orders!$A$1:$H$1,0),0)</f>
        <v>Head Office Café</v>
      </c>
      <c r="I544" s="14">
        <f>VLOOKUP($A544,Orders!$A$1:$H$361,MATCH(OrderLines!$I$1,Orders!$A$1:$H$1,0),0)</f>
        <v>0.04</v>
      </c>
      <c r="J544" s="14">
        <f t="shared" si="25"/>
        <v>54.787199999999999</v>
      </c>
      <c r="K544" s="28" t="str">
        <f t="shared" si="26"/>
        <v>August</v>
      </c>
      <c r="L544" s="14" t="str">
        <f>VLOOKUP(OrderLines!$A544,Orders!$A$1:$H$361,MATCH(OrderLines!$L$1,Orders!$A$1:$H$1,0),0)</f>
        <v>Breakfast</v>
      </c>
      <c r="M544" t="str">
        <f>VLOOKUP($A544,Orders!$A$1:$H$361,MATCH(OrderLines!$M$1,Orders!$A$1:$H$1,0),0)</f>
        <v>UPI</v>
      </c>
      <c r="N544" t="str">
        <f t="shared" si="24"/>
        <v>Combo</v>
      </c>
      <c r="O544" t="str" cm="1">
        <f t="array" ref="O544">IF((SUMPRODUCT((OrderID=OrderLines!$A544)*Qty*UnitPrice*DiscountPct))&gt;40,"HighDisc","OK")</f>
        <v>OK</v>
      </c>
      <c r="P544">
        <f>(orderlinesTABLE[[#This Row],[UnitCost]]*orderlinesTABLE[[#This Row],[Qty]])</f>
        <v>29.14</v>
      </c>
      <c r="Q544">
        <f>(orderlinesTABLE[[#This Row],[LineNetAmount]]-orderlinesTABLE[[#This Row],[totalCOST]])</f>
        <v>25.647199999999998</v>
      </c>
      <c r="R544" t="str">
        <f>VLOOKUP($B544,Menu!$A$1:$F$20,MATCH(OrderLines!R$1,Menu!$A$1:$F$1,0),0)</f>
        <v>Fruit Cup</v>
      </c>
      <c r="S544" t="str" cm="1">
        <f t="array" ref="S544">_xlfn.TEXTJOIN("+",TRUE,_xlfn._xlws.FILTER(orderlinesTABLE[ItemName],OrderID=orderlinesTABLE[[#This Row],[OrderID]]))</f>
        <v>Fruit Cup+Coffee+Veg Thali</v>
      </c>
      <c r="T544" s="54">
        <f>orderlinesTABLE[[#This Row],[Profit]]/orderlinesTABLE[[#This Row],[LineNetAmount]]</f>
        <v>0.4681239413585655</v>
      </c>
      <c r="U544" s="70">
        <f>(orderlinesTABLE[[#This Row],[Qty]]*orderlinesTABLE[[#This Row],[UnitCost]])</f>
        <v>29.14</v>
      </c>
    </row>
    <row r="545" spans="1:21" x14ac:dyDescent="0.3">
      <c r="A545" s="15" t="s">
        <v>251</v>
      </c>
      <c r="B545" s="15" t="s">
        <v>411</v>
      </c>
      <c r="C545" s="15">
        <v>1</v>
      </c>
      <c r="D545" s="36">
        <f>VLOOKUP($B545,Menu!$A$1:$F$20,MATCH($D$1,Menu!$A$1:$F$1,0),0)</f>
        <v>22.2</v>
      </c>
      <c r="E545" s="15" t="str">
        <f>VLOOKUP($B545,Menu!$A$1:$F$20,MATCH(OrderLines!E$1,Menu!$A$1:$F$1,0),0)</f>
        <v>Beverage</v>
      </c>
      <c r="F545" s="36">
        <f>VLOOKUP($B545,Menu!$A$1:$F$20,MATCH(OrderLines!F$1,Menu!$A$1:$F$1,0),0)</f>
        <v>9.3800000000000008</v>
      </c>
      <c r="G545" s="27">
        <f>VLOOKUP($A545,Orders!$A$1:$H$361,MATCH($G$1,Orders!$A$1:$H$1,0),0)</f>
        <v>45884</v>
      </c>
      <c r="H545" s="15" t="str">
        <f>VLOOKUP($A545,Orders!$A$1:$H$361,MATCH(OrderLines!$H$1,Orders!$A$1:$H$1,0),0)</f>
        <v>Head Office Café</v>
      </c>
      <c r="I545" s="15">
        <f>VLOOKUP($A545,Orders!$A$1:$H$361,MATCH(OrderLines!$I$1,Orders!$A$1:$H$1,0),0)</f>
        <v>0.04</v>
      </c>
      <c r="J545" s="15">
        <f t="shared" si="25"/>
        <v>21.311999999999998</v>
      </c>
      <c r="K545" s="27" t="str">
        <f t="shared" si="26"/>
        <v>August</v>
      </c>
      <c r="L545" s="15" t="str">
        <f>VLOOKUP(OrderLines!$A545,Orders!$A$1:$H$361,MATCH(OrderLines!$L$1,Orders!$A$1:$H$1,0),0)</f>
        <v>Breakfast</v>
      </c>
      <c r="M545" t="str">
        <f>VLOOKUP($A545,Orders!$A$1:$H$361,MATCH(OrderLines!$M$1,Orders!$A$1:$H$1,0),0)</f>
        <v>UPI</v>
      </c>
      <c r="N545" t="str">
        <f t="shared" si="24"/>
        <v>Combo</v>
      </c>
      <c r="O545" t="str" cm="1">
        <f t="array" ref="O545">IF((SUMPRODUCT((OrderID=OrderLines!$A545)*Qty*UnitPrice*DiscountPct))&gt;40,"HighDisc","OK")</f>
        <v>OK</v>
      </c>
      <c r="P545">
        <f>(orderlinesTABLE[[#This Row],[UnitCost]]*orderlinesTABLE[[#This Row],[Qty]])</f>
        <v>9.3800000000000008</v>
      </c>
      <c r="Q545">
        <f>(orderlinesTABLE[[#This Row],[LineNetAmount]]-orderlinesTABLE[[#This Row],[totalCOST]])</f>
        <v>11.931999999999997</v>
      </c>
      <c r="R545" t="str">
        <f>VLOOKUP($B545,Menu!$A$1:$F$20,MATCH(OrderLines!R$1,Menu!$A$1:$F$1,0),0)</f>
        <v>Coffee</v>
      </c>
      <c r="S545" t="str" cm="1">
        <f t="array" ref="S545">_xlfn.TEXTJOIN("+",TRUE,_xlfn._xlws.FILTER(orderlinesTABLE[ItemName],OrderID=orderlinesTABLE[[#This Row],[OrderID]]))</f>
        <v>Fruit Cup+Coffee+Veg Thali</v>
      </c>
      <c r="T545" s="54">
        <f>orderlinesTABLE[[#This Row],[Profit]]/orderlinesTABLE[[#This Row],[LineNetAmount]]</f>
        <v>0.55987237237237231</v>
      </c>
      <c r="U545" s="70">
        <f>(orderlinesTABLE[[#This Row],[Qty]]*orderlinesTABLE[[#This Row],[UnitCost]])</f>
        <v>9.3800000000000008</v>
      </c>
    </row>
    <row r="546" spans="1:21" x14ac:dyDescent="0.3">
      <c r="A546" s="14" t="s">
        <v>251</v>
      </c>
      <c r="B546" s="14" t="s">
        <v>416</v>
      </c>
      <c r="C546" s="14">
        <v>3</v>
      </c>
      <c r="D546" s="37">
        <f>VLOOKUP($B546,Menu!$A$1:$F$20,MATCH($D$1,Menu!$A$1:$F$1,0),0)</f>
        <v>227.61</v>
      </c>
      <c r="E546" s="14" t="str">
        <f>VLOOKUP($B546,Menu!$A$1:$F$20,MATCH(OrderLines!E$1,Menu!$A$1:$F$1,0),0)</f>
        <v>Hot Meal</v>
      </c>
      <c r="F546" s="37">
        <f>VLOOKUP($B546,Menu!$A$1:$F$20,MATCH(OrderLines!F$1,Menu!$A$1:$F$1,0),0)</f>
        <v>96.22</v>
      </c>
      <c r="G546" s="28">
        <f>VLOOKUP($A546,Orders!$A$1:$H$361,MATCH($G$1,Orders!$A$1:$H$1,0),0)</f>
        <v>45884</v>
      </c>
      <c r="H546" s="14" t="str">
        <f>VLOOKUP($A546,Orders!$A$1:$H$361,MATCH(OrderLines!$H$1,Orders!$A$1:$H$1,0),0)</f>
        <v>Head Office Café</v>
      </c>
      <c r="I546" s="14">
        <f>VLOOKUP($A546,Orders!$A$1:$H$361,MATCH(OrderLines!$I$1,Orders!$A$1:$H$1,0),0)</f>
        <v>0.04</v>
      </c>
      <c r="J546" s="14">
        <f t="shared" si="25"/>
        <v>655.51679999999999</v>
      </c>
      <c r="K546" s="28" t="str">
        <f t="shared" si="26"/>
        <v>August</v>
      </c>
      <c r="L546" s="14" t="str">
        <f>VLOOKUP(OrderLines!$A546,Orders!$A$1:$H$361,MATCH(OrderLines!$L$1,Orders!$A$1:$H$1,0),0)</f>
        <v>Breakfast</v>
      </c>
      <c r="M546" t="str">
        <f>VLOOKUP($A546,Orders!$A$1:$H$361,MATCH(OrderLines!$M$1,Orders!$A$1:$H$1,0),0)</f>
        <v>UPI</v>
      </c>
      <c r="N546" t="str">
        <f t="shared" si="24"/>
        <v>Combo</v>
      </c>
      <c r="O546" t="str" cm="1">
        <f t="array" ref="O546">IF((SUMPRODUCT((OrderID=OrderLines!$A546)*Qty*UnitPrice*DiscountPct))&gt;40,"HighDisc","OK")</f>
        <v>OK</v>
      </c>
      <c r="P546">
        <f>(orderlinesTABLE[[#This Row],[UnitCost]]*orderlinesTABLE[[#This Row],[Qty]])</f>
        <v>288.65999999999997</v>
      </c>
      <c r="Q546">
        <f>(orderlinesTABLE[[#This Row],[LineNetAmount]]-orderlinesTABLE[[#This Row],[totalCOST]])</f>
        <v>366.85680000000002</v>
      </c>
      <c r="R546" t="str">
        <f>VLOOKUP($B546,Menu!$A$1:$F$20,MATCH(OrderLines!R$1,Menu!$A$1:$F$1,0),0)</f>
        <v>Veg Thali</v>
      </c>
      <c r="S546" t="str" cm="1">
        <f t="array" ref="S546">_xlfn.TEXTJOIN("+",TRUE,_xlfn._xlws.FILTER(orderlinesTABLE[ItemName],OrderID=orderlinesTABLE[[#This Row],[OrderID]]))</f>
        <v>Fruit Cup+Coffee+Veg Thali</v>
      </c>
      <c r="T546" s="54">
        <f>orderlinesTABLE[[#This Row],[Profit]]/orderlinesTABLE[[#This Row],[LineNetAmount]]</f>
        <v>0.55964515325923003</v>
      </c>
      <c r="U546" s="70">
        <f>(orderlinesTABLE[[#This Row],[Qty]]*orderlinesTABLE[[#This Row],[UnitCost]])</f>
        <v>288.65999999999997</v>
      </c>
    </row>
    <row r="547" spans="1:21" x14ac:dyDescent="0.3">
      <c r="A547" s="15" t="s">
        <v>252</v>
      </c>
      <c r="B547" s="15" t="s">
        <v>419</v>
      </c>
      <c r="C547" s="15">
        <v>1</v>
      </c>
      <c r="D547" s="36">
        <f>VLOOKUP($B547,Menu!$A$1:$F$20,MATCH($D$1,Menu!$A$1:$F$1,0),0)</f>
        <v>50.19</v>
      </c>
      <c r="E547" s="15" t="str">
        <f>VLOOKUP($B547,Menu!$A$1:$F$20,MATCH(OrderLines!E$1,Menu!$A$1:$F$1,0),0)</f>
        <v>Snack</v>
      </c>
      <c r="F547" s="36">
        <f>VLOOKUP($B547,Menu!$A$1:$F$20,MATCH(OrderLines!F$1,Menu!$A$1:$F$1,0),0)</f>
        <v>22.61</v>
      </c>
      <c r="G547" s="27">
        <f>VLOOKUP($A547,Orders!$A$1:$H$361,MATCH($G$1,Orders!$A$1:$H$1,0),0)</f>
        <v>45850</v>
      </c>
      <c r="H547" s="15" t="str">
        <f>VLOOKUP($A547,Orders!$A$1:$H$361,MATCH(OrderLines!$H$1,Orders!$A$1:$H$1,0),0)</f>
        <v>Plant 1 Canteen</v>
      </c>
      <c r="I547" s="15">
        <f>VLOOKUP($A547,Orders!$A$1:$H$361,MATCH(OrderLines!$I$1,Orders!$A$1:$H$1,0),0)</f>
        <v>0.11</v>
      </c>
      <c r="J547" s="15">
        <f t="shared" si="25"/>
        <v>44.6691</v>
      </c>
      <c r="K547" s="27" t="str">
        <f t="shared" si="26"/>
        <v>July</v>
      </c>
      <c r="L547" s="15" t="str">
        <f>VLOOKUP(OrderLines!$A547,Orders!$A$1:$H$361,MATCH(OrderLines!$L$1,Orders!$A$1:$H$1,0),0)</f>
        <v>Lunch</v>
      </c>
      <c r="M547" t="str">
        <f>VLOOKUP($A547,Orders!$A$1:$H$361,MATCH(OrderLines!$M$1,Orders!$A$1:$H$1,0),0)</f>
        <v>Cash</v>
      </c>
      <c r="N547" t="str">
        <f t="shared" si="24"/>
        <v>Combo</v>
      </c>
      <c r="O547" t="str" cm="1">
        <f t="array" ref="O547">IF((SUMPRODUCT((OrderID=OrderLines!$A547)*Qty*UnitPrice*DiscountPct))&gt;40,"HighDisc","OK")</f>
        <v>HighDisc</v>
      </c>
      <c r="P547">
        <f>(orderlinesTABLE[[#This Row],[UnitCost]]*orderlinesTABLE[[#This Row],[Qty]])</f>
        <v>22.61</v>
      </c>
      <c r="Q547">
        <f>(orderlinesTABLE[[#This Row],[LineNetAmount]]-orderlinesTABLE[[#This Row],[totalCOST]])</f>
        <v>22.059100000000001</v>
      </c>
      <c r="R547" t="str">
        <f>VLOOKUP($B547,Menu!$A$1:$F$20,MATCH(OrderLines!R$1,Menu!$A$1:$F$1,0),0)</f>
        <v>Masala Puff</v>
      </c>
      <c r="S547" t="str" cm="1">
        <f t="array" ref="S547">_xlfn.TEXTJOIN("+",TRUE,_xlfn._xlws.FILTER(orderlinesTABLE[ItemName],OrderID=orderlinesTABLE[[#This Row],[OrderID]]))</f>
        <v>Masala Puff+Rajma Chawal+Nimbu Pani+Gulab Jamun (2 pc)</v>
      </c>
      <c r="T547" s="54">
        <f>orderlinesTABLE[[#This Row],[Profit]]/orderlinesTABLE[[#This Row],[LineNetAmount]]</f>
        <v>0.49383354488897246</v>
      </c>
      <c r="U547" s="70">
        <f>(orderlinesTABLE[[#This Row],[Qty]]*orderlinesTABLE[[#This Row],[UnitCost]])</f>
        <v>22.61</v>
      </c>
    </row>
    <row r="548" spans="1:21" x14ac:dyDescent="0.3">
      <c r="A548" s="14" t="s">
        <v>252</v>
      </c>
      <c r="B548" s="14" t="s">
        <v>417</v>
      </c>
      <c r="C548" s="14">
        <v>1</v>
      </c>
      <c r="D548" s="37">
        <f>VLOOKUP($B548,Menu!$A$1:$F$20,MATCH($D$1,Menu!$A$1:$F$1,0),0)</f>
        <v>146.4</v>
      </c>
      <c r="E548" s="14" t="str">
        <f>VLOOKUP($B548,Menu!$A$1:$F$20,MATCH(OrderLines!E$1,Menu!$A$1:$F$1,0),0)</f>
        <v>Hot Meal</v>
      </c>
      <c r="F548" s="37">
        <f>VLOOKUP($B548,Menu!$A$1:$F$20,MATCH(OrderLines!F$1,Menu!$A$1:$F$1,0),0)</f>
        <v>80.92</v>
      </c>
      <c r="G548" s="28">
        <f>VLOOKUP($A548,Orders!$A$1:$H$361,MATCH($G$1,Orders!$A$1:$H$1,0),0)</f>
        <v>45850</v>
      </c>
      <c r="H548" s="14" t="str">
        <f>VLOOKUP($A548,Orders!$A$1:$H$361,MATCH(OrderLines!$H$1,Orders!$A$1:$H$1,0),0)</f>
        <v>Plant 1 Canteen</v>
      </c>
      <c r="I548" s="14">
        <f>VLOOKUP($A548,Orders!$A$1:$H$361,MATCH(OrderLines!$I$1,Orders!$A$1:$H$1,0),0)</f>
        <v>0.11</v>
      </c>
      <c r="J548" s="14">
        <f t="shared" si="25"/>
        <v>130.29600000000002</v>
      </c>
      <c r="K548" s="28" t="str">
        <f t="shared" si="26"/>
        <v>July</v>
      </c>
      <c r="L548" s="14" t="str">
        <f>VLOOKUP(OrderLines!$A548,Orders!$A$1:$H$361,MATCH(OrderLines!$L$1,Orders!$A$1:$H$1,0),0)</f>
        <v>Lunch</v>
      </c>
      <c r="M548" t="str">
        <f>VLOOKUP($A548,Orders!$A$1:$H$361,MATCH(OrderLines!$M$1,Orders!$A$1:$H$1,0),0)</f>
        <v>Cash</v>
      </c>
      <c r="N548" t="str">
        <f t="shared" si="24"/>
        <v>Combo</v>
      </c>
      <c r="O548" t="str" cm="1">
        <f t="array" ref="O548">IF((SUMPRODUCT((OrderID=OrderLines!$A548)*Qty*UnitPrice*DiscountPct))&gt;40,"HighDisc","OK")</f>
        <v>HighDisc</v>
      </c>
      <c r="P548">
        <f>(orderlinesTABLE[[#This Row],[UnitCost]]*orderlinesTABLE[[#This Row],[Qty]])</f>
        <v>80.92</v>
      </c>
      <c r="Q548">
        <f>(orderlinesTABLE[[#This Row],[LineNetAmount]]-orderlinesTABLE[[#This Row],[totalCOST]])</f>
        <v>49.376000000000019</v>
      </c>
      <c r="R548" t="str">
        <f>VLOOKUP($B548,Menu!$A$1:$F$20,MATCH(OrderLines!R$1,Menu!$A$1:$F$1,0),0)</f>
        <v>Rajma Chawal</v>
      </c>
      <c r="S548" t="str" cm="1">
        <f t="array" ref="S548">_xlfn.TEXTJOIN("+",TRUE,_xlfn._xlws.FILTER(orderlinesTABLE[ItemName],OrderID=orderlinesTABLE[[#This Row],[OrderID]]))</f>
        <v>Masala Puff+Rajma Chawal+Nimbu Pani+Gulab Jamun (2 pc)</v>
      </c>
      <c r="T548" s="54">
        <f>orderlinesTABLE[[#This Row],[Profit]]/orderlinesTABLE[[#This Row],[LineNetAmount]]</f>
        <v>0.37895253883465346</v>
      </c>
      <c r="U548" s="70">
        <f>(orderlinesTABLE[[#This Row],[Qty]]*orderlinesTABLE[[#This Row],[UnitCost]])</f>
        <v>80.92</v>
      </c>
    </row>
    <row r="549" spans="1:21" x14ac:dyDescent="0.3">
      <c r="A549" s="15" t="s">
        <v>252</v>
      </c>
      <c r="B549" s="15" t="s">
        <v>410</v>
      </c>
      <c r="C549" s="15">
        <v>1</v>
      </c>
      <c r="D549" s="36">
        <f>VLOOKUP($B549,Menu!$A$1:$F$20,MATCH($D$1,Menu!$A$1:$F$1,0),0)</f>
        <v>20.11</v>
      </c>
      <c r="E549" s="15" t="str">
        <f>VLOOKUP($B549,Menu!$A$1:$F$20,MATCH(OrderLines!E$1,Menu!$A$1:$F$1,0),0)</f>
        <v>Beverage</v>
      </c>
      <c r="F549" s="36">
        <f>VLOOKUP($B549,Menu!$A$1:$F$20,MATCH(OrderLines!F$1,Menu!$A$1:$F$1,0),0)</f>
        <v>8</v>
      </c>
      <c r="G549" s="27">
        <f>VLOOKUP($A549,Orders!$A$1:$H$361,MATCH($G$1,Orders!$A$1:$H$1,0),0)</f>
        <v>45850</v>
      </c>
      <c r="H549" s="15" t="str">
        <f>VLOOKUP($A549,Orders!$A$1:$H$361,MATCH(OrderLines!$H$1,Orders!$A$1:$H$1,0),0)</f>
        <v>Plant 1 Canteen</v>
      </c>
      <c r="I549" s="15">
        <f>VLOOKUP($A549,Orders!$A$1:$H$361,MATCH(OrderLines!$I$1,Orders!$A$1:$H$1,0),0)</f>
        <v>0.11</v>
      </c>
      <c r="J549" s="15">
        <f t="shared" si="25"/>
        <v>17.8979</v>
      </c>
      <c r="K549" s="27" t="str">
        <f t="shared" si="26"/>
        <v>July</v>
      </c>
      <c r="L549" s="15" t="str">
        <f>VLOOKUP(OrderLines!$A549,Orders!$A$1:$H$361,MATCH(OrderLines!$L$1,Orders!$A$1:$H$1,0),0)</f>
        <v>Lunch</v>
      </c>
      <c r="M549" t="str">
        <f>VLOOKUP($A549,Orders!$A$1:$H$361,MATCH(OrderLines!$M$1,Orders!$A$1:$H$1,0),0)</f>
        <v>Cash</v>
      </c>
      <c r="N549" t="str">
        <f t="shared" si="24"/>
        <v>Combo</v>
      </c>
      <c r="O549" t="str" cm="1">
        <f t="array" ref="O549">IF((SUMPRODUCT((OrderID=OrderLines!$A549)*Qty*UnitPrice*DiscountPct))&gt;40,"HighDisc","OK")</f>
        <v>HighDisc</v>
      </c>
      <c r="P549">
        <f>(orderlinesTABLE[[#This Row],[UnitCost]]*orderlinesTABLE[[#This Row],[Qty]])</f>
        <v>8</v>
      </c>
      <c r="Q549">
        <f>(orderlinesTABLE[[#This Row],[LineNetAmount]]-orderlinesTABLE[[#This Row],[totalCOST]])</f>
        <v>9.8978999999999999</v>
      </c>
      <c r="R549" t="str">
        <f>VLOOKUP($B549,Menu!$A$1:$F$20,MATCH(OrderLines!R$1,Menu!$A$1:$F$1,0),0)</f>
        <v>Nimbu Pani</v>
      </c>
      <c r="S549" t="str" cm="1">
        <f t="array" ref="S549">_xlfn.TEXTJOIN("+",TRUE,_xlfn._xlws.FILTER(orderlinesTABLE[ItemName],OrderID=orderlinesTABLE[[#This Row],[OrderID]]))</f>
        <v>Masala Puff+Rajma Chawal+Nimbu Pani+Gulab Jamun (2 pc)</v>
      </c>
      <c r="T549" s="54">
        <f>orderlinesTABLE[[#This Row],[Profit]]/orderlinesTABLE[[#This Row],[LineNetAmount]]</f>
        <v>0.55302018672581699</v>
      </c>
      <c r="U549" s="70">
        <f>(orderlinesTABLE[[#This Row],[Qty]]*orderlinesTABLE[[#This Row],[UnitCost]])</f>
        <v>8</v>
      </c>
    </row>
    <row r="550" spans="1:21" x14ac:dyDescent="0.3">
      <c r="A550" s="14" t="s">
        <v>252</v>
      </c>
      <c r="B550" s="14" t="s">
        <v>403</v>
      </c>
      <c r="C550" s="14">
        <v>2</v>
      </c>
      <c r="D550" s="37">
        <f>VLOOKUP($B550,Menu!$A$1:$F$20,MATCH($D$1,Menu!$A$1:$F$1,0),0)</f>
        <v>76.55</v>
      </c>
      <c r="E550" s="14" t="str">
        <f>VLOOKUP($B550,Menu!$A$1:$F$20,MATCH(OrderLines!E$1,Menu!$A$1:$F$1,0),0)</f>
        <v>Dessert</v>
      </c>
      <c r="F550" s="37">
        <f>VLOOKUP($B550,Menu!$A$1:$F$20,MATCH(OrderLines!F$1,Menu!$A$1:$F$1,0),0)</f>
        <v>38.229999999999997</v>
      </c>
      <c r="G550" s="28">
        <f>VLOOKUP($A550,Orders!$A$1:$H$361,MATCH($G$1,Orders!$A$1:$H$1,0),0)</f>
        <v>45850</v>
      </c>
      <c r="H550" s="14" t="str">
        <f>VLOOKUP($A550,Orders!$A$1:$H$361,MATCH(OrderLines!$H$1,Orders!$A$1:$H$1,0),0)</f>
        <v>Plant 1 Canteen</v>
      </c>
      <c r="I550" s="14">
        <f>VLOOKUP($A550,Orders!$A$1:$H$361,MATCH(OrderLines!$I$1,Orders!$A$1:$H$1,0),0)</f>
        <v>0.11</v>
      </c>
      <c r="J550" s="14">
        <f t="shared" si="25"/>
        <v>136.25899999999999</v>
      </c>
      <c r="K550" s="28" t="str">
        <f t="shared" si="26"/>
        <v>July</v>
      </c>
      <c r="L550" s="14" t="str">
        <f>VLOOKUP(OrderLines!$A550,Orders!$A$1:$H$361,MATCH(OrderLines!$L$1,Orders!$A$1:$H$1,0),0)</f>
        <v>Lunch</v>
      </c>
      <c r="M550" t="str">
        <f>VLOOKUP($A550,Orders!$A$1:$H$361,MATCH(OrderLines!$M$1,Orders!$A$1:$H$1,0),0)</f>
        <v>Cash</v>
      </c>
      <c r="N550" t="str">
        <f t="shared" si="24"/>
        <v>Combo</v>
      </c>
      <c r="O550" t="str" cm="1">
        <f t="array" ref="O550">IF((SUMPRODUCT((OrderID=OrderLines!$A550)*Qty*UnitPrice*DiscountPct))&gt;40,"HighDisc","OK")</f>
        <v>HighDisc</v>
      </c>
      <c r="P550">
        <f>(orderlinesTABLE[[#This Row],[UnitCost]]*orderlinesTABLE[[#This Row],[Qty]])</f>
        <v>76.459999999999994</v>
      </c>
      <c r="Q550">
        <f>(orderlinesTABLE[[#This Row],[LineNetAmount]]-orderlinesTABLE[[#This Row],[totalCOST]])</f>
        <v>59.798999999999992</v>
      </c>
      <c r="R550" t="str">
        <f>VLOOKUP($B550,Menu!$A$1:$F$20,MATCH(OrderLines!R$1,Menu!$A$1:$F$1,0),0)</f>
        <v>Gulab Jamun (2 pc)</v>
      </c>
      <c r="S550" t="str" cm="1">
        <f t="array" ref="S550">_xlfn.TEXTJOIN("+",TRUE,_xlfn._xlws.FILTER(orderlinesTABLE[ItemName],OrderID=orderlinesTABLE[[#This Row],[OrderID]]))</f>
        <v>Masala Puff+Rajma Chawal+Nimbu Pani+Gulab Jamun (2 pc)</v>
      </c>
      <c r="T550" s="54">
        <f>orderlinesTABLE[[#This Row],[Profit]]/orderlinesTABLE[[#This Row],[LineNetAmount]]</f>
        <v>0.43886275401991792</v>
      </c>
      <c r="U550" s="70">
        <f>(orderlinesTABLE[[#This Row],[Qty]]*orderlinesTABLE[[#This Row],[UnitCost]])</f>
        <v>76.459999999999994</v>
      </c>
    </row>
    <row r="551" spans="1:21" x14ac:dyDescent="0.3">
      <c r="A551" s="15" t="s">
        <v>253</v>
      </c>
      <c r="B551" s="15" t="s">
        <v>410</v>
      </c>
      <c r="C551" s="15">
        <v>2</v>
      </c>
      <c r="D551" s="36">
        <f>VLOOKUP($B551,Menu!$A$1:$F$20,MATCH($D$1,Menu!$A$1:$F$1,0),0)</f>
        <v>20.11</v>
      </c>
      <c r="E551" s="15" t="str">
        <f>VLOOKUP($B551,Menu!$A$1:$F$20,MATCH(OrderLines!E$1,Menu!$A$1:$F$1,0),0)</f>
        <v>Beverage</v>
      </c>
      <c r="F551" s="36">
        <f>VLOOKUP($B551,Menu!$A$1:$F$20,MATCH(OrderLines!F$1,Menu!$A$1:$F$1,0),0)</f>
        <v>8</v>
      </c>
      <c r="G551" s="27">
        <f>VLOOKUP($A551,Orders!$A$1:$H$361,MATCH($G$1,Orders!$A$1:$H$1,0),0)</f>
        <v>45887</v>
      </c>
      <c r="H551" s="15" t="str">
        <f>VLOOKUP($A551,Orders!$A$1:$H$361,MATCH(OrderLines!$H$1,Orders!$A$1:$H$1,0),0)</f>
        <v>Plant 1 Canteen</v>
      </c>
      <c r="I551" s="15">
        <f>VLOOKUP($A551,Orders!$A$1:$H$361,MATCH(OrderLines!$I$1,Orders!$A$1:$H$1,0),0)</f>
        <v>0.03</v>
      </c>
      <c r="J551" s="15">
        <f t="shared" si="25"/>
        <v>39.013399999999997</v>
      </c>
      <c r="K551" s="27" t="str">
        <f t="shared" si="26"/>
        <v>August</v>
      </c>
      <c r="L551" s="15" t="str">
        <f>VLOOKUP(OrderLines!$A551,Orders!$A$1:$H$361,MATCH(OrderLines!$L$1,Orders!$A$1:$H$1,0),0)</f>
        <v>Breakfast</v>
      </c>
      <c r="M551" t="str">
        <f>VLOOKUP($A551,Orders!$A$1:$H$361,MATCH(OrderLines!$M$1,Orders!$A$1:$H$1,0),0)</f>
        <v>Cash</v>
      </c>
      <c r="N551" t="str">
        <f t="shared" si="24"/>
        <v>Single</v>
      </c>
      <c r="O551" t="str" cm="1">
        <f t="array" ref="O551">IF((SUMPRODUCT((OrderID=OrderLines!$A551)*Qty*UnitPrice*DiscountPct))&gt;40,"HighDisc","OK")</f>
        <v>OK</v>
      </c>
      <c r="P551">
        <f>(orderlinesTABLE[[#This Row],[UnitCost]]*orderlinesTABLE[[#This Row],[Qty]])</f>
        <v>16</v>
      </c>
      <c r="Q551">
        <f>(orderlinesTABLE[[#This Row],[LineNetAmount]]-orderlinesTABLE[[#This Row],[totalCOST]])</f>
        <v>23.013399999999997</v>
      </c>
      <c r="R551" t="str">
        <f>VLOOKUP($B551,Menu!$A$1:$F$20,MATCH(OrderLines!R$1,Menu!$A$1:$F$1,0),0)</f>
        <v>Nimbu Pani</v>
      </c>
      <c r="S551" t="str" cm="1">
        <f t="array" ref="S551">_xlfn.TEXTJOIN("+",TRUE,_xlfn._xlws.FILTER(orderlinesTABLE[ItemName],OrderID=orderlinesTABLE[[#This Row],[OrderID]]))</f>
        <v>Nimbu Pani+Tea+Veg Sandwich</v>
      </c>
      <c r="T551" s="54">
        <f>orderlinesTABLE[[#This Row],[Profit]]/orderlinesTABLE[[#This Row],[LineNetAmount]]</f>
        <v>0.58988450122265679</v>
      </c>
      <c r="U551" s="70">
        <f>(orderlinesTABLE[[#This Row],[Qty]]*orderlinesTABLE[[#This Row],[UnitCost]])</f>
        <v>16</v>
      </c>
    </row>
    <row r="552" spans="1:21" x14ac:dyDescent="0.3">
      <c r="A552" s="14" t="s">
        <v>253</v>
      </c>
      <c r="B552" s="14" t="s">
        <v>402</v>
      </c>
      <c r="C552" s="14">
        <v>2</v>
      </c>
      <c r="D552" s="37">
        <f>VLOOKUP($B552,Menu!$A$1:$F$20,MATCH($D$1,Menu!$A$1:$F$1,0),0)</f>
        <v>30.34</v>
      </c>
      <c r="E552" s="14" t="str">
        <f>VLOOKUP($B552,Menu!$A$1:$F$20,MATCH(OrderLines!E$1,Menu!$A$1:$F$1,0),0)</f>
        <v>Beverage</v>
      </c>
      <c r="F552" s="37">
        <f>VLOOKUP($B552,Menu!$A$1:$F$20,MATCH(OrderLines!F$1,Menu!$A$1:$F$1,0),0)</f>
        <v>14.18</v>
      </c>
      <c r="G552" s="28">
        <f>VLOOKUP($A552,Orders!$A$1:$H$361,MATCH($G$1,Orders!$A$1:$H$1,0),0)</f>
        <v>45887</v>
      </c>
      <c r="H552" s="14" t="str">
        <f>VLOOKUP($A552,Orders!$A$1:$H$361,MATCH(OrderLines!$H$1,Orders!$A$1:$H$1,0),0)</f>
        <v>Plant 1 Canteen</v>
      </c>
      <c r="I552" s="14">
        <f>VLOOKUP($A552,Orders!$A$1:$H$361,MATCH(OrderLines!$I$1,Orders!$A$1:$H$1,0),0)</f>
        <v>0.03</v>
      </c>
      <c r="J552" s="14">
        <f t="shared" si="25"/>
        <v>58.8596</v>
      </c>
      <c r="K552" s="28" t="str">
        <f t="shared" si="26"/>
        <v>August</v>
      </c>
      <c r="L552" s="14" t="str">
        <f>VLOOKUP(OrderLines!$A552,Orders!$A$1:$H$361,MATCH(OrderLines!$L$1,Orders!$A$1:$H$1,0),0)</f>
        <v>Breakfast</v>
      </c>
      <c r="M552" t="str">
        <f>VLOOKUP($A552,Orders!$A$1:$H$361,MATCH(OrderLines!$M$1,Orders!$A$1:$H$1,0),0)</f>
        <v>Cash</v>
      </c>
      <c r="N552" t="str">
        <f t="shared" si="24"/>
        <v>Single</v>
      </c>
      <c r="O552" t="str" cm="1">
        <f t="array" ref="O552">IF((SUMPRODUCT((OrderID=OrderLines!$A552)*Qty*UnitPrice*DiscountPct))&gt;40,"HighDisc","OK")</f>
        <v>OK</v>
      </c>
      <c r="P552">
        <f>(orderlinesTABLE[[#This Row],[UnitCost]]*orderlinesTABLE[[#This Row],[Qty]])</f>
        <v>28.36</v>
      </c>
      <c r="Q552">
        <f>(orderlinesTABLE[[#This Row],[LineNetAmount]]-orderlinesTABLE[[#This Row],[totalCOST]])</f>
        <v>30.499600000000001</v>
      </c>
      <c r="R552" t="str">
        <f>VLOOKUP($B552,Menu!$A$1:$F$20,MATCH(OrderLines!R$1,Menu!$A$1:$F$1,0),0)</f>
        <v>Tea</v>
      </c>
      <c r="S552" t="str" cm="1">
        <f t="array" ref="S552">_xlfn.TEXTJOIN("+",TRUE,_xlfn._xlws.FILTER(orderlinesTABLE[ItemName],OrderID=orderlinesTABLE[[#This Row],[OrderID]]))</f>
        <v>Nimbu Pani+Tea+Veg Sandwich</v>
      </c>
      <c r="T552" s="54">
        <f>orderlinesTABLE[[#This Row],[Profit]]/orderlinesTABLE[[#This Row],[LineNetAmount]]</f>
        <v>0.51817545481110983</v>
      </c>
      <c r="U552" s="70">
        <f>(orderlinesTABLE[[#This Row],[Qty]]*orderlinesTABLE[[#This Row],[UnitCost]])</f>
        <v>28.36</v>
      </c>
    </row>
    <row r="553" spans="1:21" x14ac:dyDescent="0.3">
      <c r="A553" s="15" t="s">
        <v>253</v>
      </c>
      <c r="B553" s="15" t="s">
        <v>408</v>
      </c>
      <c r="C553" s="15">
        <v>1</v>
      </c>
      <c r="D553" s="36">
        <f>VLOOKUP($B553,Menu!$A$1:$F$20,MATCH($D$1,Menu!$A$1:$F$1,0),0)</f>
        <v>70.540000000000006</v>
      </c>
      <c r="E553" s="15" t="str">
        <f>VLOOKUP($B553,Menu!$A$1:$F$20,MATCH(OrderLines!E$1,Menu!$A$1:$F$1,0),0)</f>
        <v>Snack</v>
      </c>
      <c r="F553" s="36">
        <f>VLOOKUP($B553,Menu!$A$1:$F$20,MATCH(OrderLines!F$1,Menu!$A$1:$F$1,0),0)</f>
        <v>35.81</v>
      </c>
      <c r="G553" s="27">
        <f>VLOOKUP($A553,Orders!$A$1:$H$361,MATCH($G$1,Orders!$A$1:$H$1,0),0)</f>
        <v>45887</v>
      </c>
      <c r="H553" s="15" t="str">
        <f>VLOOKUP($A553,Orders!$A$1:$H$361,MATCH(OrderLines!$H$1,Orders!$A$1:$H$1,0),0)</f>
        <v>Plant 1 Canteen</v>
      </c>
      <c r="I553" s="15">
        <f>VLOOKUP($A553,Orders!$A$1:$H$361,MATCH(OrderLines!$I$1,Orders!$A$1:$H$1,0),0)</f>
        <v>0.03</v>
      </c>
      <c r="J553" s="15">
        <f t="shared" si="25"/>
        <v>68.4238</v>
      </c>
      <c r="K553" s="27" t="str">
        <f t="shared" si="26"/>
        <v>August</v>
      </c>
      <c r="L553" s="15" t="str">
        <f>VLOOKUP(OrderLines!$A553,Orders!$A$1:$H$361,MATCH(OrderLines!$L$1,Orders!$A$1:$H$1,0),0)</f>
        <v>Breakfast</v>
      </c>
      <c r="M553" t="str">
        <f>VLOOKUP($A553,Orders!$A$1:$H$361,MATCH(OrderLines!$M$1,Orders!$A$1:$H$1,0),0)</f>
        <v>Cash</v>
      </c>
      <c r="N553" t="str">
        <f t="shared" si="24"/>
        <v>Single</v>
      </c>
      <c r="O553" t="str" cm="1">
        <f t="array" ref="O553">IF((SUMPRODUCT((OrderID=OrderLines!$A553)*Qty*UnitPrice*DiscountPct))&gt;40,"HighDisc","OK")</f>
        <v>OK</v>
      </c>
      <c r="P553">
        <f>(orderlinesTABLE[[#This Row],[UnitCost]]*orderlinesTABLE[[#This Row],[Qty]])</f>
        <v>35.81</v>
      </c>
      <c r="Q553">
        <f>(orderlinesTABLE[[#This Row],[LineNetAmount]]-orderlinesTABLE[[#This Row],[totalCOST]])</f>
        <v>32.613799999999998</v>
      </c>
      <c r="R553" t="str">
        <f>VLOOKUP($B553,Menu!$A$1:$F$20,MATCH(OrderLines!R$1,Menu!$A$1:$F$1,0),0)</f>
        <v>Veg Sandwich</v>
      </c>
      <c r="S553" t="str" cm="1">
        <f t="array" ref="S553">_xlfn.TEXTJOIN("+",TRUE,_xlfn._xlws.FILTER(orderlinesTABLE[ItemName],OrderID=orderlinesTABLE[[#This Row],[OrderID]]))</f>
        <v>Nimbu Pani+Tea+Veg Sandwich</v>
      </c>
      <c r="T553" s="54">
        <f>orderlinesTABLE[[#This Row],[Profit]]/orderlinesTABLE[[#This Row],[LineNetAmount]]</f>
        <v>0.47664409167570343</v>
      </c>
      <c r="U553" s="70">
        <f>(orderlinesTABLE[[#This Row],[Qty]]*orderlinesTABLE[[#This Row],[UnitCost]])</f>
        <v>35.81</v>
      </c>
    </row>
    <row r="554" spans="1:21" x14ac:dyDescent="0.3">
      <c r="A554" s="14" t="s">
        <v>254</v>
      </c>
      <c r="B554" s="14" t="s">
        <v>405</v>
      </c>
      <c r="C554" s="14">
        <v>1</v>
      </c>
      <c r="D554" s="37">
        <f>VLOOKUP($B554,Menu!$A$1:$F$20,MATCH($D$1,Menu!$A$1:$F$1,0),0)</f>
        <v>170.83</v>
      </c>
      <c r="E554" s="14" t="str">
        <f>VLOOKUP($B554,Menu!$A$1:$F$20,MATCH(OrderLines!E$1,Menu!$A$1:$F$1,0),0)</f>
        <v>Hot Meal</v>
      </c>
      <c r="F554" s="37">
        <f>VLOOKUP($B554,Menu!$A$1:$F$20,MATCH(OrderLines!F$1,Menu!$A$1:$F$1,0),0)</f>
        <v>74.069999999999993</v>
      </c>
      <c r="G554" s="28">
        <f>VLOOKUP($A554,Orders!$A$1:$H$361,MATCH($G$1,Orders!$A$1:$H$1,0),0)</f>
        <v>45852</v>
      </c>
      <c r="H554" s="14" t="str">
        <f>VLOOKUP($A554,Orders!$A$1:$H$361,MATCH(OrderLines!$H$1,Orders!$A$1:$H$1,0),0)</f>
        <v>Plant 2 Canteen</v>
      </c>
      <c r="I554" s="14">
        <f>VLOOKUP($A554,Orders!$A$1:$H$361,MATCH(OrderLines!$I$1,Orders!$A$1:$H$1,0),0)</f>
        <v>0.08</v>
      </c>
      <c r="J554" s="14">
        <f t="shared" si="25"/>
        <v>157.16360000000003</v>
      </c>
      <c r="K554" s="28" t="str">
        <f t="shared" si="26"/>
        <v>July</v>
      </c>
      <c r="L554" s="14" t="str">
        <f>VLOOKUP(OrderLines!$A554,Orders!$A$1:$H$361,MATCH(OrderLines!$L$1,Orders!$A$1:$H$1,0),0)</f>
        <v>Breakfast</v>
      </c>
      <c r="M554" t="str">
        <f>VLOOKUP($A554,Orders!$A$1:$H$361,MATCH(OrderLines!$M$1,Orders!$A$1:$H$1,0),0)</f>
        <v>Card</v>
      </c>
      <c r="N554" t="str">
        <f t="shared" si="24"/>
        <v>Single</v>
      </c>
      <c r="O554" t="str" cm="1">
        <f t="array" ref="O554">IF((SUMPRODUCT((OrderID=OrderLines!$A554)*Qty*UnitPrice*DiscountPct))&gt;40,"HighDisc","OK")</f>
        <v>HighDisc</v>
      </c>
      <c r="P554">
        <f>(orderlinesTABLE[[#This Row],[UnitCost]]*orderlinesTABLE[[#This Row],[Qty]])</f>
        <v>74.069999999999993</v>
      </c>
      <c r="Q554">
        <f>(orderlinesTABLE[[#This Row],[LineNetAmount]]-orderlinesTABLE[[#This Row],[totalCOST]])</f>
        <v>83.093600000000038</v>
      </c>
      <c r="R554" t="str">
        <f>VLOOKUP($B554,Menu!$A$1:$F$20,MATCH(OrderLines!R$1,Menu!$A$1:$F$1,0),0)</f>
        <v>Paneer Butter Masala + Naan</v>
      </c>
      <c r="S554" t="str" cm="1">
        <f t="array" ref="S554">_xlfn.TEXTJOIN("+",TRUE,_xlfn._xlws.FILTER(orderlinesTABLE[ItemName],OrderID=orderlinesTABLE[[#This Row],[OrderID]]))</f>
        <v>Paneer Butter Masala + Naan+Chicken Thali+Samosa+Poha</v>
      </c>
      <c r="T554" s="54">
        <f>orderlinesTABLE[[#This Row],[Profit]]/orderlinesTABLE[[#This Row],[LineNetAmount]]</f>
        <v>0.52870766513365708</v>
      </c>
      <c r="U554" s="70">
        <f>(orderlinesTABLE[[#This Row],[Qty]]*orderlinesTABLE[[#This Row],[UnitCost]])</f>
        <v>74.069999999999993</v>
      </c>
    </row>
    <row r="555" spans="1:21" x14ac:dyDescent="0.3">
      <c r="A555" s="15" t="s">
        <v>254</v>
      </c>
      <c r="B555" s="15" t="s">
        <v>415</v>
      </c>
      <c r="C555" s="15">
        <v>1</v>
      </c>
      <c r="D555" s="36">
        <f>VLOOKUP($B555,Menu!$A$1:$F$20,MATCH($D$1,Menu!$A$1:$F$1,0),0)</f>
        <v>256.91000000000003</v>
      </c>
      <c r="E555" s="15" t="str">
        <f>VLOOKUP($B555,Menu!$A$1:$F$20,MATCH(OrderLines!E$1,Menu!$A$1:$F$1,0),0)</f>
        <v>Hot Meal</v>
      </c>
      <c r="F555" s="36">
        <f>VLOOKUP($B555,Menu!$A$1:$F$20,MATCH(OrderLines!F$1,Menu!$A$1:$F$1,0),0)</f>
        <v>121.24</v>
      </c>
      <c r="G555" s="27">
        <f>VLOOKUP($A555,Orders!$A$1:$H$361,MATCH($G$1,Orders!$A$1:$H$1,0),0)</f>
        <v>45852</v>
      </c>
      <c r="H555" s="15" t="str">
        <f>VLOOKUP($A555,Orders!$A$1:$H$361,MATCH(OrderLines!$H$1,Orders!$A$1:$H$1,0),0)</f>
        <v>Plant 2 Canteen</v>
      </c>
      <c r="I555" s="15">
        <f>VLOOKUP($A555,Orders!$A$1:$H$361,MATCH(OrderLines!$I$1,Orders!$A$1:$H$1,0),0)</f>
        <v>0.08</v>
      </c>
      <c r="J555" s="15">
        <f t="shared" si="25"/>
        <v>236.35720000000003</v>
      </c>
      <c r="K555" s="27" t="str">
        <f t="shared" si="26"/>
        <v>July</v>
      </c>
      <c r="L555" s="15" t="str">
        <f>VLOOKUP(OrderLines!$A555,Orders!$A$1:$H$361,MATCH(OrderLines!$L$1,Orders!$A$1:$H$1,0),0)</f>
        <v>Breakfast</v>
      </c>
      <c r="M555" t="str">
        <f>VLOOKUP($A555,Orders!$A$1:$H$361,MATCH(OrderLines!$M$1,Orders!$A$1:$H$1,0),0)</f>
        <v>Card</v>
      </c>
      <c r="N555" t="str">
        <f t="shared" si="24"/>
        <v>Single</v>
      </c>
      <c r="O555" t="str" cm="1">
        <f t="array" ref="O555">IF((SUMPRODUCT((OrderID=OrderLines!$A555)*Qty*UnitPrice*DiscountPct))&gt;40,"HighDisc","OK")</f>
        <v>HighDisc</v>
      </c>
      <c r="P555">
        <f>(orderlinesTABLE[[#This Row],[UnitCost]]*orderlinesTABLE[[#This Row],[Qty]])</f>
        <v>121.24</v>
      </c>
      <c r="Q555">
        <f>(orderlinesTABLE[[#This Row],[LineNetAmount]]-orderlinesTABLE[[#This Row],[totalCOST]])</f>
        <v>115.11720000000004</v>
      </c>
      <c r="R555" t="str">
        <f>VLOOKUP($B555,Menu!$A$1:$F$20,MATCH(OrderLines!R$1,Menu!$A$1:$F$1,0),0)</f>
        <v>Chicken Thali</v>
      </c>
      <c r="S555" t="str" cm="1">
        <f t="array" ref="S555">_xlfn.TEXTJOIN("+",TRUE,_xlfn._xlws.FILTER(orderlinesTABLE[ItemName],OrderID=orderlinesTABLE[[#This Row],[OrderID]]))</f>
        <v>Paneer Butter Masala + Naan+Chicken Thali+Samosa+Poha</v>
      </c>
      <c r="T555" s="54">
        <f>orderlinesTABLE[[#This Row],[Profit]]/orderlinesTABLE[[#This Row],[LineNetAmount]]</f>
        <v>0.48704757037230101</v>
      </c>
      <c r="U555" s="70">
        <f>(orderlinesTABLE[[#This Row],[Qty]]*orderlinesTABLE[[#This Row],[UnitCost]])</f>
        <v>121.24</v>
      </c>
    </row>
    <row r="556" spans="1:21" x14ac:dyDescent="0.3">
      <c r="A556" s="14" t="s">
        <v>254</v>
      </c>
      <c r="B556" s="14" t="s">
        <v>418</v>
      </c>
      <c r="C556" s="14">
        <v>2</v>
      </c>
      <c r="D556" s="37">
        <f>VLOOKUP($B556,Menu!$A$1:$F$20,MATCH($D$1,Menu!$A$1:$F$1,0),0)</f>
        <v>39.950000000000003</v>
      </c>
      <c r="E556" s="14" t="str">
        <f>VLOOKUP($B556,Menu!$A$1:$F$20,MATCH(OrderLines!E$1,Menu!$A$1:$F$1,0),0)</f>
        <v>Snack</v>
      </c>
      <c r="F556" s="37">
        <f>VLOOKUP($B556,Menu!$A$1:$F$20,MATCH(OrderLines!F$1,Menu!$A$1:$F$1,0),0)</f>
        <v>15.51</v>
      </c>
      <c r="G556" s="28">
        <f>VLOOKUP($A556,Orders!$A$1:$H$361,MATCH($G$1,Orders!$A$1:$H$1,0),0)</f>
        <v>45852</v>
      </c>
      <c r="H556" s="14" t="str">
        <f>VLOOKUP($A556,Orders!$A$1:$H$361,MATCH(OrderLines!$H$1,Orders!$A$1:$H$1,0),0)</f>
        <v>Plant 2 Canteen</v>
      </c>
      <c r="I556" s="14">
        <f>VLOOKUP($A556,Orders!$A$1:$H$361,MATCH(OrderLines!$I$1,Orders!$A$1:$H$1,0),0)</f>
        <v>0.08</v>
      </c>
      <c r="J556" s="14">
        <f t="shared" si="25"/>
        <v>73.50800000000001</v>
      </c>
      <c r="K556" s="28" t="str">
        <f t="shared" si="26"/>
        <v>July</v>
      </c>
      <c r="L556" s="14" t="str">
        <f>VLOOKUP(OrderLines!$A556,Orders!$A$1:$H$361,MATCH(OrderLines!$L$1,Orders!$A$1:$H$1,0),0)</f>
        <v>Breakfast</v>
      </c>
      <c r="M556" t="str">
        <f>VLOOKUP($A556,Orders!$A$1:$H$361,MATCH(OrderLines!$M$1,Orders!$A$1:$H$1,0),0)</f>
        <v>Card</v>
      </c>
      <c r="N556" t="str">
        <f t="shared" si="24"/>
        <v>Single</v>
      </c>
      <c r="O556" t="str" cm="1">
        <f t="array" ref="O556">IF((SUMPRODUCT((OrderID=OrderLines!$A556)*Qty*UnitPrice*DiscountPct))&gt;40,"HighDisc","OK")</f>
        <v>HighDisc</v>
      </c>
      <c r="P556">
        <f>(orderlinesTABLE[[#This Row],[UnitCost]]*orderlinesTABLE[[#This Row],[Qty]])</f>
        <v>31.02</v>
      </c>
      <c r="Q556">
        <f>(orderlinesTABLE[[#This Row],[LineNetAmount]]-orderlinesTABLE[[#This Row],[totalCOST]])</f>
        <v>42.488000000000014</v>
      </c>
      <c r="R556" t="str">
        <f>VLOOKUP($B556,Menu!$A$1:$F$20,MATCH(OrderLines!R$1,Menu!$A$1:$F$1,0),0)</f>
        <v>Samosa</v>
      </c>
      <c r="S556" t="str" cm="1">
        <f t="array" ref="S556">_xlfn.TEXTJOIN("+",TRUE,_xlfn._xlws.FILTER(orderlinesTABLE[ItemName],OrderID=orderlinesTABLE[[#This Row],[OrderID]]))</f>
        <v>Paneer Butter Masala + Naan+Chicken Thali+Samosa+Poha</v>
      </c>
      <c r="T556" s="54">
        <f>orderlinesTABLE[[#This Row],[Profit]]/orderlinesTABLE[[#This Row],[LineNetAmount]]</f>
        <v>0.57800511508951413</v>
      </c>
      <c r="U556" s="70">
        <f>(orderlinesTABLE[[#This Row],[Qty]]*orderlinesTABLE[[#This Row],[UnitCost]])</f>
        <v>31.02</v>
      </c>
    </row>
    <row r="557" spans="1:21" x14ac:dyDescent="0.3">
      <c r="A557" s="15" t="s">
        <v>254</v>
      </c>
      <c r="B557" s="15" t="s">
        <v>401</v>
      </c>
      <c r="C557" s="15">
        <v>3</v>
      </c>
      <c r="D557" s="36">
        <f>VLOOKUP($B557,Menu!$A$1:$F$20,MATCH($D$1,Menu!$A$1:$F$1,0),0)</f>
        <v>52.45</v>
      </c>
      <c r="E557" s="15" t="str">
        <f>VLOOKUP($B557,Menu!$A$1:$F$20,MATCH(OrderLines!E$1,Menu!$A$1:$F$1,0),0)</f>
        <v>Snack</v>
      </c>
      <c r="F557" s="36">
        <f>VLOOKUP($B557,Menu!$A$1:$F$20,MATCH(OrderLines!F$1,Menu!$A$1:$F$1,0),0)</f>
        <v>25.8</v>
      </c>
      <c r="G557" s="27">
        <f>VLOOKUP($A557,Orders!$A$1:$H$361,MATCH($G$1,Orders!$A$1:$H$1,0),0)</f>
        <v>45852</v>
      </c>
      <c r="H557" s="15" t="str">
        <f>VLOOKUP($A557,Orders!$A$1:$H$361,MATCH(OrderLines!$H$1,Orders!$A$1:$H$1,0),0)</f>
        <v>Plant 2 Canteen</v>
      </c>
      <c r="I557" s="15">
        <f>VLOOKUP($A557,Orders!$A$1:$H$361,MATCH(OrderLines!$I$1,Orders!$A$1:$H$1,0),0)</f>
        <v>0.08</v>
      </c>
      <c r="J557" s="15">
        <f t="shared" si="25"/>
        <v>144.76200000000003</v>
      </c>
      <c r="K557" s="27" t="str">
        <f t="shared" si="26"/>
        <v>July</v>
      </c>
      <c r="L557" s="15" t="str">
        <f>VLOOKUP(OrderLines!$A557,Orders!$A$1:$H$361,MATCH(OrderLines!$L$1,Orders!$A$1:$H$1,0),0)</f>
        <v>Breakfast</v>
      </c>
      <c r="M557" t="str">
        <f>VLOOKUP($A557,Orders!$A$1:$H$361,MATCH(OrderLines!$M$1,Orders!$A$1:$H$1,0),0)</f>
        <v>Card</v>
      </c>
      <c r="N557" t="str">
        <f t="shared" si="24"/>
        <v>Single</v>
      </c>
      <c r="O557" t="str" cm="1">
        <f t="array" ref="O557">IF((SUMPRODUCT((OrderID=OrderLines!$A557)*Qty*UnitPrice*DiscountPct))&gt;40,"HighDisc","OK")</f>
        <v>HighDisc</v>
      </c>
      <c r="P557">
        <f>(orderlinesTABLE[[#This Row],[UnitCost]]*orderlinesTABLE[[#This Row],[Qty]])</f>
        <v>77.400000000000006</v>
      </c>
      <c r="Q557">
        <f>(orderlinesTABLE[[#This Row],[LineNetAmount]]-orderlinesTABLE[[#This Row],[totalCOST]])</f>
        <v>67.362000000000023</v>
      </c>
      <c r="R557" t="str">
        <f>VLOOKUP($B557,Menu!$A$1:$F$20,MATCH(OrderLines!R$1,Menu!$A$1:$F$1,0),0)</f>
        <v>Poha</v>
      </c>
      <c r="S557" t="str" cm="1">
        <f t="array" ref="S557">_xlfn.TEXTJOIN("+",TRUE,_xlfn._xlws.FILTER(orderlinesTABLE[ItemName],OrderID=orderlinesTABLE[[#This Row],[OrderID]]))</f>
        <v>Paneer Butter Masala + Naan+Chicken Thali+Samosa+Poha</v>
      </c>
      <c r="T557" s="54">
        <f>orderlinesTABLE[[#This Row],[Profit]]/orderlinesTABLE[[#This Row],[LineNetAmount]]</f>
        <v>0.46532929912546117</v>
      </c>
      <c r="U557" s="70">
        <f>(orderlinesTABLE[[#This Row],[Qty]]*orderlinesTABLE[[#This Row],[UnitCost]])</f>
        <v>77.400000000000006</v>
      </c>
    </row>
    <row r="558" spans="1:21" x14ac:dyDescent="0.3">
      <c r="A558" s="14" t="s">
        <v>255</v>
      </c>
      <c r="B558" s="14" t="s">
        <v>409</v>
      </c>
      <c r="C558" s="14">
        <v>1</v>
      </c>
      <c r="D558" s="37">
        <f>VLOOKUP($B558,Menu!$A$1:$F$20,MATCH($D$1,Menu!$A$1:$F$1,0),0)</f>
        <v>28.43</v>
      </c>
      <c r="E558" s="14" t="str">
        <f>VLOOKUP($B558,Menu!$A$1:$F$20,MATCH(OrderLines!E$1,Menu!$A$1:$F$1,0),0)</f>
        <v>Beverage</v>
      </c>
      <c r="F558" s="37">
        <f>VLOOKUP($B558,Menu!$A$1:$F$20,MATCH(OrderLines!F$1,Menu!$A$1:$F$1,0),0)</f>
        <v>13.89</v>
      </c>
      <c r="G558" s="28">
        <f>VLOOKUP($A558,Orders!$A$1:$H$361,MATCH($G$1,Orders!$A$1:$H$1,0),0)</f>
        <v>45879</v>
      </c>
      <c r="H558" s="14" t="str">
        <f>VLOOKUP($A558,Orders!$A$1:$H$361,MATCH(OrderLines!$H$1,Orders!$A$1:$H$1,0),0)</f>
        <v>Head Office Café</v>
      </c>
      <c r="I558" s="14">
        <f>VLOOKUP($A558,Orders!$A$1:$H$361,MATCH(OrderLines!$I$1,Orders!$A$1:$H$1,0),0)</f>
        <v>0.09</v>
      </c>
      <c r="J558" s="14">
        <f t="shared" si="25"/>
        <v>25.871300000000002</v>
      </c>
      <c r="K558" s="28" t="str">
        <f t="shared" si="26"/>
        <v>August</v>
      </c>
      <c r="L558" s="14" t="str">
        <f>VLOOKUP(OrderLines!$A558,Orders!$A$1:$H$361,MATCH(OrderLines!$L$1,Orders!$A$1:$H$1,0),0)</f>
        <v>Dinner</v>
      </c>
      <c r="M558" t="str">
        <f>VLOOKUP($A558,Orders!$A$1:$H$361,MATCH(OrderLines!$M$1,Orders!$A$1:$H$1,0),0)</f>
        <v>UPI</v>
      </c>
      <c r="N558" t="str">
        <f t="shared" si="24"/>
        <v>Single</v>
      </c>
      <c r="O558" t="str" cm="1">
        <f t="array" ref="O558">IF((SUMPRODUCT((OrderID=OrderLines!$A558)*Qty*UnitPrice*DiscountPct))&gt;40,"HighDisc","OK")</f>
        <v>OK</v>
      </c>
      <c r="P558">
        <f>(orderlinesTABLE[[#This Row],[UnitCost]]*orderlinesTABLE[[#This Row],[Qty]])</f>
        <v>13.89</v>
      </c>
      <c r="Q558">
        <f>(orderlinesTABLE[[#This Row],[LineNetAmount]]-orderlinesTABLE[[#This Row],[totalCOST]])</f>
        <v>11.981300000000001</v>
      </c>
      <c r="R558" t="str">
        <f>VLOOKUP($B558,Menu!$A$1:$F$20,MATCH(OrderLines!R$1,Menu!$A$1:$F$1,0),0)</f>
        <v>Bottled Water</v>
      </c>
      <c r="S558" t="str" cm="1">
        <f t="array" ref="S558">_xlfn.TEXTJOIN("+",TRUE,_xlfn._xlws.FILTER(orderlinesTABLE[ItemName],OrderID=orderlinesTABLE[[#This Row],[OrderID]]))</f>
        <v>Bottled Water</v>
      </c>
      <c r="T558" s="54">
        <f>orderlinesTABLE[[#This Row],[Profit]]/orderlinesTABLE[[#This Row],[LineNetAmount]]</f>
        <v>0.46311163335433475</v>
      </c>
      <c r="U558" s="70">
        <f>(orderlinesTABLE[[#This Row],[Qty]]*orderlinesTABLE[[#This Row],[UnitCost]])</f>
        <v>13.89</v>
      </c>
    </row>
    <row r="559" spans="1:21" x14ac:dyDescent="0.3">
      <c r="A559" s="15" t="s">
        <v>256</v>
      </c>
      <c r="B559" s="15" t="s">
        <v>412</v>
      </c>
      <c r="C559" s="15">
        <v>2</v>
      </c>
      <c r="D559" s="36">
        <f>VLOOKUP($B559,Menu!$A$1:$F$20,MATCH($D$1,Menu!$A$1:$F$1,0),0)</f>
        <v>57.07</v>
      </c>
      <c r="E559" s="15" t="str">
        <f>VLOOKUP($B559,Menu!$A$1:$F$20,MATCH(OrderLines!E$1,Menu!$A$1:$F$1,0),0)</f>
        <v>Dessert</v>
      </c>
      <c r="F559" s="36">
        <f>VLOOKUP($B559,Menu!$A$1:$F$20,MATCH(OrderLines!F$1,Menu!$A$1:$F$1,0),0)</f>
        <v>29.14</v>
      </c>
      <c r="G559" s="27">
        <f>VLOOKUP($A559,Orders!$A$1:$H$361,MATCH($G$1,Orders!$A$1:$H$1,0),0)</f>
        <v>45879</v>
      </c>
      <c r="H559" s="15" t="str">
        <f>VLOOKUP($A559,Orders!$A$1:$H$361,MATCH(OrderLines!$H$1,Orders!$A$1:$H$1,0),0)</f>
        <v>Head Office Café</v>
      </c>
      <c r="I559" s="15">
        <f>VLOOKUP($A559,Orders!$A$1:$H$361,MATCH(OrderLines!$I$1,Orders!$A$1:$H$1,0),0)</f>
        <v>0.02</v>
      </c>
      <c r="J559" s="15">
        <f t="shared" si="25"/>
        <v>111.85719999999999</v>
      </c>
      <c r="K559" s="27" t="str">
        <f t="shared" si="26"/>
        <v>August</v>
      </c>
      <c r="L559" s="15" t="str">
        <f>VLOOKUP(OrderLines!$A559,Orders!$A$1:$H$361,MATCH(OrderLines!$L$1,Orders!$A$1:$H$1,0),0)</f>
        <v>Lunch</v>
      </c>
      <c r="M559" t="str">
        <f>VLOOKUP($A559,Orders!$A$1:$H$361,MATCH(OrderLines!$M$1,Orders!$A$1:$H$1,0),0)</f>
        <v>Card</v>
      </c>
      <c r="N559" t="str">
        <f t="shared" si="24"/>
        <v>Single</v>
      </c>
      <c r="O559" t="str" cm="1">
        <f t="array" ref="O559">IF((SUMPRODUCT((OrderID=OrderLines!$A559)*Qty*UnitPrice*DiscountPct))&gt;40,"HighDisc","OK")</f>
        <v>OK</v>
      </c>
      <c r="P559">
        <f>(orderlinesTABLE[[#This Row],[UnitCost]]*orderlinesTABLE[[#This Row],[Qty]])</f>
        <v>58.28</v>
      </c>
      <c r="Q559">
        <f>(orderlinesTABLE[[#This Row],[LineNetAmount]]-orderlinesTABLE[[#This Row],[totalCOST]])</f>
        <v>53.577199999999991</v>
      </c>
      <c r="R559" t="str">
        <f>VLOOKUP($B559,Menu!$A$1:$F$20,MATCH(OrderLines!R$1,Menu!$A$1:$F$1,0),0)</f>
        <v>Fruit Cup</v>
      </c>
      <c r="S559" t="str" cm="1">
        <f t="array" ref="S559">_xlfn.TEXTJOIN("+",TRUE,_xlfn._xlws.FILTER(orderlinesTABLE[ItemName],OrderID=orderlinesTABLE[[#This Row],[OrderID]]))</f>
        <v>Fruit Cup+Veg Thali+Paneer Butter Masala + Naan</v>
      </c>
      <c r="T559" s="54">
        <f>orderlinesTABLE[[#This Row],[Profit]]/orderlinesTABLE[[#This Row],[LineNetAmount]]</f>
        <v>0.47897855480022739</v>
      </c>
      <c r="U559" s="70">
        <f>(orderlinesTABLE[[#This Row],[Qty]]*orderlinesTABLE[[#This Row],[UnitCost]])</f>
        <v>58.28</v>
      </c>
    </row>
    <row r="560" spans="1:21" x14ac:dyDescent="0.3">
      <c r="A560" s="14" t="s">
        <v>256</v>
      </c>
      <c r="B560" s="14" t="s">
        <v>416</v>
      </c>
      <c r="C560" s="14">
        <v>1</v>
      </c>
      <c r="D560" s="37">
        <f>VLOOKUP($B560,Menu!$A$1:$F$20,MATCH($D$1,Menu!$A$1:$F$1,0),0)</f>
        <v>227.61</v>
      </c>
      <c r="E560" s="14" t="str">
        <f>VLOOKUP($B560,Menu!$A$1:$F$20,MATCH(OrderLines!E$1,Menu!$A$1:$F$1,0),0)</f>
        <v>Hot Meal</v>
      </c>
      <c r="F560" s="37">
        <f>VLOOKUP($B560,Menu!$A$1:$F$20,MATCH(OrderLines!F$1,Menu!$A$1:$F$1,0),0)</f>
        <v>96.22</v>
      </c>
      <c r="G560" s="28">
        <f>VLOOKUP($A560,Orders!$A$1:$H$361,MATCH($G$1,Orders!$A$1:$H$1,0),0)</f>
        <v>45879</v>
      </c>
      <c r="H560" s="14" t="str">
        <f>VLOOKUP($A560,Orders!$A$1:$H$361,MATCH(OrderLines!$H$1,Orders!$A$1:$H$1,0),0)</f>
        <v>Head Office Café</v>
      </c>
      <c r="I560" s="14">
        <f>VLOOKUP($A560,Orders!$A$1:$H$361,MATCH(OrderLines!$I$1,Orders!$A$1:$H$1,0),0)</f>
        <v>0.02</v>
      </c>
      <c r="J560" s="14">
        <f t="shared" si="25"/>
        <v>223.05780000000001</v>
      </c>
      <c r="K560" s="28" t="str">
        <f t="shared" si="26"/>
        <v>August</v>
      </c>
      <c r="L560" s="14" t="str">
        <f>VLOOKUP(OrderLines!$A560,Orders!$A$1:$H$361,MATCH(OrderLines!$L$1,Orders!$A$1:$H$1,0),0)</f>
        <v>Lunch</v>
      </c>
      <c r="M560" t="str">
        <f>VLOOKUP($A560,Orders!$A$1:$H$361,MATCH(OrderLines!$M$1,Orders!$A$1:$H$1,0),0)</f>
        <v>Card</v>
      </c>
      <c r="N560" t="str">
        <f t="shared" si="24"/>
        <v>Single</v>
      </c>
      <c r="O560" t="str" cm="1">
        <f t="array" ref="O560">IF((SUMPRODUCT((OrderID=OrderLines!$A560)*Qty*UnitPrice*DiscountPct))&gt;40,"HighDisc","OK")</f>
        <v>OK</v>
      </c>
      <c r="P560">
        <f>(orderlinesTABLE[[#This Row],[UnitCost]]*orderlinesTABLE[[#This Row],[Qty]])</f>
        <v>96.22</v>
      </c>
      <c r="Q560">
        <f>(orderlinesTABLE[[#This Row],[LineNetAmount]]-orderlinesTABLE[[#This Row],[totalCOST]])</f>
        <v>126.83780000000002</v>
      </c>
      <c r="R560" t="str">
        <f>VLOOKUP($B560,Menu!$A$1:$F$20,MATCH(OrderLines!R$1,Menu!$A$1:$F$1,0),0)</f>
        <v>Veg Thali</v>
      </c>
      <c r="S560" t="str" cm="1">
        <f t="array" ref="S560">_xlfn.TEXTJOIN("+",TRUE,_xlfn._xlws.FILTER(orderlinesTABLE[ItemName],OrderID=orderlinesTABLE[[#This Row],[OrderID]]))</f>
        <v>Fruit Cup+Veg Thali+Paneer Butter Masala + Naan</v>
      </c>
      <c r="T560" s="54">
        <f>orderlinesTABLE[[#This Row],[Profit]]/orderlinesTABLE[[#This Row],[LineNetAmount]]</f>
        <v>0.56863198686618455</v>
      </c>
      <c r="U560" s="70">
        <f>(orderlinesTABLE[[#This Row],[Qty]]*orderlinesTABLE[[#This Row],[UnitCost]])</f>
        <v>96.22</v>
      </c>
    </row>
    <row r="561" spans="1:21" x14ac:dyDescent="0.3">
      <c r="A561" s="15" t="s">
        <v>256</v>
      </c>
      <c r="B561" s="15" t="s">
        <v>405</v>
      </c>
      <c r="C561" s="15">
        <v>2</v>
      </c>
      <c r="D561" s="36">
        <f>VLOOKUP($B561,Menu!$A$1:$F$20,MATCH($D$1,Menu!$A$1:$F$1,0),0)</f>
        <v>170.83</v>
      </c>
      <c r="E561" s="15" t="str">
        <f>VLOOKUP($B561,Menu!$A$1:$F$20,MATCH(OrderLines!E$1,Menu!$A$1:$F$1,0),0)</f>
        <v>Hot Meal</v>
      </c>
      <c r="F561" s="36">
        <f>VLOOKUP($B561,Menu!$A$1:$F$20,MATCH(OrderLines!F$1,Menu!$A$1:$F$1,0),0)</f>
        <v>74.069999999999993</v>
      </c>
      <c r="G561" s="27">
        <f>VLOOKUP($A561,Orders!$A$1:$H$361,MATCH($G$1,Orders!$A$1:$H$1,0),0)</f>
        <v>45879</v>
      </c>
      <c r="H561" s="15" t="str">
        <f>VLOOKUP($A561,Orders!$A$1:$H$361,MATCH(OrderLines!$H$1,Orders!$A$1:$H$1,0),0)</f>
        <v>Head Office Café</v>
      </c>
      <c r="I561" s="15">
        <f>VLOOKUP($A561,Orders!$A$1:$H$361,MATCH(OrderLines!$I$1,Orders!$A$1:$H$1,0),0)</f>
        <v>0.02</v>
      </c>
      <c r="J561" s="15">
        <f t="shared" si="25"/>
        <v>334.82679999999999</v>
      </c>
      <c r="K561" s="27" t="str">
        <f t="shared" si="26"/>
        <v>August</v>
      </c>
      <c r="L561" s="15" t="str">
        <f>VLOOKUP(OrderLines!$A561,Orders!$A$1:$H$361,MATCH(OrderLines!$L$1,Orders!$A$1:$H$1,0),0)</f>
        <v>Lunch</v>
      </c>
      <c r="M561" t="str">
        <f>VLOOKUP($A561,Orders!$A$1:$H$361,MATCH(OrderLines!$M$1,Orders!$A$1:$H$1,0),0)</f>
        <v>Card</v>
      </c>
      <c r="N561" t="str">
        <f t="shared" si="24"/>
        <v>Single</v>
      </c>
      <c r="O561" t="str" cm="1">
        <f t="array" ref="O561">IF((SUMPRODUCT((OrderID=OrderLines!$A561)*Qty*UnitPrice*DiscountPct))&gt;40,"HighDisc","OK")</f>
        <v>OK</v>
      </c>
      <c r="P561">
        <f>(orderlinesTABLE[[#This Row],[UnitCost]]*orderlinesTABLE[[#This Row],[Qty]])</f>
        <v>148.13999999999999</v>
      </c>
      <c r="Q561">
        <f>(orderlinesTABLE[[#This Row],[LineNetAmount]]-orderlinesTABLE[[#This Row],[totalCOST]])</f>
        <v>186.68680000000001</v>
      </c>
      <c r="R561" t="str">
        <f>VLOOKUP($B561,Menu!$A$1:$F$20,MATCH(OrderLines!R$1,Menu!$A$1:$F$1,0),0)</f>
        <v>Paneer Butter Masala + Naan</v>
      </c>
      <c r="S561" t="str" cm="1">
        <f t="array" ref="S561">_xlfn.TEXTJOIN("+",TRUE,_xlfn._xlws.FILTER(orderlinesTABLE[ItemName],OrderID=orderlinesTABLE[[#This Row],[OrderID]]))</f>
        <v>Fruit Cup+Veg Thali+Paneer Butter Masala + Naan</v>
      </c>
      <c r="T561" s="54">
        <f>orderlinesTABLE[[#This Row],[Profit]]/orderlinesTABLE[[#This Row],[LineNetAmount]]</f>
        <v>0.55756229788057587</v>
      </c>
      <c r="U561" s="70">
        <f>(orderlinesTABLE[[#This Row],[Qty]]*orderlinesTABLE[[#This Row],[UnitCost]])</f>
        <v>148.13999999999999</v>
      </c>
    </row>
    <row r="562" spans="1:21" x14ac:dyDescent="0.3">
      <c r="A562" s="14" t="s">
        <v>257</v>
      </c>
      <c r="B562" s="14" t="s">
        <v>403</v>
      </c>
      <c r="C562" s="14">
        <v>3</v>
      </c>
      <c r="D562" s="37">
        <f>VLOOKUP($B562,Menu!$A$1:$F$20,MATCH($D$1,Menu!$A$1:$F$1,0),0)</f>
        <v>76.55</v>
      </c>
      <c r="E562" s="14" t="str">
        <f>VLOOKUP($B562,Menu!$A$1:$F$20,MATCH(OrderLines!E$1,Menu!$A$1:$F$1,0),0)</f>
        <v>Dessert</v>
      </c>
      <c r="F562" s="37">
        <f>VLOOKUP($B562,Menu!$A$1:$F$20,MATCH(OrderLines!F$1,Menu!$A$1:$F$1,0),0)</f>
        <v>38.229999999999997</v>
      </c>
      <c r="G562" s="28">
        <f>VLOOKUP($A562,Orders!$A$1:$H$361,MATCH($G$1,Orders!$A$1:$H$1,0),0)</f>
        <v>45866</v>
      </c>
      <c r="H562" s="14" t="str">
        <f>VLOOKUP($A562,Orders!$A$1:$H$361,MATCH(OrderLines!$H$1,Orders!$A$1:$H$1,0),0)</f>
        <v>Plant 1 Canteen</v>
      </c>
      <c r="I562" s="14">
        <f>VLOOKUP($A562,Orders!$A$1:$H$361,MATCH(OrderLines!$I$1,Orders!$A$1:$H$1,0),0)</f>
        <v>0.06</v>
      </c>
      <c r="J562" s="14">
        <f t="shared" si="25"/>
        <v>215.87099999999995</v>
      </c>
      <c r="K562" s="28" t="str">
        <f t="shared" si="26"/>
        <v>July</v>
      </c>
      <c r="L562" s="14" t="str">
        <f>VLOOKUP(OrderLines!$A562,Orders!$A$1:$H$361,MATCH(OrderLines!$L$1,Orders!$A$1:$H$1,0),0)</f>
        <v>Breakfast</v>
      </c>
      <c r="M562" t="str">
        <f>VLOOKUP($A562,Orders!$A$1:$H$361,MATCH(OrderLines!$M$1,Orders!$A$1:$H$1,0),0)</f>
        <v>Card</v>
      </c>
      <c r="N562" t="str">
        <f t="shared" si="24"/>
        <v>Single</v>
      </c>
      <c r="O562" t="str" cm="1">
        <f t="array" ref="O562">IF((SUMPRODUCT((OrderID=OrderLines!$A562)*Qty*UnitPrice*DiscountPct))&gt;40,"HighDisc","OK")</f>
        <v>OK</v>
      </c>
      <c r="P562">
        <f>(orderlinesTABLE[[#This Row],[UnitCost]]*orderlinesTABLE[[#This Row],[Qty]])</f>
        <v>114.69</v>
      </c>
      <c r="Q562">
        <f>(orderlinesTABLE[[#This Row],[LineNetAmount]]-orderlinesTABLE[[#This Row],[totalCOST]])</f>
        <v>101.18099999999995</v>
      </c>
      <c r="R562" t="str">
        <f>VLOOKUP($B562,Menu!$A$1:$F$20,MATCH(OrderLines!R$1,Menu!$A$1:$F$1,0),0)</f>
        <v>Gulab Jamun (2 pc)</v>
      </c>
      <c r="S562" t="str" cm="1">
        <f t="array" ref="S562">_xlfn.TEXTJOIN("+",TRUE,_xlfn._xlws.FILTER(orderlinesTABLE[ItemName],OrderID=orderlinesTABLE[[#This Row],[OrderID]]))</f>
        <v>Gulab Jamun (2 pc)+Veg Thali+Kheer Cup</v>
      </c>
      <c r="T562" s="54">
        <f>orderlinesTABLE[[#This Row],[Profit]]/orderlinesTABLE[[#This Row],[LineNetAmount]]</f>
        <v>0.4687104798699222</v>
      </c>
      <c r="U562" s="70">
        <f>(orderlinesTABLE[[#This Row],[Qty]]*orderlinesTABLE[[#This Row],[UnitCost]])</f>
        <v>114.69</v>
      </c>
    </row>
    <row r="563" spans="1:21" x14ac:dyDescent="0.3">
      <c r="A563" s="15" t="s">
        <v>257</v>
      </c>
      <c r="B563" s="15" t="s">
        <v>416</v>
      </c>
      <c r="C563" s="15">
        <v>1</v>
      </c>
      <c r="D563" s="36">
        <f>VLOOKUP($B563,Menu!$A$1:$F$20,MATCH($D$1,Menu!$A$1:$F$1,0),0)</f>
        <v>227.61</v>
      </c>
      <c r="E563" s="15" t="str">
        <f>VLOOKUP($B563,Menu!$A$1:$F$20,MATCH(OrderLines!E$1,Menu!$A$1:$F$1,0),0)</f>
        <v>Hot Meal</v>
      </c>
      <c r="F563" s="36">
        <f>VLOOKUP($B563,Menu!$A$1:$F$20,MATCH(OrderLines!F$1,Menu!$A$1:$F$1,0),0)</f>
        <v>96.22</v>
      </c>
      <c r="G563" s="27">
        <f>VLOOKUP($A563,Orders!$A$1:$H$361,MATCH($G$1,Orders!$A$1:$H$1,0),0)</f>
        <v>45866</v>
      </c>
      <c r="H563" s="15" t="str">
        <f>VLOOKUP($A563,Orders!$A$1:$H$361,MATCH(OrderLines!$H$1,Orders!$A$1:$H$1,0),0)</f>
        <v>Plant 1 Canteen</v>
      </c>
      <c r="I563" s="15">
        <f>VLOOKUP($A563,Orders!$A$1:$H$361,MATCH(OrderLines!$I$1,Orders!$A$1:$H$1,0),0)</f>
        <v>0.06</v>
      </c>
      <c r="J563" s="15">
        <f t="shared" si="25"/>
        <v>213.95339999999999</v>
      </c>
      <c r="K563" s="27" t="str">
        <f t="shared" si="26"/>
        <v>July</v>
      </c>
      <c r="L563" s="15" t="str">
        <f>VLOOKUP(OrderLines!$A563,Orders!$A$1:$H$361,MATCH(OrderLines!$L$1,Orders!$A$1:$H$1,0),0)</f>
        <v>Breakfast</v>
      </c>
      <c r="M563" t="str">
        <f>VLOOKUP($A563,Orders!$A$1:$H$361,MATCH(OrderLines!$M$1,Orders!$A$1:$H$1,0),0)</f>
        <v>Card</v>
      </c>
      <c r="N563" t="str">
        <f t="shared" si="24"/>
        <v>Single</v>
      </c>
      <c r="O563" t="str" cm="1">
        <f t="array" ref="O563">IF((SUMPRODUCT((OrderID=OrderLines!$A563)*Qty*UnitPrice*DiscountPct))&gt;40,"HighDisc","OK")</f>
        <v>OK</v>
      </c>
      <c r="P563">
        <f>(orderlinesTABLE[[#This Row],[UnitCost]]*orderlinesTABLE[[#This Row],[Qty]])</f>
        <v>96.22</v>
      </c>
      <c r="Q563">
        <f>(orderlinesTABLE[[#This Row],[LineNetAmount]]-orderlinesTABLE[[#This Row],[totalCOST]])</f>
        <v>117.73339999999999</v>
      </c>
      <c r="R563" t="str">
        <f>VLOOKUP($B563,Menu!$A$1:$F$20,MATCH(OrderLines!R$1,Menu!$A$1:$F$1,0),0)</f>
        <v>Veg Thali</v>
      </c>
      <c r="S563" t="str" cm="1">
        <f t="array" ref="S563">_xlfn.TEXTJOIN("+",TRUE,_xlfn._xlws.FILTER(orderlinesTABLE[ItemName],OrderID=orderlinesTABLE[[#This Row],[OrderID]]))</f>
        <v>Gulab Jamun (2 pc)+Veg Thali+Kheer Cup</v>
      </c>
      <c r="T563" s="54">
        <f>orderlinesTABLE[[#This Row],[Profit]]/orderlinesTABLE[[#This Row],[LineNetAmount]]</f>
        <v>0.55027590120091574</v>
      </c>
      <c r="U563" s="70">
        <f>(orderlinesTABLE[[#This Row],[Qty]]*orderlinesTABLE[[#This Row],[UnitCost]])</f>
        <v>96.22</v>
      </c>
    </row>
    <row r="564" spans="1:21" x14ac:dyDescent="0.3">
      <c r="A564" s="14" t="s">
        <v>257</v>
      </c>
      <c r="B564" s="14" t="s">
        <v>413</v>
      </c>
      <c r="C564" s="14">
        <v>3</v>
      </c>
      <c r="D564" s="37">
        <f>VLOOKUP($B564,Menu!$A$1:$F$20,MATCH($D$1,Menu!$A$1:$F$1,0),0)</f>
        <v>54.2</v>
      </c>
      <c r="E564" s="14" t="str">
        <f>VLOOKUP($B564,Menu!$A$1:$F$20,MATCH(OrderLines!E$1,Menu!$A$1:$F$1,0),0)</f>
        <v>Dessert</v>
      </c>
      <c r="F564" s="37">
        <f>VLOOKUP($B564,Menu!$A$1:$F$20,MATCH(OrderLines!F$1,Menu!$A$1:$F$1,0),0)</f>
        <v>21.95</v>
      </c>
      <c r="G564" s="28">
        <f>VLOOKUP($A564,Orders!$A$1:$H$361,MATCH($G$1,Orders!$A$1:$H$1,0),0)</f>
        <v>45866</v>
      </c>
      <c r="H564" s="14" t="str">
        <f>VLOOKUP($A564,Orders!$A$1:$H$361,MATCH(OrderLines!$H$1,Orders!$A$1:$H$1,0),0)</f>
        <v>Plant 1 Canteen</v>
      </c>
      <c r="I564" s="14">
        <f>VLOOKUP($A564,Orders!$A$1:$H$361,MATCH(OrderLines!$I$1,Orders!$A$1:$H$1,0),0)</f>
        <v>0.06</v>
      </c>
      <c r="J564" s="14">
        <f t="shared" si="25"/>
        <v>152.84400000000002</v>
      </c>
      <c r="K564" s="28" t="str">
        <f t="shared" si="26"/>
        <v>July</v>
      </c>
      <c r="L564" s="14" t="str">
        <f>VLOOKUP(OrderLines!$A564,Orders!$A$1:$H$361,MATCH(OrderLines!$L$1,Orders!$A$1:$H$1,0),0)</f>
        <v>Breakfast</v>
      </c>
      <c r="M564" t="str">
        <f>VLOOKUP($A564,Orders!$A$1:$H$361,MATCH(OrderLines!$M$1,Orders!$A$1:$H$1,0),0)</f>
        <v>Card</v>
      </c>
      <c r="N564" t="str">
        <f t="shared" si="24"/>
        <v>Single</v>
      </c>
      <c r="O564" t="str" cm="1">
        <f t="array" ref="O564">IF((SUMPRODUCT((OrderID=OrderLines!$A564)*Qty*UnitPrice*DiscountPct))&gt;40,"HighDisc","OK")</f>
        <v>OK</v>
      </c>
      <c r="P564">
        <f>(orderlinesTABLE[[#This Row],[UnitCost]]*orderlinesTABLE[[#This Row],[Qty]])</f>
        <v>65.849999999999994</v>
      </c>
      <c r="Q564">
        <f>(orderlinesTABLE[[#This Row],[LineNetAmount]]-orderlinesTABLE[[#This Row],[totalCOST]])</f>
        <v>86.994000000000028</v>
      </c>
      <c r="R564" t="str">
        <f>VLOOKUP($B564,Menu!$A$1:$F$20,MATCH(OrderLines!R$1,Menu!$A$1:$F$1,0),0)</f>
        <v>Kheer Cup</v>
      </c>
      <c r="S564" t="str" cm="1">
        <f t="array" ref="S564">_xlfn.TEXTJOIN("+",TRUE,_xlfn._xlws.FILTER(orderlinesTABLE[ItemName],OrderID=orderlinesTABLE[[#This Row],[OrderID]]))</f>
        <v>Gulab Jamun (2 pc)+Veg Thali+Kheer Cup</v>
      </c>
      <c r="T564" s="54">
        <f>orderlinesTABLE[[#This Row],[Profit]]/orderlinesTABLE[[#This Row],[LineNetAmount]]</f>
        <v>0.56916856402606586</v>
      </c>
      <c r="U564" s="70">
        <f>(orderlinesTABLE[[#This Row],[Qty]]*orderlinesTABLE[[#This Row],[UnitCost]])</f>
        <v>65.849999999999994</v>
      </c>
    </row>
    <row r="565" spans="1:21" x14ac:dyDescent="0.3">
      <c r="A565" s="15" t="s">
        <v>258</v>
      </c>
      <c r="B565" s="15" t="s">
        <v>412</v>
      </c>
      <c r="C565" s="15">
        <v>1</v>
      </c>
      <c r="D565" s="36">
        <f>VLOOKUP($B565,Menu!$A$1:$F$20,MATCH($D$1,Menu!$A$1:$F$1,0),0)</f>
        <v>57.07</v>
      </c>
      <c r="E565" s="15" t="str">
        <f>VLOOKUP($B565,Menu!$A$1:$F$20,MATCH(OrderLines!E$1,Menu!$A$1:$F$1,0),0)</f>
        <v>Dessert</v>
      </c>
      <c r="F565" s="36">
        <f>VLOOKUP($B565,Menu!$A$1:$F$20,MATCH(OrderLines!F$1,Menu!$A$1:$F$1,0),0)</f>
        <v>29.14</v>
      </c>
      <c r="G565" s="27">
        <f>VLOOKUP($A565,Orders!$A$1:$H$361,MATCH($G$1,Orders!$A$1:$H$1,0),0)</f>
        <v>45882</v>
      </c>
      <c r="H565" s="15" t="str">
        <f>VLOOKUP($A565,Orders!$A$1:$H$361,MATCH(OrderLines!$H$1,Orders!$A$1:$H$1,0),0)</f>
        <v>Plant 2 Canteen</v>
      </c>
      <c r="I565" s="15">
        <f>VLOOKUP($A565,Orders!$A$1:$H$361,MATCH(OrderLines!$I$1,Orders!$A$1:$H$1,0),0)</f>
        <v>0</v>
      </c>
      <c r="J565" s="15">
        <f t="shared" si="25"/>
        <v>57.07</v>
      </c>
      <c r="K565" s="27" t="str">
        <f t="shared" si="26"/>
        <v>August</v>
      </c>
      <c r="L565" s="15" t="str">
        <f>VLOOKUP(OrderLines!$A565,Orders!$A$1:$H$361,MATCH(OrderLines!$L$1,Orders!$A$1:$H$1,0),0)</f>
        <v>Breakfast</v>
      </c>
      <c r="M565" t="str">
        <f>VLOOKUP($A565,Orders!$A$1:$H$361,MATCH(OrderLines!$M$1,Orders!$A$1:$H$1,0),0)</f>
        <v>Card</v>
      </c>
      <c r="N565" t="str">
        <f t="shared" si="24"/>
        <v>Single</v>
      </c>
      <c r="O565" t="str" cm="1">
        <f t="array" ref="O565">IF((SUMPRODUCT((OrderID=OrderLines!$A565)*Qty*UnitPrice*DiscountPct))&gt;40,"HighDisc","OK")</f>
        <v>OK</v>
      </c>
      <c r="P565">
        <f>(orderlinesTABLE[[#This Row],[UnitCost]]*orderlinesTABLE[[#This Row],[Qty]])</f>
        <v>29.14</v>
      </c>
      <c r="Q565">
        <f>(orderlinesTABLE[[#This Row],[LineNetAmount]]-orderlinesTABLE[[#This Row],[totalCOST]])</f>
        <v>27.93</v>
      </c>
      <c r="R565" t="str">
        <f>VLOOKUP($B565,Menu!$A$1:$F$20,MATCH(OrderLines!R$1,Menu!$A$1:$F$1,0),0)</f>
        <v>Fruit Cup</v>
      </c>
      <c r="S565" t="str" cm="1">
        <f t="array" ref="S565">_xlfn.TEXTJOIN("+",TRUE,_xlfn._xlws.FILTER(orderlinesTABLE[ItemName],OrderID=orderlinesTABLE[[#This Row],[OrderID]]))</f>
        <v>Fruit Cup</v>
      </c>
      <c r="T565" s="54">
        <f>orderlinesTABLE[[#This Row],[Profit]]/orderlinesTABLE[[#This Row],[LineNetAmount]]</f>
        <v>0.48939898370422286</v>
      </c>
      <c r="U565" s="70">
        <f>(orderlinesTABLE[[#This Row],[Qty]]*orderlinesTABLE[[#This Row],[UnitCost]])</f>
        <v>29.14</v>
      </c>
    </row>
    <row r="566" spans="1:21" x14ac:dyDescent="0.3">
      <c r="A566" s="14" t="s">
        <v>259</v>
      </c>
      <c r="B566" s="14" t="s">
        <v>418</v>
      </c>
      <c r="C566" s="14">
        <v>1</v>
      </c>
      <c r="D566" s="37">
        <f>VLOOKUP($B566,Menu!$A$1:$F$20,MATCH($D$1,Menu!$A$1:$F$1,0),0)</f>
        <v>39.950000000000003</v>
      </c>
      <c r="E566" s="14" t="str">
        <f>VLOOKUP($B566,Menu!$A$1:$F$20,MATCH(OrderLines!E$1,Menu!$A$1:$F$1,0),0)</f>
        <v>Snack</v>
      </c>
      <c r="F566" s="37">
        <f>VLOOKUP($B566,Menu!$A$1:$F$20,MATCH(OrderLines!F$1,Menu!$A$1:$F$1,0),0)</f>
        <v>15.51</v>
      </c>
      <c r="G566" s="28">
        <f>VLOOKUP($A566,Orders!$A$1:$H$361,MATCH($G$1,Orders!$A$1:$H$1,0),0)</f>
        <v>45874</v>
      </c>
      <c r="H566" s="14" t="str">
        <f>VLOOKUP($A566,Orders!$A$1:$H$361,MATCH(OrderLines!$H$1,Orders!$A$1:$H$1,0),0)</f>
        <v>Head Office Café</v>
      </c>
      <c r="I566" s="14">
        <f>VLOOKUP($A566,Orders!$A$1:$H$361,MATCH(OrderLines!$I$1,Orders!$A$1:$H$1,0),0)</f>
        <v>0.02</v>
      </c>
      <c r="J566" s="14">
        <f t="shared" si="25"/>
        <v>39.151000000000003</v>
      </c>
      <c r="K566" s="28" t="str">
        <f t="shared" si="26"/>
        <v>August</v>
      </c>
      <c r="L566" s="14" t="str">
        <f>VLOOKUP(OrderLines!$A566,Orders!$A$1:$H$361,MATCH(OrderLines!$L$1,Orders!$A$1:$H$1,0),0)</f>
        <v>Dinner</v>
      </c>
      <c r="M566" t="str">
        <f>VLOOKUP($A566,Orders!$A$1:$H$361,MATCH(OrderLines!$M$1,Orders!$A$1:$H$1,0),0)</f>
        <v>Card</v>
      </c>
      <c r="N566" t="str">
        <f t="shared" si="24"/>
        <v>Single</v>
      </c>
      <c r="O566" t="str" cm="1">
        <f t="array" ref="O566">IF((SUMPRODUCT((OrderID=OrderLines!$A566)*Qty*UnitPrice*DiscountPct))&gt;40,"HighDisc","OK")</f>
        <v>OK</v>
      </c>
      <c r="P566">
        <f>(orderlinesTABLE[[#This Row],[UnitCost]]*orderlinesTABLE[[#This Row],[Qty]])</f>
        <v>15.51</v>
      </c>
      <c r="Q566">
        <f>(orderlinesTABLE[[#This Row],[LineNetAmount]]-orderlinesTABLE[[#This Row],[totalCOST]])</f>
        <v>23.641000000000005</v>
      </c>
      <c r="R566" t="str">
        <f>VLOOKUP($B566,Menu!$A$1:$F$20,MATCH(OrderLines!R$1,Menu!$A$1:$F$1,0),0)</f>
        <v>Samosa</v>
      </c>
      <c r="S566" t="str" cm="1">
        <f t="array" ref="S566">_xlfn.TEXTJOIN("+",TRUE,_xlfn._xlws.FILTER(orderlinesTABLE[ItemName],OrderID=orderlinesTABLE[[#This Row],[OrderID]]))</f>
        <v>Samosa+Nimbu Pani+Tea+Kheer Cup</v>
      </c>
      <c r="T566" s="54">
        <f>orderlinesTABLE[[#This Row],[Profit]]/orderlinesTABLE[[#This Row],[LineNetAmount]]</f>
        <v>0.6038415366146459</v>
      </c>
      <c r="U566" s="70">
        <f>(orderlinesTABLE[[#This Row],[Qty]]*orderlinesTABLE[[#This Row],[UnitCost]])</f>
        <v>15.51</v>
      </c>
    </row>
    <row r="567" spans="1:21" x14ac:dyDescent="0.3">
      <c r="A567" s="15" t="s">
        <v>259</v>
      </c>
      <c r="B567" s="15" t="s">
        <v>410</v>
      </c>
      <c r="C567" s="15">
        <v>2</v>
      </c>
      <c r="D567" s="36">
        <f>VLOOKUP($B567,Menu!$A$1:$F$20,MATCH($D$1,Menu!$A$1:$F$1,0),0)</f>
        <v>20.11</v>
      </c>
      <c r="E567" s="15" t="str">
        <f>VLOOKUP($B567,Menu!$A$1:$F$20,MATCH(OrderLines!E$1,Menu!$A$1:$F$1,0),0)</f>
        <v>Beverage</v>
      </c>
      <c r="F567" s="36">
        <f>VLOOKUP($B567,Menu!$A$1:$F$20,MATCH(OrderLines!F$1,Menu!$A$1:$F$1,0),0)</f>
        <v>8</v>
      </c>
      <c r="G567" s="27">
        <f>VLOOKUP($A567,Orders!$A$1:$H$361,MATCH($G$1,Orders!$A$1:$H$1,0),0)</f>
        <v>45874</v>
      </c>
      <c r="H567" s="15" t="str">
        <f>VLOOKUP($A567,Orders!$A$1:$H$361,MATCH(OrderLines!$H$1,Orders!$A$1:$H$1,0),0)</f>
        <v>Head Office Café</v>
      </c>
      <c r="I567" s="15">
        <f>VLOOKUP($A567,Orders!$A$1:$H$361,MATCH(OrderLines!$I$1,Orders!$A$1:$H$1,0),0)</f>
        <v>0.02</v>
      </c>
      <c r="J567" s="15">
        <f t="shared" si="25"/>
        <v>39.415599999999998</v>
      </c>
      <c r="K567" s="27" t="str">
        <f t="shared" si="26"/>
        <v>August</v>
      </c>
      <c r="L567" s="15" t="str">
        <f>VLOOKUP(OrderLines!$A567,Orders!$A$1:$H$361,MATCH(OrderLines!$L$1,Orders!$A$1:$H$1,0),0)</f>
        <v>Dinner</v>
      </c>
      <c r="M567" t="str">
        <f>VLOOKUP($A567,Orders!$A$1:$H$361,MATCH(OrderLines!$M$1,Orders!$A$1:$H$1,0),0)</f>
        <v>Card</v>
      </c>
      <c r="N567" t="str">
        <f t="shared" si="24"/>
        <v>Single</v>
      </c>
      <c r="O567" t="str" cm="1">
        <f t="array" ref="O567">IF((SUMPRODUCT((OrderID=OrderLines!$A567)*Qty*UnitPrice*DiscountPct))&gt;40,"HighDisc","OK")</f>
        <v>OK</v>
      </c>
      <c r="P567">
        <f>(orderlinesTABLE[[#This Row],[UnitCost]]*orderlinesTABLE[[#This Row],[Qty]])</f>
        <v>16</v>
      </c>
      <c r="Q567">
        <f>(orderlinesTABLE[[#This Row],[LineNetAmount]]-orderlinesTABLE[[#This Row],[totalCOST]])</f>
        <v>23.415599999999998</v>
      </c>
      <c r="R567" t="str">
        <f>VLOOKUP($B567,Menu!$A$1:$F$20,MATCH(OrderLines!R$1,Menu!$A$1:$F$1,0),0)</f>
        <v>Nimbu Pani</v>
      </c>
      <c r="S567" t="str" cm="1">
        <f t="array" ref="S567">_xlfn.TEXTJOIN("+",TRUE,_xlfn._xlws.FILTER(orderlinesTABLE[ItemName],OrderID=orderlinesTABLE[[#This Row],[OrderID]]))</f>
        <v>Samosa+Nimbu Pani+Tea+Kheer Cup</v>
      </c>
      <c r="T567" s="54">
        <f>orderlinesTABLE[[#This Row],[Profit]]/orderlinesTABLE[[#This Row],[LineNetAmount]]</f>
        <v>0.59406935325099708</v>
      </c>
      <c r="U567" s="70">
        <f>(orderlinesTABLE[[#This Row],[Qty]]*orderlinesTABLE[[#This Row],[UnitCost]])</f>
        <v>16</v>
      </c>
    </row>
    <row r="568" spans="1:21" x14ac:dyDescent="0.3">
      <c r="A568" s="14" t="s">
        <v>259</v>
      </c>
      <c r="B568" s="14" t="s">
        <v>402</v>
      </c>
      <c r="C568" s="14">
        <v>2</v>
      </c>
      <c r="D568" s="37">
        <f>VLOOKUP($B568,Menu!$A$1:$F$20,MATCH($D$1,Menu!$A$1:$F$1,0),0)</f>
        <v>30.34</v>
      </c>
      <c r="E568" s="14" t="str">
        <f>VLOOKUP($B568,Menu!$A$1:$F$20,MATCH(OrderLines!E$1,Menu!$A$1:$F$1,0),0)</f>
        <v>Beverage</v>
      </c>
      <c r="F568" s="37">
        <f>VLOOKUP($B568,Menu!$A$1:$F$20,MATCH(OrderLines!F$1,Menu!$A$1:$F$1,0),0)</f>
        <v>14.18</v>
      </c>
      <c r="G568" s="28">
        <f>VLOOKUP($A568,Orders!$A$1:$H$361,MATCH($G$1,Orders!$A$1:$H$1,0),0)</f>
        <v>45874</v>
      </c>
      <c r="H568" s="14" t="str">
        <f>VLOOKUP($A568,Orders!$A$1:$H$361,MATCH(OrderLines!$H$1,Orders!$A$1:$H$1,0),0)</f>
        <v>Head Office Café</v>
      </c>
      <c r="I568" s="14">
        <f>VLOOKUP($A568,Orders!$A$1:$H$361,MATCH(OrderLines!$I$1,Orders!$A$1:$H$1,0),0)</f>
        <v>0.02</v>
      </c>
      <c r="J568" s="14">
        <f t="shared" si="25"/>
        <v>59.4664</v>
      </c>
      <c r="K568" s="28" t="str">
        <f t="shared" si="26"/>
        <v>August</v>
      </c>
      <c r="L568" s="14" t="str">
        <f>VLOOKUP(OrderLines!$A568,Orders!$A$1:$H$361,MATCH(OrderLines!$L$1,Orders!$A$1:$H$1,0),0)</f>
        <v>Dinner</v>
      </c>
      <c r="M568" t="str">
        <f>VLOOKUP($A568,Orders!$A$1:$H$361,MATCH(OrderLines!$M$1,Orders!$A$1:$H$1,0),0)</f>
        <v>Card</v>
      </c>
      <c r="N568" t="str">
        <f t="shared" si="24"/>
        <v>Single</v>
      </c>
      <c r="O568" t="str" cm="1">
        <f t="array" ref="O568">IF((SUMPRODUCT((OrderID=OrderLines!$A568)*Qty*UnitPrice*DiscountPct))&gt;40,"HighDisc","OK")</f>
        <v>OK</v>
      </c>
      <c r="P568">
        <f>(orderlinesTABLE[[#This Row],[UnitCost]]*orderlinesTABLE[[#This Row],[Qty]])</f>
        <v>28.36</v>
      </c>
      <c r="Q568">
        <f>(orderlinesTABLE[[#This Row],[LineNetAmount]]-orderlinesTABLE[[#This Row],[totalCOST]])</f>
        <v>31.106400000000001</v>
      </c>
      <c r="R568" t="str">
        <f>VLOOKUP($B568,Menu!$A$1:$F$20,MATCH(OrderLines!R$1,Menu!$A$1:$F$1,0),0)</f>
        <v>Tea</v>
      </c>
      <c r="S568" t="str" cm="1">
        <f t="array" ref="S568">_xlfn.TEXTJOIN("+",TRUE,_xlfn._xlws.FILTER(orderlinesTABLE[ItemName],OrderID=orderlinesTABLE[[#This Row],[OrderID]]))</f>
        <v>Samosa+Nimbu Pani+Tea+Kheer Cup</v>
      </c>
      <c r="T568" s="54">
        <f>orderlinesTABLE[[#This Row],[Profit]]/orderlinesTABLE[[#This Row],[LineNetAmount]]</f>
        <v>0.52309203180283326</v>
      </c>
      <c r="U568" s="70">
        <f>(orderlinesTABLE[[#This Row],[Qty]]*orderlinesTABLE[[#This Row],[UnitCost]])</f>
        <v>28.36</v>
      </c>
    </row>
    <row r="569" spans="1:21" x14ac:dyDescent="0.3">
      <c r="A569" s="15" t="s">
        <v>259</v>
      </c>
      <c r="B569" s="15" t="s">
        <v>413</v>
      </c>
      <c r="C569" s="15">
        <v>3</v>
      </c>
      <c r="D569" s="36">
        <f>VLOOKUP($B569,Menu!$A$1:$F$20,MATCH($D$1,Menu!$A$1:$F$1,0),0)</f>
        <v>54.2</v>
      </c>
      <c r="E569" s="15" t="str">
        <f>VLOOKUP($B569,Menu!$A$1:$F$20,MATCH(OrderLines!E$1,Menu!$A$1:$F$1,0),0)</f>
        <v>Dessert</v>
      </c>
      <c r="F569" s="36">
        <f>VLOOKUP($B569,Menu!$A$1:$F$20,MATCH(OrderLines!F$1,Menu!$A$1:$F$1,0),0)</f>
        <v>21.95</v>
      </c>
      <c r="G569" s="27">
        <f>VLOOKUP($A569,Orders!$A$1:$H$361,MATCH($G$1,Orders!$A$1:$H$1,0),0)</f>
        <v>45874</v>
      </c>
      <c r="H569" s="15" t="str">
        <f>VLOOKUP($A569,Orders!$A$1:$H$361,MATCH(OrderLines!$H$1,Orders!$A$1:$H$1,0),0)</f>
        <v>Head Office Café</v>
      </c>
      <c r="I569" s="15">
        <f>VLOOKUP($A569,Orders!$A$1:$H$361,MATCH(OrderLines!$I$1,Orders!$A$1:$H$1,0),0)</f>
        <v>0.02</v>
      </c>
      <c r="J569" s="15">
        <f t="shared" si="25"/>
        <v>159.34800000000001</v>
      </c>
      <c r="K569" s="27" t="str">
        <f t="shared" si="26"/>
        <v>August</v>
      </c>
      <c r="L569" s="15" t="str">
        <f>VLOOKUP(OrderLines!$A569,Orders!$A$1:$H$361,MATCH(OrderLines!$L$1,Orders!$A$1:$H$1,0),0)</f>
        <v>Dinner</v>
      </c>
      <c r="M569" t="str">
        <f>VLOOKUP($A569,Orders!$A$1:$H$361,MATCH(OrderLines!$M$1,Orders!$A$1:$H$1,0),0)</f>
        <v>Card</v>
      </c>
      <c r="N569" t="str">
        <f t="shared" si="24"/>
        <v>Single</v>
      </c>
      <c r="O569" t="str" cm="1">
        <f t="array" ref="O569">IF((SUMPRODUCT((OrderID=OrderLines!$A569)*Qty*UnitPrice*DiscountPct))&gt;40,"HighDisc","OK")</f>
        <v>OK</v>
      </c>
      <c r="P569">
        <f>(orderlinesTABLE[[#This Row],[UnitCost]]*orderlinesTABLE[[#This Row],[Qty]])</f>
        <v>65.849999999999994</v>
      </c>
      <c r="Q569">
        <f>(orderlinesTABLE[[#This Row],[LineNetAmount]]-orderlinesTABLE[[#This Row],[totalCOST]])</f>
        <v>93.498000000000019</v>
      </c>
      <c r="R569" t="str">
        <f>VLOOKUP($B569,Menu!$A$1:$F$20,MATCH(OrderLines!R$1,Menu!$A$1:$F$1,0),0)</f>
        <v>Kheer Cup</v>
      </c>
      <c r="S569" t="str" cm="1">
        <f t="array" ref="S569">_xlfn.TEXTJOIN("+",TRUE,_xlfn._xlws.FILTER(orderlinesTABLE[ItemName],OrderID=orderlinesTABLE[[#This Row],[OrderID]]))</f>
        <v>Samosa+Nimbu Pani+Tea+Kheer Cup</v>
      </c>
      <c r="T569" s="54">
        <f>orderlinesTABLE[[#This Row],[Profit]]/orderlinesTABLE[[#This Row],[LineNetAmount]]</f>
        <v>0.58675352059643049</v>
      </c>
      <c r="U569" s="70">
        <f>(orderlinesTABLE[[#This Row],[Qty]]*orderlinesTABLE[[#This Row],[UnitCost]])</f>
        <v>65.849999999999994</v>
      </c>
    </row>
    <row r="570" spans="1:21" x14ac:dyDescent="0.3">
      <c r="A570" s="14" t="s">
        <v>260</v>
      </c>
      <c r="B570" s="14" t="s">
        <v>413</v>
      </c>
      <c r="C570" s="14">
        <v>2</v>
      </c>
      <c r="D570" s="37">
        <f>VLOOKUP($B570,Menu!$A$1:$F$20,MATCH($D$1,Menu!$A$1:$F$1,0),0)</f>
        <v>54.2</v>
      </c>
      <c r="E570" s="14" t="str">
        <f>VLOOKUP($B570,Menu!$A$1:$F$20,MATCH(OrderLines!E$1,Menu!$A$1:$F$1,0),0)</f>
        <v>Dessert</v>
      </c>
      <c r="F570" s="37">
        <f>VLOOKUP($B570,Menu!$A$1:$F$20,MATCH(OrderLines!F$1,Menu!$A$1:$F$1,0),0)</f>
        <v>21.95</v>
      </c>
      <c r="G570" s="28">
        <f>VLOOKUP($A570,Orders!$A$1:$H$361,MATCH($G$1,Orders!$A$1:$H$1,0),0)</f>
        <v>45877</v>
      </c>
      <c r="H570" s="14" t="str">
        <f>VLOOKUP($A570,Orders!$A$1:$H$361,MATCH(OrderLines!$H$1,Orders!$A$1:$H$1,0),0)</f>
        <v>Plant 2 Canteen</v>
      </c>
      <c r="I570" s="14">
        <f>VLOOKUP($A570,Orders!$A$1:$H$361,MATCH(OrderLines!$I$1,Orders!$A$1:$H$1,0),0)</f>
        <v>0.05</v>
      </c>
      <c r="J570" s="14">
        <f t="shared" si="25"/>
        <v>102.98</v>
      </c>
      <c r="K570" s="28" t="str">
        <f t="shared" si="26"/>
        <v>August</v>
      </c>
      <c r="L570" s="14" t="str">
        <f>VLOOKUP(OrderLines!$A570,Orders!$A$1:$H$361,MATCH(OrderLines!$L$1,Orders!$A$1:$H$1,0),0)</f>
        <v>Dinner</v>
      </c>
      <c r="M570" t="str">
        <f>VLOOKUP($A570,Orders!$A$1:$H$361,MATCH(OrderLines!$M$1,Orders!$A$1:$H$1,0),0)</f>
        <v>Cash</v>
      </c>
      <c r="N570" t="str">
        <f t="shared" si="24"/>
        <v>Single</v>
      </c>
      <c r="O570" t="str" cm="1">
        <f t="array" ref="O570">IF((SUMPRODUCT((OrderID=OrderLines!$A570)*Qty*UnitPrice*DiscountPct))&gt;40,"HighDisc","OK")</f>
        <v>OK</v>
      </c>
      <c r="P570">
        <f>(orderlinesTABLE[[#This Row],[UnitCost]]*orderlinesTABLE[[#This Row],[Qty]])</f>
        <v>43.9</v>
      </c>
      <c r="Q570">
        <f>(orderlinesTABLE[[#This Row],[LineNetAmount]]-orderlinesTABLE[[#This Row],[totalCOST]])</f>
        <v>59.080000000000005</v>
      </c>
      <c r="R570" t="str">
        <f>VLOOKUP($B570,Menu!$A$1:$F$20,MATCH(OrderLines!R$1,Menu!$A$1:$F$1,0),0)</f>
        <v>Kheer Cup</v>
      </c>
      <c r="S570" t="str" cm="1">
        <f t="array" ref="S570">_xlfn.TEXTJOIN("+",TRUE,_xlfn._xlws.FILTER(orderlinesTABLE[ItemName],OrderID=orderlinesTABLE[[#This Row],[OrderID]]))</f>
        <v>Kheer Cup+Coffee+Bottled Water</v>
      </c>
      <c r="T570" s="54">
        <f>orderlinesTABLE[[#This Row],[Profit]]/orderlinesTABLE[[#This Row],[LineNetAmount]]</f>
        <v>0.57370363177315986</v>
      </c>
      <c r="U570" s="70">
        <f>(orderlinesTABLE[[#This Row],[Qty]]*orderlinesTABLE[[#This Row],[UnitCost]])</f>
        <v>43.9</v>
      </c>
    </row>
    <row r="571" spans="1:21" x14ac:dyDescent="0.3">
      <c r="A571" s="15" t="s">
        <v>260</v>
      </c>
      <c r="B571" s="15" t="s">
        <v>411</v>
      </c>
      <c r="C571" s="15">
        <v>1</v>
      </c>
      <c r="D571" s="36">
        <f>VLOOKUP($B571,Menu!$A$1:$F$20,MATCH($D$1,Menu!$A$1:$F$1,0),0)</f>
        <v>22.2</v>
      </c>
      <c r="E571" s="15" t="str">
        <f>VLOOKUP($B571,Menu!$A$1:$F$20,MATCH(OrderLines!E$1,Menu!$A$1:$F$1,0),0)</f>
        <v>Beverage</v>
      </c>
      <c r="F571" s="36">
        <f>VLOOKUP($B571,Menu!$A$1:$F$20,MATCH(OrderLines!F$1,Menu!$A$1:$F$1,0),0)</f>
        <v>9.3800000000000008</v>
      </c>
      <c r="G571" s="27">
        <f>VLOOKUP($A571,Orders!$A$1:$H$361,MATCH($G$1,Orders!$A$1:$H$1,0),0)</f>
        <v>45877</v>
      </c>
      <c r="H571" s="15" t="str">
        <f>VLOOKUP($A571,Orders!$A$1:$H$361,MATCH(OrderLines!$H$1,Orders!$A$1:$H$1,0),0)</f>
        <v>Plant 2 Canteen</v>
      </c>
      <c r="I571" s="15">
        <f>VLOOKUP($A571,Orders!$A$1:$H$361,MATCH(OrderLines!$I$1,Orders!$A$1:$H$1,0),0)</f>
        <v>0.05</v>
      </c>
      <c r="J571" s="15">
        <f t="shared" si="25"/>
        <v>21.09</v>
      </c>
      <c r="K571" s="27" t="str">
        <f t="shared" si="26"/>
        <v>August</v>
      </c>
      <c r="L571" s="15" t="str">
        <f>VLOOKUP(OrderLines!$A571,Orders!$A$1:$H$361,MATCH(OrderLines!$L$1,Orders!$A$1:$H$1,0),0)</f>
        <v>Dinner</v>
      </c>
      <c r="M571" t="str">
        <f>VLOOKUP($A571,Orders!$A$1:$H$361,MATCH(OrderLines!$M$1,Orders!$A$1:$H$1,0),0)</f>
        <v>Cash</v>
      </c>
      <c r="N571" t="str">
        <f t="shared" si="24"/>
        <v>Single</v>
      </c>
      <c r="O571" t="str" cm="1">
        <f t="array" ref="O571">IF((SUMPRODUCT((OrderID=OrderLines!$A571)*Qty*UnitPrice*DiscountPct))&gt;40,"HighDisc","OK")</f>
        <v>OK</v>
      </c>
      <c r="P571">
        <f>(orderlinesTABLE[[#This Row],[UnitCost]]*orderlinesTABLE[[#This Row],[Qty]])</f>
        <v>9.3800000000000008</v>
      </c>
      <c r="Q571">
        <f>(orderlinesTABLE[[#This Row],[LineNetAmount]]-orderlinesTABLE[[#This Row],[totalCOST]])</f>
        <v>11.709999999999999</v>
      </c>
      <c r="R571" t="str">
        <f>VLOOKUP($B571,Menu!$A$1:$F$20,MATCH(OrderLines!R$1,Menu!$A$1:$F$1,0),0)</f>
        <v>Coffee</v>
      </c>
      <c r="S571" t="str" cm="1">
        <f t="array" ref="S571">_xlfn.TEXTJOIN("+",TRUE,_xlfn._xlws.FILTER(orderlinesTABLE[ItemName],OrderID=orderlinesTABLE[[#This Row],[OrderID]]))</f>
        <v>Kheer Cup+Coffee+Bottled Water</v>
      </c>
      <c r="T571" s="54">
        <f>orderlinesTABLE[[#This Row],[Profit]]/orderlinesTABLE[[#This Row],[LineNetAmount]]</f>
        <v>0.55523944997629204</v>
      </c>
      <c r="U571" s="70">
        <f>(orderlinesTABLE[[#This Row],[Qty]]*orderlinesTABLE[[#This Row],[UnitCost]])</f>
        <v>9.3800000000000008</v>
      </c>
    </row>
    <row r="572" spans="1:21" x14ac:dyDescent="0.3">
      <c r="A572" s="14" t="s">
        <v>260</v>
      </c>
      <c r="B572" s="14" t="s">
        <v>409</v>
      </c>
      <c r="C572" s="14">
        <v>2</v>
      </c>
      <c r="D572" s="37">
        <f>VLOOKUP($B572,Menu!$A$1:$F$20,MATCH($D$1,Menu!$A$1:$F$1,0),0)</f>
        <v>28.43</v>
      </c>
      <c r="E572" s="14" t="str">
        <f>VLOOKUP($B572,Menu!$A$1:$F$20,MATCH(OrderLines!E$1,Menu!$A$1:$F$1,0),0)</f>
        <v>Beverage</v>
      </c>
      <c r="F572" s="37">
        <f>VLOOKUP($B572,Menu!$A$1:$F$20,MATCH(OrderLines!F$1,Menu!$A$1:$F$1,0),0)</f>
        <v>13.89</v>
      </c>
      <c r="G572" s="28">
        <f>VLOOKUP($A572,Orders!$A$1:$H$361,MATCH($G$1,Orders!$A$1:$H$1,0),0)</f>
        <v>45877</v>
      </c>
      <c r="H572" s="14" t="str">
        <f>VLOOKUP($A572,Orders!$A$1:$H$361,MATCH(OrderLines!$H$1,Orders!$A$1:$H$1,0),0)</f>
        <v>Plant 2 Canteen</v>
      </c>
      <c r="I572" s="14">
        <f>VLOOKUP($A572,Orders!$A$1:$H$361,MATCH(OrderLines!$I$1,Orders!$A$1:$H$1,0),0)</f>
        <v>0.05</v>
      </c>
      <c r="J572" s="14">
        <f t="shared" si="25"/>
        <v>54.016999999999996</v>
      </c>
      <c r="K572" s="28" t="str">
        <f t="shared" si="26"/>
        <v>August</v>
      </c>
      <c r="L572" s="14" t="str">
        <f>VLOOKUP(OrderLines!$A572,Orders!$A$1:$H$361,MATCH(OrderLines!$L$1,Orders!$A$1:$H$1,0),0)</f>
        <v>Dinner</v>
      </c>
      <c r="M572" t="str">
        <f>VLOOKUP($A572,Orders!$A$1:$H$361,MATCH(OrderLines!$M$1,Orders!$A$1:$H$1,0),0)</f>
        <v>Cash</v>
      </c>
      <c r="N572" t="str">
        <f t="shared" si="24"/>
        <v>Single</v>
      </c>
      <c r="O572" t="str" cm="1">
        <f t="array" ref="O572">IF((SUMPRODUCT((OrderID=OrderLines!$A572)*Qty*UnitPrice*DiscountPct))&gt;40,"HighDisc","OK")</f>
        <v>OK</v>
      </c>
      <c r="P572">
        <f>(orderlinesTABLE[[#This Row],[UnitCost]]*orderlinesTABLE[[#This Row],[Qty]])</f>
        <v>27.78</v>
      </c>
      <c r="Q572">
        <f>(orderlinesTABLE[[#This Row],[LineNetAmount]]-orderlinesTABLE[[#This Row],[totalCOST]])</f>
        <v>26.236999999999995</v>
      </c>
      <c r="R572" t="str">
        <f>VLOOKUP($B572,Menu!$A$1:$F$20,MATCH(OrderLines!R$1,Menu!$A$1:$F$1,0),0)</f>
        <v>Bottled Water</v>
      </c>
      <c r="S572" t="str" cm="1">
        <f t="array" ref="S572">_xlfn.TEXTJOIN("+",TRUE,_xlfn._xlws.FILTER(orderlinesTABLE[ItemName],OrderID=orderlinesTABLE[[#This Row],[OrderID]]))</f>
        <v>Kheer Cup+Coffee+Bottled Water</v>
      </c>
      <c r="T572" s="54">
        <f>orderlinesTABLE[[#This Row],[Profit]]/orderlinesTABLE[[#This Row],[LineNetAmount]]</f>
        <v>0.48571745931836269</v>
      </c>
      <c r="U572" s="70">
        <f>(orderlinesTABLE[[#This Row],[Qty]]*orderlinesTABLE[[#This Row],[UnitCost]])</f>
        <v>27.78</v>
      </c>
    </row>
    <row r="573" spans="1:21" x14ac:dyDescent="0.3">
      <c r="A573" s="15" t="s">
        <v>261</v>
      </c>
      <c r="B573" s="15" t="s">
        <v>401</v>
      </c>
      <c r="C573" s="15">
        <v>3</v>
      </c>
      <c r="D573" s="36">
        <f>VLOOKUP($B573,Menu!$A$1:$F$20,MATCH($D$1,Menu!$A$1:$F$1,0),0)</f>
        <v>52.45</v>
      </c>
      <c r="E573" s="15" t="str">
        <f>VLOOKUP($B573,Menu!$A$1:$F$20,MATCH(OrderLines!E$1,Menu!$A$1:$F$1,0),0)</f>
        <v>Snack</v>
      </c>
      <c r="F573" s="36">
        <f>VLOOKUP($B573,Menu!$A$1:$F$20,MATCH(OrderLines!F$1,Menu!$A$1:$F$1,0),0)</f>
        <v>25.8</v>
      </c>
      <c r="G573" s="27">
        <f>VLOOKUP($A573,Orders!$A$1:$H$361,MATCH($G$1,Orders!$A$1:$H$1,0),0)</f>
        <v>45848</v>
      </c>
      <c r="H573" s="15" t="str">
        <f>VLOOKUP($A573,Orders!$A$1:$H$361,MATCH(OrderLines!$H$1,Orders!$A$1:$H$1,0),0)</f>
        <v>Head Office Café</v>
      </c>
      <c r="I573" s="15">
        <f>VLOOKUP($A573,Orders!$A$1:$H$361,MATCH(OrderLines!$I$1,Orders!$A$1:$H$1,0),0)</f>
        <v>0.01</v>
      </c>
      <c r="J573" s="15">
        <f t="shared" si="25"/>
        <v>155.77650000000003</v>
      </c>
      <c r="K573" s="27" t="str">
        <f t="shared" si="26"/>
        <v>July</v>
      </c>
      <c r="L573" s="15" t="str">
        <f>VLOOKUP(OrderLines!$A573,Orders!$A$1:$H$361,MATCH(OrderLines!$L$1,Orders!$A$1:$H$1,0),0)</f>
        <v>Breakfast</v>
      </c>
      <c r="M573" t="str">
        <f>VLOOKUP($A573,Orders!$A$1:$H$361,MATCH(OrderLines!$M$1,Orders!$A$1:$H$1,0),0)</f>
        <v>UPI</v>
      </c>
      <c r="N573" t="str">
        <f t="shared" si="24"/>
        <v>Single</v>
      </c>
      <c r="O573" t="str" cm="1">
        <f t="array" ref="O573">IF((SUMPRODUCT((OrderID=OrderLines!$A573)*Qty*UnitPrice*DiscountPct))&gt;40,"HighDisc","OK")</f>
        <v>OK</v>
      </c>
      <c r="P573">
        <f>(orderlinesTABLE[[#This Row],[UnitCost]]*orderlinesTABLE[[#This Row],[Qty]])</f>
        <v>77.400000000000006</v>
      </c>
      <c r="Q573">
        <f>(orderlinesTABLE[[#This Row],[LineNetAmount]]-orderlinesTABLE[[#This Row],[totalCOST]])</f>
        <v>78.376500000000021</v>
      </c>
      <c r="R573" t="str">
        <f>VLOOKUP($B573,Menu!$A$1:$F$20,MATCH(OrderLines!R$1,Menu!$A$1:$F$1,0),0)</f>
        <v>Poha</v>
      </c>
      <c r="S573" t="str" cm="1">
        <f t="array" ref="S573">_xlfn.TEXTJOIN("+",TRUE,_xlfn._xlws.FILTER(orderlinesTABLE[ItemName],OrderID=orderlinesTABLE[[#This Row],[OrderID]]))</f>
        <v>Poha</v>
      </c>
      <c r="T573" s="54">
        <f>orderlinesTABLE[[#This Row],[Profit]]/orderlinesTABLE[[#This Row],[LineNetAmount]]</f>
        <v>0.50313429817719624</v>
      </c>
      <c r="U573" s="70">
        <f>(orderlinesTABLE[[#This Row],[Qty]]*orderlinesTABLE[[#This Row],[UnitCost]])</f>
        <v>77.400000000000006</v>
      </c>
    </row>
    <row r="574" spans="1:21" x14ac:dyDescent="0.3">
      <c r="A574" s="14" t="s">
        <v>262</v>
      </c>
      <c r="B574" s="14" t="s">
        <v>408</v>
      </c>
      <c r="C574" s="14">
        <v>1</v>
      </c>
      <c r="D574" s="37">
        <f>VLOOKUP($B574,Menu!$A$1:$F$20,MATCH($D$1,Menu!$A$1:$F$1,0),0)</f>
        <v>70.540000000000006</v>
      </c>
      <c r="E574" s="14" t="str">
        <f>VLOOKUP($B574,Menu!$A$1:$F$20,MATCH(OrderLines!E$1,Menu!$A$1:$F$1,0),0)</f>
        <v>Snack</v>
      </c>
      <c r="F574" s="37">
        <f>VLOOKUP($B574,Menu!$A$1:$F$20,MATCH(OrderLines!F$1,Menu!$A$1:$F$1,0),0)</f>
        <v>35.81</v>
      </c>
      <c r="G574" s="28">
        <f>VLOOKUP($A574,Orders!$A$1:$H$361,MATCH($G$1,Orders!$A$1:$H$1,0),0)</f>
        <v>45844</v>
      </c>
      <c r="H574" s="14" t="str">
        <f>VLOOKUP($A574,Orders!$A$1:$H$361,MATCH(OrderLines!$H$1,Orders!$A$1:$H$1,0),0)</f>
        <v>Plant 2 Canteen</v>
      </c>
      <c r="I574" s="14">
        <f>VLOOKUP($A574,Orders!$A$1:$H$361,MATCH(OrderLines!$I$1,Orders!$A$1:$H$1,0),0)</f>
        <v>0.13</v>
      </c>
      <c r="J574" s="14">
        <f t="shared" si="25"/>
        <v>61.369800000000005</v>
      </c>
      <c r="K574" s="28" t="str">
        <f t="shared" si="26"/>
        <v>July</v>
      </c>
      <c r="L574" s="14" t="str">
        <f>VLOOKUP(OrderLines!$A574,Orders!$A$1:$H$361,MATCH(OrderLines!$L$1,Orders!$A$1:$H$1,0),0)</f>
        <v>Breakfast</v>
      </c>
      <c r="M574" t="str">
        <f>VLOOKUP($A574,Orders!$A$1:$H$361,MATCH(OrderLines!$M$1,Orders!$A$1:$H$1,0),0)</f>
        <v>Cash</v>
      </c>
      <c r="N574" t="str">
        <f t="shared" si="24"/>
        <v>Combo</v>
      </c>
      <c r="O574" t="str" cm="1">
        <f t="array" ref="O574">IF((SUMPRODUCT((OrderID=OrderLines!$A574)*Qty*UnitPrice*DiscountPct))&gt;40,"HighDisc","OK")</f>
        <v>HighDisc</v>
      </c>
      <c r="P574">
        <f>(orderlinesTABLE[[#This Row],[UnitCost]]*orderlinesTABLE[[#This Row],[Qty]])</f>
        <v>35.81</v>
      </c>
      <c r="Q574">
        <f>(orderlinesTABLE[[#This Row],[LineNetAmount]]-orderlinesTABLE[[#This Row],[totalCOST]])</f>
        <v>25.559800000000003</v>
      </c>
      <c r="R574" t="str">
        <f>VLOOKUP($B574,Menu!$A$1:$F$20,MATCH(OrderLines!R$1,Menu!$A$1:$F$1,0),0)</f>
        <v>Veg Sandwich</v>
      </c>
      <c r="S574" t="str" cm="1">
        <f t="array" ref="S574">_xlfn.TEXTJOIN("+",TRUE,_xlfn._xlws.FILTER(orderlinesTABLE[ItemName],OrderID=orderlinesTABLE[[#This Row],[OrderID]]))</f>
        <v>Veg Sandwich+Bottled Water+Chicken Thali+Tea</v>
      </c>
      <c r="T574" s="54">
        <f>orderlinesTABLE[[#This Row],[Profit]]/orderlinesTABLE[[#This Row],[LineNetAmount]]</f>
        <v>0.41648824014417518</v>
      </c>
      <c r="U574" s="70">
        <f>(orderlinesTABLE[[#This Row],[Qty]]*orderlinesTABLE[[#This Row],[UnitCost]])</f>
        <v>35.81</v>
      </c>
    </row>
    <row r="575" spans="1:21" x14ac:dyDescent="0.3">
      <c r="A575" s="15" t="s">
        <v>262</v>
      </c>
      <c r="B575" s="15" t="s">
        <v>409</v>
      </c>
      <c r="C575" s="15">
        <v>2</v>
      </c>
      <c r="D575" s="36">
        <f>VLOOKUP($B575,Menu!$A$1:$F$20,MATCH($D$1,Menu!$A$1:$F$1,0),0)</f>
        <v>28.43</v>
      </c>
      <c r="E575" s="15" t="str">
        <f>VLOOKUP($B575,Menu!$A$1:$F$20,MATCH(OrderLines!E$1,Menu!$A$1:$F$1,0),0)</f>
        <v>Beverage</v>
      </c>
      <c r="F575" s="36">
        <f>VLOOKUP($B575,Menu!$A$1:$F$20,MATCH(OrderLines!F$1,Menu!$A$1:$F$1,0),0)</f>
        <v>13.89</v>
      </c>
      <c r="G575" s="27">
        <f>VLOOKUP($A575,Orders!$A$1:$H$361,MATCH($G$1,Orders!$A$1:$H$1,0),0)</f>
        <v>45844</v>
      </c>
      <c r="H575" s="15" t="str">
        <f>VLOOKUP($A575,Orders!$A$1:$H$361,MATCH(OrderLines!$H$1,Orders!$A$1:$H$1,0),0)</f>
        <v>Plant 2 Canteen</v>
      </c>
      <c r="I575" s="15">
        <f>VLOOKUP($A575,Orders!$A$1:$H$361,MATCH(OrderLines!$I$1,Orders!$A$1:$H$1,0),0)</f>
        <v>0.13</v>
      </c>
      <c r="J575" s="15">
        <f t="shared" si="25"/>
        <v>49.468199999999996</v>
      </c>
      <c r="K575" s="27" t="str">
        <f t="shared" si="26"/>
        <v>July</v>
      </c>
      <c r="L575" s="15" t="str">
        <f>VLOOKUP(OrderLines!$A575,Orders!$A$1:$H$361,MATCH(OrderLines!$L$1,Orders!$A$1:$H$1,0),0)</f>
        <v>Breakfast</v>
      </c>
      <c r="M575" t="str">
        <f>VLOOKUP($A575,Orders!$A$1:$H$361,MATCH(OrderLines!$M$1,Orders!$A$1:$H$1,0),0)</f>
        <v>Cash</v>
      </c>
      <c r="N575" t="str">
        <f t="shared" si="24"/>
        <v>Combo</v>
      </c>
      <c r="O575" t="str" cm="1">
        <f t="array" ref="O575">IF((SUMPRODUCT((OrderID=OrderLines!$A575)*Qty*UnitPrice*DiscountPct))&gt;40,"HighDisc","OK")</f>
        <v>HighDisc</v>
      </c>
      <c r="P575">
        <f>(orderlinesTABLE[[#This Row],[UnitCost]]*orderlinesTABLE[[#This Row],[Qty]])</f>
        <v>27.78</v>
      </c>
      <c r="Q575">
        <f>(orderlinesTABLE[[#This Row],[LineNetAmount]]-orderlinesTABLE[[#This Row],[totalCOST]])</f>
        <v>21.688199999999995</v>
      </c>
      <c r="R575" t="str">
        <f>VLOOKUP($B575,Menu!$A$1:$F$20,MATCH(OrderLines!R$1,Menu!$A$1:$F$1,0),0)</f>
        <v>Bottled Water</v>
      </c>
      <c r="S575" t="str" cm="1">
        <f t="array" ref="S575">_xlfn.TEXTJOIN("+",TRUE,_xlfn._xlws.FILTER(orderlinesTABLE[ItemName],OrderID=orderlinesTABLE[[#This Row],[OrderID]]))</f>
        <v>Veg Sandwich+Bottled Water+Chicken Thali+Tea</v>
      </c>
      <c r="T575" s="54">
        <f>orderlinesTABLE[[#This Row],[Profit]]/orderlinesTABLE[[#This Row],[LineNetAmount]]</f>
        <v>0.43842711074993623</v>
      </c>
      <c r="U575" s="70">
        <f>(orderlinesTABLE[[#This Row],[Qty]]*orderlinesTABLE[[#This Row],[UnitCost]])</f>
        <v>27.78</v>
      </c>
    </row>
    <row r="576" spans="1:21" x14ac:dyDescent="0.3">
      <c r="A576" s="14" t="s">
        <v>262</v>
      </c>
      <c r="B576" s="14" t="s">
        <v>415</v>
      </c>
      <c r="C576" s="14">
        <v>3</v>
      </c>
      <c r="D576" s="37">
        <f>VLOOKUP($B576,Menu!$A$1:$F$20,MATCH($D$1,Menu!$A$1:$F$1,0),0)</f>
        <v>256.91000000000003</v>
      </c>
      <c r="E576" s="14" t="str">
        <f>VLOOKUP($B576,Menu!$A$1:$F$20,MATCH(OrderLines!E$1,Menu!$A$1:$F$1,0),0)</f>
        <v>Hot Meal</v>
      </c>
      <c r="F576" s="37">
        <f>VLOOKUP($B576,Menu!$A$1:$F$20,MATCH(OrderLines!F$1,Menu!$A$1:$F$1,0),0)</f>
        <v>121.24</v>
      </c>
      <c r="G576" s="28">
        <f>VLOOKUP($A576,Orders!$A$1:$H$361,MATCH($G$1,Orders!$A$1:$H$1,0),0)</f>
        <v>45844</v>
      </c>
      <c r="H576" s="14" t="str">
        <f>VLOOKUP($A576,Orders!$A$1:$H$361,MATCH(OrderLines!$H$1,Orders!$A$1:$H$1,0),0)</f>
        <v>Plant 2 Canteen</v>
      </c>
      <c r="I576" s="14">
        <f>VLOOKUP($A576,Orders!$A$1:$H$361,MATCH(OrderLines!$I$1,Orders!$A$1:$H$1,0),0)</f>
        <v>0.13</v>
      </c>
      <c r="J576" s="14">
        <f t="shared" si="25"/>
        <v>670.53510000000006</v>
      </c>
      <c r="K576" s="28" t="str">
        <f t="shared" si="26"/>
        <v>July</v>
      </c>
      <c r="L576" s="14" t="str">
        <f>VLOOKUP(OrderLines!$A576,Orders!$A$1:$H$361,MATCH(OrderLines!$L$1,Orders!$A$1:$H$1,0),0)</f>
        <v>Breakfast</v>
      </c>
      <c r="M576" t="str">
        <f>VLOOKUP($A576,Orders!$A$1:$H$361,MATCH(OrderLines!$M$1,Orders!$A$1:$H$1,0),0)</f>
        <v>Cash</v>
      </c>
      <c r="N576" t="str">
        <f t="shared" si="24"/>
        <v>Combo</v>
      </c>
      <c r="O576" t="str" cm="1">
        <f t="array" ref="O576">IF((SUMPRODUCT((OrderID=OrderLines!$A576)*Qty*UnitPrice*DiscountPct))&gt;40,"HighDisc","OK")</f>
        <v>HighDisc</v>
      </c>
      <c r="P576">
        <f>(orderlinesTABLE[[#This Row],[UnitCost]]*orderlinesTABLE[[#This Row],[Qty]])</f>
        <v>363.71999999999997</v>
      </c>
      <c r="Q576">
        <f>(orderlinesTABLE[[#This Row],[LineNetAmount]]-orderlinesTABLE[[#This Row],[totalCOST]])</f>
        <v>306.81510000000009</v>
      </c>
      <c r="R576" t="str">
        <f>VLOOKUP($B576,Menu!$A$1:$F$20,MATCH(OrderLines!R$1,Menu!$A$1:$F$1,0),0)</f>
        <v>Chicken Thali</v>
      </c>
      <c r="S576" t="str" cm="1">
        <f t="array" ref="S576">_xlfn.TEXTJOIN("+",TRUE,_xlfn._xlws.FILTER(orderlinesTABLE[ItemName],OrderID=orderlinesTABLE[[#This Row],[OrderID]]))</f>
        <v>Veg Sandwich+Bottled Water+Chicken Thali+Tea</v>
      </c>
      <c r="T576" s="54">
        <f>orderlinesTABLE[[#This Row],[Profit]]/orderlinesTABLE[[#This Row],[LineNetAmount]]</f>
        <v>0.4575675456810539</v>
      </c>
      <c r="U576" s="70">
        <f>(orderlinesTABLE[[#This Row],[Qty]]*orderlinesTABLE[[#This Row],[UnitCost]])</f>
        <v>363.71999999999997</v>
      </c>
    </row>
    <row r="577" spans="1:21" x14ac:dyDescent="0.3">
      <c r="A577" s="15" t="s">
        <v>262</v>
      </c>
      <c r="B577" s="15" t="s">
        <v>402</v>
      </c>
      <c r="C577" s="15">
        <v>2</v>
      </c>
      <c r="D577" s="36">
        <f>VLOOKUP($B577,Menu!$A$1:$F$20,MATCH($D$1,Menu!$A$1:$F$1,0),0)</f>
        <v>30.34</v>
      </c>
      <c r="E577" s="15" t="str">
        <f>VLOOKUP($B577,Menu!$A$1:$F$20,MATCH(OrderLines!E$1,Menu!$A$1:$F$1,0),0)</f>
        <v>Beverage</v>
      </c>
      <c r="F577" s="36">
        <f>VLOOKUP($B577,Menu!$A$1:$F$20,MATCH(OrderLines!F$1,Menu!$A$1:$F$1,0),0)</f>
        <v>14.18</v>
      </c>
      <c r="G577" s="27">
        <f>VLOOKUP($A577,Orders!$A$1:$H$361,MATCH($G$1,Orders!$A$1:$H$1,0),0)</f>
        <v>45844</v>
      </c>
      <c r="H577" s="15" t="str">
        <f>VLOOKUP($A577,Orders!$A$1:$H$361,MATCH(OrderLines!$H$1,Orders!$A$1:$H$1,0),0)</f>
        <v>Plant 2 Canteen</v>
      </c>
      <c r="I577" s="15">
        <f>VLOOKUP($A577,Orders!$A$1:$H$361,MATCH(OrderLines!$I$1,Orders!$A$1:$H$1,0),0)</f>
        <v>0.13</v>
      </c>
      <c r="J577" s="15">
        <f t="shared" si="25"/>
        <v>52.791600000000003</v>
      </c>
      <c r="K577" s="27" t="str">
        <f t="shared" si="26"/>
        <v>July</v>
      </c>
      <c r="L577" s="15" t="str">
        <f>VLOOKUP(OrderLines!$A577,Orders!$A$1:$H$361,MATCH(OrderLines!$L$1,Orders!$A$1:$H$1,0),0)</f>
        <v>Breakfast</v>
      </c>
      <c r="M577" t="str">
        <f>VLOOKUP($A577,Orders!$A$1:$H$361,MATCH(OrderLines!$M$1,Orders!$A$1:$H$1,0),0)</f>
        <v>Cash</v>
      </c>
      <c r="N577" t="str">
        <f t="shared" si="24"/>
        <v>Combo</v>
      </c>
      <c r="O577" t="str" cm="1">
        <f t="array" ref="O577">IF((SUMPRODUCT((OrderID=OrderLines!$A577)*Qty*UnitPrice*DiscountPct))&gt;40,"HighDisc","OK")</f>
        <v>HighDisc</v>
      </c>
      <c r="P577">
        <f>(orderlinesTABLE[[#This Row],[UnitCost]]*orderlinesTABLE[[#This Row],[Qty]])</f>
        <v>28.36</v>
      </c>
      <c r="Q577">
        <f>(orderlinesTABLE[[#This Row],[LineNetAmount]]-orderlinesTABLE[[#This Row],[totalCOST]])</f>
        <v>24.431600000000003</v>
      </c>
      <c r="R577" t="str">
        <f>VLOOKUP($B577,Menu!$A$1:$F$20,MATCH(OrderLines!R$1,Menu!$A$1:$F$1,0),0)</f>
        <v>Tea</v>
      </c>
      <c r="S577" t="str" cm="1">
        <f t="array" ref="S577">_xlfn.TEXTJOIN("+",TRUE,_xlfn._xlws.FILTER(orderlinesTABLE[ItemName],OrderID=orderlinesTABLE[[#This Row],[OrderID]]))</f>
        <v>Veg Sandwich+Bottled Water+Chicken Thali+Tea</v>
      </c>
      <c r="T577" s="54">
        <f>orderlinesTABLE[[#This Row],[Profit]]/orderlinesTABLE[[#This Row],[LineNetAmount]]</f>
        <v>0.46279332318020294</v>
      </c>
      <c r="U577" s="70">
        <f>(orderlinesTABLE[[#This Row],[Qty]]*orderlinesTABLE[[#This Row],[UnitCost]])</f>
        <v>28.36</v>
      </c>
    </row>
    <row r="578" spans="1:21" x14ac:dyDescent="0.3">
      <c r="A578" s="14" t="s">
        <v>263</v>
      </c>
      <c r="B578" s="14" t="s">
        <v>402</v>
      </c>
      <c r="C578" s="14">
        <v>1</v>
      </c>
      <c r="D578" s="37">
        <f>VLOOKUP($B578,Menu!$A$1:$F$20,MATCH($D$1,Menu!$A$1:$F$1,0),0)</f>
        <v>30.34</v>
      </c>
      <c r="E578" s="14" t="str">
        <f>VLOOKUP($B578,Menu!$A$1:$F$20,MATCH(OrderLines!E$1,Menu!$A$1:$F$1,0),0)</f>
        <v>Beverage</v>
      </c>
      <c r="F578" s="37">
        <f>VLOOKUP($B578,Menu!$A$1:$F$20,MATCH(OrderLines!F$1,Menu!$A$1:$F$1,0),0)</f>
        <v>14.18</v>
      </c>
      <c r="G578" s="28">
        <f>VLOOKUP($A578,Orders!$A$1:$H$361,MATCH($G$1,Orders!$A$1:$H$1,0),0)</f>
        <v>45845</v>
      </c>
      <c r="H578" s="14" t="str">
        <f>VLOOKUP($A578,Orders!$A$1:$H$361,MATCH(OrderLines!$H$1,Orders!$A$1:$H$1,0),0)</f>
        <v>Head Office Café</v>
      </c>
      <c r="I578" s="14">
        <f>VLOOKUP($A578,Orders!$A$1:$H$361,MATCH(OrderLines!$I$1,Orders!$A$1:$H$1,0),0)</f>
        <v>0</v>
      </c>
      <c r="J578" s="14">
        <f t="shared" si="25"/>
        <v>30.34</v>
      </c>
      <c r="K578" s="28" t="str">
        <f t="shared" si="26"/>
        <v>July</v>
      </c>
      <c r="L578" s="14" t="str">
        <f>VLOOKUP(OrderLines!$A578,Orders!$A$1:$H$361,MATCH(OrderLines!$L$1,Orders!$A$1:$H$1,0),0)</f>
        <v>Dinner</v>
      </c>
      <c r="M578" t="str">
        <f>VLOOKUP($A578,Orders!$A$1:$H$361,MATCH(OrderLines!$M$1,Orders!$A$1:$H$1,0),0)</f>
        <v>UPI</v>
      </c>
      <c r="N578" t="str">
        <f t="shared" ref="N578:N641" si="27">IF(AND(COUNTIFS(OrderID,$A578,Category,"hot meal")&gt;=1,COUNTIFS(OrderID,$A578,Category,"beverage")&gt;=1),"Combo","Single")</f>
        <v>Combo</v>
      </c>
      <c r="O578" t="str" cm="1">
        <f t="array" ref="O578">IF((SUMPRODUCT((OrderID=OrderLines!$A578)*Qty*UnitPrice*DiscountPct))&gt;40,"HighDisc","OK")</f>
        <v>OK</v>
      </c>
      <c r="P578">
        <f>(orderlinesTABLE[[#This Row],[UnitCost]]*orderlinesTABLE[[#This Row],[Qty]])</f>
        <v>14.18</v>
      </c>
      <c r="Q578">
        <f>(orderlinesTABLE[[#This Row],[LineNetAmount]]-orderlinesTABLE[[#This Row],[totalCOST]])</f>
        <v>16.16</v>
      </c>
      <c r="R578" t="str">
        <f>VLOOKUP($B578,Menu!$A$1:$F$20,MATCH(OrderLines!R$1,Menu!$A$1:$F$1,0),0)</f>
        <v>Tea</v>
      </c>
      <c r="S578" t="str" cm="1">
        <f t="array" ref="S578">_xlfn.TEXTJOIN("+",TRUE,_xlfn._xlws.FILTER(orderlinesTABLE[ItemName],OrderID=orderlinesTABLE[[#This Row],[OrderID]]))</f>
        <v>Tea+Rajma Chawal+Gulab Jamun (2 pc)</v>
      </c>
      <c r="T578" s="54">
        <f>orderlinesTABLE[[#This Row],[Profit]]/orderlinesTABLE[[#This Row],[LineNetAmount]]</f>
        <v>0.53263019116677657</v>
      </c>
      <c r="U578" s="70">
        <f>(orderlinesTABLE[[#This Row],[Qty]]*orderlinesTABLE[[#This Row],[UnitCost]])</f>
        <v>14.18</v>
      </c>
    </row>
    <row r="579" spans="1:21" x14ac:dyDescent="0.3">
      <c r="A579" s="15" t="s">
        <v>263</v>
      </c>
      <c r="B579" s="15" t="s">
        <v>417</v>
      </c>
      <c r="C579" s="15">
        <v>1</v>
      </c>
      <c r="D579" s="36">
        <f>VLOOKUP($B579,Menu!$A$1:$F$20,MATCH($D$1,Menu!$A$1:$F$1,0),0)</f>
        <v>146.4</v>
      </c>
      <c r="E579" s="15" t="str">
        <f>VLOOKUP($B579,Menu!$A$1:$F$20,MATCH(OrderLines!E$1,Menu!$A$1:$F$1,0),0)</f>
        <v>Hot Meal</v>
      </c>
      <c r="F579" s="36">
        <f>VLOOKUP($B579,Menu!$A$1:$F$20,MATCH(OrderLines!F$1,Menu!$A$1:$F$1,0),0)</f>
        <v>80.92</v>
      </c>
      <c r="G579" s="27">
        <f>VLOOKUP($A579,Orders!$A$1:$H$361,MATCH($G$1,Orders!$A$1:$H$1,0),0)</f>
        <v>45845</v>
      </c>
      <c r="H579" s="15" t="str">
        <f>VLOOKUP($A579,Orders!$A$1:$H$361,MATCH(OrderLines!$H$1,Orders!$A$1:$H$1,0),0)</f>
        <v>Head Office Café</v>
      </c>
      <c r="I579" s="15">
        <f>VLOOKUP($A579,Orders!$A$1:$H$361,MATCH(OrderLines!$I$1,Orders!$A$1:$H$1,0),0)</f>
        <v>0</v>
      </c>
      <c r="J579" s="15">
        <f t="shared" ref="J579:J642" si="28">$C579*$D579*(1-$I579)</f>
        <v>146.4</v>
      </c>
      <c r="K579" s="27" t="str">
        <f t="shared" ref="K579:K642" si="29">TEXT($G579,"mmmm")</f>
        <v>July</v>
      </c>
      <c r="L579" s="15" t="str">
        <f>VLOOKUP(OrderLines!$A579,Orders!$A$1:$H$361,MATCH(OrderLines!$L$1,Orders!$A$1:$H$1,0),0)</f>
        <v>Dinner</v>
      </c>
      <c r="M579" t="str">
        <f>VLOOKUP($A579,Orders!$A$1:$H$361,MATCH(OrderLines!$M$1,Orders!$A$1:$H$1,0),0)</f>
        <v>UPI</v>
      </c>
      <c r="N579" t="str">
        <f t="shared" si="27"/>
        <v>Combo</v>
      </c>
      <c r="O579" t="str" cm="1">
        <f t="array" ref="O579">IF((SUMPRODUCT((OrderID=OrderLines!$A579)*Qty*UnitPrice*DiscountPct))&gt;40,"HighDisc","OK")</f>
        <v>OK</v>
      </c>
      <c r="P579">
        <f>(orderlinesTABLE[[#This Row],[UnitCost]]*orderlinesTABLE[[#This Row],[Qty]])</f>
        <v>80.92</v>
      </c>
      <c r="Q579">
        <f>(orderlinesTABLE[[#This Row],[LineNetAmount]]-orderlinesTABLE[[#This Row],[totalCOST]])</f>
        <v>65.48</v>
      </c>
      <c r="R579" t="str">
        <f>VLOOKUP($B579,Menu!$A$1:$F$20,MATCH(OrderLines!R$1,Menu!$A$1:$F$1,0),0)</f>
        <v>Rajma Chawal</v>
      </c>
      <c r="S579" t="str" cm="1">
        <f t="array" ref="S579">_xlfn.TEXTJOIN("+",TRUE,_xlfn._xlws.FILTER(orderlinesTABLE[ItemName],OrderID=orderlinesTABLE[[#This Row],[OrderID]]))</f>
        <v>Tea+Rajma Chawal+Gulab Jamun (2 pc)</v>
      </c>
      <c r="T579" s="54">
        <f>orderlinesTABLE[[#This Row],[Profit]]/orderlinesTABLE[[#This Row],[LineNetAmount]]</f>
        <v>0.44726775956284154</v>
      </c>
      <c r="U579" s="70">
        <f>(orderlinesTABLE[[#This Row],[Qty]]*orderlinesTABLE[[#This Row],[UnitCost]])</f>
        <v>80.92</v>
      </c>
    </row>
    <row r="580" spans="1:21" x14ac:dyDescent="0.3">
      <c r="A580" s="14" t="s">
        <v>263</v>
      </c>
      <c r="B580" s="14" t="s">
        <v>403</v>
      </c>
      <c r="C580" s="14">
        <v>2</v>
      </c>
      <c r="D580" s="37">
        <f>VLOOKUP($B580,Menu!$A$1:$F$20,MATCH($D$1,Menu!$A$1:$F$1,0),0)</f>
        <v>76.55</v>
      </c>
      <c r="E580" s="14" t="str">
        <f>VLOOKUP($B580,Menu!$A$1:$F$20,MATCH(OrderLines!E$1,Menu!$A$1:$F$1,0),0)</f>
        <v>Dessert</v>
      </c>
      <c r="F580" s="37">
        <f>VLOOKUP($B580,Menu!$A$1:$F$20,MATCH(OrderLines!F$1,Menu!$A$1:$F$1,0),0)</f>
        <v>38.229999999999997</v>
      </c>
      <c r="G580" s="28">
        <f>VLOOKUP($A580,Orders!$A$1:$H$361,MATCH($G$1,Orders!$A$1:$H$1,0),0)</f>
        <v>45845</v>
      </c>
      <c r="H580" s="14" t="str">
        <f>VLOOKUP($A580,Orders!$A$1:$H$361,MATCH(OrderLines!$H$1,Orders!$A$1:$H$1,0),0)</f>
        <v>Head Office Café</v>
      </c>
      <c r="I580" s="14">
        <f>VLOOKUP($A580,Orders!$A$1:$H$361,MATCH(OrderLines!$I$1,Orders!$A$1:$H$1,0),0)</f>
        <v>0</v>
      </c>
      <c r="J580" s="14">
        <f t="shared" si="28"/>
        <v>153.1</v>
      </c>
      <c r="K580" s="28" t="str">
        <f t="shared" si="29"/>
        <v>July</v>
      </c>
      <c r="L580" s="14" t="str">
        <f>VLOOKUP(OrderLines!$A580,Orders!$A$1:$H$361,MATCH(OrderLines!$L$1,Orders!$A$1:$H$1,0),0)</f>
        <v>Dinner</v>
      </c>
      <c r="M580" t="str">
        <f>VLOOKUP($A580,Orders!$A$1:$H$361,MATCH(OrderLines!$M$1,Orders!$A$1:$H$1,0),0)</f>
        <v>UPI</v>
      </c>
      <c r="N580" t="str">
        <f t="shared" si="27"/>
        <v>Combo</v>
      </c>
      <c r="O580" t="str" cm="1">
        <f t="array" ref="O580">IF((SUMPRODUCT((OrderID=OrderLines!$A580)*Qty*UnitPrice*DiscountPct))&gt;40,"HighDisc","OK")</f>
        <v>OK</v>
      </c>
      <c r="P580">
        <f>(orderlinesTABLE[[#This Row],[UnitCost]]*orderlinesTABLE[[#This Row],[Qty]])</f>
        <v>76.459999999999994</v>
      </c>
      <c r="Q580">
        <f>(orderlinesTABLE[[#This Row],[LineNetAmount]]-orderlinesTABLE[[#This Row],[totalCOST]])</f>
        <v>76.64</v>
      </c>
      <c r="R580" t="str">
        <f>VLOOKUP($B580,Menu!$A$1:$F$20,MATCH(OrderLines!R$1,Menu!$A$1:$F$1,0),0)</f>
        <v>Gulab Jamun (2 pc)</v>
      </c>
      <c r="S580" t="str" cm="1">
        <f t="array" ref="S580">_xlfn.TEXTJOIN("+",TRUE,_xlfn._xlws.FILTER(orderlinesTABLE[ItemName],OrderID=orderlinesTABLE[[#This Row],[OrderID]]))</f>
        <v>Tea+Rajma Chawal+Gulab Jamun (2 pc)</v>
      </c>
      <c r="T580" s="54">
        <f>orderlinesTABLE[[#This Row],[Profit]]/orderlinesTABLE[[#This Row],[LineNetAmount]]</f>
        <v>0.50058785107772696</v>
      </c>
      <c r="U580" s="70">
        <f>(orderlinesTABLE[[#This Row],[Qty]]*orderlinesTABLE[[#This Row],[UnitCost]])</f>
        <v>76.459999999999994</v>
      </c>
    </row>
    <row r="581" spans="1:21" x14ac:dyDescent="0.3">
      <c r="A581" s="15" t="s">
        <v>264</v>
      </c>
      <c r="B581" s="15" t="s">
        <v>405</v>
      </c>
      <c r="C581" s="15">
        <v>2</v>
      </c>
      <c r="D581" s="36">
        <f>VLOOKUP($B581,Menu!$A$1:$F$20,MATCH($D$1,Menu!$A$1:$F$1,0),0)</f>
        <v>170.83</v>
      </c>
      <c r="E581" s="15" t="str">
        <f>VLOOKUP($B581,Menu!$A$1:$F$20,MATCH(OrderLines!E$1,Menu!$A$1:$F$1,0),0)</f>
        <v>Hot Meal</v>
      </c>
      <c r="F581" s="36">
        <f>VLOOKUP($B581,Menu!$A$1:$F$20,MATCH(OrderLines!F$1,Menu!$A$1:$F$1,0),0)</f>
        <v>74.069999999999993</v>
      </c>
      <c r="G581" s="27">
        <f>VLOOKUP($A581,Orders!$A$1:$H$361,MATCH($G$1,Orders!$A$1:$H$1,0),0)</f>
        <v>45861</v>
      </c>
      <c r="H581" s="15" t="str">
        <f>VLOOKUP($A581,Orders!$A$1:$H$361,MATCH(OrderLines!$H$1,Orders!$A$1:$H$1,0),0)</f>
        <v>Plant 2 Canteen</v>
      </c>
      <c r="I581" s="15">
        <f>VLOOKUP($A581,Orders!$A$1:$H$361,MATCH(OrderLines!$I$1,Orders!$A$1:$H$1,0),0)</f>
        <v>0.04</v>
      </c>
      <c r="J581" s="15">
        <f t="shared" si="28"/>
        <v>327.99360000000001</v>
      </c>
      <c r="K581" s="27" t="str">
        <f t="shared" si="29"/>
        <v>July</v>
      </c>
      <c r="L581" s="15" t="str">
        <f>VLOOKUP(OrderLines!$A581,Orders!$A$1:$H$361,MATCH(OrderLines!$L$1,Orders!$A$1:$H$1,0),0)</f>
        <v>Dinner</v>
      </c>
      <c r="M581" t="str">
        <f>VLOOKUP($A581,Orders!$A$1:$H$361,MATCH(OrderLines!$M$1,Orders!$A$1:$H$1,0),0)</f>
        <v>UPI</v>
      </c>
      <c r="N581" t="str">
        <f t="shared" si="27"/>
        <v>Single</v>
      </c>
      <c r="O581" t="str" cm="1">
        <f t="array" ref="O581">IF((SUMPRODUCT((OrderID=OrderLines!$A581)*Qty*UnitPrice*DiscountPct))&gt;40,"HighDisc","OK")</f>
        <v>OK</v>
      </c>
      <c r="P581">
        <f>(orderlinesTABLE[[#This Row],[UnitCost]]*orderlinesTABLE[[#This Row],[Qty]])</f>
        <v>148.13999999999999</v>
      </c>
      <c r="Q581">
        <f>(orderlinesTABLE[[#This Row],[LineNetAmount]]-orderlinesTABLE[[#This Row],[totalCOST]])</f>
        <v>179.85360000000003</v>
      </c>
      <c r="R581" t="str">
        <f>VLOOKUP($B581,Menu!$A$1:$F$20,MATCH(OrderLines!R$1,Menu!$A$1:$F$1,0),0)</f>
        <v>Paneer Butter Masala + Naan</v>
      </c>
      <c r="S581" t="str" cm="1">
        <f t="array" ref="S581">_xlfn.TEXTJOIN("+",TRUE,_xlfn._xlws.FILTER(orderlinesTABLE[ItemName],OrderID=orderlinesTABLE[[#This Row],[OrderID]]))</f>
        <v>Paneer Butter Masala + Naan+Kheer Cup</v>
      </c>
      <c r="T581" s="54">
        <f>orderlinesTABLE[[#This Row],[Profit]]/orderlinesTABLE[[#This Row],[LineNetAmount]]</f>
        <v>0.54834484575308795</v>
      </c>
      <c r="U581" s="70">
        <f>(orderlinesTABLE[[#This Row],[Qty]]*orderlinesTABLE[[#This Row],[UnitCost]])</f>
        <v>148.13999999999999</v>
      </c>
    </row>
    <row r="582" spans="1:21" x14ac:dyDescent="0.3">
      <c r="A582" s="14" t="s">
        <v>264</v>
      </c>
      <c r="B582" s="14" t="s">
        <v>413</v>
      </c>
      <c r="C582" s="14">
        <v>1</v>
      </c>
      <c r="D582" s="37">
        <f>VLOOKUP($B582,Menu!$A$1:$F$20,MATCH($D$1,Menu!$A$1:$F$1,0),0)</f>
        <v>54.2</v>
      </c>
      <c r="E582" s="14" t="str">
        <f>VLOOKUP($B582,Menu!$A$1:$F$20,MATCH(OrderLines!E$1,Menu!$A$1:$F$1,0),0)</f>
        <v>Dessert</v>
      </c>
      <c r="F582" s="37">
        <f>VLOOKUP($B582,Menu!$A$1:$F$20,MATCH(OrderLines!F$1,Menu!$A$1:$F$1,0),0)</f>
        <v>21.95</v>
      </c>
      <c r="G582" s="28">
        <f>VLOOKUP($A582,Orders!$A$1:$H$361,MATCH($G$1,Orders!$A$1:$H$1,0),0)</f>
        <v>45861</v>
      </c>
      <c r="H582" s="14" t="str">
        <f>VLOOKUP($A582,Orders!$A$1:$H$361,MATCH(OrderLines!$H$1,Orders!$A$1:$H$1,0),0)</f>
        <v>Plant 2 Canteen</v>
      </c>
      <c r="I582" s="14">
        <f>VLOOKUP($A582,Orders!$A$1:$H$361,MATCH(OrderLines!$I$1,Orders!$A$1:$H$1,0),0)</f>
        <v>0.04</v>
      </c>
      <c r="J582" s="14">
        <f t="shared" si="28"/>
        <v>52.032000000000004</v>
      </c>
      <c r="K582" s="28" t="str">
        <f t="shared" si="29"/>
        <v>July</v>
      </c>
      <c r="L582" s="14" t="str">
        <f>VLOOKUP(OrderLines!$A582,Orders!$A$1:$H$361,MATCH(OrderLines!$L$1,Orders!$A$1:$H$1,0),0)</f>
        <v>Dinner</v>
      </c>
      <c r="M582" t="str">
        <f>VLOOKUP($A582,Orders!$A$1:$H$361,MATCH(OrderLines!$M$1,Orders!$A$1:$H$1,0),0)</f>
        <v>UPI</v>
      </c>
      <c r="N582" t="str">
        <f t="shared" si="27"/>
        <v>Single</v>
      </c>
      <c r="O582" t="str" cm="1">
        <f t="array" ref="O582">IF((SUMPRODUCT((OrderID=OrderLines!$A582)*Qty*UnitPrice*DiscountPct))&gt;40,"HighDisc","OK")</f>
        <v>OK</v>
      </c>
      <c r="P582">
        <f>(orderlinesTABLE[[#This Row],[UnitCost]]*orderlinesTABLE[[#This Row],[Qty]])</f>
        <v>21.95</v>
      </c>
      <c r="Q582">
        <f>(orderlinesTABLE[[#This Row],[LineNetAmount]]-orderlinesTABLE[[#This Row],[totalCOST]])</f>
        <v>30.082000000000004</v>
      </c>
      <c r="R582" t="str">
        <f>VLOOKUP($B582,Menu!$A$1:$F$20,MATCH(OrderLines!R$1,Menu!$A$1:$F$1,0),0)</f>
        <v>Kheer Cup</v>
      </c>
      <c r="S582" t="str" cm="1">
        <f t="array" ref="S582">_xlfn.TEXTJOIN("+",TRUE,_xlfn._xlws.FILTER(orderlinesTABLE[ItemName],OrderID=orderlinesTABLE[[#This Row],[OrderID]]))</f>
        <v>Paneer Butter Masala + Naan+Kheer Cup</v>
      </c>
      <c r="T582" s="54">
        <f>orderlinesTABLE[[#This Row],[Profit]]/orderlinesTABLE[[#This Row],[LineNetAmount]]</f>
        <v>0.57814421894218948</v>
      </c>
      <c r="U582" s="70">
        <f>(orderlinesTABLE[[#This Row],[Qty]]*orderlinesTABLE[[#This Row],[UnitCost]])</f>
        <v>21.95</v>
      </c>
    </row>
    <row r="583" spans="1:21" x14ac:dyDescent="0.3">
      <c r="A583" s="15" t="s">
        <v>265</v>
      </c>
      <c r="B583" s="15" t="s">
        <v>413</v>
      </c>
      <c r="C583" s="15">
        <v>2</v>
      </c>
      <c r="D583" s="36">
        <f>VLOOKUP($B583,Menu!$A$1:$F$20,MATCH($D$1,Menu!$A$1:$F$1,0),0)</f>
        <v>54.2</v>
      </c>
      <c r="E583" s="15" t="str">
        <f>VLOOKUP($B583,Menu!$A$1:$F$20,MATCH(OrderLines!E$1,Menu!$A$1:$F$1,0),0)</f>
        <v>Dessert</v>
      </c>
      <c r="F583" s="36">
        <f>VLOOKUP($B583,Menu!$A$1:$F$20,MATCH(OrderLines!F$1,Menu!$A$1:$F$1,0),0)</f>
        <v>21.95</v>
      </c>
      <c r="G583" s="27">
        <f>VLOOKUP($A583,Orders!$A$1:$H$361,MATCH($G$1,Orders!$A$1:$H$1,0),0)</f>
        <v>45866</v>
      </c>
      <c r="H583" s="15" t="str">
        <f>VLOOKUP($A583,Orders!$A$1:$H$361,MATCH(OrderLines!$H$1,Orders!$A$1:$H$1,0),0)</f>
        <v>Plant 1 Canteen</v>
      </c>
      <c r="I583" s="15">
        <f>VLOOKUP($A583,Orders!$A$1:$H$361,MATCH(OrderLines!$I$1,Orders!$A$1:$H$1,0),0)</f>
        <v>7.0000000000000007E-2</v>
      </c>
      <c r="J583" s="15">
        <f t="shared" si="28"/>
        <v>100.812</v>
      </c>
      <c r="K583" s="27" t="str">
        <f t="shared" si="29"/>
        <v>July</v>
      </c>
      <c r="L583" s="15" t="str">
        <f>VLOOKUP(OrderLines!$A583,Orders!$A$1:$H$361,MATCH(OrderLines!$L$1,Orders!$A$1:$H$1,0),0)</f>
        <v>Breakfast</v>
      </c>
      <c r="M583" t="str">
        <f>VLOOKUP($A583,Orders!$A$1:$H$361,MATCH(OrderLines!$M$1,Orders!$A$1:$H$1,0),0)</f>
        <v>UPI</v>
      </c>
      <c r="N583" t="str">
        <f t="shared" si="27"/>
        <v>Single</v>
      </c>
      <c r="O583" t="str" cm="1">
        <f t="array" ref="O583">IF((SUMPRODUCT((OrderID=OrderLines!$A583)*Qty*UnitPrice*DiscountPct))&gt;40,"HighDisc","OK")</f>
        <v>OK</v>
      </c>
      <c r="P583">
        <f>(orderlinesTABLE[[#This Row],[UnitCost]]*orderlinesTABLE[[#This Row],[Qty]])</f>
        <v>43.9</v>
      </c>
      <c r="Q583">
        <f>(orderlinesTABLE[[#This Row],[LineNetAmount]]-orderlinesTABLE[[#This Row],[totalCOST]])</f>
        <v>56.911999999999999</v>
      </c>
      <c r="R583" t="str">
        <f>VLOOKUP($B583,Menu!$A$1:$F$20,MATCH(OrderLines!R$1,Menu!$A$1:$F$1,0),0)</f>
        <v>Kheer Cup</v>
      </c>
      <c r="S583" t="str" cm="1">
        <f t="array" ref="S583">_xlfn.TEXTJOIN("+",TRUE,_xlfn._xlws.FILTER(orderlinesTABLE[ItemName],OrderID=orderlinesTABLE[[#This Row],[OrderID]]))</f>
        <v>Kheer Cup</v>
      </c>
      <c r="T583" s="54">
        <f>orderlinesTABLE[[#This Row],[Profit]]/orderlinesTABLE[[#This Row],[LineNetAmount]]</f>
        <v>0.56453596794032457</v>
      </c>
      <c r="U583" s="70">
        <f>(orderlinesTABLE[[#This Row],[Qty]]*orderlinesTABLE[[#This Row],[UnitCost]])</f>
        <v>43.9</v>
      </c>
    </row>
    <row r="584" spans="1:21" x14ac:dyDescent="0.3">
      <c r="A584" s="14" t="s">
        <v>266</v>
      </c>
      <c r="B584" s="14" t="s">
        <v>407</v>
      </c>
      <c r="C584" s="14">
        <v>1</v>
      </c>
      <c r="D584" s="37">
        <f>VLOOKUP($B584,Menu!$A$1:$F$20,MATCH($D$1,Menu!$A$1:$F$1,0),0)</f>
        <v>246.09</v>
      </c>
      <c r="E584" s="14" t="str">
        <f>VLOOKUP($B584,Menu!$A$1:$F$20,MATCH(OrderLines!E$1,Menu!$A$1:$F$1,0),0)</f>
        <v>Hot Meal</v>
      </c>
      <c r="F584" s="37">
        <f>VLOOKUP($B584,Menu!$A$1:$F$20,MATCH(OrderLines!F$1,Menu!$A$1:$F$1,0),0)</f>
        <v>112.08</v>
      </c>
      <c r="G584" s="28">
        <f>VLOOKUP($A584,Orders!$A$1:$H$361,MATCH($G$1,Orders!$A$1:$H$1,0),0)</f>
        <v>45856</v>
      </c>
      <c r="H584" s="14" t="str">
        <f>VLOOKUP($A584,Orders!$A$1:$H$361,MATCH(OrderLines!$H$1,Orders!$A$1:$H$1,0),0)</f>
        <v>Plant 1 Canteen</v>
      </c>
      <c r="I584" s="14">
        <f>VLOOKUP($A584,Orders!$A$1:$H$361,MATCH(OrderLines!$I$1,Orders!$A$1:$H$1,0),0)</f>
        <v>0.12</v>
      </c>
      <c r="J584" s="14">
        <f t="shared" si="28"/>
        <v>216.5592</v>
      </c>
      <c r="K584" s="28" t="str">
        <f t="shared" si="29"/>
        <v>July</v>
      </c>
      <c r="L584" s="14" t="str">
        <f>VLOOKUP(OrderLines!$A584,Orders!$A$1:$H$361,MATCH(OrderLines!$L$1,Orders!$A$1:$H$1,0),0)</f>
        <v>Breakfast</v>
      </c>
      <c r="M584" t="str">
        <f>VLOOKUP($A584,Orders!$A$1:$H$361,MATCH(OrderLines!$M$1,Orders!$A$1:$H$1,0),0)</f>
        <v>Cash</v>
      </c>
      <c r="N584" t="str">
        <f t="shared" si="27"/>
        <v>Single</v>
      </c>
      <c r="O584" t="str" cm="1">
        <f t="array" ref="O584">IF((SUMPRODUCT((OrderID=OrderLines!$A584)*Qty*UnitPrice*DiscountPct))&gt;40,"HighDisc","OK")</f>
        <v>HighDisc</v>
      </c>
      <c r="P584">
        <f>(orderlinesTABLE[[#This Row],[UnitCost]]*orderlinesTABLE[[#This Row],[Qty]])</f>
        <v>112.08</v>
      </c>
      <c r="Q584">
        <f>(orderlinesTABLE[[#This Row],[LineNetAmount]]-orderlinesTABLE[[#This Row],[totalCOST]])</f>
        <v>104.47920000000001</v>
      </c>
      <c r="R584" t="str">
        <f>VLOOKUP($B584,Menu!$A$1:$F$20,MATCH(OrderLines!R$1,Menu!$A$1:$F$1,0),0)</f>
        <v>Egg Curry + Rice</v>
      </c>
      <c r="S584" t="str" cm="1">
        <f t="array" ref="S584">_xlfn.TEXTJOIN("+",TRUE,_xlfn._xlws.FILTER(orderlinesTABLE[ItemName],OrderID=orderlinesTABLE[[#This Row],[OrderID]]))</f>
        <v>Egg Curry + Rice+Kheer Cup+Veg Sandwich+Paneer Roll</v>
      </c>
      <c r="T584" s="54">
        <f>orderlinesTABLE[[#This Row],[Profit]]/orderlinesTABLE[[#This Row],[LineNetAmount]]</f>
        <v>0.48245098799773922</v>
      </c>
      <c r="U584" s="70">
        <f>(orderlinesTABLE[[#This Row],[Qty]]*orderlinesTABLE[[#This Row],[UnitCost]])</f>
        <v>112.08</v>
      </c>
    </row>
    <row r="585" spans="1:21" x14ac:dyDescent="0.3">
      <c r="A585" s="15" t="s">
        <v>266</v>
      </c>
      <c r="B585" s="15" t="s">
        <v>413</v>
      </c>
      <c r="C585" s="15">
        <v>3</v>
      </c>
      <c r="D585" s="36">
        <f>VLOOKUP($B585,Menu!$A$1:$F$20,MATCH($D$1,Menu!$A$1:$F$1,0),0)</f>
        <v>54.2</v>
      </c>
      <c r="E585" s="15" t="str">
        <f>VLOOKUP($B585,Menu!$A$1:$F$20,MATCH(OrderLines!E$1,Menu!$A$1:$F$1,0),0)</f>
        <v>Dessert</v>
      </c>
      <c r="F585" s="36">
        <f>VLOOKUP($B585,Menu!$A$1:$F$20,MATCH(OrderLines!F$1,Menu!$A$1:$F$1,0),0)</f>
        <v>21.95</v>
      </c>
      <c r="G585" s="27">
        <f>VLOOKUP($A585,Orders!$A$1:$H$361,MATCH($G$1,Orders!$A$1:$H$1,0),0)</f>
        <v>45856</v>
      </c>
      <c r="H585" s="15" t="str">
        <f>VLOOKUP($A585,Orders!$A$1:$H$361,MATCH(OrderLines!$H$1,Orders!$A$1:$H$1,0),0)</f>
        <v>Plant 1 Canteen</v>
      </c>
      <c r="I585" s="15">
        <f>VLOOKUP($A585,Orders!$A$1:$H$361,MATCH(OrderLines!$I$1,Orders!$A$1:$H$1,0),0)</f>
        <v>0.12</v>
      </c>
      <c r="J585" s="15">
        <f t="shared" si="28"/>
        <v>143.08800000000002</v>
      </c>
      <c r="K585" s="27" t="str">
        <f t="shared" si="29"/>
        <v>July</v>
      </c>
      <c r="L585" s="15" t="str">
        <f>VLOOKUP(OrderLines!$A585,Orders!$A$1:$H$361,MATCH(OrderLines!$L$1,Orders!$A$1:$H$1,0),0)</f>
        <v>Breakfast</v>
      </c>
      <c r="M585" t="str">
        <f>VLOOKUP($A585,Orders!$A$1:$H$361,MATCH(OrderLines!$M$1,Orders!$A$1:$H$1,0),0)</f>
        <v>Cash</v>
      </c>
      <c r="N585" t="str">
        <f t="shared" si="27"/>
        <v>Single</v>
      </c>
      <c r="O585" t="str" cm="1">
        <f t="array" ref="O585">IF((SUMPRODUCT((OrderID=OrderLines!$A585)*Qty*UnitPrice*DiscountPct))&gt;40,"HighDisc","OK")</f>
        <v>HighDisc</v>
      </c>
      <c r="P585">
        <f>(orderlinesTABLE[[#This Row],[UnitCost]]*orderlinesTABLE[[#This Row],[Qty]])</f>
        <v>65.849999999999994</v>
      </c>
      <c r="Q585">
        <f>(orderlinesTABLE[[#This Row],[LineNetAmount]]-orderlinesTABLE[[#This Row],[totalCOST]])</f>
        <v>77.238000000000028</v>
      </c>
      <c r="R585" t="str">
        <f>VLOOKUP($B585,Menu!$A$1:$F$20,MATCH(OrderLines!R$1,Menu!$A$1:$F$1,0),0)</f>
        <v>Kheer Cup</v>
      </c>
      <c r="S585" t="str" cm="1">
        <f t="array" ref="S585">_xlfn.TEXTJOIN("+",TRUE,_xlfn._xlws.FILTER(orderlinesTABLE[ItemName],OrderID=orderlinesTABLE[[#This Row],[OrderID]]))</f>
        <v>Egg Curry + Rice+Kheer Cup+Veg Sandwich+Paneer Roll</v>
      </c>
      <c r="T585" s="54">
        <f>orderlinesTABLE[[#This Row],[Profit]]/orderlinesTABLE[[#This Row],[LineNetAmount]]</f>
        <v>0.53979369339147953</v>
      </c>
      <c r="U585" s="70">
        <f>(orderlinesTABLE[[#This Row],[Qty]]*orderlinesTABLE[[#This Row],[UnitCost]])</f>
        <v>65.849999999999994</v>
      </c>
    </row>
    <row r="586" spans="1:21" x14ac:dyDescent="0.3">
      <c r="A586" s="14" t="s">
        <v>266</v>
      </c>
      <c r="B586" s="14" t="s">
        <v>408</v>
      </c>
      <c r="C586" s="14">
        <v>1</v>
      </c>
      <c r="D586" s="37">
        <f>VLOOKUP($B586,Menu!$A$1:$F$20,MATCH($D$1,Menu!$A$1:$F$1,0),0)</f>
        <v>70.540000000000006</v>
      </c>
      <c r="E586" s="14" t="str">
        <f>VLOOKUP($B586,Menu!$A$1:$F$20,MATCH(OrderLines!E$1,Menu!$A$1:$F$1,0),0)</f>
        <v>Snack</v>
      </c>
      <c r="F586" s="37">
        <f>VLOOKUP($B586,Menu!$A$1:$F$20,MATCH(OrderLines!F$1,Menu!$A$1:$F$1,0),0)</f>
        <v>35.81</v>
      </c>
      <c r="G586" s="28">
        <f>VLOOKUP($A586,Orders!$A$1:$H$361,MATCH($G$1,Orders!$A$1:$H$1,0),0)</f>
        <v>45856</v>
      </c>
      <c r="H586" s="14" t="str">
        <f>VLOOKUP($A586,Orders!$A$1:$H$361,MATCH(OrderLines!$H$1,Orders!$A$1:$H$1,0),0)</f>
        <v>Plant 1 Canteen</v>
      </c>
      <c r="I586" s="14">
        <f>VLOOKUP($A586,Orders!$A$1:$H$361,MATCH(OrderLines!$I$1,Orders!$A$1:$H$1,0),0)</f>
        <v>0.12</v>
      </c>
      <c r="J586" s="14">
        <f t="shared" si="28"/>
        <v>62.075200000000002</v>
      </c>
      <c r="K586" s="28" t="str">
        <f t="shared" si="29"/>
        <v>July</v>
      </c>
      <c r="L586" s="14" t="str">
        <f>VLOOKUP(OrderLines!$A586,Orders!$A$1:$H$361,MATCH(OrderLines!$L$1,Orders!$A$1:$H$1,0),0)</f>
        <v>Breakfast</v>
      </c>
      <c r="M586" t="str">
        <f>VLOOKUP($A586,Orders!$A$1:$H$361,MATCH(OrderLines!$M$1,Orders!$A$1:$H$1,0),0)</f>
        <v>Cash</v>
      </c>
      <c r="N586" t="str">
        <f t="shared" si="27"/>
        <v>Single</v>
      </c>
      <c r="O586" t="str" cm="1">
        <f t="array" ref="O586">IF((SUMPRODUCT((OrderID=OrderLines!$A586)*Qty*UnitPrice*DiscountPct))&gt;40,"HighDisc","OK")</f>
        <v>HighDisc</v>
      </c>
      <c r="P586">
        <f>(orderlinesTABLE[[#This Row],[UnitCost]]*orderlinesTABLE[[#This Row],[Qty]])</f>
        <v>35.81</v>
      </c>
      <c r="Q586">
        <f>(orderlinesTABLE[[#This Row],[LineNetAmount]]-orderlinesTABLE[[#This Row],[totalCOST]])</f>
        <v>26.2652</v>
      </c>
      <c r="R586" t="str">
        <f>VLOOKUP($B586,Menu!$A$1:$F$20,MATCH(OrderLines!R$1,Menu!$A$1:$F$1,0),0)</f>
        <v>Veg Sandwich</v>
      </c>
      <c r="S586" t="str" cm="1">
        <f t="array" ref="S586">_xlfn.TEXTJOIN("+",TRUE,_xlfn._xlws.FILTER(orderlinesTABLE[ItemName],OrderID=orderlinesTABLE[[#This Row],[OrderID]]))</f>
        <v>Egg Curry + Rice+Kheer Cup+Veg Sandwich+Paneer Roll</v>
      </c>
      <c r="T586" s="54">
        <f>orderlinesTABLE[[#This Row],[Profit]]/orderlinesTABLE[[#This Row],[LineNetAmount]]</f>
        <v>0.42311905559708224</v>
      </c>
      <c r="U586" s="70">
        <f>(orderlinesTABLE[[#This Row],[Qty]]*orderlinesTABLE[[#This Row],[UnitCost]])</f>
        <v>35.81</v>
      </c>
    </row>
    <row r="587" spans="1:21" x14ac:dyDescent="0.3">
      <c r="A587" s="15" t="s">
        <v>266</v>
      </c>
      <c r="B587" s="15" t="s">
        <v>406</v>
      </c>
      <c r="C587" s="15">
        <v>1</v>
      </c>
      <c r="D587" s="36">
        <f>VLOOKUP($B587,Menu!$A$1:$F$20,MATCH($D$1,Menu!$A$1:$F$1,0),0)</f>
        <v>38.06</v>
      </c>
      <c r="E587" s="15" t="str">
        <f>VLOOKUP($B587,Menu!$A$1:$F$20,MATCH(OrderLines!E$1,Menu!$A$1:$F$1,0),0)</f>
        <v>Snack</v>
      </c>
      <c r="F587" s="36">
        <f>VLOOKUP($B587,Menu!$A$1:$F$20,MATCH(OrderLines!F$1,Menu!$A$1:$F$1,0),0)</f>
        <v>19.55</v>
      </c>
      <c r="G587" s="27">
        <f>VLOOKUP($A587,Orders!$A$1:$H$361,MATCH($G$1,Orders!$A$1:$H$1,0),0)</f>
        <v>45856</v>
      </c>
      <c r="H587" s="15" t="str">
        <f>VLOOKUP($A587,Orders!$A$1:$H$361,MATCH(OrderLines!$H$1,Orders!$A$1:$H$1,0),0)</f>
        <v>Plant 1 Canteen</v>
      </c>
      <c r="I587" s="15">
        <f>VLOOKUP($A587,Orders!$A$1:$H$361,MATCH(OrderLines!$I$1,Orders!$A$1:$H$1,0),0)</f>
        <v>0.12</v>
      </c>
      <c r="J587" s="15">
        <f t="shared" si="28"/>
        <v>33.492800000000003</v>
      </c>
      <c r="K587" s="27" t="str">
        <f t="shared" si="29"/>
        <v>July</v>
      </c>
      <c r="L587" s="15" t="str">
        <f>VLOOKUP(OrderLines!$A587,Orders!$A$1:$H$361,MATCH(OrderLines!$L$1,Orders!$A$1:$H$1,0),0)</f>
        <v>Breakfast</v>
      </c>
      <c r="M587" t="str">
        <f>VLOOKUP($A587,Orders!$A$1:$H$361,MATCH(OrderLines!$M$1,Orders!$A$1:$H$1,0),0)</f>
        <v>Cash</v>
      </c>
      <c r="N587" t="str">
        <f t="shared" si="27"/>
        <v>Single</v>
      </c>
      <c r="O587" t="str" cm="1">
        <f t="array" ref="O587">IF((SUMPRODUCT((OrderID=OrderLines!$A587)*Qty*UnitPrice*DiscountPct))&gt;40,"HighDisc","OK")</f>
        <v>HighDisc</v>
      </c>
      <c r="P587">
        <f>(orderlinesTABLE[[#This Row],[UnitCost]]*orderlinesTABLE[[#This Row],[Qty]])</f>
        <v>19.55</v>
      </c>
      <c r="Q587">
        <f>(orderlinesTABLE[[#This Row],[LineNetAmount]]-orderlinesTABLE[[#This Row],[totalCOST]])</f>
        <v>13.942800000000002</v>
      </c>
      <c r="R587" t="str">
        <f>VLOOKUP($B587,Menu!$A$1:$F$20,MATCH(OrderLines!R$1,Menu!$A$1:$F$1,0),0)</f>
        <v>Paneer Roll</v>
      </c>
      <c r="S587" t="str" cm="1">
        <f t="array" ref="S587">_xlfn.TEXTJOIN("+",TRUE,_xlfn._xlws.FILTER(orderlinesTABLE[ItemName],OrderID=orderlinesTABLE[[#This Row],[OrderID]]))</f>
        <v>Egg Curry + Rice+Kheer Cup+Veg Sandwich+Paneer Roll</v>
      </c>
      <c r="T587" s="54">
        <f>orderlinesTABLE[[#This Row],[Profit]]/orderlinesTABLE[[#This Row],[LineNetAmount]]</f>
        <v>0.41629245688625616</v>
      </c>
      <c r="U587" s="70">
        <f>(orderlinesTABLE[[#This Row],[Qty]]*orderlinesTABLE[[#This Row],[UnitCost]])</f>
        <v>19.55</v>
      </c>
    </row>
    <row r="588" spans="1:21" x14ac:dyDescent="0.3">
      <c r="A588" s="14" t="s">
        <v>267</v>
      </c>
      <c r="B588" s="14" t="s">
        <v>405</v>
      </c>
      <c r="C588" s="14">
        <v>1</v>
      </c>
      <c r="D588" s="37">
        <f>VLOOKUP($B588,Menu!$A$1:$F$20,MATCH($D$1,Menu!$A$1:$F$1,0),0)</f>
        <v>170.83</v>
      </c>
      <c r="E588" s="14" t="str">
        <f>VLOOKUP($B588,Menu!$A$1:$F$20,MATCH(OrderLines!E$1,Menu!$A$1:$F$1,0),0)</f>
        <v>Hot Meal</v>
      </c>
      <c r="F588" s="37">
        <f>VLOOKUP($B588,Menu!$A$1:$F$20,MATCH(OrderLines!F$1,Menu!$A$1:$F$1,0),0)</f>
        <v>74.069999999999993</v>
      </c>
      <c r="G588" s="28">
        <f>VLOOKUP($A588,Orders!$A$1:$H$361,MATCH($G$1,Orders!$A$1:$H$1,0),0)</f>
        <v>45840</v>
      </c>
      <c r="H588" s="14" t="str">
        <f>VLOOKUP($A588,Orders!$A$1:$H$361,MATCH(OrderLines!$H$1,Orders!$A$1:$H$1,0),0)</f>
        <v>Plant 2 Canteen</v>
      </c>
      <c r="I588" s="14">
        <f>VLOOKUP($A588,Orders!$A$1:$H$361,MATCH(OrderLines!$I$1,Orders!$A$1:$H$1,0),0)</f>
        <v>0</v>
      </c>
      <c r="J588" s="14">
        <f t="shared" si="28"/>
        <v>170.83</v>
      </c>
      <c r="K588" s="28" t="str">
        <f t="shared" si="29"/>
        <v>July</v>
      </c>
      <c r="L588" s="14" t="str">
        <f>VLOOKUP(OrderLines!$A588,Orders!$A$1:$H$361,MATCH(OrderLines!$L$1,Orders!$A$1:$H$1,0),0)</f>
        <v>Dinner</v>
      </c>
      <c r="M588" t="str">
        <f>VLOOKUP($A588,Orders!$A$1:$H$361,MATCH(OrderLines!$M$1,Orders!$A$1:$H$1,0),0)</f>
        <v>UPI</v>
      </c>
      <c r="N588" t="str">
        <f t="shared" si="27"/>
        <v>Combo</v>
      </c>
      <c r="O588" t="str" cm="1">
        <f t="array" ref="O588">IF((SUMPRODUCT((OrderID=OrderLines!$A588)*Qty*UnitPrice*DiscountPct))&gt;40,"HighDisc","OK")</f>
        <v>OK</v>
      </c>
      <c r="P588">
        <f>(orderlinesTABLE[[#This Row],[UnitCost]]*orderlinesTABLE[[#This Row],[Qty]])</f>
        <v>74.069999999999993</v>
      </c>
      <c r="Q588">
        <f>(orderlinesTABLE[[#This Row],[LineNetAmount]]-orderlinesTABLE[[#This Row],[totalCOST]])</f>
        <v>96.760000000000019</v>
      </c>
      <c r="R588" t="str">
        <f>VLOOKUP($B588,Menu!$A$1:$F$20,MATCH(OrderLines!R$1,Menu!$A$1:$F$1,0),0)</f>
        <v>Paneer Butter Masala + Naan</v>
      </c>
      <c r="S588" t="str" cm="1">
        <f t="array" ref="S588">_xlfn.TEXTJOIN("+",TRUE,_xlfn._xlws.FILTER(orderlinesTABLE[ItemName],OrderID=orderlinesTABLE[[#This Row],[OrderID]]))</f>
        <v>Paneer Butter Masala + Naan+Bottled Water</v>
      </c>
      <c r="T588" s="54">
        <f>orderlinesTABLE[[#This Row],[Profit]]/orderlinesTABLE[[#This Row],[LineNetAmount]]</f>
        <v>0.56641105192296437</v>
      </c>
      <c r="U588" s="70">
        <f>(orderlinesTABLE[[#This Row],[Qty]]*orderlinesTABLE[[#This Row],[UnitCost]])</f>
        <v>74.069999999999993</v>
      </c>
    </row>
    <row r="589" spans="1:21" x14ac:dyDescent="0.3">
      <c r="A589" s="15" t="s">
        <v>267</v>
      </c>
      <c r="B589" s="15" t="s">
        <v>409</v>
      </c>
      <c r="C589" s="15">
        <v>1</v>
      </c>
      <c r="D589" s="36">
        <f>VLOOKUP($B589,Menu!$A$1:$F$20,MATCH($D$1,Menu!$A$1:$F$1,0),0)</f>
        <v>28.43</v>
      </c>
      <c r="E589" s="15" t="str">
        <f>VLOOKUP($B589,Menu!$A$1:$F$20,MATCH(OrderLines!E$1,Menu!$A$1:$F$1,0),0)</f>
        <v>Beverage</v>
      </c>
      <c r="F589" s="36">
        <f>VLOOKUP($B589,Menu!$A$1:$F$20,MATCH(OrderLines!F$1,Menu!$A$1:$F$1,0),0)</f>
        <v>13.89</v>
      </c>
      <c r="G589" s="27">
        <f>VLOOKUP($A589,Orders!$A$1:$H$361,MATCH($G$1,Orders!$A$1:$H$1,0),0)</f>
        <v>45840</v>
      </c>
      <c r="H589" s="15" t="str">
        <f>VLOOKUP($A589,Orders!$A$1:$H$361,MATCH(OrderLines!$H$1,Orders!$A$1:$H$1,0),0)</f>
        <v>Plant 2 Canteen</v>
      </c>
      <c r="I589" s="15">
        <f>VLOOKUP($A589,Orders!$A$1:$H$361,MATCH(OrderLines!$I$1,Orders!$A$1:$H$1,0),0)</f>
        <v>0</v>
      </c>
      <c r="J589" s="15">
        <f t="shared" si="28"/>
        <v>28.43</v>
      </c>
      <c r="K589" s="27" t="str">
        <f t="shared" si="29"/>
        <v>July</v>
      </c>
      <c r="L589" s="15" t="str">
        <f>VLOOKUP(OrderLines!$A589,Orders!$A$1:$H$361,MATCH(OrderLines!$L$1,Orders!$A$1:$H$1,0),0)</f>
        <v>Dinner</v>
      </c>
      <c r="M589" t="str">
        <f>VLOOKUP($A589,Orders!$A$1:$H$361,MATCH(OrderLines!$M$1,Orders!$A$1:$H$1,0),0)</f>
        <v>UPI</v>
      </c>
      <c r="N589" t="str">
        <f t="shared" si="27"/>
        <v>Combo</v>
      </c>
      <c r="O589" t="str" cm="1">
        <f t="array" ref="O589">IF((SUMPRODUCT((OrderID=OrderLines!$A589)*Qty*UnitPrice*DiscountPct))&gt;40,"HighDisc","OK")</f>
        <v>OK</v>
      </c>
      <c r="P589">
        <f>(orderlinesTABLE[[#This Row],[UnitCost]]*orderlinesTABLE[[#This Row],[Qty]])</f>
        <v>13.89</v>
      </c>
      <c r="Q589">
        <f>(orderlinesTABLE[[#This Row],[LineNetAmount]]-orderlinesTABLE[[#This Row],[totalCOST]])</f>
        <v>14.54</v>
      </c>
      <c r="R589" t="str">
        <f>VLOOKUP($B589,Menu!$A$1:$F$20,MATCH(OrderLines!R$1,Menu!$A$1:$F$1,0),0)</f>
        <v>Bottled Water</v>
      </c>
      <c r="S589" t="str" cm="1">
        <f t="array" ref="S589">_xlfn.TEXTJOIN("+",TRUE,_xlfn._xlws.FILTER(orderlinesTABLE[ItemName],OrderID=orderlinesTABLE[[#This Row],[OrderID]]))</f>
        <v>Paneer Butter Masala + Naan+Bottled Water</v>
      </c>
      <c r="T589" s="54">
        <f>orderlinesTABLE[[#This Row],[Profit]]/orderlinesTABLE[[#This Row],[LineNetAmount]]</f>
        <v>0.51143158635244457</v>
      </c>
      <c r="U589" s="70">
        <f>(orderlinesTABLE[[#This Row],[Qty]]*orderlinesTABLE[[#This Row],[UnitCost]])</f>
        <v>13.89</v>
      </c>
    </row>
    <row r="590" spans="1:21" x14ac:dyDescent="0.3">
      <c r="A590" s="14" t="s">
        <v>268</v>
      </c>
      <c r="B590" s="14" t="s">
        <v>414</v>
      </c>
      <c r="C590" s="14">
        <v>1</v>
      </c>
      <c r="D590" s="37">
        <f>VLOOKUP($B590,Menu!$A$1:$F$20,MATCH($D$1,Menu!$A$1:$F$1,0),0)</f>
        <v>116.8</v>
      </c>
      <c r="E590" s="14" t="str">
        <f>VLOOKUP($B590,Menu!$A$1:$F$20,MATCH(OrderLines!E$1,Menu!$A$1:$F$1,0),0)</f>
        <v>Dessert</v>
      </c>
      <c r="F590" s="37">
        <f>VLOOKUP($B590,Menu!$A$1:$F$20,MATCH(OrderLines!F$1,Menu!$A$1:$F$1,0),0)</f>
        <v>48.97</v>
      </c>
      <c r="G590" s="28">
        <f>VLOOKUP($A590,Orders!$A$1:$H$361,MATCH($G$1,Orders!$A$1:$H$1,0),0)</f>
        <v>45840</v>
      </c>
      <c r="H590" s="14" t="str">
        <f>VLOOKUP($A590,Orders!$A$1:$H$361,MATCH(OrderLines!$H$1,Orders!$A$1:$H$1,0),0)</f>
        <v>Plant 1 Canteen</v>
      </c>
      <c r="I590" s="14">
        <f>VLOOKUP($A590,Orders!$A$1:$H$361,MATCH(OrderLines!$I$1,Orders!$A$1:$H$1,0),0)</f>
        <v>0.11</v>
      </c>
      <c r="J590" s="14">
        <f t="shared" si="28"/>
        <v>103.952</v>
      </c>
      <c r="K590" s="28" t="str">
        <f t="shared" si="29"/>
        <v>July</v>
      </c>
      <c r="L590" s="14" t="str">
        <f>VLOOKUP(OrderLines!$A590,Orders!$A$1:$H$361,MATCH(OrderLines!$L$1,Orders!$A$1:$H$1,0),0)</f>
        <v>Dinner</v>
      </c>
      <c r="M590" t="str">
        <f>VLOOKUP($A590,Orders!$A$1:$H$361,MATCH(OrderLines!$M$1,Orders!$A$1:$H$1,0),0)</f>
        <v>Cash</v>
      </c>
      <c r="N590" t="str">
        <f t="shared" si="27"/>
        <v>Single</v>
      </c>
      <c r="O590" t="str" cm="1">
        <f t="array" ref="O590">IF((SUMPRODUCT((OrderID=OrderLines!$A590)*Qty*UnitPrice*DiscountPct))&gt;40,"HighDisc","OK")</f>
        <v>HighDisc</v>
      </c>
      <c r="P590">
        <f>(orderlinesTABLE[[#This Row],[UnitCost]]*orderlinesTABLE[[#This Row],[Qty]])</f>
        <v>48.97</v>
      </c>
      <c r="Q590">
        <f>(orderlinesTABLE[[#This Row],[LineNetAmount]]-orderlinesTABLE[[#This Row],[totalCOST]])</f>
        <v>54.981999999999999</v>
      </c>
      <c r="R590" t="str">
        <f>VLOOKUP($B590,Menu!$A$1:$F$20,MATCH(OrderLines!R$1,Menu!$A$1:$F$1,0),0)</f>
        <v>Brownie</v>
      </c>
      <c r="S590" t="str" cm="1">
        <f t="array" ref="S590">_xlfn.TEXTJOIN("+",TRUE,_xlfn._xlws.FILTER(orderlinesTABLE[ItemName],OrderID=orderlinesTABLE[[#This Row],[OrderID]]))</f>
        <v>Brownie+Poha+Masala Chaas+Gulab Jamun (2 pc)</v>
      </c>
      <c r="T590" s="54">
        <f>orderlinesTABLE[[#This Row],[Profit]]/orderlinesTABLE[[#This Row],[LineNetAmount]]</f>
        <v>0.52891719255040792</v>
      </c>
      <c r="U590" s="70">
        <f>(orderlinesTABLE[[#This Row],[Qty]]*orderlinesTABLE[[#This Row],[UnitCost]])</f>
        <v>48.97</v>
      </c>
    </row>
    <row r="591" spans="1:21" x14ac:dyDescent="0.3">
      <c r="A591" s="15" t="s">
        <v>268</v>
      </c>
      <c r="B591" s="15" t="s">
        <v>401</v>
      </c>
      <c r="C591" s="15">
        <v>2</v>
      </c>
      <c r="D591" s="36">
        <f>VLOOKUP($B591,Menu!$A$1:$F$20,MATCH($D$1,Menu!$A$1:$F$1,0),0)</f>
        <v>52.45</v>
      </c>
      <c r="E591" s="15" t="str">
        <f>VLOOKUP($B591,Menu!$A$1:$F$20,MATCH(OrderLines!E$1,Menu!$A$1:$F$1,0),0)</f>
        <v>Snack</v>
      </c>
      <c r="F591" s="36">
        <f>VLOOKUP($B591,Menu!$A$1:$F$20,MATCH(OrderLines!F$1,Menu!$A$1:$F$1,0),0)</f>
        <v>25.8</v>
      </c>
      <c r="G591" s="27">
        <f>VLOOKUP($A591,Orders!$A$1:$H$361,MATCH($G$1,Orders!$A$1:$H$1,0),0)</f>
        <v>45840</v>
      </c>
      <c r="H591" s="15" t="str">
        <f>VLOOKUP($A591,Orders!$A$1:$H$361,MATCH(OrderLines!$H$1,Orders!$A$1:$H$1,0),0)</f>
        <v>Plant 1 Canteen</v>
      </c>
      <c r="I591" s="15">
        <f>VLOOKUP($A591,Orders!$A$1:$H$361,MATCH(OrderLines!$I$1,Orders!$A$1:$H$1,0),0)</f>
        <v>0.11</v>
      </c>
      <c r="J591" s="15">
        <f t="shared" si="28"/>
        <v>93.361000000000004</v>
      </c>
      <c r="K591" s="27" t="str">
        <f t="shared" si="29"/>
        <v>July</v>
      </c>
      <c r="L591" s="15" t="str">
        <f>VLOOKUP(OrderLines!$A591,Orders!$A$1:$H$361,MATCH(OrderLines!$L$1,Orders!$A$1:$H$1,0),0)</f>
        <v>Dinner</v>
      </c>
      <c r="M591" t="str">
        <f>VLOOKUP($A591,Orders!$A$1:$H$361,MATCH(OrderLines!$M$1,Orders!$A$1:$H$1,0),0)</f>
        <v>Cash</v>
      </c>
      <c r="N591" t="str">
        <f t="shared" si="27"/>
        <v>Single</v>
      </c>
      <c r="O591" t="str" cm="1">
        <f t="array" ref="O591">IF((SUMPRODUCT((OrderID=OrderLines!$A591)*Qty*UnitPrice*DiscountPct))&gt;40,"HighDisc","OK")</f>
        <v>HighDisc</v>
      </c>
      <c r="P591">
        <f>(orderlinesTABLE[[#This Row],[UnitCost]]*orderlinesTABLE[[#This Row],[Qty]])</f>
        <v>51.6</v>
      </c>
      <c r="Q591">
        <f>(orderlinesTABLE[[#This Row],[LineNetAmount]]-orderlinesTABLE[[#This Row],[totalCOST]])</f>
        <v>41.761000000000003</v>
      </c>
      <c r="R591" t="str">
        <f>VLOOKUP($B591,Menu!$A$1:$F$20,MATCH(OrderLines!R$1,Menu!$A$1:$F$1,0),0)</f>
        <v>Poha</v>
      </c>
      <c r="S591" t="str" cm="1">
        <f t="array" ref="S591">_xlfn.TEXTJOIN("+",TRUE,_xlfn._xlws.FILTER(orderlinesTABLE[ItemName],OrderID=orderlinesTABLE[[#This Row],[OrderID]]))</f>
        <v>Brownie+Poha+Masala Chaas+Gulab Jamun (2 pc)</v>
      </c>
      <c r="T591" s="54">
        <f>orderlinesTABLE[[#This Row],[Profit]]/orderlinesTABLE[[#This Row],[LineNetAmount]]</f>
        <v>0.44730669123081374</v>
      </c>
      <c r="U591" s="70">
        <f>(orderlinesTABLE[[#This Row],[Qty]]*orderlinesTABLE[[#This Row],[UnitCost]])</f>
        <v>51.6</v>
      </c>
    </row>
    <row r="592" spans="1:21" x14ac:dyDescent="0.3">
      <c r="A592" s="14" t="s">
        <v>268</v>
      </c>
      <c r="B592" s="14" t="s">
        <v>404</v>
      </c>
      <c r="C592" s="14">
        <v>2</v>
      </c>
      <c r="D592" s="37">
        <f>VLOOKUP($B592,Menu!$A$1:$F$20,MATCH($D$1,Menu!$A$1:$F$1,0),0)</f>
        <v>32.979999999999997</v>
      </c>
      <c r="E592" s="14" t="str">
        <f>VLOOKUP($B592,Menu!$A$1:$F$20,MATCH(OrderLines!E$1,Menu!$A$1:$F$1,0),0)</f>
        <v>Beverage</v>
      </c>
      <c r="F592" s="37">
        <f>VLOOKUP($B592,Menu!$A$1:$F$20,MATCH(OrderLines!F$1,Menu!$A$1:$F$1,0),0)</f>
        <v>11.84</v>
      </c>
      <c r="G592" s="28">
        <f>VLOOKUP($A592,Orders!$A$1:$H$361,MATCH($G$1,Orders!$A$1:$H$1,0),0)</f>
        <v>45840</v>
      </c>
      <c r="H592" s="14" t="str">
        <f>VLOOKUP($A592,Orders!$A$1:$H$361,MATCH(OrderLines!$H$1,Orders!$A$1:$H$1,0),0)</f>
        <v>Plant 1 Canteen</v>
      </c>
      <c r="I592" s="14">
        <f>VLOOKUP($A592,Orders!$A$1:$H$361,MATCH(OrderLines!$I$1,Orders!$A$1:$H$1,0),0)</f>
        <v>0.11</v>
      </c>
      <c r="J592" s="14">
        <f t="shared" si="28"/>
        <v>58.704399999999993</v>
      </c>
      <c r="K592" s="28" t="str">
        <f t="shared" si="29"/>
        <v>July</v>
      </c>
      <c r="L592" s="14" t="str">
        <f>VLOOKUP(OrderLines!$A592,Orders!$A$1:$H$361,MATCH(OrderLines!$L$1,Orders!$A$1:$H$1,0),0)</f>
        <v>Dinner</v>
      </c>
      <c r="M592" t="str">
        <f>VLOOKUP($A592,Orders!$A$1:$H$361,MATCH(OrderLines!$M$1,Orders!$A$1:$H$1,0),0)</f>
        <v>Cash</v>
      </c>
      <c r="N592" t="str">
        <f t="shared" si="27"/>
        <v>Single</v>
      </c>
      <c r="O592" t="str" cm="1">
        <f t="array" ref="O592">IF((SUMPRODUCT((OrderID=OrderLines!$A592)*Qty*UnitPrice*DiscountPct))&gt;40,"HighDisc","OK")</f>
        <v>HighDisc</v>
      </c>
      <c r="P592">
        <f>(orderlinesTABLE[[#This Row],[UnitCost]]*orderlinesTABLE[[#This Row],[Qty]])</f>
        <v>23.68</v>
      </c>
      <c r="Q592">
        <f>(orderlinesTABLE[[#This Row],[LineNetAmount]]-orderlinesTABLE[[#This Row],[totalCOST]])</f>
        <v>35.024399999999993</v>
      </c>
      <c r="R592" t="str">
        <f>VLOOKUP($B592,Menu!$A$1:$F$20,MATCH(OrderLines!R$1,Menu!$A$1:$F$1,0),0)</f>
        <v>Masala Chaas</v>
      </c>
      <c r="S592" t="str" cm="1">
        <f t="array" ref="S592">_xlfn.TEXTJOIN("+",TRUE,_xlfn._xlws.FILTER(orderlinesTABLE[ItemName],OrderID=orderlinesTABLE[[#This Row],[OrderID]]))</f>
        <v>Brownie+Poha+Masala Chaas+Gulab Jamun (2 pc)</v>
      </c>
      <c r="T592" s="54">
        <f>orderlinesTABLE[[#This Row],[Profit]]/orderlinesTABLE[[#This Row],[LineNetAmount]]</f>
        <v>0.59662308106377027</v>
      </c>
      <c r="U592" s="70">
        <f>(orderlinesTABLE[[#This Row],[Qty]]*orderlinesTABLE[[#This Row],[UnitCost]])</f>
        <v>23.68</v>
      </c>
    </row>
    <row r="593" spans="1:21" x14ac:dyDescent="0.3">
      <c r="A593" s="15" t="s">
        <v>268</v>
      </c>
      <c r="B593" s="15" t="s">
        <v>403</v>
      </c>
      <c r="C593" s="15">
        <v>3</v>
      </c>
      <c r="D593" s="36">
        <f>VLOOKUP($B593,Menu!$A$1:$F$20,MATCH($D$1,Menu!$A$1:$F$1,0),0)</f>
        <v>76.55</v>
      </c>
      <c r="E593" s="15" t="str">
        <f>VLOOKUP($B593,Menu!$A$1:$F$20,MATCH(OrderLines!E$1,Menu!$A$1:$F$1,0),0)</f>
        <v>Dessert</v>
      </c>
      <c r="F593" s="36">
        <f>VLOOKUP($B593,Menu!$A$1:$F$20,MATCH(OrderLines!F$1,Menu!$A$1:$F$1,0),0)</f>
        <v>38.229999999999997</v>
      </c>
      <c r="G593" s="27">
        <f>VLOOKUP($A593,Orders!$A$1:$H$361,MATCH($G$1,Orders!$A$1:$H$1,0),0)</f>
        <v>45840</v>
      </c>
      <c r="H593" s="15" t="str">
        <f>VLOOKUP($A593,Orders!$A$1:$H$361,MATCH(OrderLines!$H$1,Orders!$A$1:$H$1,0),0)</f>
        <v>Plant 1 Canteen</v>
      </c>
      <c r="I593" s="15">
        <f>VLOOKUP($A593,Orders!$A$1:$H$361,MATCH(OrderLines!$I$1,Orders!$A$1:$H$1,0),0)</f>
        <v>0.11</v>
      </c>
      <c r="J593" s="15">
        <f t="shared" si="28"/>
        <v>204.38849999999999</v>
      </c>
      <c r="K593" s="27" t="str">
        <f t="shared" si="29"/>
        <v>July</v>
      </c>
      <c r="L593" s="15" t="str">
        <f>VLOOKUP(OrderLines!$A593,Orders!$A$1:$H$361,MATCH(OrderLines!$L$1,Orders!$A$1:$H$1,0),0)</f>
        <v>Dinner</v>
      </c>
      <c r="M593" t="str">
        <f>VLOOKUP($A593,Orders!$A$1:$H$361,MATCH(OrderLines!$M$1,Orders!$A$1:$H$1,0),0)</f>
        <v>Cash</v>
      </c>
      <c r="N593" t="str">
        <f t="shared" si="27"/>
        <v>Single</v>
      </c>
      <c r="O593" t="str" cm="1">
        <f t="array" ref="O593">IF((SUMPRODUCT((OrderID=OrderLines!$A593)*Qty*UnitPrice*DiscountPct))&gt;40,"HighDisc","OK")</f>
        <v>HighDisc</v>
      </c>
      <c r="P593">
        <f>(orderlinesTABLE[[#This Row],[UnitCost]]*orderlinesTABLE[[#This Row],[Qty]])</f>
        <v>114.69</v>
      </c>
      <c r="Q593">
        <f>(orderlinesTABLE[[#This Row],[LineNetAmount]]-orderlinesTABLE[[#This Row],[totalCOST]])</f>
        <v>89.698499999999996</v>
      </c>
      <c r="R593" t="str">
        <f>VLOOKUP($B593,Menu!$A$1:$F$20,MATCH(OrderLines!R$1,Menu!$A$1:$F$1,0),0)</f>
        <v>Gulab Jamun (2 pc)</v>
      </c>
      <c r="S593" t="str" cm="1">
        <f t="array" ref="S593">_xlfn.TEXTJOIN("+",TRUE,_xlfn._xlws.FILTER(orderlinesTABLE[ItemName],OrderID=orderlinesTABLE[[#This Row],[OrderID]]))</f>
        <v>Brownie+Poha+Masala Chaas+Gulab Jamun (2 pc)</v>
      </c>
      <c r="T593" s="54">
        <f>orderlinesTABLE[[#This Row],[Profit]]/orderlinesTABLE[[#This Row],[LineNetAmount]]</f>
        <v>0.43886275401991792</v>
      </c>
      <c r="U593" s="70">
        <f>(orderlinesTABLE[[#This Row],[Qty]]*orderlinesTABLE[[#This Row],[UnitCost]])</f>
        <v>114.69</v>
      </c>
    </row>
    <row r="594" spans="1:21" x14ac:dyDescent="0.3">
      <c r="A594" s="14" t="s">
        <v>269</v>
      </c>
      <c r="B594" s="14" t="s">
        <v>411</v>
      </c>
      <c r="C594" s="14">
        <v>1</v>
      </c>
      <c r="D594" s="37">
        <f>VLOOKUP($B594,Menu!$A$1:$F$20,MATCH($D$1,Menu!$A$1:$F$1,0),0)</f>
        <v>22.2</v>
      </c>
      <c r="E594" s="14" t="str">
        <f>VLOOKUP($B594,Menu!$A$1:$F$20,MATCH(OrderLines!E$1,Menu!$A$1:$F$1,0),0)</f>
        <v>Beverage</v>
      </c>
      <c r="F594" s="37">
        <f>VLOOKUP($B594,Menu!$A$1:$F$20,MATCH(OrderLines!F$1,Menu!$A$1:$F$1,0),0)</f>
        <v>9.3800000000000008</v>
      </c>
      <c r="G594" s="28">
        <f>VLOOKUP($A594,Orders!$A$1:$H$361,MATCH($G$1,Orders!$A$1:$H$1,0),0)</f>
        <v>45880</v>
      </c>
      <c r="H594" s="14" t="str">
        <f>VLOOKUP($A594,Orders!$A$1:$H$361,MATCH(OrderLines!$H$1,Orders!$A$1:$H$1,0),0)</f>
        <v>Head Office Café</v>
      </c>
      <c r="I594" s="14">
        <f>VLOOKUP($A594,Orders!$A$1:$H$361,MATCH(OrderLines!$I$1,Orders!$A$1:$H$1,0),0)</f>
        <v>0.06</v>
      </c>
      <c r="J594" s="14">
        <f t="shared" si="28"/>
        <v>20.867999999999999</v>
      </c>
      <c r="K594" s="28" t="str">
        <f t="shared" si="29"/>
        <v>August</v>
      </c>
      <c r="L594" s="14" t="str">
        <f>VLOOKUP(OrderLines!$A594,Orders!$A$1:$H$361,MATCH(OrderLines!$L$1,Orders!$A$1:$H$1,0),0)</f>
        <v>Breakfast</v>
      </c>
      <c r="M594" t="str">
        <f>VLOOKUP($A594,Orders!$A$1:$H$361,MATCH(OrderLines!$M$1,Orders!$A$1:$H$1,0),0)</f>
        <v>UPI</v>
      </c>
      <c r="N594" t="str">
        <f t="shared" si="27"/>
        <v>Combo</v>
      </c>
      <c r="O594" t="str" cm="1">
        <f t="array" ref="O594">IF((SUMPRODUCT((OrderID=OrderLines!$A594)*Qty*UnitPrice*DiscountPct))&gt;40,"HighDisc","OK")</f>
        <v>OK</v>
      </c>
      <c r="P594">
        <f>(orderlinesTABLE[[#This Row],[UnitCost]]*orderlinesTABLE[[#This Row],[Qty]])</f>
        <v>9.3800000000000008</v>
      </c>
      <c r="Q594">
        <f>(orderlinesTABLE[[#This Row],[LineNetAmount]]-orderlinesTABLE[[#This Row],[totalCOST]])</f>
        <v>11.487999999999998</v>
      </c>
      <c r="R594" t="str">
        <f>VLOOKUP($B594,Menu!$A$1:$F$20,MATCH(OrderLines!R$1,Menu!$A$1:$F$1,0),0)</f>
        <v>Coffee</v>
      </c>
      <c r="S594" t="str" cm="1">
        <f t="array" ref="S594">_xlfn.TEXTJOIN("+",TRUE,_xlfn._xlws.FILTER(orderlinesTABLE[ItemName],OrderID=orderlinesTABLE[[#This Row],[OrderID]]))</f>
        <v>Coffee+Egg Curry + Rice</v>
      </c>
      <c r="T594" s="54">
        <f>orderlinesTABLE[[#This Row],[Profit]]/orderlinesTABLE[[#This Row],[LineNetAmount]]</f>
        <v>0.55050795476327385</v>
      </c>
      <c r="U594" s="70">
        <f>(orderlinesTABLE[[#This Row],[Qty]]*orderlinesTABLE[[#This Row],[UnitCost]])</f>
        <v>9.3800000000000008</v>
      </c>
    </row>
    <row r="595" spans="1:21" x14ac:dyDescent="0.3">
      <c r="A595" s="15" t="s">
        <v>269</v>
      </c>
      <c r="B595" s="15" t="s">
        <v>407</v>
      </c>
      <c r="C595" s="15">
        <v>2</v>
      </c>
      <c r="D595" s="36">
        <f>VLOOKUP($B595,Menu!$A$1:$F$20,MATCH($D$1,Menu!$A$1:$F$1,0),0)</f>
        <v>246.09</v>
      </c>
      <c r="E595" s="15" t="str">
        <f>VLOOKUP($B595,Menu!$A$1:$F$20,MATCH(OrderLines!E$1,Menu!$A$1:$F$1,0),0)</f>
        <v>Hot Meal</v>
      </c>
      <c r="F595" s="36">
        <f>VLOOKUP($B595,Menu!$A$1:$F$20,MATCH(OrderLines!F$1,Menu!$A$1:$F$1,0),0)</f>
        <v>112.08</v>
      </c>
      <c r="G595" s="27">
        <f>VLOOKUP($A595,Orders!$A$1:$H$361,MATCH($G$1,Orders!$A$1:$H$1,0),0)</f>
        <v>45880</v>
      </c>
      <c r="H595" s="15" t="str">
        <f>VLOOKUP($A595,Orders!$A$1:$H$361,MATCH(OrderLines!$H$1,Orders!$A$1:$H$1,0),0)</f>
        <v>Head Office Café</v>
      </c>
      <c r="I595" s="15">
        <f>VLOOKUP($A595,Orders!$A$1:$H$361,MATCH(OrderLines!$I$1,Orders!$A$1:$H$1,0),0)</f>
        <v>0.06</v>
      </c>
      <c r="J595" s="15">
        <f t="shared" si="28"/>
        <v>462.64920000000001</v>
      </c>
      <c r="K595" s="27" t="str">
        <f t="shared" si="29"/>
        <v>August</v>
      </c>
      <c r="L595" s="15" t="str">
        <f>VLOOKUP(OrderLines!$A595,Orders!$A$1:$H$361,MATCH(OrderLines!$L$1,Orders!$A$1:$H$1,0),0)</f>
        <v>Breakfast</v>
      </c>
      <c r="M595" t="str">
        <f>VLOOKUP($A595,Orders!$A$1:$H$361,MATCH(OrderLines!$M$1,Orders!$A$1:$H$1,0),0)</f>
        <v>UPI</v>
      </c>
      <c r="N595" t="str">
        <f t="shared" si="27"/>
        <v>Combo</v>
      </c>
      <c r="O595" t="str" cm="1">
        <f t="array" ref="O595">IF((SUMPRODUCT((OrderID=OrderLines!$A595)*Qty*UnitPrice*DiscountPct))&gt;40,"HighDisc","OK")</f>
        <v>OK</v>
      </c>
      <c r="P595">
        <f>(orderlinesTABLE[[#This Row],[UnitCost]]*orderlinesTABLE[[#This Row],[Qty]])</f>
        <v>224.16</v>
      </c>
      <c r="Q595">
        <f>(orderlinesTABLE[[#This Row],[LineNetAmount]]-orderlinesTABLE[[#This Row],[totalCOST]])</f>
        <v>238.48920000000001</v>
      </c>
      <c r="R595" t="str">
        <f>VLOOKUP($B595,Menu!$A$1:$F$20,MATCH(OrderLines!R$1,Menu!$A$1:$F$1,0),0)</f>
        <v>Egg Curry + Rice</v>
      </c>
      <c r="S595" t="str" cm="1">
        <f t="array" ref="S595">_xlfn.TEXTJOIN("+",TRUE,_xlfn._xlws.FILTER(orderlinesTABLE[ItemName],OrderID=orderlinesTABLE[[#This Row],[OrderID]]))</f>
        <v>Coffee+Egg Curry + Rice</v>
      </c>
      <c r="T595" s="54">
        <f>orderlinesTABLE[[#This Row],[Profit]]/orderlinesTABLE[[#This Row],[LineNetAmount]]</f>
        <v>0.51548603131703241</v>
      </c>
      <c r="U595" s="70">
        <f>(orderlinesTABLE[[#This Row],[Qty]]*orderlinesTABLE[[#This Row],[UnitCost]])</f>
        <v>224.16</v>
      </c>
    </row>
    <row r="596" spans="1:21" x14ac:dyDescent="0.3">
      <c r="A596" s="14" t="s">
        <v>270</v>
      </c>
      <c r="B596" s="14" t="s">
        <v>419</v>
      </c>
      <c r="C596" s="14">
        <v>2</v>
      </c>
      <c r="D596" s="37">
        <f>VLOOKUP($B596,Menu!$A$1:$F$20,MATCH($D$1,Menu!$A$1:$F$1,0),0)</f>
        <v>50.19</v>
      </c>
      <c r="E596" s="14" t="str">
        <f>VLOOKUP($B596,Menu!$A$1:$F$20,MATCH(OrderLines!E$1,Menu!$A$1:$F$1,0),0)</f>
        <v>Snack</v>
      </c>
      <c r="F596" s="37">
        <f>VLOOKUP($B596,Menu!$A$1:$F$20,MATCH(OrderLines!F$1,Menu!$A$1:$F$1,0),0)</f>
        <v>22.61</v>
      </c>
      <c r="G596" s="28">
        <f>VLOOKUP($A596,Orders!$A$1:$H$361,MATCH($G$1,Orders!$A$1:$H$1,0),0)</f>
        <v>45885</v>
      </c>
      <c r="H596" s="14" t="str">
        <f>VLOOKUP($A596,Orders!$A$1:$H$361,MATCH(OrderLines!$H$1,Orders!$A$1:$H$1,0),0)</f>
        <v>Plant 2 Canteen</v>
      </c>
      <c r="I596" s="14">
        <f>VLOOKUP($A596,Orders!$A$1:$H$361,MATCH(OrderLines!$I$1,Orders!$A$1:$H$1,0),0)</f>
        <v>0.02</v>
      </c>
      <c r="J596" s="14">
        <f t="shared" si="28"/>
        <v>98.372399999999999</v>
      </c>
      <c r="K596" s="28" t="str">
        <f t="shared" si="29"/>
        <v>August</v>
      </c>
      <c r="L596" s="14" t="str">
        <f>VLOOKUP(OrderLines!$A596,Orders!$A$1:$H$361,MATCH(OrderLines!$L$1,Orders!$A$1:$H$1,0),0)</f>
        <v>Lunch</v>
      </c>
      <c r="M596" t="str">
        <f>VLOOKUP($A596,Orders!$A$1:$H$361,MATCH(OrderLines!$M$1,Orders!$A$1:$H$1,0),0)</f>
        <v>UPI</v>
      </c>
      <c r="N596" t="str">
        <f t="shared" si="27"/>
        <v>Single</v>
      </c>
      <c r="O596" t="str" cm="1">
        <f t="array" ref="O596">IF((SUMPRODUCT((OrderID=OrderLines!$A596)*Qty*UnitPrice*DiscountPct))&gt;40,"HighDisc","OK")</f>
        <v>OK</v>
      </c>
      <c r="P596">
        <f>(orderlinesTABLE[[#This Row],[UnitCost]]*orderlinesTABLE[[#This Row],[Qty]])</f>
        <v>45.22</v>
      </c>
      <c r="Q596">
        <f>(orderlinesTABLE[[#This Row],[LineNetAmount]]-orderlinesTABLE[[#This Row],[totalCOST]])</f>
        <v>53.1524</v>
      </c>
      <c r="R596" t="str">
        <f>VLOOKUP($B596,Menu!$A$1:$F$20,MATCH(OrderLines!R$1,Menu!$A$1:$F$1,0),0)</f>
        <v>Masala Puff</v>
      </c>
      <c r="S596" t="str" cm="1">
        <f t="array" ref="S596">_xlfn.TEXTJOIN("+",TRUE,_xlfn._xlws.FILTER(orderlinesTABLE[ItemName],OrderID=orderlinesTABLE[[#This Row],[OrderID]]))</f>
        <v>Masala Puff+Tea</v>
      </c>
      <c r="T596" s="54">
        <f>orderlinesTABLE[[#This Row],[Profit]]/orderlinesTABLE[[#This Row],[LineNetAmount]]</f>
        <v>0.54031821933794444</v>
      </c>
      <c r="U596" s="70">
        <f>(orderlinesTABLE[[#This Row],[Qty]]*orderlinesTABLE[[#This Row],[UnitCost]])</f>
        <v>45.22</v>
      </c>
    </row>
    <row r="597" spans="1:21" x14ac:dyDescent="0.3">
      <c r="A597" s="15" t="s">
        <v>270</v>
      </c>
      <c r="B597" s="15" t="s">
        <v>402</v>
      </c>
      <c r="C597" s="15">
        <v>1</v>
      </c>
      <c r="D597" s="36">
        <f>VLOOKUP($B597,Menu!$A$1:$F$20,MATCH($D$1,Menu!$A$1:$F$1,0),0)</f>
        <v>30.34</v>
      </c>
      <c r="E597" s="15" t="str">
        <f>VLOOKUP($B597,Menu!$A$1:$F$20,MATCH(OrderLines!E$1,Menu!$A$1:$F$1,0),0)</f>
        <v>Beverage</v>
      </c>
      <c r="F597" s="36">
        <f>VLOOKUP($B597,Menu!$A$1:$F$20,MATCH(OrderLines!F$1,Menu!$A$1:$F$1,0),0)</f>
        <v>14.18</v>
      </c>
      <c r="G597" s="27">
        <f>VLOOKUP($A597,Orders!$A$1:$H$361,MATCH($G$1,Orders!$A$1:$H$1,0),0)</f>
        <v>45885</v>
      </c>
      <c r="H597" s="15" t="str">
        <f>VLOOKUP($A597,Orders!$A$1:$H$361,MATCH(OrderLines!$H$1,Orders!$A$1:$H$1,0),0)</f>
        <v>Plant 2 Canteen</v>
      </c>
      <c r="I597" s="15">
        <f>VLOOKUP($A597,Orders!$A$1:$H$361,MATCH(OrderLines!$I$1,Orders!$A$1:$H$1,0),0)</f>
        <v>0.02</v>
      </c>
      <c r="J597" s="15">
        <f t="shared" si="28"/>
        <v>29.7332</v>
      </c>
      <c r="K597" s="27" t="str">
        <f t="shared" si="29"/>
        <v>August</v>
      </c>
      <c r="L597" s="15" t="str">
        <f>VLOOKUP(OrderLines!$A597,Orders!$A$1:$H$361,MATCH(OrderLines!$L$1,Orders!$A$1:$H$1,0),0)</f>
        <v>Lunch</v>
      </c>
      <c r="M597" t="str">
        <f>VLOOKUP($A597,Orders!$A$1:$H$361,MATCH(OrderLines!$M$1,Orders!$A$1:$H$1,0),0)</f>
        <v>UPI</v>
      </c>
      <c r="N597" t="str">
        <f t="shared" si="27"/>
        <v>Single</v>
      </c>
      <c r="O597" t="str" cm="1">
        <f t="array" ref="O597">IF((SUMPRODUCT((OrderID=OrderLines!$A597)*Qty*UnitPrice*DiscountPct))&gt;40,"HighDisc","OK")</f>
        <v>OK</v>
      </c>
      <c r="P597">
        <f>(orderlinesTABLE[[#This Row],[UnitCost]]*orderlinesTABLE[[#This Row],[Qty]])</f>
        <v>14.18</v>
      </c>
      <c r="Q597">
        <f>(orderlinesTABLE[[#This Row],[LineNetAmount]]-orderlinesTABLE[[#This Row],[totalCOST]])</f>
        <v>15.5532</v>
      </c>
      <c r="R597" t="str">
        <f>VLOOKUP($B597,Menu!$A$1:$F$20,MATCH(OrderLines!R$1,Menu!$A$1:$F$1,0),0)</f>
        <v>Tea</v>
      </c>
      <c r="S597" t="str" cm="1">
        <f t="array" ref="S597">_xlfn.TEXTJOIN("+",TRUE,_xlfn._xlws.FILTER(orderlinesTABLE[ItemName],OrderID=orderlinesTABLE[[#This Row],[OrderID]]))</f>
        <v>Masala Puff+Tea</v>
      </c>
      <c r="T597" s="54">
        <f>orderlinesTABLE[[#This Row],[Profit]]/orderlinesTABLE[[#This Row],[LineNetAmount]]</f>
        <v>0.52309203180283326</v>
      </c>
      <c r="U597" s="70">
        <f>(orderlinesTABLE[[#This Row],[Qty]]*orderlinesTABLE[[#This Row],[UnitCost]])</f>
        <v>14.18</v>
      </c>
    </row>
    <row r="598" spans="1:21" x14ac:dyDescent="0.3">
      <c r="A598" s="14" t="s">
        <v>271</v>
      </c>
      <c r="B598" s="14" t="s">
        <v>418</v>
      </c>
      <c r="C598" s="14">
        <v>1</v>
      </c>
      <c r="D598" s="37">
        <f>VLOOKUP($B598,Menu!$A$1:$F$20,MATCH($D$1,Menu!$A$1:$F$1,0),0)</f>
        <v>39.950000000000003</v>
      </c>
      <c r="E598" s="14" t="str">
        <f>VLOOKUP($B598,Menu!$A$1:$F$20,MATCH(OrderLines!E$1,Menu!$A$1:$F$1,0),0)</f>
        <v>Snack</v>
      </c>
      <c r="F598" s="37">
        <f>VLOOKUP($B598,Menu!$A$1:$F$20,MATCH(OrderLines!F$1,Menu!$A$1:$F$1,0),0)</f>
        <v>15.51</v>
      </c>
      <c r="G598" s="28">
        <f>VLOOKUP($A598,Orders!$A$1:$H$361,MATCH($G$1,Orders!$A$1:$H$1,0),0)</f>
        <v>45883</v>
      </c>
      <c r="H598" s="14" t="str">
        <f>VLOOKUP($A598,Orders!$A$1:$H$361,MATCH(OrderLines!$H$1,Orders!$A$1:$H$1,0),0)</f>
        <v>Head Office Café</v>
      </c>
      <c r="I598" s="14">
        <f>VLOOKUP($A598,Orders!$A$1:$H$361,MATCH(OrderLines!$I$1,Orders!$A$1:$H$1,0),0)</f>
        <v>0.08</v>
      </c>
      <c r="J598" s="14">
        <f t="shared" si="28"/>
        <v>36.754000000000005</v>
      </c>
      <c r="K598" s="28" t="str">
        <f t="shared" si="29"/>
        <v>August</v>
      </c>
      <c r="L598" s="14" t="str">
        <f>VLOOKUP(OrderLines!$A598,Orders!$A$1:$H$361,MATCH(OrderLines!$L$1,Orders!$A$1:$H$1,0),0)</f>
        <v>Breakfast</v>
      </c>
      <c r="M598" t="str">
        <f>VLOOKUP($A598,Orders!$A$1:$H$361,MATCH(OrderLines!$M$1,Orders!$A$1:$H$1,0),0)</f>
        <v>UPI</v>
      </c>
      <c r="N598" t="str">
        <f t="shared" si="27"/>
        <v>Single</v>
      </c>
      <c r="O598" t="str" cm="1">
        <f t="array" ref="O598">IF((SUMPRODUCT((OrderID=OrderLines!$A598)*Qty*UnitPrice*DiscountPct))&gt;40,"HighDisc","OK")</f>
        <v>OK</v>
      </c>
      <c r="P598">
        <f>(orderlinesTABLE[[#This Row],[UnitCost]]*orderlinesTABLE[[#This Row],[Qty]])</f>
        <v>15.51</v>
      </c>
      <c r="Q598">
        <f>(orderlinesTABLE[[#This Row],[LineNetAmount]]-orderlinesTABLE[[#This Row],[totalCOST]])</f>
        <v>21.244000000000007</v>
      </c>
      <c r="R598" t="str">
        <f>VLOOKUP($B598,Menu!$A$1:$F$20,MATCH(OrderLines!R$1,Menu!$A$1:$F$1,0),0)</f>
        <v>Samosa</v>
      </c>
      <c r="S598" t="str" cm="1">
        <f t="array" ref="S598">_xlfn.TEXTJOIN("+",TRUE,_xlfn._xlws.FILTER(orderlinesTABLE[ItemName],OrderID=orderlinesTABLE[[#This Row],[OrderID]]))</f>
        <v>Samosa</v>
      </c>
      <c r="T598" s="54">
        <f>orderlinesTABLE[[#This Row],[Profit]]/orderlinesTABLE[[#This Row],[LineNetAmount]]</f>
        <v>0.57800511508951413</v>
      </c>
      <c r="U598" s="70">
        <f>(orderlinesTABLE[[#This Row],[Qty]]*orderlinesTABLE[[#This Row],[UnitCost]])</f>
        <v>15.51</v>
      </c>
    </row>
    <row r="599" spans="1:21" x14ac:dyDescent="0.3">
      <c r="A599" s="15" t="s">
        <v>272</v>
      </c>
      <c r="B599" s="15" t="s">
        <v>417</v>
      </c>
      <c r="C599" s="15">
        <v>1</v>
      </c>
      <c r="D599" s="36">
        <f>VLOOKUP($B599,Menu!$A$1:$F$20,MATCH($D$1,Menu!$A$1:$F$1,0),0)</f>
        <v>146.4</v>
      </c>
      <c r="E599" s="15" t="str">
        <f>VLOOKUP($B599,Menu!$A$1:$F$20,MATCH(OrderLines!E$1,Menu!$A$1:$F$1,0),0)</f>
        <v>Hot Meal</v>
      </c>
      <c r="F599" s="36">
        <f>VLOOKUP($B599,Menu!$A$1:$F$20,MATCH(OrderLines!F$1,Menu!$A$1:$F$1,0),0)</f>
        <v>80.92</v>
      </c>
      <c r="G599" s="27">
        <f>VLOOKUP($A599,Orders!$A$1:$H$361,MATCH($G$1,Orders!$A$1:$H$1,0),0)</f>
        <v>45889</v>
      </c>
      <c r="H599" s="15" t="str">
        <f>VLOOKUP($A599,Orders!$A$1:$H$361,MATCH(OrderLines!$H$1,Orders!$A$1:$H$1,0),0)</f>
        <v>Plant 2 Canteen</v>
      </c>
      <c r="I599" s="15">
        <f>VLOOKUP($A599,Orders!$A$1:$H$361,MATCH(OrderLines!$I$1,Orders!$A$1:$H$1,0),0)</f>
        <v>7.0000000000000007E-2</v>
      </c>
      <c r="J599" s="15">
        <f t="shared" si="28"/>
        <v>136.15199999999999</v>
      </c>
      <c r="K599" s="27" t="str">
        <f t="shared" si="29"/>
        <v>August</v>
      </c>
      <c r="L599" s="15" t="str">
        <f>VLOOKUP(OrderLines!$A599,Orders!$A$1:$H$361,MATCH(OrderLines!$L$1,Orders!$A$1:$H$1,0),0)</f>
        <v>Dinner</v>
      </c>
      <c r="M599" t="str">
        <f>VLOOKUP($A599,Orders!$A$1:$H$361,MATCH(OrderLines!$M$1,Orders!$A$1:$H$1,0),0)</f>
        <v>UPI</v>
      </c>
      <c r="N599" t="str">
        <f t="shared" si="27"/>
        <v>Single</v>
      </c>
      <c r="O599" t="str" cm="1">
        <f t="array" ref="O599">IF((SUMPRODUCT((OrderID=OrderLines!$A599)*Qty*UnitPrice*DiscountPct))&gt;40,"HighDisc","OK")</f>
        <v>OK</v>
      </c>
      <c r="P599">
        <f>(orderlinesTABLE[[#This Row],[UnitCost]]*orderlinesTABLE[[#This Row],[Qty]])</f>
        <v>80.92</v>
      </c>
      <c r="Q599">
        <f>(orderlinesTABLE[[#This Row],[LineNetAmount]]-orderlinesTABLE[[#This Row],[totalCOST]])</f>
        <v>55.231999999999985</v>
      </c>
      <c r="R599" t="str">
        <f>VLOOKUP($B599,Menu!$A$1:$F$20,MATCH(OrderLines!R$1,Menu!$A$1:$F$1,0),0)</f>
        <v>Rajma Chawal</v>
      </c>
      <c r="S599" t="str" cm="1">
        <f t="array" ref="S599">_xlfn.TEXTJOIN("+",TRUE,_xlfn._xlws.FILTER(orderlinesTABLE[ItemName],OrderID=orderlinesTABLE[[#This Row],[OrderID]]))</f>
        <v>Rajma Chawal</v>
      </c>
      <c r="T599" s="54">
        <f>orderlinesTABLE[[#This Row],[Profit]]/orderlinesTABLE[[#This Row],[LineNetAmount]]</f>
        <v>0.40566425759445318</v>
      </c>
      <c r="U599" s="70">
        <f>(orderlinesTABLE[[#This Row],[Qty]]*orderlinesTABLE[[#This Row],[UnitCost]])</f>
        <v>80.92</v>
      </c>
    </row>
    <row r="600" spans="1:21" x14ac:dyDescent="0.3">
      <c r="A600" s="14" t="s">
        <v>273</v>
      </c>
      <c r="B600" s="14" t="s">
        <v>408</v>
      </c>
      <c r="C600" s="14">
        <v>2</v>
      </c>
      <c r="D600" s="37">
        <f>VLOOKUP($B600,Menu!$A$1:$F$20,MATCH($D$1,Menu!$A$1:$F$1,0),0)</f>
        <v>70.540000000000006</v>
      </c>
      <c r="E600" s="14" t="str">
        <f>VLOOKUP($B600,Menu!$A$1:$F$20,MATCH(OrderLines!E$1,Menu!$A$1:$F$1,0),0)</f>
        <v>Snack</v>
      </c>
      <c r="F600" s="37">
        <f>VLOOKUP($B600,Menu!$A$1:$F$20,MATCH(OrderLines!F$1,Menu!$A$1:$F$1,0),0)</f>
        <v>35.81</v>
      </c>
      <c r="G600" s="28">
        <f>VLOOKUP($A600,Orders!$A$1:$H$361,MATCH($G$1,Orders!$A$1:$H$1,0),0)</f>
        <v>45845</v>
      </c>
      <c r="H600" s="14" t="str">
        <f>VLOOKUP($A600,Orders!$A$1:$H$361,MATCH(OrderLines!$H$1,Orders!$A$1:$H$1,0),0)</f>
        <v>Plant 2 Canteen</v>
      </c>
      <c r="I600" s="14">
        <f>VLOOKUP($A600,Orders!$A$1:$H$361,MATCH(OrderLines!$I$1,Orders!$A$1:$H$1,0),0)</f>
        <v>0.04</v>
      </c>
      <c r="J600" s="14">
        <f t="shared" si="28"/>
        <v>135.43680000000001</v>
      </c>
      <c r="K600" s="28" t="str">
        <f t="shared" si="29"/>
        <v>July</v>
      </c>
      <c r="L600" s="14" t="str">
        <f>VLOOKUP(OrderLines!$A600,Orders!$A$1:$H$361,MATCH(OrderLines!$L$1,Orders!$A$1:$H$1,0),0)</f>
        <v>Breakfast</v>
      </c>
      <c r="M600" t="str">
        <f>VLOOKUP($A600,Orders!$A$1:$H$361,MATCH(OrderLines!$M$1,Orders!$A$1:$H$1,0),0)</f>
        <v>Card</v>
      </c>
      <c r="N600" t="str">
        <f t="shared" si="27"/>
        <v>Single</v>
      </c>
      <c r="O600" t="str" cm="1">
        <f t="array" ref="O600">IF((SUMPRODUCT((OrderID=OrderLines!$A600)*Qty*UnitPrice*DiscountPct))&gt;40,"HighDisc","OK")</f>
        <v>OK</v>
      </c>
      <c r="P600">
        <f>(orderlinesTABLE[[#This Row],[UnitCost]]*orderlinesTABLE[[#This Row],[Qty]])</f>
        <v>71.62</v>
      </c>
      <c r="Q600">
        <f>(orderlinesTABLE[[#This Row],[LineNetAmount]]-orderlinesTABLE[[#This Row],[totalCOST]])</f>
        <v>63.816800000000001</v>
      </c>
      <c r="R600" t="str">
        <f>VLOOKUP($B600,Menu!$A$1:$F$20,MATCH(OrderLines!R$1,Menu!$A$1:$F$1,0),0)</f>
        <v>Veg Sandwich</v>
      </c>
      <c r="S600" t="str" cm="1">
        <f t="array" ref="S600">_xlfn.TEXTJOIN("+",TRUE,_xlfn._xlws.FILTER(orderlinesTABLE[ItemName],OrderID=orderlinesTABLE[[#This Row],[OrderID]]))</f>
        <v>Veg Sandwich+Fruit Cup</v>
      </c>
      <c r="T600" s="54">
        <f>orderlinesTABLE[[#This Row],[Profit]]/orderlinesTABLE[[#This Row],[LineNetAmount]]</f>
        <v>0.4711924676306587</v>
      </c>
      <c r="U600" s="70">
        <f>(orderlinesTABLE[[#This Row],[Qty]]*orderlinesTABLE[[#This Row],[UnitCost]])</f>
        <v>71.62</v>
      </c>
    </row>
    <row r="601" spans="1:21" x14ac:dyDescent="0.3">
      <c r="A601" s="15" t="s">
        <v>273</v>
      </c>
      <c r="B601" s="15" t="s">
        <v>412</v>
      </c>
      <c r="C601" s="15">
        <v>1</v>
      </c>
      <c r="D601" s="36">
        <f>VLOOKUP($B601,Menu!$A$1:$F$20,MATCH($D$1,Menu!$A$1:$F$1,0),0)</f>
        <v>57.07</v>
      </c>
      <c r="E601" s="15" t="str">
        <f>VLOOKUP($B601,Menu!$A$1:$F$20,MATCH(OrderLines!E$1,Menu!$A$1:$F$1,0),0)</f>
        <v>Dessert</v>
      </c>
      <c r="F601" s="36">
        <f>VLOOKUP($B601,Menu!$A$1:$F$20,MATCH(OrderLines!F$1,Menu!$A$1:$F$1,0),0)</f>
        <v>29.14</v>
      </c>
      <c r="G601" s="27">
        <f>VLOOKUP($A601,Orders!$A$1:$H$361,MATCH($G$1,Orders!$A$1:$H$1,0),0)</f>
        <v>45845</v>
      </c>
      <c r="H601" s="15" t="str">
        <f>VLOOKUP($A601,Orders!$A$1:$H$361,MATCH(OrderLines!$H$1,Orders!$A$1:$H$1,0),0)</f>
        <v>Plant 2 Canteen</v>
      </c>
      <c r="I601" s="15">
        <f>VLOOKUP($A601,Orders!$A$1:$H$361,MATCH(OrderLines!$I$1,Orders!$A$1:$H$1,0),0)</f>
        <v>0.04</v>
      </c>
      <c r="J601" s="15">
        <f t="shared" si="28"/>
        <v>54.787199999999999</v>
      </c>
      <c r="K601" s="27" t="str">
        <f t="shared" si="29"/>
        <v>July</v>
      </c>
      <c r="L601" s="15" t="str">
        <f>VLOOKUP(OrderLines!$A601,Orders!$A$1:$H$361,MATCH(OrderLines!$L$1,Orders!$A$1:$H$1,0),0)</f>
        <v>Breakfast</v>
      </c>
      <c r="M601" t="str">
        <f>VLOOKUP($A601,Orders!$A$1:$H$361,MATCH(OrderLines!$M$1,Orders!$A$1:$H$1,0),0)</f>
        <v>Card</v>
      </c>
      <c r="N601" t="str">
        <f t="shared" si="27"/>
        <v>Single</v>
      </c>
      <c r="O601" t="str" cm="1">
        <f t="array" ref="O601">IF((SUMPRODUCT((OrderID=OrderLines!$A601)*Qty*UnitPrice*DiscountPct))&gt;40,"HighDisc","OK")</f>
        <v>OK</v>
      </c>
      <c r="P601">
        <f>(orderlinesTABLE[[#This Row],[UnitCost]]*orderlinesTABLE[[#This Row],[Qty]])</f>
        <v>29.14</v>
      </c>
      <c r="Q601">
        <f>(orderlinesTABLE[[#This Row],[LineNetAmount]]-orderlinesTABLE[[#This Row],[totalCOST]])</f>
        <v>25.647199999999998</v>
      </c>
      <c r="R601" t="str">
        <f>VLOOKUP($B601,Menu!$A$1:$F$20,MATCH(OrderLines!R$1,Menu!$A$1:$F$1,0),0)</f>
        <v>Fruit Cup</v>
      </c>
      <c r="S601" t="str" cm="1">
        <f t="array" ref="S601">_xlfn.TEXTJOIN("+",TRUE,_xlfn._xlws.FILTER(orderlinesTABLE[ItemName],OrderID=orderlinesTABLE[[#This Row],[OrderID]]))</f>
        <v>Veg Sandwich+Fruit Cup</v>
      </c>
      <c r="T601" s="54">
        <f>orderlinesTABLE[[#This Row],[Profit]]/orderlinesTABLE[[#This Row],[LineNetAmount]]</f>
        <v>0.4681239413585655</v>
      </c>
      <c r="U601" s="70">
        <f>(orderlinesTABLE[[#This Row],[Qty]]*orderlinesTABLE[[#This Row],[UnitCost]])</f>
        <v>29.14</v>
      </c>
    </row>
    <row r="602" spans="1:21" x14ac:dyDescent="0.3">
      <c r="A602" s="14" t="s">
        <v>274</v>
      </c>
      <c r="B602" s="14" t="s">
        <v>418</v>
      </c>
      <c r="C602" s="14">
        <v>2</v>
      </c>
      <c r="D602" s="37">
        <f>VLOOKUP($B602,Menu!$A$1:$F$20,MATCH($D$1,Menu!$A$1:$F$1,0),0)</f>
        <v>39.950000000000003</v>
      </c>
      <c r="E602" s="14" t="str">
        <f>VLOOKUP($B602,Menu!$A$1:$F$20,MATCH(OrderLines!E$1,Menu!$A$1:$F$1,0),0)</f>
        <v>Snack</v>
      </c>
      <c r="F602" s="37">
        <f>VLOOKUP($B602,Menu!$A$1:$F$20,MATCH(OrderLines!F$1,Menu!$A$1:$F$1,0),0)</f>
        <v>15.51</v>
      </c>
      <c r="G602" s="28">
        <f>VLOOKUP($A602,Orders!$A$1:$H$361,MATCH($G$1,Orders!$A$1:$H$1,0),0)</f>
        <v>45886</v>
      </c>
      <c r="H602" s="14" t="str">
        <f>VLOOKUP($A602,Orders!$A$1:$H$361,MATCH(OrderLines!$H$1,Orders!$A$1:$H$1,0),0)</f>
        <v>Head Office Café</v>
      </c>
      <c r="I602" s="14">
        <f>VLOOKUP($A602,Orders!$A$1:$H$361,MATCH(OrderLines!$I$1,Orders!$A$1:$H$1,0),0)</f>
        <v>0.06</v>
      </c>
      <c r="J602" s="14">
        <f t="shared" si="28"/>
        <v>75.105999999999995</v>
      </c>
      <c r="K602" s="28" t="str">
        <f t="shared" si="29"/>
        <v>August</v>
      </c>
      <c r="L602" s="14" t="str">
        <f>VLOOKUP(OrderLines!$A602,Orders!$A$1:$H$361,MATCH(OrderLines!$L$1,Orders!$A$1:$H$1,0),0)</f>
        <v>Dinner</v>
      </c>
      <c r="M602" t="str">
        <f>VLOOKUP($A602,Orders!$A$1:$H$361,MATCH(OrderLines!$M$1,Orders!$A$1:$H$1,0),0)</f>
        <v>Cash</v>
      </c>
      <c r="N602" t="str">
        <f t="shared" si="27"/>
        <v>Single</v>
      </c>
      <c r="O602" t="str" cm="1">
        <f t="array" ref="O602">IF((SUMPRODUCT((OrderID=OrderLines!$A602)*Qty*UnitPrice*DiscountPct))&gt;40,"HighDisc","OK")</f>
        <v>OK</v>
      </c>
      <c r="P602">
        <f>(orderlinesTABLE[[#This Row],[UnitCost]]*orderlinesTABLE[[#This Row],[Qty]])</f>
        <v>31.02</v>
      </c>
      <c r="Q602">
        <f>(orderlinesTABLE[[#This Row],[LineNetAmount]]-orderlinesTABLE[[#This Row],[totalCOST]])</f>
        <v>44.085999999999999</v>
      </c>
      <c r="R602" t="str">
        <f>VLOOKUP($B602,Menu!$A$1:$F$20,MATCH(OrderLines!R$1,Menu!$A$1:$F$1,0),0)</f>
        <v>Samosa</v>
      </c>
      <c r="S602" t="str" cm="1">
        <f t="array" ref="S602">_xlfn.TEXTJOIN("+",TRUE,_xlfn._xlws.FILTER(orderlinesTABLE[ItemName],OrderID=orderlinesTABLE[[#This Row],[OrderID]]))</f>
        <v>Samosa</v>
      </c>
      <c r="T602" s="54">
        <f>orderlinesTABLE[[#This Row],[Profit]]/orderlinesTABLE[[#This Row],[LineNetAmount]]</f>
        <v>0.58698372966207757</v>
      </c>
      <c r="U602" s="70">
        <f>(orderlinesTABLE[[#This Row],[Qty]]*orderlinesTABLE[[#This Row],[UnitCost]])</f>
        <v>31.02</v>
      </c>
    </row>
    <row r="603" spans="1:21" x14ac:dyDescent="0.3">
      <c r="A603" s="15" t="s">
        <v>275</v>
      </c>
      <c r="B603" s="15" t="s">
        <v>403</v>
      </c>
      <c r="C603" s="15">
        <v>2</v>
      </c>
      <c r="D603" s="36">
        <f>VLOOKUP($B603,Menu!$A$1:$F$20,MATCH($D$1,Menu!$A$1:$F$1,0),0)</f>
        <v>76.55</v>
      </c>
      <c r="E603" s="15" t="str">
        <f>VLOOKUP($B603,Menu!$A$1:$F$20,MATCH(OrderLines!E$1,Menu!$A$1:$F$1,0),0)</f>
        <v>Dessert</v>
      </c>
      <c r="F603" s="36">
        <f>VLOOKUP($B603,Menu!$A$1:$F$20,MATCH(OrderLines!F$1,Menu!$A$1:$F$1,0),0)</f>
        <v>38.229999999999997</v>
      </c>
      <c r="G603" s="27">
        <f>VLOOKUP($A603,Orders!$A$1:$H$361,MATCH($G$1,Orders!$A$1:$H$1,0),0)</f>
        <v>45870</v>
      </c>
      <c r="H603" s="15" t="str">
        <f>VLOOKUP($A603,Orders!$A$1:$H$361,MATCH(OrderLines!$H$1,Orders!$A$1:$H$1,0),0)</f>
        <v>Head Office Café</v>
      </c>
      <c r="I603" s="15">
        <f>VLOOKUP($A603,Orders!$A$1:$H$361,MATCH(OrderLines!$I$1,Orders!$A$1:$H$1,0),0)</f>
        <v>0.04</v>
      </c>
      <c r="J603" s="15">
        <f t="shared" si="28"/>
        <v>146.976</v>
      </c>
      <c r="K603" s="27" t="str">
        <f t="shared" si="29"/>
        <v>August</v>
      </c>
      <c r="L603" s="15" t="str">
        <f>VLOOKUP(OrderLines!$A603,Orders!$A$1:$H$361,MATCH(OrderLines!$L$1,Orders!$A$1:$H$1,0),0)</f>
        <v>Lunch</v>
      </c>
      <c r="M603" t="str">
        <f>VLOOKUP($A603,Orders!$A$1:$H$361,MATCH(OrderLines!$M$1,Orders!$A$1:$H$1,0),0)</f>
        <v>Cash</v>
      </c>
      <c r="N603" t="str">
        <f t="shared" si="27"/>
        <v>Single</v>
      </c>
      <c r="O603" t="str" cm="1">
        <f t="array" ref="O603">IF((SUMPRODUCT((OrderID=OrderLines!$A603)*Qty*UnitPrice*DiscountPct))&gt;40,"HighDisc","OK")</f>
        <v>OK</v>
      </c>
      <c r="P603">
        <f>(orderlinesTABLE[[#This Row],[UnitCost]]*orderlinesTABLE[[#This Row],[Qty]])</f>
        <v>76.459999999999994</v>
      </c>
      <c r="Q603">
        <f>(orderlinesTABLE[[#This Row],[LineNetAmount]]-orderlinesTABLE[[#This Row],[totalCOST]])</f>
        <v>70.516000000000005</v>
      </c>
      <c r="R603" t="str">
        <f>VLOOKUP($B603,Menu!$A$1:$F$20,MATCH(OrderLines!R$1,Menu!$A$1:$F$1,0),0)</f>
        <v>Gulab Jamun (2 pc)</v>
      </c>
      <c r="S603" t="str" cm="1">
        <f t="array" ref="S603">_xlfn.TEXTJOIN("+",TRUE,_xlfn._xlws.FILTER(orderlinesTABLE[ItemName],OrderID=orderlinesTABLE[[#This Row],[OrderID]]))</f>
        <v>Gulab Jamun (2 pc)+Coffee+Veg Sandwich+Bottled Water</v>
      </c>
      <c r="T603" s="54">
        <f>orderlinesTABLE[[#This Row],[Profit]]/orderlinesTABLE[[#This Row],[LineNetAmount]]</f>
        <v>0.47977901153929897</v>
      </c>
      <c r="U603" s="70">
        <f>(orderlinesTABLE[[#This Row],[Qty]]*orderlinesTABLE[[#This Row],[UnitCost]])</f>
        <v>76.459999999999994</v>
      </c>
    </row>
    <row r="604" spans="1:21" x14ac:dyDescent="0.3">
      <c r="A604" s="14" t="s">
        <v>275</v>
      </c>
      <c r="B604" s="14" t="s">
        <v>411</v>
      </c>
      <c r="C604" s="14">
        <v>1</v>
      </c>
      <c r="D604" s="37">
        <f>VLOOKUP($B604,Menu!$A$1:$F$20,MATCH($D$1,Menu!$A$1:$F$1,0),0)</f>
        <v>22.2</v>
      </c>
      <c r="E604" s="14" t="str">
        <f>VLOOKUP($B604,Menu!$A$1:$F$20,MATCH(OrderLines!E$1,Menu!$A$1:$F$1,0),0)</f>
        <v>Beverage</v>
      </c>
      <c r="F604" s="37">
        <f>VLOOKUP($B604,Menu!$A$1:$F$20,MATCH(OrderLines!F$1,Menu!$A$1:$F$1,0),0)</f>
        <v>9.3800000000000008</v>
      </c>
      <c r="G604" s="28">
        <f>VLOOKUP($A604,Orders!$A$1:$H$361,MATCH($G$1,Orders!$A$1:$H$1,0),0)</f>
        <v>45870</v>
      </c>
      <c r="H604" s="14" t="str">
        <f>VLOOKUP($A604,Orders!$A$1:$H$361,MATCH(OrderLines!$H$1,Orders!$A$1:$H$1,0),0)</f>
        <v>Head Office Café</v>
      </c>
      <c r="I604" s="14">
        <f>VLOOKUP($A604,Orders!$A$1:$H$361,MATCH(OrderLines!$I$1,Orders!$A$1:$H$1,0),0)</f>
        <v>0.04</v>
      </c>
      <c r="J604" s="14">
        <f t="shared" si="28"/>
        <v>21.311999999999998</v>
      </c>
      <c r="K604" s="28" t="str">
        <f t="shared" si="29"/>
        <v>August</v>
      </c>
      <c r="L604" s="14" t="str">
        <f>VLOOKUP(OrderLines!$A604,Orders!$A$1:$H$361,MATCH(OrderLines!$L$1,Orders!$A$1:$H$1,0),0)</f>
        <v>Lunch</v>
      </c>
      <c r="M604" t="str">
        <f>VLOOKUP($A604,Orders!$A$1:$H$361,MATCH(OrderLines!$M$1,Orders!$A$1:$H$1,0),0)</f>
        <v>Cash</v>
      </c>
      <c r="N604" t="str">
        <f t="shared" si="27"/>
        <v>Single</v>
      </c>
      <c r="O604" t="str" cm="1">
        <f t="array" ref="O604">IF((SUMPRODUCT((OrderID=OrderLines!$A604)*Qty*UnitPrice*DiscountPct))&gt;40,"HighDisc","OK")</f>
        <v>OK</v>
      </c>
      <c r="P604">
        <f>(orderlinesTABLE[[#This Row],[UnitCost]]*orderlinesTABLE[[#This Row],[Qty]])</f>
        <v>9.3800000000000008</v>
      </c>
      <c r="Q604">
        <f>(orderlinesTABLE[[#This Row],[LineNetAmount]]-orderlinesTABLE[[#This Row],[totalCOST]])</f>
        <v>11.931999999999997</v>
      </c>
      <c r="R604" t="str">
        <f>VLOOKUP($B604,Menu!$A$1:$F$20,MATCH(OrderLines!R$1,Menu!$A$1:$F$1,0),0)</f>
        <v>Coffee</v>
      </c>
      <c r="S604" t="str" cm="1">
        <f t="array" ref="S604">_xlfn.TEXTJOIN("+",TRUE,_xlfn._xlws.FILTER(orderlinesTABLE[ItemName],OrderID=orderlinesTABLE[[#This Row],[OrderID]]))</f>
        <v>Gulab Jamun (2 pc)+Coffee+Veg Sandwich+Bottled Water</v>
      </c>
      <c r="T604" s="54">
        <f>orderlinesTABLE[[#This Row],[Profit]]/orderlinesTABLE[[#This Row],[LineNetAmount]]</f>
        <v>0.55987237237237231</v>
      </c>
      <c r="U604" s="70">
        <f>(orderlinesTABLE[[#This Row],[Qty]]*orderlinesTABLE[[#This Row],[UnitCost]])</f>
        <v>9.3800000000000008</v>
      </c>
    </row>
    <row r="605" spans="1:21" x14ac:dyDescent="0.3">
      <c r="A605" s="15" t="s">
        <v>275</v>
      </c>
      <c r="B605" s="15" t="s">
        <v>408</v>
      </c>
      <c r="C605" s="15">
        <v>2</v>
      </c>
      <c r="D605" s="36">
        <f>VLOOKUP($B605,Menu!$A$1:$F$20,MATCH($D$1,Menu!$A$1:$F$1,0),0)</f>
        <v>70.540000000000006</v>
      </c>
      <c r="E605" s="15" t="str">
        <f>VLOOKUP($B605,Menu!$A$1:$F$20,MATCH(OrderLines!E$1,Menu!$A$1:$F$1,0),0)</f>
        <v>Snack</v>
      </c>
      <c r="F605" s="36">
        <f>VLOOKUP($B605,Menu!$A$1:$F$20,MATCH(OrderLines!F$1,Menu!$A$1:$F$1,0),0)</f>
        <v>35.81</v>
      </c>
      <c r="G605" s="27">
        <f>VLOOKUP($A605,Orders!$A$1:$H$361,MATCH($G$1,Orders!$A$1:$H$1,0),0)</f>
        <v>45870</v>
      </c>
      <c r="H605" s="15" t="str">
        <f>VLOOKUP($A605,Orders!$A$1:$H$361,MATCH(OrderLines!$H$1,Orders!$A$1:$H$1,0),0)</f>
        <v>Head Office Café</v>
      </c>
      <c r="I605" s="15">
        <f>VLOOKUP($A605,Orders!$A$1:$H$361,MATCH(OrderLines!$I$1,Orders!$A$1:$H$1,0),0)</f>
        <v>0.04</v>
      </c>
      <c r="J605" s="15">
        <f t="shared" si="28"/>
        <v>135.43680000000001</v>
      </c>
      <c r="K605" s="27" t="str">
        <f t="shared" si="29"/>
        <v>August</v>
      </c>
      <c r="L605" s="15" t="str">
        <f>VLOOKUP(OrderLines!$A605,Orders!$A$1:$H$361,MATCH(OrderLines!$L$1,Orders!$A$1:$H$1,0),0)</f>
        <v>Lunch</v>
      </c>
      <c r="M605" t="str">
        <f>VLOOKUP($A605,Orders!$A$1:$H$361,MATCH(OrderLines!$M$1,Orders!$A$1:$H$1,0),0)</f>
        <v>Cash</v>
      </c>
      <c r="N605" t="str">
        <f t="shared" si="27"/>
        <v>Single</v>
      </c>
      <c r="O605" t="str" cm="1">
        <f t="array" ref="O605">IF((SUMPRODUCT((OrderID=OrderLines!$A605)*Qty*UnitPrice*DiscountPct))&gt;40,"HighDisc","OK")</f>
        <v>OK</v>
      </c>
      <c r="P605">
        <f>(orderlinesTABLE[[#This Row],[UnitCost]]*orderlinesTABLE[[#This Row],[Qty]])</f>
        <v>71.62</v>
      </c>
      <c r="Q605">
        <f>(orderlinesTABLE[[#This Row],[LineNetAmount]]-orderlinesTABLE[[#This Row],[totalCOST]])</f>
        <v>63.816800000000001</v>
      </c>
      <c r="R605" t="str">
        <f>VLOOKUP($B605,Menu!$A$1:$F$20,MATCH(OrderLines!R$1,Menu!$A$1:$F$1,0),0)</f>
        <v>Veg Sandwich</v>
      </c>
      <c r="S605" t="str" cm="1">
        <f t="array" ref="S605">_xlfn.TEXTJOIN("+",TRUE,_xlfn._xlws.FILTER(orderlinesTABLE[ItemName],OrderID=orderlinesTABLE[[#This Row],[OrderID]]))</f>
        <v>Gulab Jamun (2 pc)+Coffee+Veg Sandwich+Bottled Water</v>
      </c>
      <c r="T605" s="54">
        <f>orderlinesTABLE[[#This Row],[Profit]]/orderlinesTABLE[[#This Row],[LineNetAmount]]</f>
        <v>0.4711924676306587</v>
      </c>
      <c r="U605" s="70">
        <f>(orderlinesTABLE[[#This Row],[Qty]]*orderlinesTABLE[[#This Row],[UnitCost]])</f>
        <v>71.62</v>
      </c>
    </row>
    <row r="606" spans="1:21" x14ac:dyDescent="0.3">
      <c r="A606" s="14" t="s">
        <v>275</v>
      </c>
      <c r="B606" s="14" t="s">
        <v>409</v>
      </c>
      <c r="C606" s="14">
        <v>2</v>
      </c>
      <c r="D606" s="37">
        <f>VLOOKUP($B606,Menu!$A$1:$F$20,MATCH($D$1,Menu!$A$1:$F$1,0),0)</f>
        <v>28.43</v>
      </c>
      <c r="E606" s="14" t="str">
        <f>VLOOKUP($B606,Menu!$A$1:$F$20,MATCH(OrderLines!E$1,Menu!$A$1:$F$1,0),0)</f>
        <v>Beverage</v>
      </c>
      <c r="F606" s="37">
        <f>VLOOKUP($B606,Menu!$A$1:$F$20,MATCH(OrderLines!F$1,Menu!$A$1:$F$1,0),0)</f>
        <v>13.89</v>
      </c>
      <c r="G606" s="28">
        <f>VLOOKUP($A606,Orders!$A$1:$H$361,MATCH($G$1,Orders!$A$1:$H$1,0),0)</f>
        <v>45870</v>
      </c>
      <c r="H606" s="14" t="str">
        <f>VLOOKUP($A606,Orders!$A$1:$H$361,MATCH(OrderLines!$H$1,Orders!$A$1:$H$1,0),0)</f>
        <v>Head Office Café</v>
      </c>
      <c r="I606" s="14">
        <f>VLOOKUP($A606,Orders!$A$1:$H$361,MATCH(OrderLines!$I$1,Orders!$A$1:$H$1,0),0)</f>
        <v>0.04</v>
      </c>
      <c r="J606" s="14">
        <f t="shared" si="28"/>
        <v>54.585599999999999</v>
      </c>
      <c r="K606" s="28" t="str">
        <f t="shared" si="29"/>
        <v>August</v>
      </c>
      <c r="L606" s="14" t="str">
        <f>VLOOKUP(OrderLines!$A606,Orders!$A$1:$H$361,MATCH(OrderLines!$L$1,Orders!$A$1:$H$1,0),0)</f>
        <v>Lunch</v>
      </c>
      <c r="M606" t="str">
        <f>VLOOKUP($A606,Orders!$A$1:$H$361,MATCH(OrderLines!$M$1,Orders!$A$1:$H$1,0),0)</f>
        <v>Cash</v>
      </c>
      <c r="N606" t="str">
        <f t="shared" si="27"/>
        <v>Single</v>
      </c>
      <c r="O606" t="str" cm="1">
        <f t="array" ref="O606">IF((SUMPRODUCT((OrderID=OrderLines!$A606)*Qty*UnitPrice*DiscountPct))&gt;40,"HighDisc","OK")</f>
        <v>OK</v>
      </c>
      <c r="P606">
        <f>(orderlinesTABLE[[#This Row],[UnitCost]]*orderlinesTABLE[[#This Row],[Qty]])</f>
        <v>27.78</v>
      </c>
      <c r="Q606">
        <f>(orderlinesTABLE[[#This Row],[LineNetAmount]]-orderlinesTABLE[[#This Row],[totalCOST]])</f>
        <v>26.805599999999998</v>
      </c>
      <c r="R606" t="str">
        <f>VLOOKUP($B606,Menu!$A$1:$F$20,MATCH(OrderLines!R$1,Menu!$A$1:$F$1,0),0)</f>
        <v>Bottled Water</v>
      </c>
      <c r="S606" t="str" cm="1">
        <f t="array" ref="S606">_xlfn.TEXTJOIN("+",TRUE,_xlfn._xlws.FILTER(orderlinesTABLE[ItemName],OrderID=orderlinesTABLE[[#This Row],[OrderID]]))</f>
        <v>Gulab Jamun (2 pc)+Coffee+Veg Sandwich+Bottled Water</v>
      </c>
      <c r="T606" s="54">
        <f>orderlinesTABLE[[#This Row],[Profit]]/orderlinesTABLE[[#This Row],[LineNetAmount]]</f>
        <v>0.49107456911712977</v>
      </c>
      <c r="U606" s="70">
        <f>(orderlinesTABLE[[#This Row],[Qty]]*orderlinesTABLE[[#This Row],[UnitCost]])</f>
        <v>27.78</v>
      </c>
    </row>
    <row r="607" spans="1:21" x14ac:dyDescent="0.3">
      <c r="A607" s="15" t="s">
        <v>276</v>
      </c>
      <c r="B607" s="15" t="s">
        <v>410</v>
      </c>
      <c r="C607" s="15">
        <v>3</v>
      </c>
      <c r="D607" s="36">
        <f>VLOOKUP($B607,Menu!$A$1:$F$20,MATCH($D$1,Menu!$A$1:$F$1,0),0)</f>
        <v>20.11</v>
      </c>
      <c r="E607" s="15" t="str">
        <f>VLOOKUP($B607,Menu!$A$1:$F$20,MATCH(OrderLines!E$1,Menu!$A$1:$F$1,0),0)</f>
        <v>Beverage</v>
      </c>
      <c r="F607" s="36">
        <f>VLOOKUP($B607,Menu!$A$1:$F$20,MATCH(OrderLines!F$1,Menu!$A$1:$F$1,0),0)</f>
        <v>8</v>
      </c>
      <c r="G607" s="27">
        <f>VLOOKUP($A607,Orders!$A$1:$H$361,MATCH($G$1,Orders!$A$1:$H$1,0),0)</f>
        <v>45865</v>
      </c>
      <c r="H607" s="15" t="str">
        <f>VLOOKUP($A607,Orders!$A$1:$H$361,MATCH(OrderLines!$H$1,Orders!$A$1:$H$1,0),0)</f>
        <v>Head Office Café</v>
      </c>
      <c r="I607" s="15">
        <f>VLOOKUP($A607,Orders!$A$1:$H$361,MATCH(OrderLines!$I$1,Orders!$A$1:$H$1,0),0)</f>
        <v>0.06</v>
      </c>
      <c r="J607" s="15">
        <f t="shared" si="28"/>
        <v>56.710199999999993</v>
      </c>
      <c r="K607" s="27" t="str">
        <f t="shared" si="29"/>
        <v>July</v>
      </c>
      <c r="L607" s="15" t="str">
        <f>VLOOKUP(OrderLines!$A607,Orders!$A$1:$H$361,MATCH(OrderLines!$L$1,Orders!$A$1:$H$1,0),0)</f>
        <v>Dinner</v>
      </c>
      <c r="M607" t="str">
        <f>VLOOKUP($A607,Orders!$A$1:$H$361,MATCH(OrderLines!$M$1,Orders!$A$1:$H$1,0),0)</f>
        <v>UPI</v>
      </c>
      <c r="N607" t="str">
        <f t="shared" si="27"/>
        <v>Combo</v>
      </c>
      <c r="O607" t="str" cm="1">
        <f t="array" ref="O607">IF((SUMPRODUCT((OrderID=OrderLines!$A607)*Qty*UnitPrice*DiscountPct))&gt;40,"HighDisc","OK")</f>
        <v>OK</v>
      </c>
      <c r="P607">
        <f>(orderlinesTABLE[[#This Row],[UnitCost]]*orderlinesTABLE[[#This Row],[Qty]])</f>
        <v>24</v>
      </c>
      <c r="Q607">
        <f>(orderlinesTABLE[[#This Row],[LineNetAmount]]-orderlinesTABLE[[#This Row],[totalCOST]])</f>
        <v>32.710199999999993</v>
      </c>
      <c r="R607" t="str">
        <f>VLOOKUP($B607,Menu!$A$1:$F$20,MATCH(OrderLines!R$1,Menu!$A$1:$F$1,0),0)</f>
        <v>Nimbu Pani</v>
      </c>
      <c r="S607" t="str" cm="1">
        <f t="array" ref="S607">_xlfn.TEXTJOIN("+",TRUE,_xlfn._xlws.FILTER(orderlinesTABLE[ItemName],OrderID=orderlinesTABLE[[#This Row],[OrderID]]))</f>
        <v>Nimbu Pani+Gulab Jamun (2 pc)+Rajma Chawal</v>
      </c>
      <c r="T607" s="54">
        <f>orderlinesTABLE[[#This Row],[Profit]]/orderlinesTABLE[[#This Row],[LineNetAmount]]</f>
        <v>0.57679570870848629</v>
      </c>
      <c r="U607" s="70">
        <f>(orderlinesTABLE[[#This Row],[Qty]]*orderlinesTABLE[[#This Row],[UnitCost]])</f>
        <v>24</v>
      </c>
    </row>
    <row r="608" spans="1:21" x14ac:dyDescent="0.3">
      <c r="A608" s="14" t="s">
        <v>276</v>
      </c>
      <c r="B608" s="14" t="s">
        <v>403</v>
      </c>
      <c r="C608" s="14">
        <v>1</v>
      </c>
      <c r="D608" s="37">
        <f>VLOOKUP($B608,Menu!$A$1:$F$20,MATCH($D$1,Menu!$A$1:$F$1,0),0)</f>
        <v>76.55</v>
      </c>
      <c r="E608" s="14" t="str">
        <f>VLOOKUP($B608,Menu!$A$1:$F$20,MATCH(OrderLines!E$1,Menu!$A$1:$F$1,0),0)</f>
        <v>Dessert</v>
      </c>
      <c r="F608" s="37">
        <f>VLOOKUP($B608,Menu!$A$1:$F$20,MATCH(OrderLines!F$1,Menu!$A$1:$F$1,0),0)</f>
        <v>38.229999999999997</v>
      </c>
      <c r="G608" s="28">
        <f>VLOOKUP($A608,Orders!$A$1:$H$361,MATCH($G$1,Orders!$A$1:$H$1,0),0)</f>
        <v>45865</v>
      </c>
      <c r="H608" s="14" t="str">
        <f>VLOOKUP($A608,Orders!$A$1:$H$361,MATCH(OrderLines!$H$1,Orders!$A$1:$H$1,0),0)</f>
        <v>Head Office Café</v>
      </c>
      <c r="I608" s="14">
        <f>VLOOKUP($A608,Orders!$A$1:$H$361,MATCH(OrderLines!$I$1,Orders!$A$1:$H$1,0),0)</f>
        <v>0.06</v>
      </c>
      <c r="J608" s="14">
        <f t="shared" si="28"/>
        <v>71.956999999999994</v>
      </c>
      <c r="K608" s="28" t="str">
        <f t="shared" si="29"/>
        <v>July</v>
      </c>
      <c r="L608" s="14" t="str">
        <f>VLOOKUP(OrderLines!$A608,Orders!$A$1:$H$361,MATCH(OrderLines!$L$1,Orders!$A$1:$H$1,0),0)</f>
        <v>Dinner</v>
      </c>
      <c r="M608" t="str">
        <f>VLOOKUP($A608,Orders!$A$1:$H$361,MATCH(OrderLines!$M$1,Orders!$A$1:$H$1,0),0)</f>
        <v>UPI</v>
      </c>
      <c r="N608" t="str">
        <f t="shared" si="27"/>
        <v>Combo</v>
      </c>
      <c r="O608" t="str" cm="1">
        <f t="array" ref="O608">IF((SUMPRODUCT((OrderID=OrderLines!$A608)*Qty*UnitPrice*DiscountPct))&gt;40,"HighDisc","OK")</f>
        <v>OK</v>
      </c>
      <c r="P608">
        <f>(orderlinesTABLE[[#This Row],[UnitCost]]*orderlinesTABLE[[#This Row],[Qty]])</f>
        <v>38.229999999999997</v>
      </c>
      <c r="Q608">
        <f>(orderlinesTABLE[[#This Row],[LineNetAmount]]-orderlinesTABLE[[#This Row],[totalCOST]])</f>
        <v>33.726999999999997</v>
      </c>
      <c r="R608" t="str">
        <f>VLOOKUP($B608,Menu!$A$1:$F$20,MATCH(OrderLines!R$1,Menu!$A$1:$F$1,0),0)</f>
        <v>Gulab Jamun (2 pc)</v>
      </c>
      <c r="S608" t="str" cm="1">
        <f t="array" ref="S608">_xlfn.TEXTJOIN("+",TRUE,_xlfn._xlws.FILTER(orderlinesTABLE[ItemName],OrderID=orderlinesTABLE[[#This Row],[OrderID]]))</f>
        <v>Nimbu Pani+Gulab Jamun (2 pc)+Rajma Chawal</v>
      </c>
      <c r="T608" s="54">
        <f>orderlinesTABLE[[#This Row],[Profit]]/orderlinesTABLE[[#This Row],[LineNetAmount]]</f>
        <v>0.46871047986992231</v>
      </c>
      <c r="U608" s="70">
        <f>(orderlinesTABLE[[#This Row],[Qty]]*orderlinesTABLE[[#This Row],[UnitCost]])</f>
        <v>38.229999999999997</v>
      </c>
    </row>
    <row r="609" spans="1:21" x14ac:dyDescent="0.3">
      <c r="A609" s="15" t="s">
        <v>276</v>
      </c>
      <c r="B609" s="15" t="s">
        <v>417</v>
      </c>
      <c r="C609" s="15">
        <v>2</v>
      </c>
      <c r="D609" s="36">
        <f>VLOOKUP($B609,Menu!$A$1:$F$20,MATCH($D$1,Menu!$A$1:$F$1,0),0)</f>
        <v>146.4</v>
      </c>
      <c r="E609" s="15" t="str">
        <f>VLOOKUP($B609,Menu!$A$1:$F$20,MATCH(OrderLines!E$1,Menu!$A$1:$F$1,0),0)</f>
        <v>Hot Meal</v>
      </c>
      <c r="F609" s="36">
        <f>VLOOKUP($B609,Menu!$A$1:$F$20,MATCH(OrderLines!F$1,Menu!$A$1:$F$1,0),0)</f>
        <v>80.92</v>
      </c>
      <c r="G609" s="27">
        <f>VLOOKUP($A609,Orders!$A$1:$H$361,MATCH($G$1,Orders!$A$1:$H$1,0),0)</f>
        <v>45865</v>
      </c>
      <c r="H609" s="15" t="str">
        <f>VLOOKUP($A609,Orders!$A$1:$H$361,MATCH(OrderLines!$H$1,Orders!$A$1:$H$1,0),0)</f>
        <v>Head Office Café</v>
      </c>
      <c r="I609" s="15">
        <f>VLOOKUP($A609,Orders!$A$1:$H$361,MATCH(OrderLines!$I$1,Orders!$A$1:$H$1,0),0)</f>
        <v>0.06</v>
      </c>
      <c r="J609" s="15">
        <f t="shared" si="28"/>
        <v>275.23199999999997</v>
      </c>
      <c r="K609" s="27" t="str">
        <f t="shared" si="29"/>
        <v>July</v>
      </c>
      <c r="L609" s="15" t="str">
        <f>VLOOKUP(OrderLines!$A609,Orders!$A$1:$H$361,MATCH(OrderLines!$L$1,Orders!$A$1:$H$1,0),0)</f>
        <v>Dinner</v>
      </c>
      <c r="M609" t="str">
        <f>VLOOKUP($A609,Orders!$A$1:$H$361,MATCH(OrderLines!$M$1,Orders!$A$1:$H$1,0),0)</f>
        <v>UPI</v>
      </c>
      <c r="N609" t="str">
        <f t="shared" si="27"/>
        <v>Combo</v>
      </c>
      <c r="O609" t="str" cm="1">
        <f t="array" ref="O609">IF((SUMPRODUCT((OrderID=OrderLines!$A609)*Qty*UnitPrice*DiscountPct))&gt;40,"HighDisc","OK")</f>
        <v>OK</v>
      </c>
      <c r="P609">
        <f>(orderlinesTABLE[[#This Row],[UnitCost]]*orderlinesTABLE[[#This Row],[Qty]])</f>
        <v>161.84</v>
      </c>
      <c r="Q609">
        <f>(orderlinesTABLE[[#This Row],[LineNetAmount]]-orderlinesTABLE[[#This Row],[totalCOST]])</f>
        <v>113.39199999999997</v>
      </c>
      <c r="R609" t="str">
        <f>VLOOKUP($B609,Menu!$A$1:$F$20,MATCH(OrderLines!R$1,Menu!$A$1:$F$1,0),0)</f>
        <v>Rajma Chawal</v>
      </c>
      <c r="S609" t="str" cm="1">
        <f t="array" ref="S609">_xlfn.TEXTJOIN("+",TRUE,_xlfn._xlws.FILTER(orderlinesTABLE[ItemName],OrderID=orderlinesTABLE[[#This Row],[OrderID]]))</f>
        <v>Nimbu Pani+Gulab Jamun (2 pc)+Rajma Chawal</v>
      </c>
      <c r="T609" s="54">
        <f>orderlinesTABLE[[#This Row],[Profit]]/orderlinesTABLE[[#This Row],[LineNetAmount]]</f>
        <v>0.41198697825834196</v>
      </c>
      <c r="U609" s="70">
        <f>(orderlinesTABLE[[#This Row],[Qty]]*orderlinesTABLE[[#This Row],[UnitCost]])</f>
        <v>161.84</v>
      </c>
    </row>
    <row r="610" spans="1:21" x14ac:dyDescent="0.3">
      <c r="A610" s="14" t="s">
        <v>277</v>
      </c>
      <c r="B610" s="14" t="s">
        <v>408</v>
      </c>
      <c r="C610" s="14">
        <v>3</v>
      </c>
      <c r="D610" s="37">
        <f>VLOOKUP($B610,Menu!$A$1:$F$20,MATCH($D$1,Menu!$A$1:$F$1,0),0)</f>
        <v>70.540000000000006</v>
      </c>
      <c r="E610" s="14" t="str">
        <f>VLOOKUP($B610,Menu!$A$1:$F$20,MATCH(OrderLines!E$1,Menu!$A$1:$F$1,0),0)</f>
        <v>Snack</v>
      </c>
      <c r="F610" s="37">
        <f>VLOOKUP($B610,Menu!$A$1:$F$20,MATCH(OrderLines!F$1,Menu!$A$1:$F$1,0),0)</f>
        <v>35.81</v>
      </c>
      <c r="G610" s="28">
        <f>VLOOKUP($A610,Orders!$A$1:$H$361,MATCH($G$1,Orders!$A$1:$H$1,0),0)</f>
        <v>45870</v>
      </c>
      <c r="H610" s="14" t="str">
        <f>VLOOKUP($A610,Orders!$A$1:$H$361,MATCH(OrderLines!$H$1,Orders!$A$1:$H$1,0),0)</f>
        <v>Plant 2 Canteen</v>
      </c>
      <c r="I610" s="14">
        <f>VLOOKUP($A610,Orders!$A$1:$H$361,MATCH(OrderLines!$I$1,Orders!$A$1:$H$1,0),0)</f>
        <v>0.09</v>
      </c>
      <c r="J610" s="14">
        <f t="shared" si="28"/>
        <v>192.57420000000002</v>
      </c>
      <c r="K610" s="28" t="str">
        <f t="shared" si="29"/>
        <v>August</v>
      </c>
      <c r="L610" s="14" t="str">
        <f>VLOOKUP(OrderLines!$A610,Orders!$A$1:$H$361,MATCH(OrderLines!$L$1,Orders!$A$1:$H$1,0),0)</f>
        <v>Dinner</v>
      </c>
      <c r="M610" t="str">
        <f>VLOOKUP($A610,Orders!$A$1:$H$361,MATCH(OrderLines!$M$1,Orders!$A$1:$H$1,0),0)</f>
        <v>UPI</v>
      </c>
      <c r="N610" t="str">
        <f t="shared" si="27"/>
        <v>Single</v>
      </c>
      <c r="O610" t="str" cm="1">
        <f t="array" ref="O610">IF((SUMPRODUCT((OrderID=OrderLines!$A610)*Qty*UnitPrice*DiscountPct))&gt;40,"HighDisc","OK")</f>
        <v>HighDisc</v>
      </c>
      <c r="P610">
        <f>(orderlinesTABLE[[#This Row],[UnitCost]]*orderlinesTABLE[[#This Row],[Qty]])</f>
        <v>107.43</v>
      </c>
      <c r="Q610">
        <f>(orderlinesTABLE[[#This Row],[LineNetAmount]]-orderlinesTABLE[[#This Row],[totalCOST]])</f>
        <v>85.144200000000012</v>
      </c>
      <c r="R610" t="str">
        <f>VLOOKUP($B610,Menu!$A$1:$F$20,MATCH(OrderLines!R$1,Menu!$A$1:$F$1,0),0)</f>
        <v>Veg Sandwich</v>
      </c>
      <c r="S610" t="str" cm="1">
        <f t="array" ref="S610">_xlfn.TEXTJOIN("+",TRUE,_xlfn._xlws.FILTER(orderlinesTABLE[ItemName],OrderID=orderlinesTABLE[[#This Row],[OrderID]]))</f>
        <v>Veg Sandwich+Paneer Butter Masala + Naan+Gulab Jamun (2 pc)+Chicken Thali</v>
      </c>
      <c r="T610" s="54">
        <f>orderlinesTABLE[[#This Row],[Profit]]/orderlinesTABLE[[#This Row],[LineNetAmount]]</f>
        <v>0.44213710870926637</v>
      </c>
      <c r="U610" s="70">
        <f>(orderlinesTABLE[[#This Row],[Qty]]*orderlinesTABLE[[#This Row],[UnitCost]])</f>
        <v>107.43</v>
      </c>
    </row>
    <row r="611" spans="1:21" x14ac:dyDescent="0.3">
      <c r="A611" s="15" t="s">
        <v>277</v>
      </c>
      <c r="B611" s="15" t="s">
        <v>405</v>
      </c>
      <c r="C611" s="15">
        <v>2</v>
      </c>
      <c r="D611" s="36">
        <f>VLOOKUP($B611,Menu!$A$1:$F$20,MATCH($D$1,Menu!$A$1:$F$1,0),0)</f>
        <v>170.83</v>
      </c>
      <c r="E611" s="15" t="str">
        <f>VLOOKUP($B611,Menu!$A$1:$F$20,MATCH(OrderLines!E$1,Menu!$A$1:$F$1,0),0)</f>
        <v>Hot Meal</v>
      </c>
      <c r="F611" s="36">
        <f>VLOOKUP($B611,Menu!$A$1:$F$20,MATCH(OrderLines!F$1,Menu!$A$1:$F$1,0),0)</f>
        <v>74.069999999999993</v>
      </c>
      <c r="G611" s="27">
        <f>VLOOKUP($A611,Orders!$A$1:$H$361,MATCH($G$1,Orders!$A$1:$H$1,0),0)</f>
        <v>45870</v>
      </c>
      <c r="H611" s="15" t="str">
        <f>VLOOKUP($A611,Orders!$A$1:$H$361,MATCH(OrderLines!$H$1,Orders!$A$1:$H$1,0),0)</f>
        <v>Plant 2 Canteen</v>
      </c>
      <c r="I611" s="15">
        <f>VLOOKUP($A611,Orders!$A$1:$H$361,MATCH(OrderLines!$I$1,Orders!$A$1:$H$1,0),0)</f>
        <v>0.09</v>
      </c>
      <c r="J611" s="15">
        <f t="shared" si="28"/>
        <v>310.91060000000004</v>
      </c>
      <c r="K611" s="27" t="str">
        <f t="shared" si="29"/>
        <v>August</v>
      </c>
      <c r="L611" s="15" t="str">
        <f>VLOOKUP(OrderLines!$A611,Orders!$A$1:$H$361,MATCH(OrderLines!$L$1,Orders!$A$1:$H$1,0),0)</f>
        <v>Dinner</v>
      </c>
      <c r="M611" t="str">
        <f>VLOOKUP($A611,Orders!$A$1:$H$361,MATCH(OrderLines!$M$1,Orders!$A$1:$H$1,0),0)</f>
        <v>UPI</v>
      </c>
      <c r="N611" t="str">
        <f t="shared" si="27"/>
        <v>Single</v>
      </c>
      <c r="O611" t="str" cm="1">
        <f t="array" ref="O611">IF((SUMPRODUCT((OrderID=OrderLines!$A611)*Qty*UnitPrice*DiscountPct))&gt;40,"HighDisc","OK")</f>
        <v>HighDisc</v>
      </c>
      <c r="P611">
        <f>(orderlinesTABLE[[#This Row],[UnitCost]]*orderlinesTABLE[[#This Row],[Qty]])</f>
        <v>148.13999999999999</v>
      </c>
      <c r="Q611">
        <f>(orderlinesTABLE[[#This Row],[LineNetAmount]]-orderlinesTABLE[[#This Row],[totalCOST]])</f>
        <v>162.77060000000006</v>
      </c>
      <c r="R611" t="str">
        <f>VLOOKUP($B611,Menu!$A$1:$F$20,MATCH(OrderLines!R$1,Menu!$A$1:$F$1,0),0)</f>
        <v>Paneer Butter Masala + Naan</v>
      </c>
      <c r="S611" t="str" cm="1">
        <f t="array" ref="S611">_xlfn.TEXTJOIN("+",TRUE,_xlfn._xlws.FILTER(orderlinesTABLE[ItemName],OrderID=orderlinesTABLE[[#This Row],[OrderID]]))</f>
        <v>Veg Sandwich+Paneer Butter Masala + Naan+Gulab Jamun (2 pc)+Chicken Thali</v>
      </c>
      <c r="T611" s="54">
        <f>orderlinesTABLE[[#This Row],[Profit]]/orderlinesTABLE[[#This Row],[LineNetAmount]]</f>
        <v>0.52352862848677417</v>
      </c>
      <c r="U611" s="70">
        <f>(orderlinesTABLE[[#This Row],[Qty]]*orderlinesTABLE[[#This Row],[UnitCost]])</f>
        <v>148.13999999999999</v>
      </c>
    </row>
    <row r="612" spans="1:21" x14ac:dyDescent="0.3">
      <c r="A612" s="14" t="s">
        <v>277</v>
      </c>
      <c r="B612" s="14" t="s">
        <v>403</v>
      </c>
      <c r="C612" s="14">
        <v>3</v>
      </c>
      <c r="D612" s="37">
        <f>VLOOKUP($B612,Menu!$A$1:$F$20,MATCH($D$1,Menu!$A$1:$F$1,0),0)</f>
        <v>76.55</v>
      </c>
      <c r="E612" s="14" t="str">
        <f>VLOOKUP($B612,Menu!$A$1:$F$20,MATCH(OrderLines!E$1,Menu!$A$1:$F$1,0),0)</f>
        <v>Dessert</v>
      </c>
      <c r="F612" s="37">
        <f>VLOOKUP($B612,Menu!$A$1:$F$20,MATCH(OrderLines!F$1,Menu!$A$1:$F$1,0),0)</f>
        <v>38.229999999999997</v>
      </c>
      <c r="G612" s="28">
        <f>VLOOKUP($A612,Orders!$A$1:$H$361,MATCH($G$1,Orders!$A$1:$H$1,0),0)</f>
        <v>45870</v>
      </c>
      <c r="H612" s="14" t="str">
        <f>VLOOKUP($A612,Orders!$A$1:$H$361,MATCH(OrderLines!$H$1,Orders!$A$1:$H$1,0),0)</f>
        <v>Plant 2 Canteen</v>
      </c>
      <c r="I612" s="14">
        <f>VLOOKUP($A612,Orders!$A$1:$H$361,MATCH(OrderLines!$I$1,Orders!$A$1:$H$1,0),0)</f>
        <v>0.09</v>
      </c>
      <c r="J612" s="14">
        <f t="shared" si="28"/>
        <v>208.98149999999998</v>
      </c>
      <c r="K612" s="28" t="str">
        <f t="shared" si="29"/>
        <v>August</v>
      </c>
      <c r="L612" s="14" t="str">
        <f>VLOOKUP(OrderLines!$A612,Orders!$A$1:$H$361,MATCH(OrderLines!$L$1,Orders!$A$1:$H$1,0),0)</f>
        <v>Dinner</v>
      </c>
      <c r="M612" t="str">
        <f>VLOOKUP($A612,Orders!$A$1:$H$361,MATCH(OrderLines!$M$1,Orders!$A$1:$H$1,0),0)</f>
        <v>UPI</v>
      </c>
      <c r="N612" t="str">
        <f t="shared" si="27"/>
        <v>Single</v>
      </c>
      <c r="O612" t="str" cm="1">
        <f t="array" ref="O612">IF((SUMPRODUCT((OrderID=OrderLines!$A612)*Qty*UnitPrice*DiscountPct))&gt;40,"HighDisc","OK")</f>
        <v>HighDisc</v>
      </c>
      <c r="P612">
        <f>(orderlinesTABLE[[#This Row],[UnitCost]]*orderlinesTABLE[[#This Row],[Qty]])</f>
        <v>114.69</v>
      </c>
      <c r="Q612">
        <f>(orderlinesTABLE[[#This Row],[LineNetAmount]]-orderlinesTABLE[[#This Row],[totalCOST]])</f>
        <v>94.291499999999985</v>
      </c>
      <c r="R612" t="str">
        <f>VLOOKUP($B612,Menu!$A$1:$F$20,MATCH(OrderLines!R$1,Menu!$A$1:$F$1,0),0)</f>
        <v>Gulab Jamun (2 pc)</v>
      </c>
      <c r="S612" t="str" cm="1">
        <f t="array" ref="S612">_xlfn.TEXTJOIN("+",TRUE,_xlfn._xlws.FILTER(orderlinesTABLE[ItemName],OrderID=orderlinesTABLE[[#This Row],[OrderID]]))</f>
        <v>Veg Sandwich+Paneer Butter Masala + Naan+Gulab Jamun (2 pc)+Chicken Thali</v>
      </c>
      <c r="T612" s="54">
        <f>orderlinesTABLE[[#This Row],[Profit]]/orderlinesTABLE[[#This Row],[LineNetAmount]]</f>
        <v>0.45119544074475487</v>
      </c>
      <c r="U612" s="70">
        <f>(orderlinesTABLE[[#This Row],[Qty]]*orderlinesTABLE[[#This Row],[UnitCost]])</f>
        <v>114.69</v>
      </c>
    </row>
    <row r="613" spans="1:21" x14ac:dyDescent="0.3">
      <c r="A613" s="15" t="s">
        <v>277</v>
      </c>
      <c r="B613" s="15" t="s">
        <v>415</v>
      </c>
      <c r="C613" s="15">
        <v>2</v>
      </c>
      <c r="D613" s="36">
        <f>VLOOKUP($B613,Menu!$A$1:$F$20,MATCH($D$1,Menu!$A$1:$F$1,0),0)</f>
        <v>256.91000000000003</v>
      </c>
      <c r="E613" s="15" t="str">
        <f>VLOOKUP($B613,Menu!$A$1:$F$20,MATCH(OrderLines!E$1,Menu!$A$1:$F$1,0),0)</f>
        <v>Hot Meal</v>
      </c>
      <c r="F613" s="36">
        <f>VLOOKUP($B613,Menu!$A$1:$F$20,MATCH(OrderLines!F$1,Menu!$A$1:$F$1,0),0)</f>
        <v>121.24</v>
      </c>
      <c r="G613" s="27">
        <f>VLOOKUP($A613,Orders!$A$1:$H$361,MATCH($G$1,Orders!$A$1:$H$1,0),0)</f>
        <v>45870</v>
      </c>
      <c r="H613" s="15" t="str">
        <f>VLOOKUP($A613,Orders!$A$1:$H$361,MATCH(OrderLines!$H$1,Orders!$A$1:$H$1,0),0)</f>
        <v>Plant 2 Canteen</v>
      </c>
      <c r="I613" s="15">
        <f>VLOOKUP($A613,Orders!$A$1:$H$361,MATCH(OrderLines!$I$1,Orders!$A$1:$H$1,0),0)</f>
        <v>0.09</v>
      </c>
      <c r="J613" s="15">
        <f t="shared" si="28"/>
        <v>467.57620000000009</v>
      </c>
      <c r="K613" s="27" t="str">
        <f t="shared" si="29"/>
        <v>August</v>
      </c>
      <c r="L613" s="15" t="str">
        <f>VLOOKUP(OrderLines!$A613,Orders!$A$1:$H$361,MATCH(OrderLines!$L$1,Orders!$A$1:$H$1,0),0)</f>
        <v>Dinner</v>
      </c>
      <c r="M613" t="str">
        <f>VLOOKUP($A613,Orders!$A$1:$H$361,MATCH(OrderLines!$M$1,Orders!$A$1:$H$1,0),0)</f>
        <v>UPI</v>
      </c>
      <c r="N613" t="str">
        <f t="shared" si="27"/>
        <v>Single</v>
      </c>
      <c r="O613" t="str" cm="1">
        <f t="array" ref="O613">IF((SUMPRODUCT((OrderID=OrderLines!$A613)*Qty*UnitPrice*DiscountPct))&gt;40,"HighDisc","OK")</f>
        <v>HighDisc</v>
      </c>
      <c r="P613">
        <f>(orderlinesTABLE[[#This Row],[UnitCost]]*orderlinesTABLE[[#This Row],[Qty]])</f>
        <v>242.48</v>
      </c>
      <c r="Q613">
        <f>(orderlinesTABLE[[#This Row],[LineNetAmount]]-orderlinesTABLE[[#This Row],[totalCOST]])</f>
        <v>225.0962000000001</v>
      </c>
      <c r="R613" t="str">
        <f>VLOOKUP($B613,Menu!$A$1:$F$20,MATCH(OrderLines!R$1,Menu!$A$1:$F$1,0),0)</f>
        <v>Chicken Thali</v>
      </c>
      <c r="S613" t="str" cm="1">
        <f t="array" ref="S613">_xlfn.TEXTJOIN("+",TRUE,_xlfn._xlws.FILTER(orderlinesTABLE[ItemName],OrderID=orderlinesTABLE[[#This Row],[OrderID]]))</f>
        <v>Veg Sandwich+Paneer Butter Masala + Naan+Gulab Jamun (2 pc)+Chicken Thali</v>
      </c>
      <c r="T613" s="54">
        <f>orderlinesTABLE[[#This Row],[Profit]]/orderlinesTABLE[[#This Row],[LineNetAmount]]</f>
        <v>0.48141073048628236</v>
      </c>
      <c r="U613" s="70">
        <f>(orderlinesTABLE[[#This Row],[Qty]]*orderlinesTABLE[[#This Row],[UnitCost]])</f>
        <v>242.48</v>
      </c>
    </row>
    <row r="614" spans="1:21" x14ac:dyDescent="0.3">
      <c r="A614" s="14" t="s">
        <v>278</v>
      </c>
      <c r="B614" s="14" t="s">
        <v>402</v>
      </c>
      <c r="C614" s="14">
        <v>1</v>
      </c>
      <c r="D614" s="37">
        <f>VLOOKUP($B614,Menu!$A$1:$F$20,MATCH($D$1,Menu!$A$1:$F$1,0),0)</f>
        <v>30.34</v>
      </c>
      <c r="E614" s="14" t="str">
        <f>VLOOKUP($B614,Menu!$A$1:$F$20,MATCH(OrderLines!E$1,Menu!$A$1:$F$1,0),0)</f>
        <v>Beverage</v>
      </c>
      <c r="F614" s="37">
        <f>VLOOKUP($B614,Menu!$A$1:$F$20,MATCH(OrderLines!F$1,Menu!$A$1:$F$1,0),0)</f>
        <v>14.18</v>
      </c>
      <c r="G614" s="28">
        <f>VLOOKUP($A614,Orders!$A$1:$H$361,MATCH($G$1,Orders!$A$1:$H$1,0),0)</f>
        <v>45883</v>
      </c>
      <c r="H614" s="14" t="str">
        <f>VLOOKUP($A614,Orders!$A$1:$H$361,MATCH(OrderLines!$H$1,Orders!$A$1:$H$1,0),0)</f>
        <v>Head Office Café</v>
      </c>
      <c r="I614" s="14">
        <f>VLOOKUP($A614,Orders!$A$1:$H$361,MATCH(OrderLines!$I$1,Orders!$A$1:$H$1,0),0)</f>
        <v>0.12</v>
      </c>
      <c r="J614" s="14">
        <f t="shared" si="28"/>
        <v>26.699200000000001</v>
      </c>
      <c r="K614" s="28" t="str">
        <f t="shared" si="29"/>
        <v>August</v>
      </c>
      <c r="L614" s="14" t="str">
        <f>VLOOKUP(OrderLines!$A614,Orders!$A$1:$H$361,MATCH(OrderLines!$L$1,Orders!$A$1:$H$1,0),0)</f>
        <v>Breakfast</v>
      </c>
      <c r="M614" t="str">
        <f>VLOOKUP($A614,Orders!$A$1:$H$361,MATCH(OrderLines!$M$1,Orders!$A$1:$H$1,0),0)</f>
        <v>Card</v>
      </c>
      <c r="N614" t="str">
        <f t="shared" si="27"/>
        <v>Single</v>
      </c>
      <c r="O614" t="str" cm="1">
        <f t="array" ref="O614">IF((SUMPRODUCT((OrderID=OrderLines!$A614)*Qty*UnitPrice*DiscountPct))&gt;40,"HighDisc","OK")</f>
        <v>OK</v>
      </c>
      <c r="P614">
        <f>(orderlinesTABLE[[#This Row],[UnitCost]]*orderlinesTABLE[[#This Row],[Qty]])</f>
        <v>14.18</v>
      </c>
      <c r="Q614">
        <f>(orderlinesTABLE[[#This Row],[LineNetAmount]]-orderlinesTABLE[[#This Row],[totalCOST]])</f>
        <v>12.519200000000001</v>
      </c>
      <c r="R614" t="str">
        <f>VLOOKUP($B614,Menu!$A$1:$F$20,MATCH(OrderLines!R$1,Menu!$A$1:$F$1,0),0)</f>
        <v>Tea</v>
      </c>
      <c r="S614" t="str" cm="1">
        <f t="array" ref="S614">_xlfn.TEXTJOIN("+",TRUE,_xlfn._xlws.FILTER(orderlinesTABLE[ItemName],OrderID=orderlinesTABLE[[#This Row],[OrderID]]))</f>
        <v>Tea+Brownie</v>
      </c>
      <c r="T614" s="54">
        <f>orderlinesTABLE[[#This Row],[Profit]]/orderlinesTABLE[[#This Row],[LineNetAmount]]</f>
        <v>0.46889794450770061</v>
      </c>
      <c r="U614" s="70">
        <f>(orderlinesTABLE[[#This Row],[Qty]]*orderlinesTABLE[[#This Row],[UnitCost]])</f>
        <v>14.18</v>
      </c>
    </row>
    <row r="615" spans="1:21" x14ac:dyDescent="0.3">
      <c r="A615" s="15" t="s">
        <v>278</v>
      </c>
      <c r="B615" s="15" t="s">
        <v>414</v>
      </c>
      <c r="C615" s="15">
        <v>1</v>
      </c>
      <c r="D615" s="36">
        <f>VLOOKUP($B615,Menu!$A$1:$F$20,MATCH($D$1,Menu!$A$1:$F$1,0),0)</f>
        <v>116.8</v>
      </c>
      <c r="E615" s="15" t="str">
        <f>VLOOKUP($B615,Menu!$A$1:$F$20,MATCH(OrderLines!E$1,Menu!$A$1:$F$1,0),0)</f>
        <v>Dessert</v>
      </c>
      <c r="F615" s="36">
        <f>VLOOKUP($B615,Menu!$A$1:$F$20,MATCH(OrderLines!F$1,Menu!$A$1:$F$1,0),0)</f>
        <v>48.97</v>
      </c>
      <c r="G615" s="27">
        <f>VLOOKUP($A615,Orders!$A$1:$H$361,MATCH($G$1,Orders!$A$1:$H$1,0),0)</f>
        <v>45883</v>
      </c>
      <c r="H615" s="15" t="str">
        <f>VLOOKUP($A615,Orders!$A$1:$H$361,MATCH(OrderLines!$H$1,Orders!$A$1:$H$1,0),0)</f>
        <v>Head Office Café</v>
      </c>
      <c r="I615" s="15">
        <f>VLOOKUP($A615,Orders!$A$1:$H$361,MATCH(OrderLines!$I$1,Orders!$A$1:$H$1,0),0)</f>
        <v>0.12</v>
      </c>
      <c r="J615" s="15">
        <f t="shared" si="28"/>
        <v>102.78399999999999</v>
      </c>
      <c r="K615" s="27" t="str">
        <f t="shared" si="29"/>
        <v>August</v>
      </c>
      <c r="L615" s="15" t="str">
        <f>VLOOKUP(OrderLines!$A615,Orders!$A$1:$H$361,MATCH(OrderLines!$L$1,Orders!$A$1:$H$1,0),0)</f>
        <v>Breakfast</v>
      </c>
      <c r="M615" t="str">
        <f>VLOOKUP($A615,Orders!$A$1:$H$361,MATCH(OrderLines!$M$1,Orders!$A$1:$H$1,0),0)</f>
        <v>Card</v>
      </c>
      <c r="N615" t="str">
        <f t="shared" si="27"/>
        <v>Single</v>
      </c>
      <c r="O615" t="str" cm="1">
        <f t="array" ref="O615">IF((SUMPRODUCT((OrderID=OrderLines!$A615)*Qty*UnitPrice*DiscountPct))&gt;40,"HighDisc","OK")</f>
        <v>OK</v>
      </c>
      <c r="P615">
        <f>(orderlinesTABLE[[#This Row],[UnitCost]]*orderlinesTABLE[[#This Row],[Qty]])</f>
        <v>48.97</v>
      </c>
      <c r="Q615">
        <f>(orderlinesTABLE[[#This Row],[LineNetAmount]]-orderlinesTABLE[[#This Row],[totalCOST]])</f>
        <v>53.813999999999993</v>
      </c>
      <c r="R615" t="str">
        <f>VLOOKUP($B615,Menu!$A$1:$F$20,MATCH(OrderLines!R$1,Menu!$A$1:$F$1,0),0)</f>
        <v>Brownie</v>
      </c>
      <c r="S615" t="str" cm="1">
        <f t="array" ref="S615">_xlfn.TEXTJOIN("+",TRUE,_xlfn._xlws.FILTER(orderlinesTABLE[ItemName],OrderID=orderlinesTABLE[[#This Row],[OrderID]]))</f>
        <v>Tea+Brownie</v>
      </c>
      <c r="T615" s="54">
        <f>orderlinesTABLE[[#This Row],[Profit]]/orderlinesTABLE[[#This Row],[LineNetAmount]]</f>
        <v>0.52356397882938976</v>
      </c>
      <c r="U615" s="70">
        <f>(orderlinesTABLE[[#This Row],[Qty]]*orderlinesTABLE[[#This Row],[UnitCost]])</f>
        <v>48.97</v>
      </c>
    </row>
    <row r="616" spans="1:21" x14ac:dyDescent="0.3">
      <c r="A616" s="14" t="s">
        <v>279</v>
      </c>
      <c r="B616" s="14" t="s">
        <v>406</v>
      </c>
      <c r="C616" s="14">
        <v>1</v>
      </c>
      <c r="D616" s="37">
        <f>VLOOKUP($B616,Menu!$A$1:$F$20,MATCH($D$1,Menu!$A$1:$F$1,0),0)</f>
        <v>38.06</v>
      </c>
      <c r="E616" s="14" t="str">
        <f>VLOOKUP($B616,Menu!$A$1:$F$20,MATCH(OrderLines!E$1,Menu!$A$1:$F$1,0),0)</f>
        <v>Snack</v>
      </c>
      <c r="F616" s="37">
        <f>VLOOKUP($B616,Menu!$A$1:$F$20,MATCH(OrderLines!F$1,Menu!$A$1:$F$1,0),0)</f>
        <v>19.55</v>
      </c>
      <c r="G616" s="28">
        <f>VLOOKUP($A616,Orders!$A$1:$H$361,MATCH($G$1,Orders!$A$1:$H$1,0),0)</f>
        <v>45850</v>
      </c>
      <c r="H616" s="14" t="str">
        <f>VLOOKUP($A616,Orders!$A$1:$H$361,MATCH(OrderLines!$H$1,Orders!$A$1:$H$1,0),0)</f>
        <v>Head Office Café</v>
      </c>
      <c r="I616" s="14">
        <f>VLOOKUP($A616,Orders!$A$1:$H$361,MATCH(OrderLines!$I$1,Orders!$A$1:$H$1,0),0)</f>
        <v>0.01</v>
      </c>
      <c r="J616" s="14">
        <f t="shared" si="28"/>
        <v>37.679400000000001</v>
      </c>
      <c r="K616" s="28" t="str">
        <f t="shared" si="29"/>
        <v>July</v>
      </c>
      <c r="L616" s="14" t="str">
        <f>VLOOKUP(OrderLines!$A616,Orders!$A$1:$H$361,MATCH(OrderLines!$L$1,Orders!$A$1:$H$1,0),0)</f>
        <v>Breakfast</v>
      </c>
      <c r="M616" t="str">
        <f>VLOOKUP($A616,Orders!$A$1:$H$361,MATCH(OrderLines!$M$1,Orders!$A$1:$H$1,0),0)</f>
        <v>UPI</v>
      </c>
      <c r="N616" t="str">
        <f t="shared" si="27"/>
        <v>Single</v>
      </c>
      <c r="O616" t="str" cm="1">
        <f t="array" ref="O616">IF((SUMPRODUCT((OrderID=OrderLines!$A616)*Qty*UnitPrice*DiscountPct))&gt;40,"HighDisc","OK")</f>
        <v>OK</v>
      </c>
      <c r="P616">
        <f>(orderlinesTABLE[[#This Row],[UnitCost]]*orderlinesTABLE[[#This Row],[Qty]])</f>
        <v>19.55</v>
      </c>
      <c r="Q616">
        <f>(orderlinesTABLE[[#This Row],[LineNetAmount]]-orderlinesTABLE[[#This Row],[totalCOST]])</f>
        <v>18.1294</v>
      </c>
      <c r="R616" t="str">
        <f>VLOOKUP($B616,Menu!$A$1:$F$20,MATCH(OrderLines!R$1,Menu!$A$1:$F$1,0),0)</f>
        <v>Paneer Roll</v>
      </c>
      <c r="S616" t="str" cm="1">
        <f t="array" ref="S616">_xlfn.TEXTJOIN("+",TRUE,_xlfn._xlws.FILTER(orderlinesTABLE[ItemName],OrderID=orderlinesTABLE[[#This Row],[OrderID]]))</f>
        <v>Paneer Roll+Chicken Thali+Samosa+Egg Curry + Rice</v>
      </c>
      <c r="T616" s="54">
        <f>orderlinesTABLE[[#This Row],[Profit]]/orderlinesTABLE[[#This Row],[LineNetAmount]]</f>
        <v>0.481148850565561</v>
      </c>
      <c r="U616" s="70">
        <f>(orderlinesTABLE[[#This Row],[Qty]]*orderlinesTABLE[[#This Row],[UnitCost]])</f>
        <v>19.55</v>
      </c>
    </row>
    <row r="617" spans="1:21" x14ac:dyDescent="0.3">
      <c r="A617" s="15" t="s">
        <v>279</v>
      </c>
      <c r="B617" s="15" t="s">
        <v>415</v>
      </c>
      <c r="C617" s="15">
        <v>2</v>
      </c>
      <c r="D617" s="36">
        <f>VLOOKUP($B617,Menu!$A$1:$F$20,MATCH($D$1,Menu!$A$1:$F$1,0),0)</f>
        <v>256.91000000000003</v>
      </c>
      <c r="E617" s="15" t="str">
        <f>VLOOKUP($B617,Menu!$A$1:$F$20,MATCH(OrderLines!E$1,Menu!$A$1:$F$1,0),0)</f>
        <v>Hot Meal</v>
      </c>
      <c r="F617" s="36">
        <f>VLOOKUP($B617,Menu!$A$1:$F$20,MATCH(OrderLines!F$1,Menu!$A$1:$F$1,0),0)</f>
        <v>121.24</v>
      </c>
      <c r="G617" s="27">
        <f>VLOOKUP($A617,Orders!$A$1:$H$361,MATCH($G$1,Orders!$A$1:$H$1,0),0)</f>
        <v>45850</v>
      </c>
      <c r="H617" s="15" t="str">
        <f>VLOOKUP($A617,Orders!$A$1:$H$361,MATCH(OrderLines!$H$1,Orders!$A$1:$H$1,0),0)</f>
        <v>Head Office Café</v>
      </c>
      <c r="I617" s="15">
        <f>VLOOKUP($A617,Orders!$A$1:$H$361,MATCH(OrderLines!$I$1,Orders!$A$1:$H$1,0),0)</f>
        <v>0.01</v>
      </c>
      <c r="J617" s="15">
        <f t="shared" si="28"/>
        <v>508.68180000000007</v>
      </c>
      <c r="K617" s="27" t="str">
        <f t="shared" si="29"/>
        <v>July</v>
      </c>
      <c r="L617" s="15" t="str">
        <f>VLOOKUP(OrderLines!$A617,Orders!$A$1:$H$361,MATCH(OrderLines!$L$1,Orders!$A$1:$H$1,0),0)</f>
        <v>Breakfast</v>
      </c>
      <c r="M617" t="str">
        <f>VLOOKUP($A617,Orders!$A$1:$H$361,MATCH(OrderLines!$M$1,Orders!$A$1:$H$1,0),0)</f>
        <v>UPI</v>
      </c>
      <c r="N617" t="str">
        <f t="shared" si="27"/>
        <v>Single</v>
      </c>
      <c r="O617" t="str" cm="1">
        <f t="array" ref="O617">IF((SUMPRODUCT((OrderID=OrderLines!$A617)*Qty*UnitPrice*DiscountPct))&gt;40,"HighDisc","OK")</f>
        <v>OK</v>
      </c>
      <c r="P617">
        <f>(orderlinesTABLE[[#This Row],[UnitCost]]*orderlinesTABLE[[#This Row],[Qty]])</f>
        <v>242.48</v>
      </c>
      <c r="Q617">
        <f>(orderlinesTABLE[[#This Row],[LineNetAmount]]-orderlinesTABLE[[#This Row],[totalCOST]])</f>
        <v>266.20180000000005</v>
      </c>
      <c r="R617" t="str">
        <f>VLOOKUP($B617,Menu!$A$1:$F$20,MATCH(OrderLines!R$1,Menu!$A$1:$F$1,0),0)</f>
        <v>Chicken Thali</v>
      </c>
      <c r="S617" t="str" cm="1">
        <f t="array" ref="S617">_xlfn.TEXTJOIN("+",TRUE,_xlfn._xlws.FILTER(orderlinesTABLE[ItemName],OrderID=orderlinesTABLE[[#This Row],[OrderID]]))</f>
        <v>Paneer Roll+Chicken Thali+Samosa+Egg Curry + Rice</v>
      </c>
      <c r="T617" s="54">
        <f>orderlinesTABLE[[#This Row],[Profit]]/orderlinesTABLE[[#This Row],[LineNetAmount]]</f>
        <v>0.52331693408335034</v>
      </c>
      <c r="U617" s="70">
        <f>(orderlinesTABLE[[#This Row],[Qty]]*orderlinesTABLE[[#This Row],[UnitCost]])</f>
        <v>242.48</v>
      </c>
    </row>
    <row r="618" spans="1:21" x14ac:dyDescent="0.3">
      <c r="A618" s="14" t="s">
        <v>279</v>
      </c>
      <c r="B618" s="14" t="s">
        <v>418</v>
      </c>
      <c r="C618" s="14">
        <v>2</v>
      </c>
      <c r="D618" s="37">
        <f>VLOOKUP($B618,Menu!$A$1:$F$20,MATCH($D$1,Menu!$A$1:$F$1,0),0)</f>
        <v>39.950000000000003</v>
      </c>
      <c r="E618" s="14" t="str">
        <f>VLOOKUP($B618,Menu!$A$1:$F$20,MATCH(OrderLines!E$1,Menu!$A$1:$F$1,0),0)</f>
        <v>Snack</v>
      </c>
      <c r="F618" s="37">
        <f>VLOOKUP($B618,Menu!$A$1:$F$20,MATCH(OrderLines!F$1,Menu!$A$1:$F$1,0),0)</f>
        <v>15.51</v>
      </c>
      <c r="G618" s="28">
        <f>VLOOKUP($A618,Orders!$A$1:$H$361,MATCH($G$1,Orders!$A$1:$H$1,0),0)</f>
        <v>45850</v>
      </c>
      <c r="H618" s="14" t="str">
        <f>VLOOKUP($A618,Orders!$A$1:$H$361,MATCH(OrderLines!$H$1,Orders!$A$1:$H$1,0),0)</f>
        <v>Head Office Café</v>
      </c>
      <c r="I618" s="14">
        <f>VLOOKUP($A618,Orders!$A$1:$H$361,MATCH(OrderLines!$I$1,Orders!$A$1:$H$1,0),0)</f>
        <v>0.01</v>
      </c>
      <c r="J618" s="14">
        <f t="shared" si="28"/>
        <v>79.100999999999999</v>
      </c>
      <c r="K618" s="28" t="str">
        <f t="shared" si="29"/>
        <v>July</v>
      </c>
      <c r="L618" s="14" t="str">
        <f>VLOOKUP(OrderLines!$A618,Orders!$A$1:$H$361,MATCH(OrderLines!$L$1,Orders!$A$1:$H$1,0),0)</f>
        <v>Breakfast</v>
      </c>
      <c r="M618" t="str">
        <f>VLOOKUP($A618,Orders!$A$1:$H$361,MATCH(OrderLines!$M$1,Orders!$A$1:$H$1,0),0)</f>
        <v>UPI</v>
      </c>
      <c r="N618" t="str">
        <f t="shared" si="27"/>
        <v>Single</v>
      </c>
      <c r="O618" t="str" cm="1">
        <f t="array" ref="O618">IF((SUMPRODUCT((OrderID=OrderLines!$A618)*Qty*UnitPrice*DiscountPct))&gt;40,"HighDisc","OK")</f>
        <v>OK</v>
      </c>
      <c r="P618">
        <f>(orderlinesTABLE[[#This Row],[UnitCost]]*orderlinesTABLE[[#This Row],[Qty]])</f>
        <v>31.02</v>
      </c>
      <c r="Q618">
        <f>(orderlinesTABLE[[#This Row],[LineNetAmount]]-orderlinesTABLE[[#This Row],[totalCOST]])</f>
        <v>48.081000000000003</v>
      </c>
      <c r="R618" t="str">
        <f>VLOOKUP($B618,Menu!$A$1:$F$20,MATCH(OrderLines!R$1,Menu!$A$1:$F$1,0),0)</f>
        <v>Samosa</v>
      </c>
      <c r="S618" t="str" cm="1">
        <f t="array" ref="S618">_xlfn.TEXTJOIN("+",TRUE,_xlfn._xlws.FILTER(orderlinesTABLE[ItemName],OrderID=orderlinesTABLE[[#This Row],[OrderID]]))</f>
        <v>Paneer Roll+Chicken Thali+Samosa+Egg Curry + Rice</v>
      </c>
      <c r="T618" s="54">
        <f>orderlinesTABLE[[#This Row],[Profit]]/orderlinesTABLE[[#This Row],[LineNetAmount]]</f>
        <v>0.60784313725490202</v>
      </c>
      <c r="U618" s="70">
        <f>(orderlinesTABLE[[#This Row],[Qty]]*orderlinesTABLE[[#This Row],[UnitCost]])</f>
        <v>31.02</v>
      </c>
    </row>
    <row r="619" spans="1:21" x14ac:dyDescent="0.3">
      <c r="A619" s="15" t="s">
        <v>279</v>
      </c>
      <c r="B619" s="15" t="s">
        <v>407</v>
      </c>
      <c r="C619" s="15">
        <v>2</v>
      </c>
      <c r="D619" s="36">
        <f>VLOOKUP($B619,Menu!$A$1:$F$20,MATCH($D$1,Menu!$A$1:$F$1,0),0)</f>
        <v>246.09</v>
      </c>
      <c r="E619" s="15" t="str">
        <f>VLOOKUP($B619,Menu!$A$1:$F$20,MATCH(OrderLines!E$1,Menu!$A$1:$F$1,0),0)</f>
        <v>Hot Meal</v>
      </c>
      <c r="F619" s="36">
        <f>VLOOKUP($B619,Menu!$A$1:$F$20,MATCH(OrderLines!F$1,Menu!$A$1:$F$1,0),0)</f>
        <v>112.08</v>
      </c>
      <c r="G619" s="27">
        <f>VLOOKUP($A619,Orders!$A$1:$H$361,MATCH($G$1,Orders!$A$1:$H$1,0),0)</f>
        <v>45850</v>
      </c>
      <c r="H619" s="15" t="str">
        <f>VLOOKUP($A619,Orders!$A$1:$H$361,MATCH(OrderLines!$H$1,Orders!$A$1:$H$1,0),0)</f>
        <v>Head Office Café</v>
      </c>
      <c r="I619" s="15">
        <f>VLOOKUP($A619,Orders!$A$1:$H$361,MATCH(OrderLines!$I$1,Orders!$A$1:$H$1,0),0)</f>
        <v>0.01</v>
      </c>
      <c r="J619" s="15">
        <f t="shared" si="28"/>
        <v>487.25819999999999</v>
      </c>
      <c r="K619" s="27" t="str">
        <f t="shared" si="29"/>
        <v>July</v>
      </c>
      <c r="L619" s="15" t="str">
        <f>VLOOKUP(OrderLines!$A619,Orders!$A$1:$H$361,MATCH(OrderLines!$L$1,Orders!$A$1:$H$1,0),0)</f>
        <v>Breakfast</v>
      </c>
      <c r="M619" t="str">
        <f>VLOOKUP($A619,Orders!$A$1:$H$361,MATCH(OrderLines!$M$1,Orders!$A$1:$H$1,0),0)</f>
        <v>UPI</v>
      </c>
      <c r="N619" t="str">
        <f t="shared" si="27"/>
        <v>Single</v>
      </c>
      <c r="O619" t="str" cm="1">
        <f t="array" ref="O619">IF((SUMPRODUCT((OrderID=OrderLines!$A619)*Qty*UnitPrice*DiscountPct))&gt;40,"HighDisc","OK")</f>
        <v>OK</v>
      </c>
      <c r="P619">
        <f>(orderlinesTABLE[[#This Row],[UnitCost]]*orderlinesTABLE[[#This Row],[Qty]])</f>
        <v>224.16</v>
      </c>
      <c r="Q619">
        <f>(orderlinesTABLE[[#This Row],[LineNetAmount]]-orderlinesTABLE[[#This Row],[totalCOST]])</f>
        <v>263.09820000000002</v>
      </c>
      <c r="R619" t="str">
        <f>VLOOKUP($B619,Menu!$A$1:$F$20,MATCH(OrderLines!R$1,Menu!$A$1:$F$1,0),0)</f>
        <v>Egg Curry + Rice</v>
      </c>
      <c r="S619" t="str" cm="1">
        <f t="array" ref="S619">_xlfn.TEXTJOIN("+",TRUE,_xlfn._xlws.FILTER(orderlinesTABLE[ItemName],OrderID=orderlinesTABLE[[#This Row],[OrderID]]))</f>
        <v>Paneer Roll+Chicken Thali+Samosa+Egg Curry + Rice</v>
      </c>
      <c r="T619" s="54">
        <f>orderlinesTABLE[[#This Row],[Profit]]/orderlinesTABLE[[#This Row],[LineNetAmount]]</f>
        <v>0.53995643377576819</v>
      </c>
      <c r="U619" s="70">
        <f>(orderlinesTABLE[[#This Row],[Qty]]*orderlinesTABLE[[#This Row],[UnitCost]])</f>
        <v>224.16</v>
      </c>
    </row>
    <row r="620" spans="1:21" x14ac:dyDescent="0.3">
      <c r="A620" s="14" t="s">
        <v>280</v>
      </c>
      <c r="B620" s="14" t="s">
        <v>412</v>
      </c>
      <c r="C620" s="14">
        <v>2</v>
      </c>
      <c r="D620" s="37">
        <f>VLOOKUP($B620,Menu!$A$1:$F$20,MATCH($D$1,Menu!$A$1:$F$1,0),0)</f>
        <v>57.07</v>
      </c>
      <c r="E620" s="14" t="str">
        <f>VLOOKUP($B620,Menu!$A$1:$F$20,MATCH(OrderLines!E$1,Menu!$A$1:$F$1,0),0)</f>
        <v>Dessert</v>
      </c>
      <c r="F620" s="37">
        <f>VLOOKUP($B620,Menu!$A$1:$F$20,MATCH(OrderLines!F$1,Menu!$A$1:$F$1,0),0)</f>
        <v>29.14</v>
      </c>
      <c r="G620" s="28">
        <f>VLOOKUP($A620,Orders!$A$1:$H$361,MATCH($G$1,Orders!$A$1:$H$1,0),0)</f>
        <v>45881</v>
      </c>
      <c r="H620" s="14" t="str">
        <f>VLOOKUP($A620,Orders!$A$1:$H$361,MATCH(OrderLines!$H$1,Orders!$A$1:$H$1,0),0)</f>
        <v>Plant 2 Canteen</v>
      </c>
      <c r="I620" s="14">
        <f>VLOOKUP($A620,Orders!$A$1:$H$361,MATCH(OrderLines!$I$1,Orders!$A$1:$H$1,0),0)</f>
        <v>0.15</v>
      </c>
      <c r="J620" s="14">
        <f t="shared" si="28"/>
        <v>97.018999999999991</v>
      </c>
      <c r="K620" s="28" t="str">
        <f t="shared" si="29"/>
        <v>August</v>
      </c>
      <c r="L620" s="14" t="str">
        <f>VLOOKUP(OrderLines!$A620,Orders!$A$1:$H$361,MATCH(OrderLines!$L$1,Orders!$A$1:$H$1,0),0)</f>
        <v>Breakfast</v>
      </c>
      <c r="M620" t="str">
        <f>VLOOKUP($A620,Orders!$A$1:$H$361,MATCH(OrderLines!$M$1,Orders!$A$1:$H$1,0),0)</f>
        <v>Card</v>
      </c>
      <c r="N620" t="str">
        <f t="shared" si="27"/>
        <v>Single</v>
      </c>
      <c r="O620" t="str" cm="1">
        <f t="array" ref="O620">IF((SUMPRODUCT((OrderID=OrderLines!$A620)*Qty*UnitPrice*DiscountPct))&gt;40,"HighDisc","OK")</f>
        <v>OK</v>
      </c>
      <c r="P620">
        <f>(orderlinesTABLE[[#This Row],[UnitCost]]*orderlinesTABLE[[#This Row],[Qty]])</f>
        <v>58.28</v>
      </c>
      <c r="Q620">
        <f>(orderlinesTABLE[[#This Row],[LineNetAmount]]-orderlinesTABLE[[#This Row],[totalCOST]])</f>
        <v>38.73899999999999</v>
      </c>
      <c r="R620" t="str">
        <f>VLOOKUP($B620,Menu!$A$1:$F$20,MATCH(OrderLines!R$1,Menu!$A$1:$F$1,0),0)</f>
        <v>Fruit Cup</v>
      </c>
      <c r="S620" t="str" cm="1">
        <f t="array" ref="S620">_xlfn.TEXTJOIN("+",TRUE,_xlfn._xlws.FILTER(orderlinesTABLE[ItemName],OrderID=orderlinesTABLE[[#This Row],[OrderID]]))</f>
        <v>Fruit Cup+Brownie</v>
      </c>
      <c r="T620" s="54">
        <f>orderlinesTABLE[[#This Row],[Profit]]/orderlinesTABLE[[#This Row],[LineNetAmount]]</f>
        <v>0.39929292200496802</v>
      </c>
      <c r="U620" s="70">
        <f>(orderlinesTABLE[[#This Row],[Qty]]*orderlinesTABLE[[#This Row],[UnitCost]])</f>
        <v>58.28</v>
      </c>
    </row>
    <row r="621" spans="1:21" x14ac:dyDescent="0.3">
      <c r="A621" s="15" t="s">
        <v>280</v>
      </c>
      <c r="B621" s="15" t="s">
        <v>414</v>
      </c>
      <c r="C621" s="15">
        <v>1</v>
      </c>
      <c r="D621" s="36">
        <f>VLOOKUP($B621,Menu!$A$1:$F$20,MATCH($D$1,Menu!$A$1:$F$1,0),0)</f>
        <v>116.8</v>
      </c>
      <c r="E621" s="15" t="str">
        <f>VLOOKUP($B621,Menu!$A$1:$F$20,MATCH(OrderLines!E$1,Menu!$A$1:$F$1,0),0)</f>
        <v>Dessert</v>
      </c>
      <c r="F621" s="36">
        <f>VLOOKUP($B621,Menu!$A$1:$F$20,MATCH(OrderLines!F$1,Menu!$A$1:$F$1,0),0)</f>
        <v>48.97</v>
      </c>
      <c r="G621" s="27">
        <f>VLOOKUP($A621,Orders!$A$1:$H$361,MATCH($G$1,Orders!$A$1:$H$1,0),0)</f>
        <v>45881</v>
      </c>
      <c r="H621" s="15" t="str">
        <f>VLOOKUP($A621,Orders!$A$1:$H$361,MATCH(OrderLines!$H$1,Orders!$A$1:$H$1,0),0)</f>
        <v>Plant 2 Canteen</v>
      </c>
      <c r="I621" s="15">
        <f>VLOOKUP($A621,Orders!$A$1:$H$361,MATCH(OrderLines!$I$1,Orders!$A$1:$H$1,0),0)</f>
        <v>0.15</v>
      </c>
      <c r="J621" s="15">
        <f t="shared" si="28"/>
        <v>99.28</v>
      </c>
      <c r="K621" s="27" t="str">
        <f t="shared" si="29"/>
        <v>August</v>
      </c>
      <c r="L621" s="15" t="str">
        <f>VLOOKUP(OrderLines!$A621,Orders!$A$1:$H$361,MATCH(OrderLines!$L$1,Orders!$A$1:$H$1,0),0)</f>
        <v>Breakfast</v>
      </c>
      <c r="M621" t="str">
        <f>VLOOKUP($A621,Orders!$A$1:$H$361,MATCH(OrderLines!$M$1,Orders!$A$1:$H$1,0),0)</f>
        <v>Card</v>
      </c>
      <c r="N621" t="str">
        <f t="shared" si="27"/>
        <v>Single</v>
      </c>
      <c r="O621" t="str" cm="1">
        <f t="array" ref="O621">IF((SUMPRODUCT((OrderID=OrderLines!$A621)*Qty*UnitPrice*DiscountPct))&gt;40,"HighDisc","OK")</f>
        <v>OK</v>
      </c>
      <c r="P621">
        <f>(orderlinesTABLE[[#This Row],[UnitCost]]*orderlinesTABLE[[#This Row],[Qty]])</f>
        <v>48.97</v>
      </c>
      <c r="Q621">
        <f>(orderlinesTABLE[[#This Row],[LineNetAmount]]-orderlinesTABLE[[#This Row],[totalCOST]])</f>
        <v>50.31</v>
      </c>
      <c r="R621" t="str">
        <f>VLOOKUP($B621,Menu!$A$1:$F$20,MATCH(OrderLines!R$1,Menu!$A$1:$F$1,0),0)</f>
        <v>Brownie</v>
      </c>
      <c r="S621" t="str" cm="1">
        <f t="array" ref="S621">_xlfn.TEXTJOIN("+",TRUE,_xlfn._xlws.FILTER(orderlinesTABLE[ItemName],OrderID=orderlinesTABLE[[#This Row],[OrderID]]))</f>
        <v>Fruit Cup+Brownie</v>
      </c>
      <c r="T621" s="54">
        <f>orderlinesTABLE[[#This Row],[Profit]]/orderlinesTABLE[[#This Row],[LineNetAmount]]</f>
        <v>0.50674858984689763</v>
      </c>
      <c r="U621" s="70">
        <f>(orderlinesTABLE[[#This Row],[Qty]]*orderlinesTABLE[[#This Row],[UnitCost]])</f>
        <v>48.97</v>
      </c>
    </row>
    <row r="622" spans="1:21" x14ac:dyDescent="0.3">
      <c r="A622" s="14" t="s">
        <v>281</v>
      </c>
      <c r="B622" s="14" t="s">
        <v>410</v>
      </c>
      <c r="C622" s="14">
        <v>1</v>
      </c>
      <c r="D622" s="37">
        <f>VLOOKUP($B622,Menu!$A$1:$F$20,MATCH($D$1,Menu!$A$1:$F$1,0),0)</f>
        <v>20.11</v>
      </c>
      <c r="E622" s="14" t="str">
        <f>VLOOKUP($B622,Menu!$A$1:$F$20,MATCH(OrderLines!E$1,Menu!$A$1:$F$1,0),0)</f>
        <v>Beverage</v>
      </c>
      <c r="F622" s="37">
        <f>VLOOKUP($B622,Menu!$A$1:$F$20,MATCH(OrderLines!F$1,Menu!$A$1:$F$1,0),0)</f>
        <v>8</v>
      </c>
      <c r="G622" s="28">
        <f>VLOOKUP($A622,Orders!$A$1:$H$361,MATCH($G$1,Orders!$A$1:$H$1,0),0)</f>
        <v>45883</v>
      </c>
      <c r="H622" s="14" t="str">
        <f>VLOOKUP($A622,Orders!$A$1:$H$361,MATCH(OrderLines!$H$1,Orders!$A$1:$H$1,0),0)</f>
        <v>Plant 2 Canteen</v>
      </c>
      <c r="I622" s="14">
        <f>VLOOKUP($A622,Orders!$A$1:$H$361,MATCH(OrderLines!$I$1,Orders!$A$1:$H$1,0),0)</f>
        <v>0</v>
      </c>
      <c r="J622" s="14">
        <f t="shared" si="28"/>
        <v>20.11</v>
      </c>
      <c r="K622" s="28" t="str">
        <f t="shared" si="29"/>
        <v>August</v>
      </c>
      <c r="L622" s="14" t="str">
        <f>VLOOKUP(OrderLines!$A622,Orders!$A$1:$H$361,MATCH(OrderLines!$L$1,Orders!$A$1:$H$1,0),0)</f>
        <v>Breakfast</v>
      </c>
      <c r="M622" t="str">
        <f>VLOOKUP($A622,Orders!$A$1:$H$361,MATCH(OrderLines!$M$1,Orders!$A$1:$H$1,0),0)</f>
        <v>UPI</v>
      </c>
      <c r="N622" t="str">
        <f t="shared" si="27"/>
        <v>Combo</v>
      </c>
      <c r="O622" t="str" cm="1">
        <f t="array" ref="O622">IF((SUMPRODUCT((OrderID=OrderLines!$A622)*Qty*UnitPrice*DiscountPct))&gt;40,"HighDisc","OK")</f>
        <v>OK</v>
      </c>
      <c r="P622">
        <f>(orderlinesTABLE[[#This Row],[UnitCost]]*orderlinesTABLE[[#This Row],[Qty]])</f>
        <v>8</v>
      </c>
      <c r="Q622">
        <f>(orderlinesTABLE[[#This Row],[LineNetAmount]]-orderlinesTABLE[[#This Row],[totalCOST]])</f>
        <v>12.11</v>
      </c>
      <c r="R622" t="str">
        <f>VLOOKUP($B622,Menu!$A$1:$F$20,MATCH(OrderLines!R$1,Menu!$A$1:$F$1,0),0)</f>
        <v>Nimbu Pani</v>
      </c>
      <c r="S622" t="str" cm="1">
        <f t="array" ref="S622">_xlfn.TEXTJOIN("+",TRUE,_xlfn._xlws.FILTER(orderlinesTABLE[ItemName],OrderID=orderlinesTABLE[[#This Row],[OrderID]]))</f>
        <v>Nimbu Pani+Samosa+Poha+Veg Thali</v>
      </c>
      <c r="T622" s="54">
        <f>orderlinesTABLE[[#This Row],[Profit]]/orderlinesTABLE[[#This Row],[LineNetAmount]]</f>
        <v>0.60218796618597714</v>
      </c>
      <c r="U622" s="70">
        <f>(orderlinesTABLE[[#This Row],[Qty]]*orderlinesTABLE[[#This Row],[UnitCost]])</f>
        <v>8</v>
      </c>
    </row>
    <row r="623" spans="1:21" x14ac:dyDescent="0.3">
      <c r="A623" s="15" t="s">
        <v>281</v>
      </c>
      <c r="B623" s="15" t="s">
        <v>418</v>
      </c>
      <c r="C623" s="15">
        <v>3</v>
      </c>
      <c r="D623" s="36">
        <f>VLOOKUP($B623,Menu!$A$1:$F$20,MATCH($D$1,Menu!$A$1:$F$1,0),0)</f>
        <v>39.950000000000003</v>
      </c>
      <c r="E623" s="15" t="str">
        <f>VLOOKUP($B623,Menu!$A$1:$F$20,MATCH(OrderLines!E$1,Menu!$A$1:$F$1,0),0)</f>
        <v>Snack</v>
      </c>
      <c r="F623" s="36">
        <f>VLOOKUP($B623,Menu!$A$1:$F$20,MATCH(OrderLines!F$1,Menu!$A$1:$F$1,0),0)</f>
        <v>15.51</v>
      </c>
      <c r="G623" s="27">
        <f>VLOOKUP($A623,Orders!$A$1:$H$361,MATCH($G$1,Orders!$A$1:$H$1,0),0)</f>
        <v>45883</v>
      </c>
      <c r="H623" s="15" t="str">
        <f>VLOOKUP($A623,Orders!$A$1:$H$361,MATCH(OrderLines!$H$1,Orders!$A$1:$H$1,0),0)</f>
        <v>Plant 2 Canteen</v>
      </c>
      <c r="I623" s="15">
        <f>VLOOKUP($A623,Orders!$A$1:$H$361,MATCH(OrderLines!$I$1,Orders!$A$1:$H$1,0),0)</f>
        <v>0</v>
      </c>
      <c r="J623" s="15">
        <f t="shared" si="28"/>
        <v>119.85000000000001</v>
      </c>
      <c r="K623" s="27" t="str">
        <f t="shared" si="29"/>
        <v>August</v>
      </c>
      <c r="L623" s="15" t="str">
        <f>VLOOKUP(OrderLines!$A623,Orders!$A$1:$H$361,MATCH(OrderLines!$L$1,Orders!$A$1:$H$1,0),0)</f>
        <v>Breakfast</v>
      </c>
      <c r="M623" t="str">
        <f>VLOOKUP($A623,Orders!$A$1:$H$361,MATCH(OrderLines!$M$1,Orders!$A$1:$H$1,0),0)</f>
        <v>UPI</v>
      </c>
      <c r="N623" t="str">
        <f t="shared" si="27"/>
        <v>Combo</v>
      </c>
      <c r="O623" t="str" cm="1">
        <f t="array" ref="O623">IF((SUMPRODUCT((OrderID=OrderLines!$A623)*Qty*UnitPrice*DiscountPct))&gt;40,"HighDisc","OK")</f>
        <v>OK</v>
      </c>
      <c r="P623">
        <f>(orderlinesTABLE[[#This Row],[UnitCost]]*orderlinesTABLE[[#This Row],[Qty]])</f>
        <v>46.53</v>
      </c>
      <c r="Q623">
        <f>(orderlinesTABLE[[#This Row],[LineNetAmount]]-orderlinesTABLE[[#This Row],[totalCOST]])</f>
        <v>73.320000000000007</v>
      </c>
      <c r="R623" t="str">
        <f>VLOOKUP($B623,Menu!$A$1:$F$20,MATCH(OrderLines!R$1,Menu!$A$1:$F$1,0),0)</f>
        <v>Samosa</v>
      </c>
      <c r="S623" t="str" cm="1">
        <f t="array" ref="S623">_xlfn.TEXTJOIN("+",TRUE,_xlfn._xlws.FILTER(orderlinesTABLE[ItemName],OrderID=orderlinesTABLE[[#This Row],[OrderID]]))</f>
        <v>Nimbu Pani+Samosa+Poha+Veg Thali</v>
      </c>
      <c r="T623" s="54">
        <f>orderlinesTABLE[[#This Row],[Profit]]/orderlinesTABLE[[#This Row],[LineNetAmount]]</f>
        <v>0.61176470588235299</v>
      </c>
      <c r="U623" s="70">
        <f>(orderlinesTABLE[[#This Row],[Qty]]*orderlinesTABLE[[#This Row],[UnitCost]])</f>
        <v>46.53</v>
      </c>
    </row>
    <row r="624" spans="1:21" x14ac:dyDescent="0.3">
      <c r="A624" s="14" t="s">
        <v>281</v>
      </c>
      <c r="B624" s="14" t="s">
        <v>401</v>
      </c>
      <c r="C624" s="14">
        <v>1</v>
      </c>
      <c r="D624" s="37">
        <f>VLOOKUP($B624,Menu!$A$1:$F$20,MATCH($D$1,Menu!$A$1:$F$1,0),0)</f>
        <v>52.45</v>
      </c>
      <c r="E624" s="14" t="str">
        <f>VLOOKUP($B624,Menu!$A$1:$F$20,MATCH(OrderLines!E$1,Menu!$A$1:$F$1,0),0)</f>
        <v>Snack</v>
      </c>
      <c r="F624" s="37">
        <f>VLOOKUP($B624,Menu!$A$1:$F$20,MATCH(OrderLines!F$1,Menu!$A$1:$F$1,0),0)</f>
        <v>25.8</v>
      </c>
      <c r="G624" s="28">
        <f>VLOOKUP($A624,Orders!$A$1:$H$361,MATCH($G$1,Orders!$A$1:$H$1,0),0)</f>
        <v>45883</v>
      </c>
      <c r="H624" s="14" t="str">
        <f>VLOOKUP($A624,Orders!$A$1:$H$361,MATCH(OrderLines!$H$1,Orders!$A$1:$H$1,0),0)</f>
        <v>Plant 2 Canteen</v>
      </c>
      <c r="I624" s="14">
        <f>VLOOKUP($A624,Orders!$A$1:$H$361,MATCH(OrderLines!$I$1,Orders!$A$1:$H$1,0),0)</f>
        <v>0</v>
      </c>
      <c r="J624" s="14">
        <f t="shared" si="28"/>
        <v>52.45</v>
      </c>
      <c r="K624" s="28" t="str">
        <f t="shared" si="29"/>
        <v>August</v>
      </c>
      <c r="L624" s="14" t="str">
        <f>VLOOKUP(OrderLines!$A624,Orders!$A$1:$H$361,MATCH(OrderLines!$L$1,Orders!$A$1:$H$1,0),0)</f>
        <v>Breakfast</v>
      </c>
      <c r="M624" t="str">
        <f>VLOOKUP($A624,Orders!$A$1:$H$361,MATCH(OrderLines!$M$1,Orders!$A$1:$H$1,0),0)</f>
        <v>UPI</v>
      </c>
      <c r="N624" t="str">
        <f t="shared" si="27"/>
        <v>Combo</v>
      </c>
      <c r="O624" t="str" cm="1">
        <f t="array" ref="O624">IF((SUMPRODUCT((OrderID=OrderLines!$A624)*Qty*UnitPrice*DiscountPct))&gt;40,"HighDisc","OK")</f>
        <v>OK</v>
      </c>
      <c r="P624">
        <f>(orderlinesTABLE[[#This Row],[UnitCost]]*orderlinesTABLE[[#This Row],[Qty]])</f>
        <v>25.8</v>
      </c>
      <c r="Q624">
        <f>(orderlinesTABLE[[#This Row],[LineNetAmount]]-orderlinesTABLE[[#This Row],[totalCOST]])</f>
        <v>26.650000000000002</v>
      </c>
      <c r="R624" t="str">
        <f>VLOOKUP($B624,Menu!$A$1:$F$20,MATCH(OrderLines!R$1,Menu!$A$1:$F$1,0),0)</f>
        <v>Poha</v>
      </c>
      <c r="S624" t="str" cm="1">
        <f t="array" ref="S624">_xlfn.TEXTJOIN("+",TRUE,_xlfn._xlws.FILTER(orderlinesTABLE[ItemName],OrderID=orderlinesTABLE[[#This Row],[OrderID]]))</f>
        <v>Nimbu Pani+Samosa+Poha+Veg Thali</v>
      </c>
      <c r="T624" s="54">
        <f>orderlinesTABLE[[#This Row],[Profit]]/orderlinesTABLE[[#This Row],[LineNetAmount]]</f>
        <v>0.50810295519542426</v>
      </c>
      <c r="U624" s="70">
        <f>(orderlinesTABLE[[#This Row],[Qty]]*orderlinesTABLE[[#This Row],[UnitCost]])</f>
        <v>25.8</v>
      </c>
    </row>
    <row r="625" spans="1:21" x14ac:dyDescent="0.3">
      <c r="A625" s="15" t="s">
        <v>281</v>
      </c>
      <c r="B625" s="15" t="s">
        <v>416</v>
      </c>
      <c r="C625" s="15">
        <v>1</v>
      </c>
      <c r="D625" s="36">
        <f>VLOOKUP($B625,Menu!$A$1:$F$20,MATCH($D$1,Menu!$A$1:$F$1,0),0)</f>
        <v>227.61</v>
      </c>
      <c r="E625" s="15" t="str">
        <f>VLOOKUP($B625,Menu!$A$1:$F$20,MATCH(OrderLines!E$1,Menu!$A$1:$F$1,0),0)</f>
        <v>Hot Meal</v>
      </c>
      <c r="F625" s="36">
        <f>VLOOKUP($B625,Menu!$A$1:$F$20,MATCH(OrderLines!F$1,Menu!$A$1:$F$1,0),0)</f>
        <v>96.22</v>
      </c>
      <c r="G625" s="27">
        <f>VLOOKUP($A625,Orders!$A$1:$H$361,MATCH($G$1,Orders!$A$1:$H$1,0),0)</f>
        <v>45883</v>
      </c>
      <c r="H625" s="15" t="str">
        <f>VLOOKUP($A625,Orders!$A$1:$H$361,MATCH(OrderLines!$H$1,Orders!$A$1:$H$1,0),0)</f>
        <v>Plant 2 Canteen</v>
      </c>
      <c r="I625" s="15">
        <f>VLOOKUP($A625,Orders!$A$1:$H$361,MATCH(OrderLines!$I$1,Orders!$A$1:$H$1,0),0)</f>
        <v>0</v>
      </c>
      <c r="J625" s="15">
        <f t="shared" si="28"/>
        <v>227.61</v>
      </c>
      <c r="K625" s="27" t="str">
        <f t="shared" si="29"/>
        <v>August</v>
      </c>
      <c r="L625" s="15" t="str">
        <f>VLOOKUP(OrderLines!$A625,Orders!$A$1:$H$361,MATCH(OrderLines!$L$1,Orders!$A$1:$H$1,0),0)</f>
        <v>Breakfast</v>
      </c>
      <c r="M625" t="str">
        <f>VLOOKUP($A625,Orders!$A$1:$H$361,MATCH(OrderLines!$M$1,Orders!$A$1:$H$1,0),0)</f>
        <v>UPI</v>
      </c>
      <c r="N625" t="str">
        <f t="shared" si="27"/>
        <v>Combo</v>
      </c>
      <c r="O625" t="str" cm="1">
        <f t="array" ref="O625">IF((SUMPRODUCT((OrderID=OrderLines!$A625)*Qty*UnitPrice*DiscountPct))&gt;40,"HighDisc","OK")</f>
        <v>OK</v>
      </c>
      <c r="P625">
        <f>(orderlinesTABLE[[#This Row],[UnitCost]]*orderlinesTABLE[[#This Row],[Qty]])</f>
        <v>96.22</v>
      </c>
      <c r="Q625">
        <f>(orderlinesTABLE[[#This Row],[LineNetAmount]]-orderlinesTABLE[[#This Row],[totalCOST]])</f>
        <v>131.39000000000001</v>
      </c>
      <c r="R625" t="str">
        <f>VLOOKUP($B625,Menu!$A$1:$F$20,MATCH(OrderLines!R$1,Menu!$A$1:$F$1,0),0)</f>
        <v>Veg Thali</v>
      </c>
      <c r="S625" t="str" cm="1">
        <f t="array" ref="S625">_xlfn.TEXTJOIN("+",TRUE,_xlfn._xlws.FILTER(orderlinesTABLE[ItemName],OrderID=orderlinesTABLE[[#This Row],[OrderID]]))</f>
        <v>Nimbu Pani+Samosa+Poha+Veg Thali</v>
      </c>
      <c r="T625" s="54">
        <f>orderlinesTABLE[[#This Row],[Profit]]/orderlinesTABLE[[#This Row],[LineNetAmount]]</f>
        <v>0.57725934712886084</v>
      </c>
      <c r="U625" s="70">
        <f>(orderlinesTABLE[[#This Row],[Qty]]*orderlinesTABLE[[#This Row],[UnitCost]])</f>
        <v>96.22</v>
      </c>
    </row>
    <row r="626" spans="1:21" x14ac:dyDescent="0.3">
      <c r="A626" s="14" t="s">
        <v>282</v>
      </c>
      <c r="B626" s="14" t="s">
        <v>416</v>
      </c>
      <c r="C626" s="14">
        <v>1</v>
      </c>
      <c r="D626" s="37">
        <f>VLOOKUP($B626,Menu!$A$1:$F$20,MATCH($D$1,Menu!$A$1:$F$1,0),0)</f>
        <v>227.61</v>
      </c>
      <c r="E626" s="14" t="str">
        <f>VLOOKUP($B626,Menu!$A$1:$F$20,MATCH(OrderLines!E$1,Menu!$A$1:$F$1,0),0)</f>
        <v>Hot Meal</v>
      </c>
      <c r="F626" s="37">
        <f>VLOOKUP($B626,Menu!$A$1:$F$20,MATCH(OrderLines!F$1,Menu!$A$1:$F$1,0),0)</f>
        <v>96.22</v>
      </c>
      <c r="G626" s="28">
        <f>VLOOKUP($A626,Orders!$A$1:$H$361,MATCH($G$1,Orders!$A$1:$H$1,0),0)</f>
        <v>45869</v>
      </c>
      <c r="H626" s="14" t="str">
        <f>VLOOKUP($A626,Orders!$A$1:$H$361,MATCH(OrderLines!$H$1,Orders!$A$1:$H$1,0),0)</f>
        <v>Plant 2 Canteen</v>
      </c>
      <c r="I626" s="14">
        <f>VLOOKUP($A626,Orders!$A$1:$H$361,MATCH(OrderLines!$I$1,Orders!$A$1:$H$1,0),0)</f>
        <v>0.05</v>
      </c>
      <c r="J626" s="14">
        <f t="shared" si="28"/>
        <v>216.2295</v>
      </c>
      <c r="K626" s="28" t="str">
        <f t="shared" si="29"/>
        <v>July</v>
      </c>
      <c r="L626" s="14" t="str">
        <f>VLOOKUP(OrderLines!$A626,Orders!$A$1:$H$361,MATCH(OrderLines!$L$1,Orders!$A$1:$H$1,0),0)</f>
        <v>Lunch</v>
      </c>
      <c r="M626" t="str">
        <f>VLOOKUP($A626,Orders!$A$1:$H$361,MATCH(OrderLines!$M$1,Orders!$A$1:$H$1,0),0)</f>
        <v>UPI</v>
      </c>
      <c r="N626" t="str">
        <f t="shared" si="27"/>
        <v>Single</v>
      </c>
      <c r="O626" t="str" cm="1">
        <f t="array" ref="O626">IF((SUMPRODUCT((OrderID=OrderLines!$A626)*Qty*UnitPrice*DiscountPct))&gt;40,"HighDisc","OK")</f>
        <v>OK</v>
      </c>
      <c r="P626">
        <f>(orderlinesTABLE[[#This Row],[UnitCost]]*orderlinesTABLE[[#This Row],[Qty]])</f>
        <v>96.22</v>
      </c>
      <c r="Q626">
        <f>(orderlinesTABLE[[#This Row],[LineNetAmount]]-orderlinesTABLE[[#This Row],[totalCOST]])</f>
        <v>120.0095</v>
      </c>
      <c r="R626" t="str">
        <f>VLOOKUP($B626,Menu!$A$1:$F$20,MATCH(OrderLines!R$1,Menu!$A$1:$F$1,0),0)</f>
        <v>Veg Thali</v>
      </c>
      <c r="S626" t="str" cm="1">
        <f t="array" ref="S626">_xlfn.TEXTJOIN("+",TRUE,_xlfn._xlws.FILTER(orderlinesTABLE[ItemName],OrderID=orderlinesTABLE[[#This Row],[OrderID]]))</f>
        <v>Veg Thali+Masala Puff+Rajma Chawal+Poha</v>
      </c>
      <c r="T626" s="54">
        <f>orderlinesTABLE[[#This Row],[Profit]]/orderlinesTABLE[[#This Row],[LineNetAmount]]</f>
        <v>0.55500983908301138</v>
      </c>
      <c r="U626" s="70">
        <f>(orderlinesTABLE[[#This Row],[Qty]]*orderlinesTABLE[[#This Row],[UnitCost]])</f>
        <v>96.22</v>
      </c>
    </row>
    <row r="627" spans="1:21" x14ac:dyDescent="0.3">
      <c r="A627" s="15" t="s">
        <v>282</v>
      </c>
      <c r="B627" s="15" t="s">
        <v>419</v>
      </c>
      <c r="C627" s="15">
        <v>1</v>
      </c>
      <c r="D627" s="36">
        <f>VLOOKUP($B627,Menu!$A$1:$F$20,MATCH($D$1,Menu!$A$1:$F$1,0),0)</f>
        <v>50.19</v>
      </c>
      <c r="E627" s="15" t="str">
        <f>VLOOKUP($B627,Menu!$A$1:$F$20,MATCH(OrderLines!E$1,Menu!$A$1:$F$1,0),0)</f>
        <v>Snack</v>
      </c>
      <c r="F627" s="36">
        <f>VLOOKUP($B627,Menu!$A$1:$F$20,MATCH(OrderLines!F$1,Menu!$A$1:$F$1,0),0)</f>
        <v>22.61</v>
      </c>
      <c r="G627" s="27">
        <f>VLOOKUP($A627,Orders!$A$1:$H$361,MATCH($G$1,Orders!$A$1:$H$1,0),0)</f>
        <v>45869</v>
      </c>
      <c r="H627" s="15" t="str">
        <f>VLOOKUP($A627,Orders!$A$1:$H$361,MATCH(OrderLines!$H$1,Orders!$A$1:$H$1,0),0)</f>
        <v>Plant 2 Canteen</v>
      </c>
      <c r="I627" s="15">
        <f>VLOOKUP($A627,Orders!$A$1:$H$361,MATCH(OrderLines!$I$1,Orders!$A$1:$H$1,0),0)</f>
        <v>0.05</v>
      </c>
      <c r="J627" s="15">
        <f t="shared" si="28"/>
        <v>47.680499999999995</v>
      </c>
      <c r="K627" s="27" t="str">
        <f t="shared" si="29"/>
        <v>July</v>
      </c>
      <c r="L627" s="15" t="str">
        <f>VLOOKUP(OrderLines!$A627,Orders!$A$1:$H$361,MATCH(OrderLines!$L$1,Orders!$A$1:$H$1,0),0)</f>
        <v>Lunch</v>
      </c>
      <c r="M627" t="str">
        <f>VLOOKUP($A627,Orders!$A$1:$H$361,MATCH(OrderLines!$M$1,Orders!$A$1:$H$1,0),0)</f>
        <v>UPI</v>
      </c>
      <c r="N627" t="str">
        <f t="shared" si="27"/>
        <v>Single</v>
      </c>
      <c r="O627" t="str" cm="1">
        <f t="array" ref="O627">IF((SUMPRODUCT((OrderID=OrderLines!$A627)*Qty*UnitPrice*DiscountPct))&gt;40,"HighDisc","OK")</f>
        <v>OK</v>
      </c>
      <c r="P627">
        <f>(orderlinesTABLE[[#This Row],[UnitCost]]*orderlinesTABLE[[#This Row],[Qty]])</f>
        <v>22.61</v>
      </c>
      <c r="Q627">
        <f>(orderlinesTABLE[[#This Row],[LineNetAmount]]-orderlinesTABLE[[#This Row],[totalCOST]])</f>
        <v>25.070499999999996</v>
      </c>
      <c r="R627" t="str">
        <f>VLOOKUP($B627,Menu!$A$1:$F$20,MATCH(OrderLines!R$1,Menu!$A$1:$F$1,0),0)</f>
        <v>Masala Puff</v>
      </c>
      <c r="S627" t="str" cm="1">
        <f t="array" ref="S627">_xlfn.TEXTJOIN("+",TRUE,_xlfn._xlws.FILTER(orderlinesTABLE[ItemName],OrderID=orderlinesTABLE[[#This Row],[OrderID]]))</f>
        <v>Veg Thali+Masala Puff+Rajma Chawal+Poha</v>
      </c>
      <c r="T627" s="54">
        <f>orderlinesTABLE[[#This Row],[Profit]]/orderlinesTABLE[[#This Row],[LineNetAmount]]</f>
        <v>0.52580195258019524</v>
      </c>
      <c r="U627" s="70">
        <f>(orderlinesTABLE[[#This Row],[Qty]]*orderlinesTABLE[[#This Row],[UnitCost]])</f>
        <v>22.61</v>
      </c>
    </row>
    <row r="628" spans="1:21" x14ac:dyDescent="0.3">
      <c r="A628" s="14" t="s">
        <v>282</v>
      </c>
      <c r="B628" s="14" t="s">
        <v>417</v>
      </c>
      <c r="C628" s="14">
        <v>2</v>
      </c>
      <c r="D628" s="37">
        <f>VLOOKUP($B628,Menu!$A$1:$F$20,MATCH($D$1,Menu!$A$1:$F$1,0),0)</f>
        <v>146.4</v>
      </c>
      <c r="E628" s="14" t="str">
        <f>VLOOKUP($B628,Menu!$A$1:$F$20,MATCH(OrderLines!E$1,Menu!$A$1:$F$1,0),0)</f>
        <v>Hot Meal</v>
      </c>
      <c r="F628" s="37">
        <f>VLOOKUP($B628,Menu!$A$1:$F$20,MATCH(OrderLines!F$1,Menu!$A$1:$F$1,0),0)</f>
        <v>80.92</v>
      </c>
      <c r="G628" s="28">
        <f>VLOOKUP($A628,Orders!$A$1:$H$361,MATCH($G$1,Orders!$A$1:$H$1,0),0)</f>
        <v>45869</v>
      </c>
      <c r="H628" s="14" t="str">
        <f>VLOOKUP($A628,Orders!$A$1:$H$361,MATCH(OrderLines!$H$1,Orders!$A$1:$H$1,0),0)</f>
        <v>Plant 2 Canteen</v>
      </c>
      <c r="I628" s="14">
        <f>VLOOKUP($A628,Orders!$A$1:$H$361,MATCH(OrderLines!$I$1,Orders!$A$1:$H$1,0),0)</f>
        <v>0.05</v>
      </c>
      <c r="J628" s="14">
        <f t="shared" si="28"/>
        <v>278.16000000000003</v>
      </c>
      <c r="K628" s="28" t="str">
        <f t="shared" si="29"/>
        <v>July</v>
      </c>
      <c r="L628" s="14" t="str">
        <f>VLOOKUP(OrderLines!$A628,Orders!$A$1:$H$361,MATCH(OrderLines!$L$1,Orders!$A$1:$H$1,0),0)</f>
        <v>Lunch</v>
      </c>
      <c r="M628" t="str">
        <f>VLOOKUP($A628,Orders!$A$1:$H$361,MATCH(OrderLines!$M$1,Orders!$A$1:$H$1,0),0)</f>
        <v>UPI</v>
      </c>
      <c r="N628" t="str">
        <f t="shared" si="27"/>
        <v>Single</v>
      </c>
      <c r="O628" t="str" cm="1">
        <f t="array" ref="O628">IF((SUMPRODUCT((OrderID=OrderLines!$A628)*Qty*UnitPrice*DiscountPct))&gt;40,"HighDisc","OK")</f>
        <v>OK</v>
      </c>
      <c r="P628">
        <f>(orderlinesTABLE[[#This Row],[UnitCost]]*orderlinesTABLE[[#This Row],[Qty]])</f>
        <v>161.84</v>
      </c>
      <c r="Q628">
        <f>(orderlinesTABLE[[#This Row],[LineNetAmount]]-orderlinesTABLE[[#This Row],[totalCOST]])</f>
        <v>116.32000000000002</v>
      </c>
      <c r="R628" t="str">
        <f>VLOOKUP($B628,Menu!$A$1:$F$20,MATCH(OrderLines!R$1,Menu!$A$1:$F$1,0),0)</f>
        <v>Rajma Chawal</v>
      </c>
      <c r="S628" t="str" cm="1">
        <f t="array" ref="S628">_xlfn.TEXTJOIN("+",TRUE,_xlfn._xlws.FILTER(orderlinesTABLE[ItemName],OrderID=orderlinesTABLE[[#This Row],[OrderID]]))</f>
        <v>Veg Thali+Masala Puff+Rajma Chawal+Poha</v>
      </c>
      <c r="T628" s="54">
        <f>orderlinesTABLE[[#This Row],[Profit]]/orderlinesTABLE[[#This Row],[LineNetAmount]]</f>
        <v>0.41817658901351745</v>
      </c>
      <c r="U628" s="70">
        <f>(orderlinesTABLE[[#This Row],[Qty]]*orderlinesTABLE[[#This Row],[UnitCost]])</f>
        <v>161.84</v>
      </c>
    </row>
    <row r="629" spans="1:21" x14ac:dyDescent="0.3">
      <c r="A629" s="15" t="s">
        <v>282</v>
      </c>
      <c r="B629" s="15" t="s">
        <v>401</v>
      </c>
      <c r="C629" s="15">
        <v>1</v>
      </c>
      <c r="D629" s="36">
        <f>VLOOKUP($B629,Menu!$A$1:$F$20,MATCH($D$1,Menu!$A$1:$F$1,0),0)</f>
        <v>52.45</v>
      </c>
      <c r="E629" s="15" t="str">
        <f>VLOOKUP($B629,Menu!$A$1:$F$20,MATCH(OrderLines!E$1,Menu!$A$1:$F$1,0),0)</f>
        <v>Snack</v>
      </c>
      <c r="F629" s="36">
        <f>VLOOKUP($B629,Menu!$A$1:$F$20,MATCH(OrderLines!F$1,Menu!$A$1:$F$1,0),0)</f>
        <v>25.8</v>
      </c>
      <c r="G629" s="27">
        <f>VLOOKUP($A629,Orders!$A$1:$H$361,MATCH($G$1,Orders!$A$1:$H$1,0),0)</f>
        <v>45869</v>
      </c>
      <c r="H629" s="15" t="str">
        <f>VLOOKUP($A629,Orders!$A$1:$H$361,MATCH(OrderLines!$H$1,Orders!$A$1:$H$1,0),0)</f>
        <v>Plant 2 Canteen</v>
      </c>
      <c r="I629" s="15">
        <f>VLOOKUP($A629,Orders!$A$1:$H$361,MATCH(OrderLines!$I$1,Orders!$A$1:$H$1,0),0)</f>
        <v>0.05</v>
      </c>
      <c r="J629" s="15">
        <f t="shared" si="28"/>
        <v>49.827500000000001</v>
      </c>
      <c r="K629" s="27" t="str">
        <f t="shared" si="29"/>
        <v>July</v>
      </c>
      <c r="L629" s="15" t="str">
        <f>VLOOKUP(OrderLines!$A629,Orders!$A$1:$H$361,MATCH(OrderLines!$L$1,Orders!$A$1:$H$1,0),0)</f>
        <v>Lunch</v>
      </c>
      <c r="M629" t="str">
        <f>VLOOKUP($A629,Orders!$A$1:$H$361,MATCH(OrderLines!$M$1,Orders!$A$1:$H$1,0),0)</f>
        <v>UPI</v>
      </c>
      <c r="N629" t="str">
        <f t="shared" si="27"/>
        <v>Single</v>
      </c>
      <c r="O629" t="str" cm="1">
        <f t="array" ref="O629">IF((SUMPRODUCT((OrderID=OrderLines!$A629)*Qty*UnitPrice*DiscountPct))&gt;40,"HighDisc","OK")</f>
        <v>OK</v>
      </c>
      <c r="P629">
        <f>(orderlinesTABLE[[#This Row],[UnitCost]]*orderlinesTABLE[[#This Row],[Qty]])</f>
        <v>25.8</v>
      </c>
      <c r="Q629">
        <f>(orderlinesTABLE[[#This Row],[LineNetAmount]]-orderlinesTABLE[[#This Row],[totalCOST]])</f>
        <v>24.0275</v>
      </c>
      <c r="R629" t="str">
        <f>VLOOKUP($B629,Menu!$A$1:$F$20,MATCH(OrderLines!R$1,Menu!$A$1:$F$1,0),0)</f>
        <v>Poha</v>
      </c>
      <c r="S629" t="str" cm="1">
        <f t="array" ref="S629">_xlfn.TEXTJOIN("+",TRUE,_xlfn._xlws.FILTER(orderlinesTABLE[ItemName],OrderID=orderlinesTABLE[[#This Row],[OrderID]]))</f>
        <v>Veg Thali+Masala Puff+Rajma Chawal+Poha</v>
      </c>
      <c r="T629" s="54">
        <f>orderlinesTABLE[[#This Row],[Profit]]/orderlinesTABLE[[#This Row],[LineNetAmount]]</f>
        <v>0.48221363704781495</v>
      </c>
      <c r="U629" s="70">
        <f>(orderlinesTABLE[[#This Row],[Qty]]*orderlinesTABLE[[#This Row],[UnitCost]])</f>
        <v>25.8</v>
      </c>
    </row>
    <row r="630" spans="1:21" x14ac:dyDescent="0.3">
      <c r="A630" s="14" t="s">
        <v>283</v>
      </c>
      <c r="B630" s="14" t="s">
        <v>408</v>
      </c>
      <c r="C630" s="14">
        <v>3</v>
      </c>
      <c r="D630" s="37">
        <f>VLOOKUP($B630,Menu!$A$1:$F$20,MATCH($D$1,Menu!$A$1:$F$1,0),0)</f>
        <v>70.540000000000006</v>
      </c>
      <c r="E630" s="14" t="str">
        <f>VLOOKUP($B630,Menu!$A$1:$F$20,MATCH(OrderLines!E$1,Menu!$A$1:$F$1,0),0)</f>
        <v>Snack</v>
      </c>
      <c r="F630" s="37">
        <f>VLOOKUP($B630,Menu!$A$1:$F$20,MATCH(OrderLines!F$1,Menu!$A$1:$F$1,0),0)</f>
        <v>35.81</v>
      </c>
      <c r="G630" s="28">
        <f>VLOOKUP($A630,Orders!$A$1:$H$361,MATCH($G$1,Orders!$A$1:$H$1,0),0)</f>
        <v>45875</v>
      </c>
      <c r="H630" s="14" t="str">
        <f>VLOOKUP($A630,Orders!$A$1:$H$361,MATCH(OrderLines!$H$1,Orders!$A$1:$H$1,0),0)</f>
        <v>Plant 1 Canteen</v>
      </c>
      <c r="I630" s="14">
        <f>VLOOKUP($A630,Orders!$A$1:$H$361,MATCH(OrderLines!$I$1,Orders!$A$1:$H$1,0),0)</f>
        <v>0.08</v>
      </c>
      <c r="J630" s="14">
        <f t="shared" si="28"/>
        <v>194.69040000000001</v>
      </c>
      <c r="K630" s="28" t="str">
        <f t="shared" si="29"/>
        <v>August</v>
      </c>
      <c r="L630" s="14" t="str">
        <f>VLOOKUP(OrderLines!$A630,Orders!$A$1:$H$361,MATCH(OrderLines!$L$1,Orders!$A$1:$H$1,0),0)</f>
        <v>Lunch</v>
      </c>
      <c r="M630" t="str">
        <f>VLOOKUP($A630,Orders!$A$1:$H$361,MATCH(OrderLines!$M$1,Orders!$A$1:$H$1,0),0)</f>
        <v>Card</v>
      </c>
      <c r="N630" t="str">
        <f t="shared" si="27"/>
        <v>Single</v>
      </c>
      <c r="O630" t="str" cm="1">
        <f t="array" ref="O630">IF((SUMPRODUCT((OrderID=OrderLines!$A630)*Qty*UnitPrice*DiscountPct))&gt;40,"HighDisc","OK")</f>
        <v>OK</v>
      </c>
      <c r="P630">
        <f>(orderlinesTABLE[[#This Row],[UnitCost]]*orderlinesTABLE[[#This Row],[Qty]])</f>
        <v>107.43</v>
      </c>
      <c r="Q630">
        <f>(orderlinesTABLE[[#This Row],[LineNetAmount]]-orderlinesTABLE[[#This Row],[totalCOST]])</f>
        <v>87.260400000000004</v>
      </c>
      <c r="R630" t="str">
        <f>VLOOKUP($B630,Menu!$A$1:$F$20,MATCH(OrderLines!R$1,Menu!$A$1:$F$1,0),0)</f>
        <v>Veg Sandwich</v>
      </c>
      <c r="S630" t="str" cm="1">
        <f t="array" ref="S630">_xlfn.TEXTJOIN("+",TRUE,_xlfn._xlws.FILTER(orderlinesTABLE[ItemName],OrderID=orderlinesTABLE[[#This Row],[OrderID]]))</f>
        <v>Veg Sandwich</v>
      </c>
      <c r="T630" s="54">
        <f>orderlinesTABLE[[#This Row],[Profit]]/orderlinesTABLE[[#This Row],[LineNetAmount]]</f>
        <v>0.44820083578851344</v>
      </c>
      <c r="U630" s="70">
        <f>(orderlinesTABLE[[#This Row],[Qty]]*orderlinesTABLE[[#This Row],[UnitCost]])</f>
        <v>107.43</v>
      </c>
    </row>
    <row r="631" spans="1:21" x14ac:dyDescent="0.3">
      <c r="A631" s="15" t="s">
        <v>284</v>
      </c>
      <c r="B631" s="15" t="s">
        <v>405</v>
      </c>
      <c r="C631" s="15">
        <v>2</v>
      </c>
      <c r="D631" s="36">
        <f>VLOOKUP($B631,Menu!$A$1:$F$20,MATCH($D$1,Menu!$A$1:$F$1,0),0)</f>
        <v>170.83</v>
      </c>
      <c r="E631" s="15" t="str">
        <f>VLOOKUP($B631,Menu!$A$1:$F$20,MATCH(OrderLines!E$1,Menu!$A$1:$F$1,0),0)</f>
        <v>Hot Meal</v>
      </c>
      <c r="F631" s="36">
        <f>VLOOKUP($B631,Menu!$A$1:$F$20,MATCH(OrderLines!F$1,Menu!$A$1:$F$1,0),0)</f>
        <v>74.069999999999993</v>
      </c>
      <c r="G631" s="27">
        <f>VLOOKUP($A631,Orders!$A$1:$H$361,MATCH($G$1,Orders!$A$1:$H$1,0),0)</f>
        <v>45848</v>
      </c>
      <c r="H631" s="15" t="str">
        <f>VLOOKUP($A631,Orders!$A$1:$H$361,MATCH(OrderLines!$H$1,Orders!$A$1:$H$1,0),0)</f>
        <v>Plant 1 Canteen</v>
      </c>
      <c r="I631" s="15">
        <f>VLOOKUP($A631,Orders!$A$1:$H$361,MATCH(OrderLines!$I$1,Orders!$A$1:$H$1,0),0)</f>
        <v>7.0000000000000007E-2</v>
      </c>
      <c r="J631" s="15">
        <f t="shared" si="28"/>
        <v>317.74380000000002</v>
      </c>
      <c r="K631" s="27" t="str">
        <f t="shared" si="29"/>
        <v>July</v>
      </c>
      <c r="L631" s="15" t="str">
        <f>VLOOKUP(OrderLines!$A631,Orders!$A$1:$H$361,MATCH(OrderLines!$L$1,Orders!$A$1:$H$1,0),0)</f>
        <v>Breakfast</v>
      </c>
      <c r="M631" t="str">
        <f>VLOOKUP($A631,Orders!$A$1:$H$361,MATCH(OrderLines!$M$1,Orders!$A$1:$H$1,0),0)</f>
        <v>Card</v>
      </c>
      <c r="N631" t="str">
        <f t="shared" si="27"/>
        <v>Single</v>
      </c>
      <c r="O631" t="str" cm="1">
        <f t="array" ref="O631">IF((SUMPRODUCT((OrderID=OrderLines!$A631)*Qty*UnitPrice*DiscountPct))&gt;40,"HighDisc","OK")</f>
        <v>HighDisc</v>
      </c>
      <c r="P631">
        <f>(orderlinesTABLE[[#This Row],[UnitCost]]*orderlinesTABLE[[#This Row],[Qty]])</f>
        <v>148.13999999999999</v>
      </c>
      <c r="Q631">
        <f>(orderlinesTABLE[[#This Row],[LineNetAmount]]-orderlinesTABLE[[#This Row],[totalCOST]])</f>
        <v>169.60380000000004</v>
      </c>
      <c r="R631" t="str">
        <f>VLOOKUP($B631,Menu!$A$1:$F$20,MATCH(OrderLines!R$1,Menu!$A$1:$F$1,0),0)</f>
        <v>Paneer Butter Masala + Naan</v>
      </c>
      <c r="S631" t="str" cm="1">
        <f t="array" ref="S631">_xlfn.TEXTJOIN("+",TRUE,_xlfn._xlws.FILTER(orderlinesTABLE[ItemName],OrderID=orderlinesTABLE[[#This Row],[OrderID]]))</f>
        <v>Paneer Butter Masala + Naan+Egg Curry + Rice</v>
      </c>
      <c r="T631" s="54">
        <f>orderlinesTABLE[[#This Row],[Profit]]/orderlinesTABLE[[#This Row],[LineNetAmount]]</f>
        <v>0.53377532464834887</v>
      </c>
      <c r="U631" s="70">
        <f>(orderlinesTABLE[[#This Row],[Qty]]*orderlinesTABLE[[#This Row],[UnitCost]])</f>
        <v>148.13999999999999</v>
      </c>
    </row>
    <row r="632" spans="1:21" x14ac:dyDescent="0.3">
      <c r="A632" s="14" t="s">
        <v>284</v>
      </c>
      <c r="B632" s="14" t="s">
        <v>407</v>
      </c>
      <c r="C632" s="14">
        <v>2</v>
      </c>
      <c r="D632" s="37">
        <f>VLOOKUP($B632,Menu!$A$1:$F$20,MATCH($D$1,Menu!$A$1:$F$1,0),0)</f>
        <v>246.09</v>
      </c>
      <c r="E632" s="14" t="str">
        <f>VLOOKUP($B632,Menu!$A$1:$F$20,MATCH(OrderLines!E$1,Menu!$A$1:$F$1,0),0)</f>
        <v>Hot Meal</v>
      </c>
      <c r="F632" s="37">
        <f>VLOOKUP($B632,Menu!$A$1:$F$20,MATCH(OrderLines!F$1,Menu!$A$1:$F$1,0),0)</f>
        <v>112.08</v>
      </c>
      <c r="G632" s="28">
        <f>VLOOKUP($A632,Orders!$A$1:$H$361,MATCH($G$1,Orders!$A$1:$H$1,0),0)</f>
        <v>45848</v>
      </c>
      <c r="H632" s="14" t="str">
        <f>VLOOKUP($A632,Orders!$A$1:$H$361,MATCH(OrderLines!$H$1,Orders!$A$1:$H$1,0),0)</f>
        <v>Plant 1 Canteen</v>
      </c>
      <c r="I632" s="14">
        <f>VLOOKUP($A632,Orders!$A$1:$H$361,MATCH(OrderLines!$I$1,Orders!$A$1:$H$1,0),0)</f>
        <v>7.0000000000000007E-2</v>
      </c>
      <c r="J632" s="14">
        <f t="shared" si="28"/>
        <v>457.72739999999999</v>
      </c>
      <c r="K632" s="28" t="str">
        <f t="shared" si="29"/>
        <v>July</v>
      </c>
      <c r="L632" s="14" t="str">
        <f>VLOOKUP(OrderLines!$A632,Orders!$A$1:$H$361,MATCH(OrderLines!$L$1,Orders!$A$1:$H$1,0),0)</f>
        <v>Breakfast</v>
      </c>
      <c r="M632" t="str">
        <f>VLOOKUP($A632,Orders!$A$1:$H$361,MATCH(OrderLines!$M$1,Orders!$A$1:$H$1,0),0)</f>
        <v>Card</v>
      </c>
      <c r="N632" t="str">
        <f t="shared" si="27"/>
        <v>Single</v>
      </c>
      <c r="O632" t="str" cm="1">
        <f t="array" ref="O632">IF((SUMPRODUCT((OrderID=OrderLines!$A632)*Qty*UnitPrice*DiscountPct))&gt;40,"HighDisc","OK")</f>
        <v>HighDisc</v>
      </c>
      <c r="P632">
        <f>(orderlinesTABLE[[#This Row],[UnitCost]]*orderlinesTABLE[[#This Row],[Qty]])</f>
        <v>224.16</v>
      </c>
      <c r="Q632">
        <f>(orderlinesTABLE[[#This Row],[LineNetAmount]]-orderlinesTABLE[[#This Row],[totalCOST]])</f>
        <v>233.56739999999999</v>
      </c>
      <c r="R632" t="str">
        <f>VLOOKUP($B632,Menu!$A$1:$F$20,MATCH(OrderLines!R$1,Menu!$A$1:$F$1,0),0)</f>
        <v>Egg Curry + Rice</v>
      </c>
      <c r="S632" t="str" cm="1">
        <f t="array" ref="S632">_xlfn.TEXTJOIN("+",TRUE,_xlfn._xlws.FILTER(orderlinesTABLE[ItemName],OrderID=orderlinesTABLE[[#This Row],[OrderID]]))</f>
        <v>Paneer Butter Masala + Naan+Egg Curry + Rice</v>
      </c>
      <c r="T632" s="54">
        <f>orderlinesTABLE[[#This Row],[Profit]]/orderlinesTABLE[[#This Row],[LineNetAmount]]</f>
        <v>0.5102762036967855</v>
      </c>
      <c r="U632" s="70">
        <f>(orderlinesTABLE[[#This Row],[Qty]]*orderlinesTABLE[[#This Row],[UnitCost]])</f>
        <v>224.16</v>
      </c>
    </row>
    <row r="633" spans="1:21" x14ac:dyDescent="0.3">
      <c r="A633" s="15" t="s">
        <v>285</v>
      </c>
      <c r="B633" s="15" t="s">
        <v>418</v>
      </c>
      <c r="C633" s="15">
        <v>1</v>
      </c>
      <c r="D633" s="36">
        <f>VLOOKUP($B633,Menu!$A$1:$F$20,MATCH($D$1,Menu!$A$1:$F$1,0),0)</f>
        <v>39.950000000000003</v>
      </c>
      <c r="E633" s="15" t="str">
        <f>VLOOKUP($B633,Menu!$A$1:$F$20,MATCH(OrderLines!E$1,Menu!$A$1:$F$1,0),0)</f>
        <v>Snack</v>
      </c>
      <c r="F633" s="36">
        <f>VLOOKUP($B633,Menu!$A$1:$F$20,MATCH(OrderLines!F$1,Menu!$A$1:$F$1,0),0)</f>
        <v>15.51</v>
      </c>
      <c r="G633" s="27">
        <f>VLOOKUP($A633,Orders!$A$1:$H$361,MATCH($G$1,Orders!$A$1:$H$1,0),0)</f>
        <v>45875</v>
      </c>
      <c r="H633" s="15" t="str">
        <f>VLOOKUP($A633,Orders!$A$1:$H$361,MATCH(OrderLines!$H$1,Orders!$A$1:$H$1,0),0)</f>
        <v>Plant 1 Canteen</v>
      </c>
      <c r="I633" s="15">
        <f>VLOOKUP($A633,Orders!$A$1:$H$361,MATCH(OrderLines!$I$1,Orders!$A$1:$H$1,0),0)</f>
        <v>0.04</v>
      </c>
      <c r="J633" s="15">
        <f t="shared" si="28"/>
        <v>38.352000000000004</v>
      </c>
      <c r="K633" s="27" t="str">
        <f t="shared" si="29"/>
        <v>August</v>
      </c>
      <c r="L633" s="15" t="str">
        <f>VLOOKUP(OrderLines!$A633,Orders!$A$1:$H$361,MATCH(OrderLines!$L$1,Orders!$A$1:$H$1,0),0)</f>
        <v>Breakfast</v>
      </c>
      <c r="M633" t="str">
        <f>VLOOKUP($A633,Orders!$A$1:$H$361,MATCH(OrderLines!$M$1,Orders!$A$1:$H$1,0),0)</f>
        <v>Cash</v>
      </c>
      <c r="N633" t="str">
        <f t="shared" si="27"/>
        <v>Single</v>
      </c>
      <c r="O633" t="str" cm="1">
        <f t="array" ref="O633">IF((SUMPRODUCT((OrderID=OrderLines!$A633)*Qty*UnitPrice*DiscountPct))&gt;40,"HighDisc","OK")</f>
        <v>OK</v>
      </c>
      <c r="P633">
        <f>(orderlinesTABLE[[#This Row],[UnitCost]]*orderlinesTABLE[[#This Row],[Qty]])</f>
        <v>15.51</v>
      </c>
      <c r="Q633">
        <f>(orderlinesTABLE[[#This Row],[LineNetAmount]]-orderlinesTABLE[[#This Row],[totalCOST]])</f>
        <v>22.842000000000006</v>
      </c>
      <c r="R633" t="str">
        <f>VLOOKUP($B633,Menu!$A$1:$F$20,MATCH(OrderLines!R$1,Menu!$A$1:$F$1,0),0)</f>
        <v>Samosa</v>
      </c>
      <c r="S633" t="str" cm="1">
        <f t="array" ref="S633">_xlfn.TEXTJOIN("+",TRUE,_xlfn._xlws.FILTER(orderlinesTABLE[ItemName],OrderID=orderlinesTABLE[[#This Row],[OrderID]]))</f>
        <v>Samosa+Egg Curry + Rice</v>
      </c>
      <c r="T633" s="54">
        <f>orderlinesTABLE[[#This Row],[Profit]]/orderlinesTABLE[[#This Row],[LineNetAmount]]</f>
        <v>0.59558823529411775</v>
      </c>
      <c r="U633" s="70">
        <f>(orderlinesTABLE[[#This Row],[Qty]]*orderlinesTABLE[[#This Row],[UnitCost]])</f>
        <v>15.51</v>
      </c>
    </row>
    <row r="634" spans="1:21" x14ac:dyDescent="0.3">
      <c r="A634" s="14" t="s">
        <v>285</v>
      </c>
      <c r="B634" s="14" t="s">
        <v>407</v>
      </c>
      <c r="C634" s="14">
        <v>1</v>
      </c>
      <c r="D634" s="37">
        <f>VLOOKUP($B634,Menu!$A$1:$F$20,MATCH($D$1,Menu!$A$1:$F$1,0),0)</f>
        <v>246.09</v>
      </c>
      <c r="E634" s="14" t="str">
        <f>VLOOKUP($B634,Menu!$A$1:$F$20,MATCH(OrderLines!E$1,Menu!$A$1:$F$1,0),0)</f>
        <v>Hot Meal</v>
      </c>
      <c r="F634" s="37">
        <f>VLOOKUP($B634,Menu!$A$1:$F$20,MATCH(OrderLines!F$1,Menu!$A$1:$F$1,0),0)</f>
        <v>112.08</v>
      </c>
      <c r="G634" s="28">
        <f>VLOOKUP($A634,Orders!$A$1:$H$361,MATCH($G$1,Orders!$A$1:$H$1,0),0)</f>
        <v>45875</v>
      </c>
      <c r="H634" s="14" t="str">
        <f>VLOOKUP($A634,Orders!$A$1:$H$361,MATCH(OrderLines!$H$1,Orders!$A$1:$H$1,0),0)</f>
        <v>Plant 1 Canteen</v>
      </c>
      <c r="I634" s="14">
        <f>VLOOKUP($A634,Orders!$A$1:$H$361,MATCH(OrderLines!$I$1,Orders!$A$1:$H$1,0),0)</f>
        <v>0.04</v>
      </c>
      <c r="J634" s="14">
        <f t="shared" si="28"/>
        <v>236.24639999999999</v>
      </c>
      <c r="K634" s="28" t="str">
        <f t="shared" si="29"/>
        <v>August</v>
      </c>
      <c r="L634" s="14" t="str">
        <f>VLOOKUP(OrderLines!$A634,Orders!$A$1:$H$361,MATCH(OrderLines!$L$1,Orders!$A$1:$H$1,0),0)</f>
        <v>Breakfast</v>
      </c>
      <c r="M634" t="str">
        <f>VLOOKUP($A634,Orders!$A$1:$H$361,MATCH(OrderLines!$M$1,Orders!$A$1:$H$1,0),0)</f>
        <v>Cash</v>
      </c>
      <c r="N634" t="str">
        <f t="shared" si="27"/>
        <v>Single</v>
      </c>
      <c r="O634" t="str" cm="1">
        <f t="array" ref="O634">IF((SUMPRODUCT((OrderID=OrderLines!$A634)*Qty*UnitPrice*DiscountPct))&gt;40,"HighDisc","OK")</f>
        <v>OK</v>
      </c>
      <c r="P634">
        <f>(orderlinesTABLE[[#This Row],[UnitCost]]*orderlinesTABLE[[#This Row],[Qty]])</f>
        <v>112.08</v>
      </c>
      <c r="Q634">
        <f>(orderlinesTABLE[[#This Row],[LineNetAmount]]-orderlinesTABLE[[#This Row],[totalCOST]])</f>
        <v>124.1664</v>
      </c>
      <c r="R634" t="str">
        <f>VLOOKUP($B634,Menu!$A$1:$F$20,MATCH(OrderLines!R$1,Menu!$A$1:$F$1,0),0)</f>
        <v>Egg Curry + Rice</v>
      </c>
      <c r="S634" t="str" cm="1">
        <f t="array" ref="S634">_xlfn.TEXTJOIN("+",TRUE,_xlfn._xlws.FILTER(orderlinesTABLE[ItemName],OrderID=orderlinesTABLE[[#This Row],[OrderID]]))</f>
        <v>Samosa+Egg Curry + Rice</v>
      </c>
      <c r="T634" s="54">
        <f>orderlinesTABLE[[#This Row],[Profit]]/orderlinesTABLE[[#This Row],[LineNetAmount]]</f>
        <v>0.52558007233126092</v>
      </c>
      <c r="U634" s="70">
        <f>(orderlinesTABLE[[#This Row],[Qty]]*orderlinesTABLE[[#This Row],[UnitCost]])</f>
        <v>112.08</v>
      </c>
    </row>
    <row r="635" spans="1:21" x14ac:dyDescent="0.3">
      <c r="A635" s="15" t="s">
        <v>286</v>
      </c>
      <c r="B635" s="15" t="s">
        <v>405</v>
      </c>
      <c r="C635" s="15">
        <v>2</v>
      </c>
      <c r="D635" s="36">
        <f>VLOOKUP($B635,Menu!$A$1:$F$20,MATCH($D$1,Menu!$A$1:$F$1,0),0)</f>
        <v>170.83</v>
      </c>
      <c r="E635" s="15" t="str">
        <f>VLOOKUP($B635,Menu!$A$1:$F$20,MATCH(OrderLines!E$1,Menu!$A$1:$F$1,0),0)</f>
        <v>Hot Meal</v>
      </c>
      <c r="F635" s="36">
        <f>VLOOKUP($B635,Menu!$A$1:$F$20,MATCH(OrderLines!F$1,Menu!$A$1:$F$1,0),0)</f>
        <v>74.069999999999993</v>
      </c>
      <c r="G635" s="27">
        <f>VLOOKUP($A635,Orders!$A$1:$H$361,MATCH($G$1,Orders!$A$1:$H$1,0),0)</f>
        <v>45893</v>
      </c>
      <c r="H635" s="15" t="str">
        <f>VLOOKUP($A635,Orders!$A$1:$H$361,MATCH(OrderLines!$H$1,Orders!$A$1:$H$1,0),0)</f>
        <v>Plant 2 Canteen</v>
      </c>
      <c r="I635" s="15">
        <f>VLOOKUP($A635,Orders!$A$1:$H$361,MATCH(OrderLines!$I$1,Orders!$A$1:$H$1,0),0)</f>
        <v>0.05</v>
      </c>
      <c r="J635" s="15">
        <f t="shared" si="28"/>
        <v>324.577</v>
      </c>
      <c r="K635" s="27" t="str">
        <f t="shared" si="29"/>
        <v>August</v>
      </c>
      <c r="L635" s="15" t="str">
        <f>VLOOKUP(OrderLines!$A635,Orders!$A$1:$H$361,MATCH(OrderLines!$L$1,Orders!$A$1:$H$1,0),0)</f>
        <v>Dinner</v>
      </c>
      <c r="M635" t="str">
        <f>VLOOKUP($A635,Orders!$A$1:$H$361,MATCH(OrderLines!$M$1,Orders!$A$1:$H$1,0),0)</f>
        <v>Cash</v>
      </c>
      <c r="N635" t="str">
        <f t="shared" si="27"/>
        <v>Single</v>
      </c>
      <c r="O635" t="str" cm="1">
        <f t="array" ref="O635">IF((SUMPRODUCT((OrderID=OrderLines!$A635)*Qty*UnitPrice*DiscountPct))&gt;40,"HighDisc","OK")</f>
        <v>OK</v>
      </c>
      <c r="P635">
        <f>(orderlinesTABLE[[#This Row],[UnitCost]]*orderlinesTABLE[[#This Row],[Qty]])</f>
        <v>148.13999999999999</v>
      </c>
      <c r="Q635">
        <f>(orderlinesTABLE[[#This Row],[LineNetAmount]]-orderlinesTABLE[[#This Row],[totalCOST]])</f>
        <v>176.43700000000001</v>
      </c>
      <c r="R635" t="str">
        <f>VLOOKUP($B635,Menu!$A$1:$F$20,MATCH(OrderLines!R$1,Menu!$A$1:$F$1,0),0)</f>
        <v>Paneer Butter Masala + Naan</v>
      </c>
      <c r="S635" t="str" cm="1">
        <f t="array" ref="S635">_xlfn.TEXTJOIN("+",TRUE,_xlfn._xlws.FILTER(orderlinesTABLE[ItemName],OrderID=orderlinesTABLE[[#This Row],[OrderID]]))</f>
        <v>Paneer Butter Masala + Naan+Egg Curry + Rice+Fruit Cup</v>
      </c>
      <c r="T635" s="54">
        <f>orderlinesTABLE[[#This Row],[Profit]]/orderlinesTABLE[[#This Row],[LineNetAmount]]</f>
        <v>0.54359058097154145</v>
      </c>
      <c r="U635" s="70">
        <f>(orderlinesTABLE[[#This Row],[Qty]]*orderlinesTABLE[[#This Row],[UnitCost]])</f>
        <v>148.13999999999999</v>
      </c>
    </row>
    <row r="636" spans="1:21" x14ac:dyDescent="0.3">
      <c r="A636" s="14" t="s">
        <v>286</v>
      </c>
      <c r="B636" s="14" t="s">
        <v>407</v>
      </c>
      <c r="C636" s="14">
        <v>1</v>
      </c>
      <c r="D636" s="37">
        <f>VLOOKUP($B636,Menu!$A$1:$F$20,MATCH($D$1,Menu!$A$1:$F$1,0),0)</f>
        <v>246.09</v>
      </c>
      <c r="E636" s="14" t="str">
        <f>VLOOKUP($B636,Menu!$A$1:$F$20,MATCH(OrderLines!E$1,Menu!$A$1:$F$1,0),0)</f>
        <v>Hot Meal</v>
      </c>
      <c r="F636" s="37">
        <f>VLOOKUP($B636,Menu!$A$1:$F$20,MATCH(OrderLines!F$1,Menu!$A$1:$F$1,0),0)</f>
        <v>112.08</v>
      </c>
      <c r="G636" s="28">
        <f>VLOOKUP($A636,Orders!$A$1:$H$361,MATCH($G$1,Orders!$A$1:$H$1,0),0)</f>
        <v>45893</v>
      </c>
      <c r="H636" s="14" t="str">
        <f>VLOOKUP($A636,Orders!$A$1:$H$361,MATCH(OrderLines!$H$1,Orders!$A$1:$H$1,0),0)</f>
        <v>Plant 2 Canteen</v>
      </c>
      <c r="I636" s="14">
        <f>VLOOKUP($A636,Orders!$A$1:$H$361,MATCH(OrderLines!$I$1,Orders!$A$1:$H$1,0),0)</f>
        <v>0.05</v>
      </c>
      <c r="J636" s="14">
        <f t="shared" si="28"/>
        <v>233.78549999999998</v>
      </c>
      <c r="K636" s="28" t="str">
        <f t="shared" si="29"/>
        <v>August</v>
      </c>
      <c r="L636" s="14" t="str">
        <f>VLOOKUP(OrderLines!$A636,Orders!$A$1:$H$361,MATCH(OrderLines!$L$1,Orders!$A$1:$H$1,0),0)</f>
        <v>Dinner</v>
      </c>
      <c r="M636" t="str">
        <f>VLOOKUP($A636,Orders!$A$1:$H$361,MATCH(OrderLines!$M$1,Orders!$A$1:$H$1,0),0)</f>
        <v>Cash</v>
      </c>
      <c r="N636" t="str">
        <f t="shared" si="27"/>
        <v>Single</v>
      </c>
      <c r="O636" t="str" cm="1">
        <f t="array" ref="O636">IF((SUMPRODUCT((OrderID=OrderLines!$A636)*Qty*UnitPrice*DiscountPct))&gt;40,"HighDisc","OK")</f>
        <v>OK</v>
      </c>
      <c r="P636">
        <f>(orderlinesTABLE[[#This Row],[UnitCost]]*orderlinesTABLE[[#This Row],[Qty]])</f>
        <v>112.08</v>
      </c>
      <c r="Q636">
        <f>(orderlinesTABLE[[#This Row],[LineNetAmount]]-orderlinesTABLE[[#This Row],[totalCOST]])</f>
        <v>121.70549999999999</v>
      </c>
      <c r="R636" t="str">
        <f>VLOOKUP($B636,Menu!$A$1:$F$20,MATCH(OrderLines!R$1,Menu!$A$1:$F$1,0),0)</f>
        <v>Egg Curry + Rice</v>
      </c>
      <c r="S636" t="str" cm="1">
        <f t="array" ref="S636">_xlfn.TEXTJOIN("+",TRUE,_xlfn._xlws.FILTER(orderlinesTABLE[ItemName],OrderID=orderlinesTABLE[[#This Row],[OrderID]]))</f>
        <v>Paneer Butter Masala + Naan+Egg Curry + Rice+Fruit Cup</v>
      </c>
      <c r="T636" s="54">
        <f>orderlinesTABLE[[#This Row],[Profit]]/orderlinesTABLE[[#This Row],[LineNetAmount]]</f>
        <v>0.52058617835580046</v>
      </c>
      <c r="U636" s="70">
        <f>(orderlinesTABLE[[#This Row],[Qty]]*orderlinesTABLE[[#This Row],[UnitCost]])</f>
        <v>112.08</v>
      </c>
    </row>
    <row r="637" spans="1:21" x14ac:dyDescent="0.3">
      <c r="A637" s="15" t="s">
        <v>286</v>
      </c>
      <c r="B637" s="15" t="s">
        <v>412</v>
      </c>
      <c r="C637" s="15">
        <v>1</v>
      </c>
      <c r="D637" s="36">
        <f>VLOOKUP($B637,Menu!$A$1:$F$20,MATCH($D$1,Menu!$A$1:$F$1,0),0)</f>
        <v>57.07</v>
      </c>
      <c r="E637" s="15" t="str">
        <f>VLOOKUP($B637,Menu!$A$1:$F$20,MATCH(OrderLines!E$1,Menu!$A$1:$F$1,0),0)</f>
        <v>Dessert</v>
      </c>
      <c r="F637" s="36">
        <f>VLOOKUP($B637,Menu!$A$1:$F$20,MATCH(OrderLines!F$1,Menu!$A$1:$F$1,0),0)</f>
        <v>29.14</v>
      </c>
      <c r="G637" s="27">
        <f>VLOOKUP($A637,Orders!$A$1:$H$361,MATCH($G$1,Orders!$A$1:$H$1,0),0)</f>
        <v>45893</v>
      </c>
      <c r="H637" s="15" t="str">
        <f>VLOOKUP($A637,Orders!$A$1:$H$361,MATCH(OrderLines!$H$1,Orders!$A$1:$H$1,0),0)</f>
        <v>Plant 2 Canteen</v>
      </c>
      <c r="I637" s="15">
        <f>VLOOKUP($A637,Orders!$A$1:$H$361,MATCH(OrderLines!$I$1,Orders!$A$1:$H$1,0),0)</f>
        <v>0.05</v>
      </c>
      <c r="J637" s="15">
        <f t="shared" si="28"/>
        <v>54.216499999999996</v>
      </c>
      <c r="K637" s="27" t="str">
        <f t="shared" si="29"/>
        <v>August</v>
      </c>
      <c r="L637" s="15" t="str">
        <f>VLOOKUP(OrderLines!$A637,Orders!$A$1:$H$361,MATCH(OrderLines!$L$1,Orders!$A$1:$H$1,0),0)</f>
        <v>Dinner</v>
      </c>
      <c r="M637" t="str">
        <f>VLOOKUP($A637,Orders!$A$1:$H$361,MATCH(OrderLines!$M$1,Orders!$A$1:$H$1,0),0)</f>
        <v>Cash</v>
      </c>
      <c r="N637" t="str">
        <f t="shared" si="27"/>
        <v>Single</v>
      </c>
      <c r="O637" t="str" cm="1">
        <f t="array" ref="O637">IF((SUMPRODUCT((OrderID=OrderLines!$A637)*Qty*UnitPrice*DiscountPct))&gt;40,"HighDisc","OK")</f>
        <v>OK</v>
      </c>
      <c r="P637">
        <f>(orderlinesTABLE[[#This Row],[UnitCost]]*orderlinesTABLE[[#This Row],[Qty]])</f>
        <v>29.14</v>
      </c>
      <c r="Q637">
        <f>(orderlinesTABLE[[#This Row],[LineNetAmount]]-orderlinesTABLE[[#This Row],[totalCOST]])</f>
        <v>25.076499999999996</v>
      </c>
      <c r="R637" t="str">
        <f>VLOOKUP($B637,Menu!$A$1:$F$20,MATCH(OrderLines!R$1,Menu!$A$1:$F$1,0),0)</f>
        <v>Fruit Cup</v>
      </c>
      <c r="S637" t="str" cm="1">
        <f t="array" ref="S637">_xlfn.TEXTJOIN("+",TRUE,_xlfn._xlws.FILTER(orderlinesTABLE[ItemName],OrderID=orderlinesTABLE[[#This Row],[OrderID]]))</f>
        <v>Paneer Butter Masala + Naan+Egg Curry + Rice+Fruit Cup</v>
      </c>
      <c r="T637" s="54">
        <f>orderlinesTABLE[[#This Row],[Profit]]/orderlinesTABLE[[#This Row],[LineNetAmount]]</f>
        <v>0.46252524600444511</v>
      </c>
      <c r="U637" s="70">
        <f>(orderlinesTABLE[[#This Row],[Qty]]*orderlinesTABLE[[#This Row],[UnitCost]])</f>
        <v>29.14</v>
      </c>
    </row>
    <row r="638" spans="1:21" x14ac:dyDescent="0.3">
      <c r="A638" s="14" t="s">
        <v>287</v>
      </c>
      <c r="B638" s="14" t="s">
        <v>410</v>
      </c>
      <c r="C638" s="14">
        <v>3</v>
      </c>
      <c r="D638" s="37">
        <f>VLOOKUP($B638,Menu!$A$1:$F$20,MATCH($D$1,Menu!$A$1:$F$1,0),0)</f>
        <v>20.11</v>
      </c>
      <c r="E638" s="14" t="str">
        <f>VLOOKUP($B638,Menu!$A$1:$F$20,MATCH(OrderLines!E$1,Menu!$A$1:$F$1,0),0)</f>
        <v>Beverage</v>
      </c>
      <c r="F638" s="37">
        <f>VLOOKUP($B638,Menu!$A$1:$F$20,MATCH(OrderLines!F$1,Menu!$A$1:$F$1,0),0)</f>
        <v>8</v>
      </c>
      <c r="G638" s="28">
        <f>VLOOKUP($A638,Orders!$A$1:$H$361,MATCH($G$1,Orders!$A$1:$H$1,0),0)</f>
        <v>45873</v>
      </c>
      <c r="H638" s="14" t="str">
        <f>VLOOKUP($A638,Orders!$A$1:$H$361,MATCH(OrderLines!$H$1,Orders!$A$1:$H$1,0),0)</f>
        <v>Head Office Café</v>
      </c>
      <c r="I638" s="14">
        <f>VLOOKUP($A638,Orders!$A$1:$H$361,MATCH(OrderLines!$I$1,Orders!$A$1:$H$1,0),0)</f>
        <v>0.04</v>
      </c>
      <c r="J638" s="14">
        <f t="shared" si="28"/>
        <v>57.916799999999995</v>
      </c>
      <c r="K638" s="28" t="str">
        <f t="shared" si="29"/>
        <v>August</v>
      </c>
      <c r="L638" s="14" t="str">
        <f>VLOOKUP(OrderLines!$A638,Orders!$A$1:$H$361,MATCH(OrderLines!$L$1,Orders!$A$1:$H$1,0),0)</f>
        <v>Lunch</v>
      </c>
      <c r="M638" t="str">
        <f>VLOOKUP($A638,Orders!$A$1:$H$361,MATCH(OrderLines!$M$1,Orders!$A$1:$H$1,0),0)</f>
        <v>UPI</v>
      </c>
      <c r="N638" t="str">
        <f t="shared" si="27"/>
        <v>Combo</v>
      </c>
      <c r="O638" t="str" cm="1">
        <f t="array" ref="O638">IF((SUMPRODUCT((OrderID=OrderLines!$A638)*Qty*UnitPrice*DiscountPct))&gt;40,"HighDisc","OK")</f>
        <v>HighDisc</v>
      </c>
      <c r="P638">
        <f>(orderlinesTABLE[[#This Row],[UnitCost]]*orderlinesTABLE[[#This Row],[Qty]])</f>
        <v>24</v>
      </c>
      <c r="Q638">
        <f>(orderlinesTABLE[[#This Row],[LineNetAmount]]-orderlinesTABLE[[#This Row],[totalCOST]])</f>
        <v>33.916799999999995</v>
      </c>
      <c r="R638" t="str">
        <f>VLOOKUP($B638,Menu!$A$1:$F$20,MATCH(OrderLines!R$1,Menu!$A$1:$F$1,0),0)</f>
        <v>Nimbu Pani</v>
      </c>
      <c r="S638" t="str" cm="1">
        <f t="array" ref="S638">_xlfn.TEXTJOIN("+",TRUE,_xlfn._xlws.FILTER(orderlinesTABLE[ItemName],OrderID=orderlinesTABLE[[#This Row],[OrderID]]))</f>
        <v>Nimbu Pani+Veg Thali+Fruit Cup+Egg Curry + Rice</v>
      </c>
      <c r="T638" s="54">
        <f>orderlinesTABLE[[#This Row],[Profit]]/orderlinesTABLE[[#This Row],[LineNetAmount]]</f>
        <v>0.58561246477705942</v>
      </c>
      <c r="U638" s="70">
        <f>(orderlinesTABLE[[#This Row],[Qty]]*orderlinesTABLE[[#This Row],[UnitCost]])</f>
        <v>24</v>
      </c>
    </row>
    <row r="639" spans="1:21" x14ac:dyDescent="0.3">
      <c r="A639" s="15" t="s">
        <v>287</v>
      </c>
      <c r="B639" s="15" t="s">
        <v>416</v>
      </c>
      <c r="C639" s="15">
        <v>2</v>
      </c>
      <c r="D639" s="36">
        <f>VLOOKUP($B639,Menu!$A$1:$F$20,MATCH($D$1,Menu!$A$1:$F$1,0),0)</f>
        <v>227.61</v>
      </c>
      <c r="E639" s="15" t="str">
        <f>VLOOKUP($B639,Menu!$A$1:$F$20,MATCH(OrderLines!E$1,Menu!$A$1:$F$1,0),0)</f>
        <v>Hot Meal</v>
      </c>
      <c r="F639" s="36">
        <f>VLOOKUP($B639,Menu!$A$1:$F$20,MATCH(OrderLines!F$1,Menu!$A$1:$F$1,0),0)</f>
        <v>96.22</v>
      </c>
      <c r="G639" s="27">
        <f>VLOOKUP($A639,Orders!$A$1:$H$361,MATCH($G$1,Orders!$A$1:$H$1,0),0)</f>
        <v>45873</v>
      </c>
      <c r="H639" s="15" t="str">
        <f>VLOOKUP($A639,Orders!$A$1:$H$361,MATCH(OrderLines!$H$1,Orders!$A$1:$H$1,0),0)</f>
        <v>Head Office Café</v>
      </c>
      <c r="I639" s="15">
        <f>VLOOKUP($A639,Orders!$A$1:$H$361,MATCH(OrderLines!$I$1,Orders!$A$1:$H$1,0),0)</f>
        <v>0.04</v>
      </c>
      <c r="J639" s="15">
        <f t="shared" si="28"/>
        <v>437.01120000000003</v>
      </c>
      <c r="K639" s="27" t="str">
        <f t="shared" si="29"/>
        <v>August</v>
      </c>
      <c r="L639" s="15" t="str">
        <f>VLOOKUP(OrderLines!$A639,Orders!$A$1:$H$361,MATCH(OrderLines!$L$1,Orders!$A$1:$H$1,0),0)</f>
        <v>Lunch</v>
      </c>
      <c r="M639" t="str">
        <f>VLOOKUP($A639,Orders!$A$1:$H$361,MATCH(OrderLines!$M$1,Orders!$A$1:$H$1,0),0)</f>
        <v>UPI</v>
      </c>
      <c r="N639" t="str">
        <f t="shared" si="27"/>
        <v>Combo</v>
      </c>
      <c r="O639" t="str" cm="1">
        <f t="array" ref="O639">IF((SUMPRODUCT((OrderID=OrderLines!$A639)*Qty*UnitPrice*DiscountPct))&gt;40,"HighDisc","OK")</f>
        <v>HighDisc</v>
      </c>
      <c r="P639">
        <f>(orderlinesTABLE[[#This Row],[UnitCost]]*orderlinesTABLE[[#This Row],[Qty]])</f>
        <v>192.44</v>
      </c>
      <c r="Q639">
        <f>(orderlinesTABLE[[#This Row],[LineNetAmount]]-orderlinesTABLE[[#This Row],[totalCOST]])</f>
        <v>244.57120000000003</v>
      </c>
      <c r="R639" t="str">
        <f>VLOOKUP($B639,Menu!$A$1:$F$20,MATCH(OrderLines!R$1,Menu!$A$1:$F$1,0),0)</f>
        <v>Veg Thali</v>
      </c>
      <c r="S639" t="str" cm="1">
        <f t="array" ref="S639">_xlfn.TEXTJOIN("+",TRUE,_xlfn._xlws.FILTER(orderlinesTABLE[ItemName],OrderID=orderlinesTABLE[[#This Row],[OrderID]]))</f>
        <v>Nimbu Pani+Veg Thali+Fruit Cup+Egg Curry + Rice</v>
      </c>
      <c r="T639" s="54">
        <f>orderlinesTABLE[[#This Row],[Profit]]/orderlinesTABLE[[#This Row],[LineNetAmount]]</f>
        <v>0.55964515325923003</v>
      </c>
      <c r="U639" s="70">
        <f>(orderlinesTABLE[[#This Row],[Qty]]*orderlinesTABLE[[#This Row],[UnitCost]])</f>
        <v>192.44</v>
      </c>
    </row>
    <row r="640" spans="1:21" x14ac:dyDescent="0.3">
      <c r="A640" s="14" t="s">
        <v>287</v>
      </c>
      <c r="B640" s="14" t="s">
        <v>412</v>
      </c>
      <c r="C640" s="14">
        <v>2</v>
      </c>
      <c r="D640" s="37">
        <f>VLOOKUP($B640,Menu!$A$1:$F$20,MATCH($D$1,Menu!$A$1:$F$1,0),0)</f>
        <v>57.07</v>
      </c>
      <c r="E640" s="14" t="str">
        <f>VLOOKUP($B640,Menu!$A$1:$F$20,MATCH(OrderLines!E$1,Menu!$A$1:$F$1,0),0)</f>
        <v>Dessert</v>
      </c>
      <c r="F640" s="37">
        <f>VLOOKUP($B640,Menu!$A$1:$F$20,MATCH(OrderLines!F$1,Menu!$A$1:$F$1,0),0)</f>
        <v>29.14</v>
      </c>
      <c r="G640" s="28">
        <f>VLOOKUP($A640,Orders!$A$1:$H$361,MATCH($G$1,Orders!$A$1:$H$1,0),0)</f>
        <v>45873</v>
      </c>
      <c r="H640" s="14" t="str">
        <f>VLOOKUP($A640,Orders!$A$1:$H$361,MATCH(OrderLines!$H$1,Orders!$A$1:$H$1,0),0)</f>
        <v>Head Office Café</v>
      </c>
      <c r="I640" s="14">
        <f>VLOOKUP($A640,Orders!$A$1:$H$361,MATCH(OrderLines!$I$1,Orders!$A$1:$H$1,0),0)</f>
        <v>0.04</v>
      </c>
      <c r="J640" s="14">
        <f t="shared" si="28"/>
        <v>109.5744</v>
      </c>
      <c r="K640" s="28" t="str">
        <f t="shared" si="29"/>
        <v>August</v>
      </c>
      <c r="L640" s="14" t="str">
        <f>VLOOKUP(OrderLines!$A640,Orders!$A$1:$H$361,MATCH(OrderLines!$L$1,Orders!$A$1:$H$1,0),0)</f>
        <v>Lunch</v>
      </c>
      <c r="M640" t="str">
        <f>VLOOKUP($A640,Orders!$A$1:$H$361,MATCH(OrderLines!$M$1,Orders!$A$1:$H$1,0),0)</f>
        <v>UPI</v>
      </c>
      <c r="N640" t="str">
        <f t="shared" si="27"/>
        <v>Combo</v>
      </c>
      <c r="O640" t="str" cm="1">
        <f t="array" ref="O640">IF((SUMPRODUCT((OrderID=OrderLines!$A640)*Qty*UnitPrice*DiscountPct))&gt;40,"HighDisc","OK")</f>
        <v>HighDisc</v>
      </c>
      <c r="P640">
        <f>(orderlinesTABLE[[#This Row],[UnitCost]]*orderlinesTABLE[[#This Row],[Qty]])</f>
        <v>58.28</v>
      </c>
      <c r="Q640">
        <f>(orderlinesTABLE[[#This Row],[LineNetAmount]]-orderlinesTABLE[[#This Row],[totalCOST]])</f>
        <v>51.294399999999996</v>
      </c>
      <c r="R640" t="str">
        <f>VLOOKUP($B640,Menu!$A$1:$F$20,MATCH(OrderLines!R$1,Menu!$A$1:$F$1,0),0)</f>
        <v>Fruit Cup</v>
      </c>
      <c r="S640" t="str" cm="1">
        <f t="array" ref="S640">_xlfn.TEXTJOIN("+",TRUE,_xlfn._xlws.FILTER(orderlinesTABLE[ItemName],OrderID=orderlinesTABLE[[#This Row],[OrderID]]))</f>
        <v>Nimbu Pani+Veg Thali+Fruit Cup+Egg Curry + Rice</v>
      </c>
      <c r="T640" s="54">
        <f>orderlinesTABLE[[#This Row],[Profit]]/orderlinesTABLE[[#This Row],[LineNetAmount]]</f>
        <v>0.4681239413585655</v>
      </c>
      <c r="U640" s="70">
        <f>(orderlinesTABLE[[#This Row],[Qty]]*orderlinesTABLE[[#This Row],[UnitCost]])</f>
        <v>58.28</v>
      </c>
    </row>
    <row r="641" spans="1:21" x14ac:dyDescent="0.3">
      <c r="A641" s="15" t="s">
        <v>287</v>
      </c>
      <c r="B641" s="15" t="s">
        <v>407</v>
      </c>
      <c r="C641" s="15">
        <v>2</v>
      </c>
      <c r="D641" s="36">
        <f>VLOOKUP($B641,Menu!$A$1:$F$20,MATCH($D$1,Menu!$A$1:$F$1,0),0)</f>
        <v>246.09</v>
      </c>
      <c r="E641" s="15" t="str">
        <f>VLOOKUP($B641,Menu!$A$1:$F$20,MATCH(OrderLines!E$1,Menu!$A$1:$F$1,0),0)</f>
        <v>Hot Meal</v>
      </c>
      <c r="F641" s="36">
        <f>VLOOKUP($B641,Menu!$A$1:$F$20,MATCH(OrderLines!F$1,Menu!$A$1:$F$1,0),0)</f>
        <v>112.08</v>
      </c>
      <c r="G641" s="27">
        <f>VLOOKUP($A641,Orders!$A$1:$H$361,MATCH($G$1,Orders!$A$1:$H$1,0),0)</f>
        <v>45873</v>
      </c>
      <c r="H641" s="15" t="str">
        <f>VLOOKUP($A641,Orders!$A$1:$H$361,MATCH(OrderLines!$H$1,Orders!$A$1:$H$1,0),0)</f>
        <v>Head Office Café</v>
      </c>
      <c r="I641" s="15">
        <f>VLOOKUP($A641,Orders!$A$1:$H$361,MATCH(OrderLines!$I$1,Orders!$A$1:$H$1,0),0)</f>
        <v>0.04</v>
      </c>
      <c r="J641" s="15">
        <f t="shared" si="28"/>
        <v>472.49279999999999</v>
      </c>
      <c r="K641" s="27" t="str">
        <f t="shared" si="29"/>
        <v>August</v>
      </c>
      <c r="L641" s="15" t="str">
        <f>VLOOKUP(OrderLines!$A641,Orders!$A$1:$H$361,MATCH(OrderLines!$L$1,Orders!$A$1:$H$1,0),0)</f>
        <v>Lunch</v>
      </c>
      <c r="M641" t="str">
        <f>VLOOKUP($A641,Orders!$A$1:$H$361,MATCH(OrderLines!$M$1,Orders!$A$1:$H$1,0),0)</f>
        <v>UPI</v>
      </c>
      <c r="N641" t="str">
        <f t="shared" si="27"/>
        <v>Combo</v>
      </c>
      <c r="O641" t="str" cm="1">
        <f t="array" ref="O641">IF((SUMPRODUCT((OrderID=OrderLines!$A641)*Qty*UnitPrice*DiscountPct))&gt;40,"HighDisc","OK")</f>
        <v>HighDisc</v>
      </c>
      <c r="P641">
        <f>(orderlinesTABLE[[#This Row],[UnitCost]]*orderlinesTABLE[[#This Row],[Qty]])</f>
        <v>224.16</v>
      </c>
      <c r="Q641">
        <f>(orderlinesTABLE[[#This Row],[LineNetAmount]]-orderlinesTABLE[[#This Row],[totalCOST]])</f>
        <v>248.33279999999999</v>
      </c>
      <c r="R641" t="str">
        <f>VLOOKUP($B641,Menu!$A$1:$F$20,MATCH(OrderLines!R$1,Menu!$A$1:$F$1,0),0)</f>
        <v>Egg Curry + Rice</v>
      </c>
      <c r="S641" t="str" cm="1">
        <f t="array" ref="S641">_xlfn.TEXTJOIN("+",TRUE,_xlfn._xlws.FILTER(orderlinesTABLE[ItemName],OrderID=orderlinesTABLE[[#This Row],[OrderID]]))</f>
        <v>Nimbu Pani+Veg Thali+Fruit Cup+Egg Curry + Rice</v>
      </c>
      <c r="T641" s="54">
        <f>orderlinesTABLE[[#This Row],[Profit]]/orderlinesTABLE[[#This Row],[LineNetAmount]]</f>
        <v>0.52558007233126092</v>
      </c>
      <c r="U641" s="70">
        <f>(orderlinesTABLE[[#This Row],[Qty]]*orderlinesTABLE[[#This Row],[UnitCost]])</f>
        <v>224.16</v>
      </c>
    </row>
    <row r="642" spans="1:21" x14ac:dyDescent="0.3">
      <c r="A642" s="14" t="s">
        <v>288</v>
      </c>
      <c r="B642" s="14" t="s">
        <v>416</v>
      </c>
      <c r="C642" s="14">
        <v>3</v>
      </c>
      <c r="D642" s="37">
        <f>VLOOKUP($B642,Menu!$A$1:$F$20,MATCH($D$1,Menu!$A$1:$F$1,0),0)</f>
        <v>227.61</v>
      </c>
      <c r="E642" s="14" t="str">
        <f>VLOOKUP($B642,Menu!$A$1:$F$20,MATCH(OrderLines!E$1,Menu!$A$1:$F$1,0),0)</f>
        <v>Hot Meal</v>
      </c>
      <c r="F642" s="37">
        <f>VLOOKUP($B642,Menu!$A$1:$F$20,MATCH(OrderLines!F$1,Menu!$A$1:$F$1,0),0)</f>
        <v>96.22</v>
      </c>
      <c r="G642" s="28">
        <f>VLOOKUP($A642,Orders!$A$1:$H$361,MATCH($G$1,Orders!$A$1:$H$1,0),0)</f>
        <v>45867</v>
      </c>
      <c r="H642" s="14" t="str">
        <f>VLOOKUP($A642,Orders!$A$1:$H$361,MATCH(OrderLines!$H$1,Orders!$A$1:$H$1,0),0)</f>
        <v>Head Office Café</v>
      </c>
      <c r="I642" s="14">
        <f>VLOOKUP($A642,Orders!$A$1:$H$361,MATCH(OrderLines!$I$1,Orders!$A$1:$H$1,0),0)</f>
        <v>0.04</v>
      </c>
      <c r="J642" s="14">
        <f t="shared" si="28"/>
        <v>655.51679999999999</v>
      </c>
      <c r="K642" s="28" t="str">
        <f t="shared" si="29"/>
        <v>July</v>
      </c>
      <c r="L642" s="14" t="str">
        <f>VLOOKUP(OrderLines!$A642,Orders!$A$1:$H$361,MATCH(OrderLines!$L$1,Orders!$A$1:$H$1,0),0)</f>
        <v>Breakfast</v>
      </c>
      <c r="M642" t="str">
        <f>VLOOKUP($A642,Orders!$A$1:$H$361,MATCH(OrderLines!$M$1,Orders!$A$1:$H$1,0),0)</f>
        <v>Card</v>
      </c>
      <c r="N642" t="str">
        <f t="shared" ref="N642:N705" si="30">IF(AND(COUNTIFS(OrderID,$A642,Category,"hot meal")&gt;=1,COUNTIFS(OrderID,$A642,Category,"beverage")&gt;=1),"Combo","Single")</f>
        <v>Single</v>
      </c>
      <c r="O642" t="str" cm="1">
        <f t="array" ref="O642">IF((SUMPRODUCT((OrderID=OrderLines!$A642)*Qty*UnitPrice*DiscountPct))&gt;40,"HighDisc","OK")</f>
        <v>HighDisc</v>
      </c>
      <c r="P642">
        <f>(orderlinesTABLE[[#This Row],[UnitCost]]*orderlinesTABLE[[#This Row],[Qty]])</f>
        <v>288.65999999999997</v>
      </c>
      <c r="Q642">
        <f>(orderlinesTABLE[[#This Row],[LineNetAmount]]-orderlinesTABLE[[#This Row],[totalCOST]])</f>
        <v>366.85680000000002</v>
      </c>
      <c r="R642" t="str">
        <f>VLOOKUP($B642,Menu!$A$1:$F$20,MATCH(OrderLines!R$1,Menu!$A$1:$F$1,0),0)</f>
        <v>Veg Thali</v>
      </c>
      <c r="S642" t="str" cm="1">
        <f t="array" ref="S642">_xlfn.TEXTJOIN("+",TRUE,_xlfn._xlws.FILTER(orderlinesTABLE[ItemName],OrderID=orderlinesTABLE[[#This Row],[OrderID]]))</f>
        <v>Veg Thali+Masala Puff+Rajma Chawal+Chicken Thali</v>
      </c>
      <c r="T642" s="54">
        <f>orderlinesTABLE[[#This Row],[Profit]]/orderlinesTABLE[[#This Row],[LineNetAmount]]</f>
        <v>0.55964515325923003</v>
      </c>
      <c r="U642" s="70">
        <f>(orderlinesTABLE[[#This Row],[Qty]]*orderlinesTABLE[[#This Row],[UnitCost]])</f>
        <v>288.65999999999997</v>
      </c>
    </row>
    <row r="643" spans="1:21" x14ac:dyDescent="0.3">
      <c r="A643" s="15" t="s">
        <v>288</v>
      </c>
      <c r="B643" s="15" t="s">
        <v>419</v>
      </c>
      <c r="C643" s="15">
        <v>1</v>
      </c>
      <c r="D643" s="36">
        <f>VLOOKUP($B643,Menu!$A$1:$F$20,MATCH($D$1,Menu!$A$1:$F$1,0),0)</f>
        <v>50.19</v>
      </c>
      <c r="E643" s="15" t="str">
        <f>VLOOKUP($B643,Menu!$A$1:$F$20,MATCH(OrderLines!E$1,Menu!$A$1:$F$1,0),0)</f>
        <v>Snack</v>
      </c>
      <c r="F643" s="36">
        <f>VLOOKUP($B643,Menu!$A$1:$F$20,MATCH(OrderLines!F$1,Menu!$A$1:$F$1,0),0)</f>
        <v>22.61</v>
      </c>
      <c r="G643" s="27">
        <f>VLOOKUP($A643,Orders!$A$1:$H$361,MATCH($G$1,Orders!$A$1:$H$1,0),0)</f>
        <v>45867</v>
      </c>
      <c r="H643" s="15" t="str">
        <f>VLOOKUP($A643,Orders!$A$1:$H$361,MATCH(OrderLines!$H$1,Orders!$A$1:$H$1,0),0)</f>
        <v>Head Office Café</v>
      </c>
      <c r="I643" s="15">
        <f>VLOOKUP($A643,Orders!$A$1:$H$361,MATCH(OrderLines!$I$1,Orders!$A$1:$H$1,0),0)</f>
        <v>0.04</v>
      </c>
      <c r="J643" s="15">
        <f t="shared" ref="J643:J706" si="31">$C643*$D643*(1-$I643)</f>
        <v>48.182399999999994</v>
      </c>
      <c r="K643" s="27" t="str">
        <f t="shared" ref="K643:K706" si="32">TEXT($G643,"mmmm")</f>
        <v>July</v>
      </c>
      <c r="L643" s="15" t="str">
        <f>VLOOKUP(OrderLines!$A643,Orders!$A$1:$H$361,MATCH(OrderLines!$L$1,Orders!$A$1:$H$1,0),0)</f>
        <v>Breakfast</v>
      </c>
      <c r="M643" t="str">
        <f>VLOOKUP($A643,Orders!$A$1:$H$361,MATCH(OrderLines!$M$1,Orders!$A$1:$H$1,0),0)</f>
        <v>Card</v>
      </c>
      <c r="N643" t="str">
        <f t="shared" si="30"/>
        <v>Single</v>
      </c>
      <c r="O643" t="str" cm="1">
        <f t="array" ref="O643">IF((SUMPRODUCT((OrderID=OrderLines!$A643)*Qty*UnitPrice*DiscountPct))&gt;40,"HighDisc","OK")</f>
        <v>HighDisc</v>
      </c>
      <c r="P643">
        <f>(orderlinesTABLE[[#This Row],[UnitCost]]*orderlinesTABLE[[#This Row],[Qty]])</f>
        <v>22.61</v>
      </c>
      <c r="Q643">
        <f>(orderlinesTABLE[[#This Row],[LineNetAmount]]-orderlinesTABLE[[#This Row],[totalCOST]])</f>
        <v>25.572399999999995</v>
      </c>
      <c r="R643" t="str">
        <f>VLOOKUP($B643,Menu!$A$1:$F$20,MATCH(OrderLines!R$1,Menu!$A$1:$F$1,0),0)</f>
        <v>Masala Puff</v>
      </c>
      <c r="S643" t="str" cm="1">
        <f t="array" ref="S643">_xlfn.TEXTJOIN("+",TRUE,_xlfn._xlws.FILTER(orderlinesTABLE[ItemName],OrderID=orderlinesTABLE[[#This Row],[OrderID]]))</f>
        <v>Veg Thali+Masala Puff+Rajma Chawal+Chicken Thali</v>
      </c>
      <c r="T643" s="54">
        <f>orderlinesTABLE[[#This Row],[Profit]]/orderlinesTABLE[[#This Row],[LineNetAmount]]</f>
        <v>0.5307415155741515</v>
      </c>
      <c r="U643" s="70">
        <f>(orderlinesTABLE[[#This Row],[Qty]]*orderlinesTABLE[[#This Row],[UnitCost]])</f>
        <v>22.61</v>
      </c>
    </row>
    <row r="644" spans="1:21" x14ac:dyDescent="0.3">
      <c r="A644" s="14" t="s">
        <v>288</v>
      </c>
      <c r="B644" s="14" t="s">
        <v>417</v>
      </c>
      <c r="C644" s="14">
        <v>2</v>
      </c>
      <c r="D644" s="37">
        <f>VLOOKUP($B644,Menu!$A$1:$F$20,MATCH($D$1,Menu!$A$1:$F$1,0),0)</f>
        <v>146.4</v>
      </c>
      <c r="E644" s="14" t="str">
        <f>VLOOKUP($B644,Menu!$A$1:$F$20,MATCH(OrderLines!E$1,Menu!$A$1:$F$1,0),0)</f>
        <v>Hot Meal</v>
      </c>
      <c r="F644" s="37">
        <f>VLOOKUP($B644,Menu!$A$1:$F$20,MATCH(OrderLines!F$1,Menu!$A$1:$F$1,0),0)</f>
        <v>80.92</v>
      </c>
      <c r="G644" s="28">
        <f>VLOOKUP($A644,Orders!$A$1:$H$361,MATCH($G$1,Orders!$A$1:$H$1,0),0)</f>
        <v>45867</v>
      </c>
      <c r="H644" s="14" t="str">
        <f>VLOOKUP($A644,Orders!$A$1:$H$361,MATCH(OrderLines!$H$1,Orders!$A$1:$H$1,0),0)</f>
        <v>Head Office Café</v>
      </c>
      <c r="I644" s="14">
        <f>VLOOKUP($A644,Orders!$A$1:$H$361,MATCH(OrderLines!$I$1,Orders!$A$1:$H$1,0),0)</f>
        <v>0.04</v>
      </c>
      <c r="J644" s="14">
        <f t="shared" si="31"/>
        <v>281.08800000000002</v>
      </c>
      <c r="K644" s="28" t="str">
        <f t="shared" si="32"/>
        <v>July</v>
      </c>
      <c r="L644" s="14" t="str">
        <f>VLOOKUP(OrderLines!$A644,Orders!$A$1:$H$361,MATCH(OrderLines!$L$1,Orders!$A$1:$H$1,0),0)</f>
        <v>Breakfast</v>
      </c>
      <c r="M644" t="str">
        <f>VLOOKUP($A644,Orders!$A$1:$H$361,MATCH(OrderLines!$M$1,Orders!$A$1:$H$1,0),0)</f>
        <v>Card</v>
      </c>
      <c r="N644" t="str">
        <f t="shared" si="30"/>
        <v>Single</v>
      </c>
      <c r="O644" t="str" cm="1">
        <f t="array" ref="O644">IF((SUMPRODUCT((OrderID=OrderLines!$A644)*Qty*UnitPrice*DiscountPct))&gt;40,"HighDisc","OK")</f>
        <v>HighDisc</v>
      </c>
      <c r="P644">
        <f>(orderlinesTABLE[[#This Row],[UnitCost]]*orderlinesTABLE[[#This Row],[Qty]])</f>
        <v>161.84</v>
      </c>
      <c r="Q644">
        <f>(orderlinesTABLE[[#This Row],[LineNetAmount]]-orderlinesTABLE[[#This Row],[totalCOST]])</f>
        <v>119.24800000000002</v>
      </c>
      <c r="R644" t="str">
        <f>VLOOKUP($B644,Menu!$A$1:$F$20,MATCH(OrderLines!R$1,Menu!$A$1:$F$1,0),0)</f>
        <v>Rajma Chawal</v>
      </c>
      <c r="S644" t="str" cm="1">
        <f t="array" ref="S644">_xlfn.TEXTJOIN("+",TRUE,_xlfn._xlws.FILTER(orderlinesTABLE[ItemName],OrderID=orderlinesTABLE[[#This Row],[OrderID]]))</f>
        <v>Veg Thali+Masala Puff+Rajma Chawal+Chicken Thali</v>
      </c>
      <c r="T644" s="54">
        <f>orderlinesTABLE[[#This Row],[Profit]]/orderlinesTABLE[[#This Row],[LineNetAmount]]</f>
        <v>0.4242372495446266</v>
      </c>
      <c r="U644" s="70">
        <f>(orderlinesTABLE[[#This Row],[Qty]]*orderlinesTABLE[[#This Row],[UnitCost]])</f>
        <v>161.84</v>
      </c>
    </row>
    <row r="645" spans="1:21" x14ac:dyDescent="0.3">
      <c r="A645" s="15" t="s">
        <v>288</v>
      </c>
      <c r="B645" s="15" t="s">
        <v>415</v>
      </c>
      <c r="C645" s="15">
        <v>2</v>
      </c>
      <c r="D645" s="36">
        <f>VLOOKUP($B645,Menu!$A$1:$F$20,MATCH($D$1,Menu!$A$1:$F$1,0),0)</f>
        <v>256.91000000000003</v>
      </c>
      <c r="E645" s="15" t="str">
        <f>VLOOKUP($B645,Menu!$A$1:$F$20,MATCH(OrderLines!E$1,Menu!$A$1:$F$1,0),0)</f>
        <v>Hot Meal</v>
      </c>
      <c r="F645" s="36">
        <f>VLOOKUP($B645,Menu!$A$1:$F$20,MATCH(OrderLines!F$1,Menu!$A$1:$F$1,0),0)</f>
        <v>121.24</v>
      </c>
      <c r="G645" s="27">
        <f>VLOOKUP($A645,Orders!$A$1:$H$361,MATCH($G$1,Orders!$A$1:$H$1,0),0)</f>
        <v>45867</v>
      </c>
      <c r="H645" s="15" t="str">
        <f>VLOOKUP($A645,Orders!$A$1:$H$361,MATCH(OrderLines!$H$1,Orders!$A$1:$H$1,0),0)</f>
        <v>Head Office Café</v>
      </c>
      <c r="I645" s="15">
        <f>VLOOKUP($A645,Orders!$A$1:$H$361,MATCH(OrderLines!$I$1,Orders!$A$1:$H$1,0),0)</f>
        <v>0.04</v>
      </c>
      <c r="J645" s="15">
        <f t="shared" si="31"/>
        <v>493.2672</v>
      </c>
      <c r="K645" s="27" t="str">
        <f t="shared" si="32"/>
        <v>July</v>
      </c>
      <c r="L645" s="15" t="str">
        <f>VLOOKUP(OrderLines!$A645,Orders!$A$1:$H$361,MATCH(OrderLines!$L$1,Orders!$A$1:$H$1,0),0)</f>
        <v>Breakfast</v>
      </c>
      <c r="M645" t="str">
        <f>VLOOKUP($A645,Orders!$A$1:$H$361,MATCH(OrderLines!$M$1,Orders!$A$1:$H$1,0),0)</f>
        <v>Card</v>
      </c>
      <c r="N645" t="str">
        <f t="shared" si="30"/>
        <v>Single</v>
      </c>
      <c r="O645" t="str" cm="1">
        <f t="array" ref="O645">IF((SUMPRODUCT((OrderID=OrderLines!$A645)*Qty*UnitPrice*DiscountPct))&gt;40,"HighDisc","OK")</f>
        <v>HighDisc</v>
      </c>
      <c r="P645">
        <f>(orderlinesTABLE[[#This Row],[UnitCost]]*orderlinesTABLE[[#This Row],[Qty]])</f>
        <v>242.48</v>
      </c>
      <c r="Q645">
        <f>(orderlinesTABLE[[#This Row],[LineNetAmount]]-orderlinesTABLE[[#This Row],[totalCOST]])</f>
        <v>250.78720000000001</v>
      </c>
      <c r="R645" t="str">
        <f>VLOOKUP($B645,Menu!$A$1:$F$20,MATCH(OrderLines!R$1,Menu!$A$1:$F$1,0),0)</f>
        <v>Chicken Thali</v>
      </c>
      <c r="S645" t="str" cm="1">
        <f t="array" ref="S645">_xlfn.TEXTJOIN("+",TRUE,_xlfn._xlws.FILTER(orderlinesTABLE[ItemName],OrderID=orderlinesTABLE[[#This Row],[OrderID]]))</f>
        <v>Veg Thali+Masala Puff+Rajma Chawal+Chicken Thali</v>
      </c>
      <c r="T645" s="54">
        <f>orderlinesTABLE[[#This Row],[Profit]]/orderlinesTABLE[[#This Row],[LineNetAmount]]</f>
        <v>0.50842058827345504</v>
      </c>
      <c r="U645" s="70">
        <f>(orderlinesTABLE[[#This Row],[Qty]]*orderlinesTABLE[[#This Row],[UnitCost]])</f>
        <v>242.48</v>
      </c>
    </row>
    <row r="646" spans="1:21" x14ac:dyDescent="0.3">
      <c r="A646" s="14" t="s">
        <v>289</v>
      </c>
      <c r="B646" s="14" t="s">
        <v>406</v>
      </c>
      <c r="C646" s="14">
        <v>2</v>
      </c>
      <c r="D646" s="37">
        <f>VLOOKUP($B646,Menu!$A$1:$F$20,MATCH($D$1,Menu!$A$1:$F$1,0),0)</f>
        <v>38.06</v>
      </c>
      <c r="E646" s="14" t="str">
        <f>VLOOKUP($B646,Menu!$A$1:$F$20,MATCH(OrderLines!E$1,Menu!$A$1:$F$1,0),0)</f>
        <v>Snack</v>
      </c>
      <c r="F646" s="37">
        <f>VLOOKUP($B646,Menu!$A$1:$F$20,MATCH(OrderLines!F$1,Menu!$A$1:$F$1,0),0)</f>
        <v>19.55</v>
      </c>
      <c r="G646" s="28">
        <f>VLOOKUP($A646,Orders!$A$1:$H$361,MATCH($G$1,Orders!$A$1:$H$1,0),0)</f>
        <v>45895</v>
      </c>
      <c r="H646" s="14" t="str">
        <f>VLOOKUP($A646,Orders!$A$1:$H$361,MATCH(OrderLines!$H$1,Orders!$A$1:$H$1,0),0)</f>
        <v>Head Office Café</v>
      </c>
      <c r="I646" s="14">
        <f>VLOOKUP($A646,Orders!$A$1:$H$361,MATCH(OrderLines!$I$1,Orders!$A$1:$H$1,0),0)</f>
        <v>0.09</v>
      </c>
      <c r="J646" s="14">
        <f t="shared" si="31"/>
        <v>69.269200000000012</v>
      </c>
      <c r="K646" s="28" t="str">
        <f t="shared" si="32"/>
        <v>August</v>
      </c>
      <c r="L646" s="14" t="str">
        <f>VLOOKUP(OrderLines!$A646,Orders!$A$1:$H$361,MATCH(OrderLines!$L$1,Orders!$A$1:$H$1,0),0)</f>
        <v>Breakfast</v>
      </c>
      <c r="M646" t="str">
        <f>VLOOKUP($A646,Orders!$A$1:$H$361,MATCH(OrderLines!$M$1,Orders!$A$1:$H$1,0),0)</f>
        <v>Cash</v>
      </c>
      <c r="N646" t="str">
        <f t="shared" si="30"/>
        <v>Single</v>
      </c>
      <c r="O646" t="str" cm="1">
        <f t="array" ref="O646">IF((SUMPRODUCT((OrderID=OrderLines!$A646)*Qty*UnitPrice*DiscountPct))&gt;40,"HighDisc","OK")</f>
        <v>HighDisc</v>
      </c>
      <c r="P646">
        <f>(orderlinesTABLE[[#This Row],[UnitCost]]*orderlinesTABLE[[#This Row],[Qty]])</f>
        <v>39.1</v>
      </c>
      <c r="Q646">
        <f>(orderlinesTABLE[[#This Row],[LineNetAmount]]-orderlinesTABLE[[#This Row],[totalCOST]])</f>
        <v>30.169200000000011</v>
      </c>
      <c r="R646" t="str">
        <f>VLOOKUP($B646,Menu!$A$1:$F$20,MATCH(OrderLines!R$1,Menu!$A$1:$F$1,0),0)</f>
        <v>Paneer Roll</v>
      </c>
      <c r="S646" t="str" cm="1">
        <f t="array" ref="S646">_xlfn.TEXTJOIN("+",TRUE,_xlfn._xlws.FILTER(orderlinesTABLE[ItemName],OrderID=orderlinesTABLE[[#This Row],[OrderID]]))</f>
        <v>Paneer Roll+Chicken Thali+Veg Thali</v>
      </c>
      <c r="T646" s="54">
        <f>orderlinesTABLE[[#This Row],[Profit]]/orderlinesTABLE[[#This Row],[LineNetAmount]]</f>
        <v>0.43553556270319282</v>
      </c>
      <c r="U646" s="70">
        <f>(orderlinesTABLE[[#This Row],[Qty]]*orderlinesTABLE[[#This Row],[UnitCost]])</f>
        <v>39.1</v>
      </c>
    </row>
    <row r="647" spans="1:21" x14ac:dyDescent="0.3">
      <c r="A647" s="15" t="s">
        <v>289</v>
      </c>
      <c r="B647" s="15" t="s">
        <v>415</v>
      </c>
      <c r="C647" s="15">
        <v>1</v>
      </c>
      <c r="D647" s="36">
        <f>VLOOKUP($B647,Menu!$A$1:$F$20,MATCH($D$1,Menu!$A$1:$F$1,0),0)</f>
        <v>256.91000000000003</v>
      </c>
      <c r="E647" s="15" t="str">
        <f>VLOOKUP($B647,Menu!$A$1:$F$20,MATCH(OrderLines!E$1,Menu!$A$1:$F$1,0),0)</f>
        <v>Hot Meal</v>
      </c>
      <c r="F647" s="36">
        <f>VLOOKUP($B647,Menu!$A$1:$F$20,MATCH(OrderLines!F$1,Menu!$A$1:$F$1,0),0)</f>
        <v>121.24</v>
      </c>
      <c r="G647" s="27">
        <f>VLOOKUP($A647,Orders!$A$1:$H$361,MATCH($G$1,Orders!$A$1:$H$1,0),0)</f>
        <v>45895</v>
      </c>
      <c r="H647" s="15" t="str">
        <f>VLOOKUP($A647,Orders!$A$1:$H$361,MATCH(OrderLines!$H$1,Orders!$A$1:$H$1,0),0)</f>
        <v>Head Office Café</v>
      </c>
      <c r="I647" s="15">
        <f>VLOOKUP($A647,Orders!$A$1:$H$361,MATCH(OrderLines!$I$1,Orders!$A$1:$H$1,0),0)</f>
        <v>0.09</v>
      </c>
      <c r="J647" s="15">
        <f t="shared" si="31"/>
        <v>233.78810000000004</v>
      </c>
      <c r="K647" s="27" t="str">
        <f t="shared" si="32"/>
        <v>August</v>
      </c>
      <c r="L647" s="15" t="str">
        <f>VLOOKUP(OrderLines!$A647,Orders!$A$1:$H$361,MATCH(OrderLines!$L$1,Orders!$A$1:$H$1,0),0)</f>
        <v>Breakfast</v>
      </c>
      <c r="M647" t="str">
        <f>VLOOKUP($A647,Orders!$A$1:$H$361,MATCH(OrderLines!$M$1,Orders!$A$1:$H$1,0),0)</f>
        <v>Cash</v>
      </c>
      <c r="N647" t="str">
        <f t="shared" si="30"/>
        <v>Single</v>
      </c>
      <c r="O647" t="str" cm="1">
        <f t="array" ref="O647">IF((SUMPRODUCT((OrderID=OrderLines!$A647)*Qty*UnitPrice*DiscountPct))&gt;40,"HighDisc","OK")</f>
        <v>HighDisc</v>
      </c>
      <c r="P647">
        <f>(orderlinesTABLE[[#This Row],[UnitCost]]*orderlinesTABLE[[#This Row],[Qty]])</f>
        <v>121.24</v>
      </c>
      <c r="Q647">
        <f>(orderlinesTABLE[[#This Row],[LineNetAmount]]-orderlinesTABLE[[#This Row],[totalCOST]])</f>
        <v>112.54810000000005</v>
      </c>
      <c r="R647" t="str">
        <f>VLOOKUP($B647,Menu!$A$1:$F$20,MATCH(OrderLines!R$1,Menu!$A$1:$F$1,0),0)</f>
        <v>Chicken Thali</v>
      </c>
      <c r="S647" t="str" cm="1">
        <f t="array" ref="S647">_xlfn.TEXTJOIN("+",TRUE,_xlfn._xlws.FILTER(orderlinesTABLE[ItemName],OrderID=orderlinesTABLE[[#This Row],[OrderID]]))</f>
        <v>Paneer Roll+Chicken Thali+Veg Thali</v>
      </c>
      <c r="T647" s="54">
        <f>orderlinesTABLE[[#This Row],[Profit]]/orderlinesTABLE[[#This Row],[LineNetAmount]]</f>
        <v>0.48141073048628236</v>
      </c>
      <c r="U647" s="70">
        <f>(orderlinesTABLE[[#This Row],[Qty]]*orderlinesTABLE[[#This Row],[UnitCost]])</f>
        <v>121.24</v>
      </c>
    </row>
    <row r="648" spans="1:21" x14ac:dyDescent="0.3">
      <c r="A648" s="14" t="s">
        <v>289</v>
      </c>
      <c r="B648" s="14" t="s">
        <v>416</v>
      </c>
      <c r="C648" s="14">
        <v>3</v>
      </c>
      <c r="D648" s="37">
        <f>VLOOKUP($B648,Menu!$A$1:$F$20,MATCH($D$1,Menu!$A$1:$F$1,0),0)</f>
        <v>227.61</v>
      </c>
      <c r="E648" s="14" t="str">
        <f>VLOOKUP($B648,Menu!$A$1:$F$20,MATCH(OrderLines!E$1,Menu!$A$1:$F$1,0),0)</f>
        <v>Hot Meal</v>
      </c>
      <c r="F648" s="37">
        <f>VLOOKUP($B648,Menu!$A$1:$F$20,MATCH(OrderLines!F$1,Menu!$A$1:$F$1,0),0)</f>
        <v>96.22</v>
      </c>
      <c r="G648" s="28">
        <f>VLOOKUP($A648,Orders!$A$1:$H$361,MATCH($G$1,Orders!$A$1:$H$1,0),0)</f>
        <v>45895</v>
      </c>
      <c r="H648" s="14" t="str">
        <f>VLOOKUP($A648,Orders!$A$1:$H$361,MATCH(OrderLines!$H$1,Orders!$A$1:$H$1,0),0)</f>
        <v>Head Office Café</v>
      </c>
      <c r="I648" s="14">
        <f>VLOOKUP($A648,Orders!$A$1:$H$361,MATCH(OrderLines!$I$1,Orders!$A$1:$H$1,0),0)</f>
        <v>0.09</v>
      </c>
      <c r="J648" s="14">
        <f t="shared" si="31"/>
        <v>621.37530000000004</v>
      </c>
      <c r="K648" s="28" t="str">
        <f t="shared" si="32"/>
        <v>August</v>
      </c>
      <c r="L648" s="14" t="str">
        <f>VLOOKUP(OrderLines!$A648,Orders!$A$1:$H$361,MATCH(OrderLines!$L$1,Orders!$A$1:$H$1,0),0)</f>
        <v>Breakfast</v>
      </c>
      <c r="M648" t="str">
        <f>VLOOKUP($A648,Orders!$A$1:$H$361,MATCH(OrderLines!$M$1,Orders!$A$1:$H$1,0),0)</f>
        <v>Cash</v>
      </c>
      <c r="N648" t="str">
        <f t="shared" si="30"/>
        <v>Single</v>
      </c>
      <c r="O648" t="str" cm="1">
        <f t="array" ref="O648">IF((SUMPRODUCT((OrderID=OrderLines!$A648)*Qty*UnitPrice*DiscountPct))&gt;40,"HighDisc","OK")</f>
        <v>HighDisc</v>
      </c>
      <c r="P648">
        <f>(orderlinesTABLE[[#This Row],[UnitCost]]*orderlinesTABLE[[#This Row],[Qty]])</f>
        <v>288.65999999999997</v>
      </c>
      <c r="Q648">
        <f>(orderlinesTABLE[[#This Row],[LineNetAmount]]-orderlinesTABLE[[#This Row],[totalCOST]])</f>
        <v>332.71530000000007</v>
      </c>
      <c r="R648" t="str">
        <f>VLOOKUP($B648,Menu!$A$1:$F$20,MATCH(OrderLines!R$1,Menu!$A$1:$F$1,0),0)</f>
        <v>Veg Thali</v>
      </c>
      <c r="S648" t="str" cm="1">
        <f t="array" ref="S648">_xlfn.TEXTJOIN("+",TRUE,_xlfn._xlws.FILTER(orderlinesTABLE[ItemName],OrderID=orderlinesTABLE[[#This Row],[OrderID]]))</f>
        <v>Paneer Roll+Chicken Thali+Veg Thali</v>
      </c>
      <c r="T648" s="54">
        <f>orderlinesTABLE[[#This Row],[Profit]]/orderlinesTABLE[[#This Row],[LineNetAmount]]</f>
        <v>0.53544983200973717</v>
      </c>
      <c r="U648" s="70">
        <f>(orderlinesTABLE[[#This Row],[Qty]]*orderlinesTABLE[[#This Row],[UnitCost]])</f>
        <v>288.65999999999997</v>
      </c>
    </row>
    <row r="649" spans="1:21" x14ac:dyDescent="0.3">
      <c r="A649" s="15" t="s">
        <v>290</v>
      </c>
      <c r="B649" s="15" t="s">
        <v>416</v>
      </c>
      <c r="C649" s="15">
        <v>1</v>
      </c>
      <c r="D649" s="36">
        <f>VLOOKUP($B649,Menu!$A$1:$F$20,MATCH($D$1,Menu!$A$1:$F$1,0),0)</f>
        <v>227.61</v>
      </c>
      <c r="E649" s="15" t="str">
        <f>VLOOKUP($B649,Menu!$A$1:$F$20,MATCH(OrderLines!E$1,Menu!$A$1:$F$1,0),0)</f>
        <v>Hot Meal</v>
      </c>
      <c r="F649" s="36">
        <f>VLOOKUP($B649,Menu!$A$1:$F$20,MATCH(OrderLines!F$1,Menu!$A$1:$F$1,0),0)</f>
        <v>96.22</v>
      </c>
      <c r="G649" s="27">
        <f>VLOOKUP($A649,Orders!$A$1:$H$361,MATCH($G$1,Orders!$A$1:$H$1,0),0)</f>
        <v>45861</v>
      </c>
      <c r="H649" s="15" t="str">
        <f>VLOOKUP($A649,Orders!$A$1:$H$361,MATCH(OrderLines!$H$1,Orders!$A$1:$H$1,0),0)</f>
        <v>Plant 1 Canteen</v>
      </c>
      <c r="I649" s="15">
        <f>VLOOKUP($A649,Orders!$A$1:$H$361,MATCH(OrderLines!$I$1,Orders!$A$1:$H$1,0),0)</f>
        <v>7.0000000000000007E-2</v>
      </c>
      <c r="J649" s="15">
        <f t="shared" si="31"/>
        <v>211.6773</v>
      </c>
      <c r="K649" s="27" t="str">
        <f t="shared" si="32"/>
        <v>July</v>
      </c>
      <c r="L649" s="15" t="str">
        <f>VLOOKUP(OrderLines!$A649,Orders!$A$1:$H$361,MATCH(OrderLines!$L$1,Orders!$A$1:$H$1,0),0)</f>
        <v>Breakfast</v>
      </c>
      <c r="M649" t="str">
        <f>VLOOKUP($A649,Orders!$A$1:$H$361,MATCH(OrderLines!$M$1,Orders!$A$1:$H$1,0),0)</f>
        <v>UPI</v>
      </c>
      <c r="N649" t="str">
        <f t="shared" si="30"/>
        <v>Single</v>
      </c>
      <c r="O649" t="str" cm="1">
        <f t="array" ref="O649">IF((SUMPRODUCT((OrderID=OrderLines!$A649)*Qty*UnitPrice*DiscountPct))&gt;40,"HighDisc","OK")</f>
        <v>OK</v>
      </c>
      <c r="P649">
        <f>(orderlinesTABLE[[#This Row],[UnitCost]]*orderlinesTABLE[[#This Row],[Qty]])</f>
        <v>96.22</v>
      </c>
      <c r="Q649">
        <f>(orderlinesTABLE[[#This Row],[LineNetAmount]]-orderlinesTABLE[[#This Row],[totalCOST]])</f>
        <v>115.4573</v>
      </c>
      <c r="R649" t="str">
        <f>VLOOKUP($B649,Menu!$A$1:$F$20,MATCH(OrderLines!R$1,Menu!$A$1:$F$1,0),0)</f>
        <v>Veg Thali</v>
      </c>
      <c r="S649" t="str" cm="1">
        <f t="array" ref="S649">_xlfn.TEXTJOIN("+",TRUE,_xlfn._xlws.FILTER(orderlinesTABLE[ItemName],OrderID=orderlinesTABLE[[#This Row],[OrderID]]))</f>
        <v>Veg Thali+Poha</v>
      </c>
      <c r="T649" s="54">
        <f>orderlinesTABLE[[#This Row],[Profit]]/orderlinesTABLE[[#This Row],[LineNetAmount]]</f>
        <v>0.54544015820307612</v>
      </c>
      <c r="U649" s="70">
        <f>(orderlinesTABLE[[#This Row],[Qty]]*orderlinesTABLE[[#This Row],[UnitCost]])</f>
        <v>96.22</v>
      </c>
    </row>
    <row r="650" spans="1:21" x14ac:dyDescent="0.3">
      <c r="A650" s="14" t="s">
        <v>290</v>
      </c>
      <c r="B650" s="14" t="s">
        <v>401</v>
      </c>
      <c r="C650" s="14">
        <v>1</v>
      </c>
      <c r="D650" s="37">
        <f>VLOOKUP($B650,Menu!$A$1:$F$20,MATCH($D$1,Menu!$A$1:$F$1,0),0)</f>
        <v>52.45</v>
      </c>
      <c r="E650" s="14" t="str">
        <f>VLOOKUP($B650,Menu!$A$1:$F$20,MATCH(OrderLines!E$1,Menu!$A$1:$F$1,0),0)</f>
        <v>Snack</v>
      </c>
      <c r="F650" s="37">
        <f>VLOOKUP($B650,Menu!$A$1:$F$20,MATCH(OrderLines!F$1,Menu!$A$1:$F$1,0),0)</f>
        <v>25.8</v>
      </c>
      <c r="G650" s="28">
        <f>VLOOKUP($A650,Orders!$A$1:$H$361,MATCH($G$1,Orders!$A$1:$H$1,0),0)</f>
        <v>45861</v>
      </c>
      <c r="H650" s="14" t="str">
        <f>VLOOKUP($A650,Orders!$A$1:$H$361,MATCH(OrderLines!$H$1,Orders!$A$1:$H$1,0),0)</f>
        <v>Plant 1 Canteen</v>
      </c>
      <c r="I650" s="14">
        <f>VLOOKUP($A650,Orders!$A$1:$H$361,MATCH(OrderLines!$I$1,Orders!$A$1:$H$1,0),0)</f>
        <v>7.0000000000000007E-2</v>
      </c>
      <c r="J650" s="14">
        <f t="shared" si="31"/>
        <v>48.778500000000001</v>
      </c>
      <c r="K650" s="28" t="str">
        <f t="shared" si="32"/>
        <v>July</v>
      </c>
      <c r="L650" s="14" t="str">
        <f>VLOOKUP(OrderLines!$A650,Orders!$A$1:$H$361,MATCH(OrderLines!$L$1,Orders!$A$1:$H$1,0),0)</f>
        <v>Breakfast</v>
      </c>
      <c r="M650" t="str">
        <f>VLOOKUP($A650,Orders!$A$1:$H$361,MATCH(OrderLines!$M$1,Orders!$A$1:$H$1,0),0)</f>
        <v>UPI</v>
      </c>
      <c r="N650" t="str">
        <f t="shared" si="30"/>
        <v>Single</v>
      </c>
      <c r="O650" t="str" cm="1">
        <f t="array" ref="O650">IF((SUMPRODUCT((OrderID=OrderLines!$A650)*Qty*UnitPrice*DiscountPct))&gt;40,"HighDisc","OK")</f>
        <v>OK</v>
      </c>
      <c r="P650">
        <f>(orderlinesTABLE[[#This Row],[UnitCost]]*orderlinesTABLE[[#This Row],[Qty]])</f>
        <v>25.8</v>
      </c>
      <c r="Q650">
        <f>(orderlinesTABLE[[#This Row],[LineNetAmount]]-orderlinesTABLE[[#This Row],[totalCOST]])</f>
        <v>22.9785</v>
      </c>
      <c r="R650" t="str">
        <f>VLOOKUP($B650,Menu!$A$1:$F$20,MATCH(OrderLines!R$1,Menu!$A$1:$F$1,0),0)</f>
        <v>Poha</v>
      </c>
      <c r="S650" t="str" cm="1">
        <f t="array" ref="S650">_xlfn.TEXTJOIN("+",TRUE,_xlfn._xlws.FILTER(orderlinesTABLE[ItemName],OrderID=orderlinesTABLE[[#This Row],[OrderID]]))</f>
        <v>Veg Thali+Poha</v>
      </c>
      <c r="T650" s="54">
        <f>orderlinesTABLE[[#This Row],[Profit]]/orderlinesTABLE[[#This Row],[LineNetAmount]]</f>
        <v>0.47107844644669272</v>
      </c>
      <c r="U650" s="70">
        <f>(orderlinesTABLE[[#This Row],[Qty]]*orderlinesTABLE[[#This Row],[UnitCost]])</f>
        <v>25.8</v>
      </c>
    </row>
    <row r="651" spans="1:21" x14ac:dyDescent="0.3">
      <c r="A651" s="15" t="s">
        <v>291</v>
      </c>
      <c r="B651" s="15" t="s">
        <v>408</v>
      </c>
      <c r="C651" s="15">
        <v>2</v>
      </c>
      <c r="D651" s="36">
        <f>VLOOKUP($B651,Menu!$A$1:$F$20,MATCH($D$1,Menu!$A$1:$F$1,0),0)</f>
        <v>70.540000000000006</v>
      </c>
      <c r="E651" s="15" t="str">
        <f>VLOOKUP($B651,Menu!$A$1:$F$20,MATCH(OrderLines!E$1,Menu!$A$1:$F$1,0),0)</f>
        <v>Snack</v>
      </c>
      <c r="F651" s="36">
        <f>VLOOKUP($B651,Menu!$A$1:$F$20,MATCH(OrderLines!F$1,Menu!$A$1:$F$1,0),0)</f>
        <v>35.81</v>
      </c>
      <c r="G651" s="27">
        <f>VLOOKUP($A651,Orders!$A$1:$H$361,MATCH($G$1,Orders!$A$1:$H$1,0),0)</f>
        <v>45850</v>
      </c>
      <c r="H651" s="15" t="str">
        <f>VLOOKUP($A651,Orders!$A$1:$H$361,MATCH(OrderLines!$H$1,Orders!$A$1:$H$1,0),0)</f>
        <v>Plant 2 Canteen</v>
      </c>
      <c r="I651" s="15">
        <f>VLOOKUP($A651,Orders!$A$1:$H$361,MATCH(OrderLines!$I$1,Orders!$A$1:$H$1,0),0)</f>
        <v>0.03</v>
      </c>
      <c r="J651" s="15">
        <f t="shared" si="31"/>
        <v>136.8476</v>
      </c>
      <c r="K651" s="27" t="str">
        <f t="shared" si="32"/>
        <v>July</v>
      </c>
      <c r="L651" s="15" t="str">
        <f>VLOOKUP(OrderLines!$A651,Orders!$A$1:$H$361,MATCH(OrderLines!$L$1,Orders!$A$1:$H$1,0),0)</f>
        <v>Breakfast</v>
      </c>
      <c r="M651" t="str">
        <f>VLOOKUP($A651,Orders!$A$1:$H$361,MATCH(OrderLines!$M$1,Orders!$A$1:$H$1,0),0)</f>
        <v>Cash</v>
      </c>
      <c r="N651" t="str">
        <f t="shared" si="30"/>
        <v>Combo</v>
      </c>
      <c r="O651" t="str" cm="1">
        <f t="array" ref="O651">IF((SUMPRODUCT((OrderID=OrderLines!$A651)*Qty*UnitPrice*DiscountPct))&gt;40,"HighDisc","OK")</f>
        <v>OK</v>
      </c>
      <c r="P651">
        <f>(orderlinesTABLE[[#This Row],[UnitCost]]*orderlinesTABLE[[#This Row],[Qty]])</f>
        <v>71.62</v>
      </c>
      <c r="Q651">
        <f>(orderlinesTABLE[[#This Row],[LineNetAmount]]-orderlinesTABLE[[#This Row],[totalCOST]])</f>
        <v>65.227599999999995</v>
      </c>
      <c r="R651" t="str">
        <f>VLOOKUP($B651,Menu!$A$1:$F$20,MATCH(OrderLines!R$1,Menu!$A$1:$F$1,0),0)</f>
        <v>Veg Sandwich</v>
      </c>
      <c r="S651" t="str" cm="1">
        <f t="array" ref="S651">_xlfn.TEXTJOIN("+",TRUE,_xlfn._xlws.FILTER(orderlinesTABLE[ItemName],OrderID=orderlinesTABLE[[#This Row],[OrderID]]))</f>
        <v>Veg Sandwich+Paneer Roll+Coffee+Veg Thali</v>
      </c>
      <c r="T651" s="54">
        <f>orderlinesTABLE[[#This Row],[Profit]]/orderlinesTABLE[[#This Row],[LineNetAmount]]</f>
        <v>0.47664409167570343</v>
      </c>
      <c r="U651" s="70">
        <f>(orderlinesTABLE[[#This Row],[Qty]]*orderlinesTABLE[[#This Row],[UnitCost]])</f>
        <v>71.62</v>
      </c>
    </row>
    <row r="652" spans="1:21" x14ac:dyDescent="0.3">
      <c r="A652" s="14" t="s">
        <v>291</v>
      </c>
      <c r="B652" s="14" t="s">
        <v>406</v>
      </c>
      <c r="C652" s="14">
        <v>2</v>
      </c>
      <c r="D652" s="37">
        <f>VLOOKUP($B652,Menu!$A$1:$F$20,MATCH($D$1,Menu!$A$1:$F$1,0),0)</f>
        <v>38.06</v>
      </c>
      <c r="E652" s="14" t="str">
        <f>VLOOKUP($B652,Menu!$A$1:$F$20,MATCH(OrderLines!E$1,Menu!$A$1:$F$1,0),0)</f>
        <v>Snack</v>
      </c>
      <c r="F652" s="37">
        <f>VLOOKUP($B652,Menu!$A$1:$F$20,MATCH(OrderLines!F$1,Menu!$A$1:$F$1,0),0)</f>
        <v>19.55</v>
      </c>
      <c r="G652" s="28">
        <f>VLOOKUP($A652,Orders!$A$1:$H$361,MATCH($G$1,Orders!$A$1:$H$1,0),0)</f>
        <v>45850</v>
      </c>
      <c r="H652" s="14" t="str">
        <f>VLOOKUP($A652,Orders!$A$1:$H$361,MATCH(OrderLines!$H$1,Orders!$A$1:$H$1,0),0)</f>
        <v>Plant 2 Canteen</v>
      </c>
      <c r="I652" s="14">
        <f>VLOOKUP($A652,Orders!$A$1:$H$361,MATCH(OrderLines!$I$1,Orders!$A$1:$H$1,0),0)</f>
        <v>0.03</v>
      </c>
      <c r="J652" s="14">
        <f t="shared" si="31"/>
        <v>73.836399999999998</v>
      </c>
      <c r="K652" s="28" t="str">
        <f t="shared" si="32"/>
        <v>July</v>
      </c>
      <c r="L652" s="14" t="str">
        <f>VLOOKUP(OrderLines!$A652,Orders!$A$1:$H$361,MATCH(OrderLines!$L$1,Orders!$A$1:$H$1,0),0)</f>
        <v>Breakfast</v>
      </c>
      <c r="M652" t="str">
        <f>VLOOKUP($A652,Orders!$A$1:$H$361,MATCH(OrderLines!$M$1,Orders!$A$1:$H$1,0),0)</f>
        <v>Cash</v>
      </c>
      <c r="N652" t="str">
        <f t="shared" si="30"/>
        <v>Combo</v>
      </c>
      <c r="O652" t="str" cm="1">
        <f t="array" ref="O652">IF((SUMPRODUCT((OrderID=OrderLines!$A652)*Qty*UnitPrice*DiscountPct))&gt;40,"HighDisc","OK")</f>
        <v>OK</v>
      </c>
      <c r="P652">
        <f>(orderlinesTABLE[[#This Row],[UnitCost]]*orderlinesTABLE[[#This Row],[Qty]])</f>
        <v>39.1</v>
      </c>
      <c r="Q652">
        <f>(orderlinesTABLE[[#This Row],[LineNetAmount]]-orderlinesTABLE[[#This Row],[totalCOST]])</f>
        <v>34.736399999999996</v>
      </c>
      <c r="R652" t="str">
        <f>VLOOKUP($B652,Menu!$A$1:$F$20,MATCH(OrderLines!R$1,Menu!$A$1:$F$1,0),0)</f>
        <v>Paneer Roll</v>
      </c>
      <c r="S652" t="str" cm="1">
        <f t="array" ref="S652">_xlfn.TEXTJOIN("+",TRUE,_xlfn._xlws.FILTER(orderlinesTABLE[ItemName],OrderID=orderlinesTABLE[[#This Row],[OrderID]]))</f>
        <v>Veg Sandwich+Paneer Roll+Coffee+Veg Thali</v>
      </c>
      <c r="T652" s="54">
        <f>orderlinesTABLE[[#This Row],[Profit]]/orderlinesTABLE[[#This Row],[LineNetAmount]]</f>
        <v>0.47045088872155194</v>
      </c>
      <c r="U652" s="70">
        <f>(orderlinesTABLE[[#This Row],[Qty]]*orderlinesTABLE[[#This Row],[UnitCost]])</f>
        <v>39.1</v>
      </c>
    </row>
    <row r="653" spans="1:21" x14ac:dyDescent="0.3">
      <c r="A653" s="15" t="s">
        <v>291</v>
      </c>
      <c r="B653" s="15" t="s">
        <v>411</v>
      </c>
      <c r="C653" s="15">
        <v>2</v>
      </c>
      <c r="D653" s="36">
        <f>VLOOKUP($B653,Menu!$A$1:$F$20,MATCH($D$1,Menu!$A$1:$F$1,0),0)</f>
        <v>22.2</v>
      </c>
      <c r="E653" s="15" t="str">
        <f>VLOOKUP($B653,Menu!$A$1:$F$20,MATCH(OrderLines!E$1,Menu!$A$1:$F$1,0),0)</f>
        <v>Beverage</v>
      </c>
      <c r="F653" s="36">
        <f>VLOOKUP($B653,Menu!$A$1:$F$20,MATCH(OrderLines!F$1,Menu!$A$1:$F$1,0),0)</f>
        <v>9.3800000000000008</v>
      </c>
      <c r="G653" s="27">
        <f>VLOOKUP($A653,Orders!$A$1:$H$361,MATCH($G$1,Orders!$A$1:$H$1,0),0)</f>
        <v>45850</v>
      </c>
      <c r="H653" s="15" t="str">
        <f>VLOOKUP($A653,Orders!$A$1:$H$361,MATCH(OrderLines!$H$1,Orders!$A$1:$H$1,0),0)</f>
        <v>Plant 2 Canteen</v>
      </c>
      <c r="I653" s="15">
        <f>VLOOKUP($A653,Orders!$A$1:$H$361,MATCH(OrderLines!$I$1,Orders!$A$1:$H$1,0),0)</f>
        <v>0.03</v>
      </c>
      <c r="J653" s="15">
        <f t="shared" si="31"/>
        <v>43.067999999999998</v>
      </c>
      <c r="K653" s="27" t="str">
        <f t="shared" si="32"/>
        <v>July</v>
      </c>
      <c r="L653" s="15" t="str">
        <f>VLOOKUP(OrderLines!$A653,Orders!$A$1:$H$361,MATCH(OrderLines!$L$1,Orders!$A$1:$H$1,0),0)</f>
        <v>Breakfast</v>
      </c>
      <c r="M653" t="str">
        <f>VLOOKUP($A653,Orders!$A$1:$H$361,MATCH(OrderLines!$M$1,Orders!$A$1:$H$1,0),0)</f>
        <v>Cash</v>
      </c>
      <c r="N653" t="str">
        <f t="shared" si="30"/>
        <v>Combo</v>
      </c>
      <c r="O653" t="str" cm="1">
        <f t="array" ref="O653">IF((SUMPRODUCT((OrderID=OrderLines!$A653)*Qty*UnitPrice*DiscountPct))&gt;40,"HighDisc","OK")</f>
        <v>OK</v>
      </c>
      <c r="P653">
        <f>(orderlinesTABLE[[#This Row],[UnitCost]]*orderlinesTABLE[[#This Row],[Qty]])</f>
        <v>18.760000000000002</v>
      </c>
      <c r="Q653">
        <f>(orderlinesTABLE[[#This Row],[LineNetAmount]]-orderlinesTABLE[[#This Row],[totalCOST]])</f>
        <v>24.307999999999996</v>
      </c>
      <c r="R653" t="str">
        <f>VLOOKUP($B653,Menu!$A$1:$F$20,MATCH(OrderLines!R$1,Menu!$A$1:$F$1,0),0)</f>
        <v>Coffee</v>
      </c>
      <c r="S653" t="str" cm="1">
        <f t="array" ref="S653">_xlfn.TEXTJOIN("+",TRUE,_xlfn._xlws.FILTER(orderlinesTABLE[ItemName],OrderID=orderlinesTABLE[[#This Row],[OrderID]]))</f>
        <v>Veg Sandwich+Paneer Roll+Coffee+Veg Thali</v>
      </c>
      <c r="T653" s="54">
        <f>orderlinesTABLE[[#This Row],[Profit]]/orderlinesTABLE[[#This Row],[LineNetAmount]]</f>
        <v>0.56440977059533759</v>
      </c>
      <c r="U653" s="70">
        <f>(orderlinesTABLE[[#This Row],[Qty]]*orderlinesTABLE[[#This Row],[UnitCost]])</f>
        <v>18.760000000000002</v>
      </c>
    </row>
    <row r="654" spans="1:21" x14ac:dyDescent="0.3">
      <c r="A654" s="14" t="s">
        <v>291</v>
      </c>
      <c r="B654" s="14" t="s">
        <v>416</v>
      </c>
      <c r="C654" s="14">
        <v>1</v>
      </c>
      <c r="D654" s="37">
        <f>VLOOKUP($B654,Menu!$A$1:$F$20,MATCH($D$1,Menu!$A$1:$F$1,0),0)</f>
        <v>227.61</v>
      </c>
      <c r="E654" s="14" t="str">
        <f>VLOOKUP($B654,Menu!$A$1:$F$20,MATCH(OrderLines!E$1,Menu!$A$1:$F$1,0),0)</f>
        <v>Hot Meal</v>
      </c>
      <c r="F654" s="37">
        <f>VLOOKUP($B654,Menu!$A$1:$F$20,MATCH(OrderLines!F$1,Menu!$A$1:$F$1,0),0)</f>
        <v>96.22</v>
      </c>
      <c r="G654" s="28">
        <f>VLOOKUP($A654,Orders!$A$1:$H$361,MATCH($G$1,Orders!$A$1:$H$1,0),0)</f>
        <v>45850</v>
      </c>
      <c r="H654" s="14" t="str">
        <f>VLOOKUP($A654,Orders!$A$1:$H$361,MATCH(OrderLines!$H$1,Orders!$A$1:$H$1,0),0)</f>
        <v>Plant 2 Canteen</v>
      </c>
      <c r="I654" s="14">
        <f>VLOOKUP($A654,Orders!$A$1:$H$361,MATCH(OrderLines!$I$1,Orders!$A$1:$H$1,0),0)</f>
        <v>0.03</v>
      </c>
      <c r="J654" s="14">
        <f t="shared" si="31"/>
        <v>220.7817</v>
      </c>
      <c r="K654" s="28" t="str">
        <f t="shared" si="32"/>
        <v>July</v>
      </c>
      <c r="L654" s="14" t="str">
        <f>VLOOKUP(OrderLines!$A654,Orders!$A$1:$H$361,MATCH(OrderLines!$L$1,Orders!$A$1:$H$1,0),0)</f>
        <v>Breakfast</v>
      </c>
      <c r="M654" t="str">
        <f>VLOOKUP($A654,Orders!$A$1:$H$361,MATCH(OrderLines!$M$1,Orders!$A$1:$H$1,0),0)</f>
        <v>Cash</v>
      </c>
      <c r="N654" t="str">
        <f t="shared" si="30"/>
        <v>Combo</v>
      </c>
      <c r="O654" t="str" cm="1">
        <f t="array" ref="O654">IF((SUMPRODUCT((OrderID=OrderLines!$A654)*Qty*UnitPrice*DiscountPct))&gt;40,"HighDisc","OK")</f>
        <v>OK</v>
      </c>
      <c r="P654">
        <f>(orderlinesTABLE[[#This Row],[UnitCost]]*orderlinesTABLE[[#This Row],[Qty]])</f>
        <v>96.22</v>
      </c>
      <c r="Q654">
        <f>(orderlinesTABLE[[#This Row],[LineNetAmount]]-orderlinesTABLE[[#This Row],[totalCOST]])</f>
        <v>124.5617</v>
      </c>
      <c r="R654" t="str">
        <f>VLOOKUP($B654,Menu!$A$1:$F$20,MATCH(OrderLines!R$1,Menu!$A$1:$F$1,0),0)</f>
        <v>Veg Thali</v>
      </c>
      <c r="S654" t="str" cm="1">
        <f t="array" ref="S654">_xlfn.TEXTJOIN("+",TRUE,_xlfn._xlws.FILTER(orderlinesTABLE[ItemName],OrderID=orderlinesTABLE[[#This Row],[OrderID]]))</f>
        <v>Veg Sandwich+Paneer Roll+Coffee+Veg Thali</v>
      </c>
      <c r="T654" s="54">
        <f>orderlinesTABLE[[#This Row],[Profit]]/orderlinesTABLE[[#This Row],[LineNetAmount]]</f>
        <v>0.56418489394727911</v>
      </c>
      <c r="U654" s="70">
        <f>(orderlinesTABLE[[#This Row],[Qty]]*orderlinesTABLE[[#This Row],[UnitCost]])</f>
        <v>96.22</v>
      </c>
    </row>
    <row r="655" spans="1:21" x14ac:dyDescent="0.3">
      <c r="A655" s="15" t="s">
        <v>292</v>
      </c>
      <c r="B655" s="15" t="s">
        <v>418</v>
      </c>
      <c r="C655" s="15">
        <v>2</v>
      </c>
      <c r="D655" s="36">
        <f>VLOOKUP($B655,Menu!$A$1:$F$20,MATCH($D$1,Menu!$A$1:$F$1,0),0)</f>
        <v>39.950000000000003</v>
      </c>
      <c r="E655" s="15" t="str">
        <f>VLOOKUP($B655,Menu!$A$1:$F$20,MATCH(OrderLines!E$1,Menu!$A$1:$F$1,0),0)</f>
        <v>Snack</v>
      </c>
      <c r="F655" s="36">
        <f>VLOOKUP($B655,Menu!$A$1:$F$20,MATCH(OrderLines!F$1,Menu!$A$1:$F$1,0),0)</f>
        <v>15.51</v>
      </c>
      <c r="G655" s="27">
        <f>VLOOKUP($A655,Orders!$A$1:$H$361,MATCH($G$1,Orders!$A$1:$H$1,0),0)</f>
        <v>45893</v>
      </c>
      <c r="H655" s="15" t="str">
        <f>VLOOKUP($A655,Orders!$A$1:$H$361,MATCH(OrderLines!$H$1,Orders!$A$1:$H$1,0),0)</f>
        <v>Head Office Café</v>
      </c>
      <c r="I655" s="15">
        <f>VLOOKUP($A655,Orders!$A$1:$H$361,MATCH(OrderLines!$I$1,Orders!$A$1:$H$1,0),0)</f>
        <v>0.1</v>
      </c>
      <c r="J655" s="15">
        <f t="shared" si="31"/>
        <v>71.910000000000011</v>
      </c>
      <c r="K655" s="27" t="str">
        <f t="shared" si="32"/>
        <v>August</v>
      </c>
      <c r="L655" s="15" t="str">
        <f>VLOOKUP(OrderLines!$A655,Orders!$A$1:$H$361,MATCH(OrderLines!$L$1,Orders!$A$1:$H$1,0),0)</f>
        <v>Dinner</v>
      </c>
      <c r="M655" t="str">
        <f>VLOOKUP($A655,Orders!$A$1:$H$361,MATCH(OrderLines!$M$1,Orders!$A$1:$H$1,0),0)</f>
        <v>UPI</v>
      </c>
      <c r="N655" t="str">
        <f t="shared" si="30"/>
        <v>Single</v>
      </c>
      <c r="O655" t="str" cm="1">
        <f t="array" ref="O655">IF((SUMPRODUCT((OrderID=OrderLines!$A655)*Qty*UnitPrice*DiscountPct))&gt;40,"HighDisc","OK")</f>
        <v>HighDisc</v>
      </c>
      <c r="P655">
        <f>(orderlinesTABLE[[#This Row],[UnitCost]]*orderlinesTABLE[[#This Row],[Qty]])</f>
        <v>31.02</v>
      </c>
      <c r="Q655">
        <f>(orderlinesTABLE[[#This Row],[LineNetAmount]]-orderlinesTABLE[[#This Row],[totalCOST]])</f>
        <v>40.890000000000015</v>
      </c>
      <c r="R655" t="str">
        <f>VLOOKUP($B655,Menu!$A$1:$F$20,MATCH(OrderLines!R$1,Menu!$A$1:$F$1,0),0)</f>
        <v>Samosa</v>
      </c>
      <c r="S655" t="str" cm="1">
        <f t="array" ref="S655">_xlfn.TEXTJOIN("+",TRUE,_xlfn._xlws.FILTER(orderlinesTABLE[ItemName],OrderID=orderlinesTABLE[[#This Row],[OrderID]]))</f>
        <v>Samosa+Veg Thali+Chicken Thali</v>
      </c>
      <c r="T655" s="54">
        <f>orderlinesTABLE[[#This Row],[Profit]]/orderlinesTABLE[[#This Row],[LineNetAmount]]</f>
        <v>0.56862745098039225</v>
      </c>
      <c r="U655" s="70">
        <f>(orderlinesTABLE[[#This Row],[Qty]]*orderlinesTABLE[[#This Row],[UnitCost]])</f>
        <v>31.02</v>
      </c>
    </row>
    <row r="656" spans="1:21" x14ac:dyDescent="0.3">
      <c r="A656" s="14" t="s">
        <v>292</v>
      </c>
      <c r="B656" s="14" t="s">
        <v>416</v>
      </c>
      <c r="C656" s="14">
        <v>1</v>
      </c>
      <c r="D656" s="37">
        <f>VLOOKUP($B656,Menu!$A$1:$F$20,MATCH($D$1,Menu!$A$1:$F$1,0),0)</f>
        <v>227.61</v>
      </c>
      <c r="E656" s="14" t="str">
        <f>VLOOKUP($B656,Menu!$A$1:$F$20,MATCH(OrderLines!E$1,Menu!$A$1:$F$1,0),0)</f>
        <v>Hot Meal</v>
      </c>
      <c r="F656" s="37">
        <f>VLOOKUP($B656,Menu!$A$1:$F$20,MATCH(OrderLines!F$1,Menu!$A$1:$F$1,0),0)</f>
        <v>96.22</v>
      </c>
      <c r="G656" s="28">
        <f>VLOOKUP($A656,Orders!$A$1:$H$361,MATCH($G$1,Orders!$A$1:$H$1,0),0)</f>
        <v>45893</v>
      </c>
      <c r="H656" s="14" t="str">
        <f>VLOOKUP($A656,Orders!$A$1:$H$361,MATCH(OrderLines!$H$1,Orders!$A$1:$H$1,0),0)</f>
        <v>Head Office Café</v>
      </c>
      <c r="I656" s="14">
        <f>VLOOKUP($A656,Orders!$A$1:$H$361,MATCH(OrderLines!$I$1,Orders!$A$1:$H$1,0),0)</f>
        <v>0.1</v>
      </c>
      <c r="J656" s="14">
        <f t="shared" si="31"/>
        <v>204.84900000000002</v>
      </c>
      <c r="K656" s="28" t="str">
        <f t="shared" si="32"/>
        <v>August</v>
      </c>
      <c r="L656" s="14" t="str">
        <f>VLOOKUP(OrderLines!$A656,Orders!$A$1:$H$361,MATCH(OrderLines!$L$1,Orders!$A$1:$H$1,0),0)</f>
        <v>Dinner</v>
      </c>
      <c r="M656" t="str">
        <f>VLOOKUP($A656,Orders!$A$1:$H$361,MATCH(OrderLines!$M$1,Orders!$A$1:$H$1,0),0)</f>
        <v>UPI</v>
      </c>
      <c r="N656" t="str">
        <f t="shared" si="30"/>
        <v>Single</v>
      </c>
      <c r="O656" t="str" cm="1">
        <f t="array" ref="O656">IF((SUMPRODUCT((OrderID=OrderLines!$A656)*Qty*UnitPrice*DiscountPct))&gt;40,"HighDisc","OK")</f>
        <v>HighDisc</v>
      </c>
      <c r="P656">
        <f>(orderlinesTABLE[[#This Row],[UnitCost]]*orderlinesTABLE[[#This Row],[Qty]])</f>
        <v>96.22</v>
      </c>
      <c r="Q656">
        <f>(orderlinesTABLE[[#This Row],[LineNetAmount]]-orderlinesTABLE[[#This Row],[totalCOST]])</f>
        <v>108.62900000000002</v>
      </c>
      <c r="R656" t="str">
        <f>VLOOKUP($B656,Menu!$A$1:$F$20,MATCH(OrderLines!R$1,Menu!$A$1:$F$1,0),0)</f>
        <v>Veg Thali</v>
      </c>
      <c r="S656" t="str" cm="1">
        <f t="array" ref="S656">_xlfn.TEXTJOIN("+",TRUE,_xlfn._xlws.FILTER(orderlinesTABLE[ItemName],OrderID=orderlinesTABLE[[#This Row],[OrderID]]))</f>
        <v>Samosa+Veg Thali+Chicken Thali</v>
      </c>
      <c r="T656" s="54">
        <f>orderlinesTABLE[[#This Row],[Profit]]/orderlinesTABLE[[#This Row],[LineNetAmount]]</f>
        <v>0.53028816347651198</v>
      </c>
      <c r="U656" s="70">
        <f>(orderlinesTABLE[[#This Row],[Qty]]*orderlinesTABLE[[#This Row],[UnitCost]])</f>
        <v>96.22</v>
      </c>
    </row>
    <row r="657" spans="1:21" x14ac:dyDescent="0.3">
      <c r="A657" s="15" t="s">
        <v>292</v>
      </c>
      <c r="B657" s="15" t="s">
        <v>415</v>
      </c>
      <c r="C657" s="15">
        <v>1</v>
      </c>
      <c r="D657" s="36">
        <f>VLOOKUP($B657,Menu!$A$1:$F$20,MATCH($D$1,Menu!$A$1:$F$1,0),0)</f>
        <v>256.91000000000003</v>
      </c>
      <c r="E657" s="15" t="str">
        <f>VLOOKUP($B657,Menu!$A$1:$F$20,MATCH(OrderLines!E$1,Menu!$A$1:$F$1,0),0)</f>
        <v>Hot Meal</v>
      </c>
      <c r="F657" s="36">
        <f>VLOOKUP($B657,Menu!$A$1:$F$20,MATCH(OrderLines!F$1,Menu!$A$1:$F$1,0),0)</f>
        <v>121.24</v>
      </c>
      <c r="G657" s="27">
        <f>VLOOKUP($A657,Orders!$A$1:$H$361,MATCH($G$1,Orders!$A$1:$H$1,0),0)</f>
        <v>45893</v>
      </c>
      <c r="H657" s="15" t="str">
        <f>VLOOKUP($A657,Orders!$A$1:$H$361,MATCH(OrderLines!$H$1,Orders!$A$1:$H$1,0),0)</f>
        <v>Head Office Café</v>
      </c>
      <c r="I657" s="15">
        <f>VLOOKUP($A657,Orders!$A$1:$H$361,MATCH(OrderLines!$I$1,Orders!$A$1:$H$1,0),0)</f>
        <v>0.1</v>
      </c>
      <c r="J657" s="15">
        <f t="shared" si="31"/>
        <v>231.21900000000002</v>
      </c>
      <c r="K657" s="27" t="str">
        <f t="shared" si="32"/>
        <v>August</v>
      </c>
      <c r="L657" s="15" t="str">
        <f>VLOOKUP(OrderLines!$A657,Orders!$A$1:$H$361,MATCH(OrderLines!$L$1,Orders!$A$1:$H$1,0),0)</f>
        <v>Dinner</v>
      </c>
      <c r="M657" t="str">
        <f>VLOOKUP($A657,Orders!$A$1:$H$361,MATCH(OrderLines!$M$1,Orders!$A$1:$H$1,0),0)</f>
        <v>UPI</v>
      </c>
      <c r="N657" t="str">
        <f t="shared" si="30"/>
        <v>Single</v>
      </c>
      <c r="O657" t="str" cm="1">
        <f t="array" ref="O657">IF((SUMPRODUCT((OrderID=OrderLines!$A657)*Qty*UnitPrice*DiscountPct))&gt;40,"HighDisc","OK")</f>
        <v>HighDisc</v>
      </c>
      <c r="P657">
        <f>(orderlinesTABLE[[#This Row],[UnitCost]]*orderlinesTABLE[[#This Row],[Qty]])</f>
        <v>121.24</v>
      </c>
      <c r="Q657">
        <f>(orderlinesTABLE[[#This Row],[LineNetAmount]]-orderlinesTABLE[[#This Row],[totalCOST]])</f>
        <v>109.97900000000003</v>
      </c>
      <c r="R657" t="str">
        <f>VLOOKUP($B657,Menu!$A$1:$F$20,MATCH(OrderLines!R$1,Menu!$A$1:$F$1,0),0)</f>
        <v>Chicken Thali</v>
      </c>
      <c r="S657" t="str" cm="1">
        <f t="array" ref="S657">_xlfn.TEXTJOIN("+",TRUE,_xlfn._xlws.FILTER(orderlinesTABLE[ItemName],OrderID=orderlinesTABLE[[#This Row],[OrderID]]))</f>
        <v>Samosa+Veg Thali+Chicken Thali</v>
      </c>
      <c r="T657" s="54">
        <f>orderlinesTABLE[[#This Row],[Profit]]/orderlinesTABLE[[#This Row],[LineNetAmount]]</f>
        <v>0.47564862749168546</v>
      </c>
      <c r="U657" s="70">
        <f>(orderlinesTABLE[[#This Row],[Qty]]*orderlinesTABLE[[#This Row],[UnitCost]])</f>
        <v>121.24</v>
      </c>
    </row>
    <row r="658" spans="1:21" x14ac:dyDescent="0.3">
      <c r="A658" s="14" t="s">
        <v>293</v>
      </c>
      <c r="B658" s="14" t="s">
        <v>411</v>
      </c>
      <c r="C658" s="14">
        <v>1</v>
      </c>
      <c r="D658" s="37">
        <f>VLOOKUP($B658,Menu!$A$1:$F$20,MATCH($D$1,Menu!$A$1:$F$1,0),0)</f>
        <v>22.2</v>
      </c>
      <c r="E658" s="14" t="str">
        <f>VLOOKUP($B658,Menu!$A$1:$F$20,MATCH(OrderLines!E$1,Menu!$A$1:$F$1,0),0)</f>
        <v>Beverage</v>
      </c>
      <c r="F658" s="37">
        <f>VLOOKUP($B658,Menu!$A$1:$F$20,MATCH(OrderLines!F$1,Menu!$A$1:$F$1,0),0)</f>
        <v>9.3800000000000008</v>
      </c>
      <c r="G658" s="28">
        <f>VLOOKUP($A658,Orders!$A$1:$H$361,MATCH($G$1,Orders!$A$1:$H$1,0),0)</f>
        <v>45841</v>
      </c>
      <c r="H658" s="14" t="str">
        <f>VLOOKUP($A658,Orders!$A$1:$H$361,MATCH(OrderLines!$H$1,Orders!$A$1:$H$1,0),0)</f>
        <v>Head Office Café</v>
      </c>
      <c r="I658" s="14">
        <f>VLOOKUP($A658,Orders!$A$1:$H$361,MATCH(OrderLines!$I$1,Orders!$A$1:$H$1,0),0)</f>
        <v>7.0000000000000007E-2</v>
      </c>
      <c r="J658" s="14">
        <f t="shared" si="31"/>
        <v>20.645999999999997</v>
      </c>
      <c r="K658" s="28" t="str">
        <f t="shared" si="32"/>
        <v>July</v>
      </c>
      <c r="L658" s="14" t="str">
        <f>VLOOKUP(OrderLines!$A658,Orders!$A$1:$H$361,MATCH(OrderLines!$L$1,Orders!$A$1:$H$1,0),0)</f>
        <v>Dinner</v>
      </c>
      <c r="M658" t="str">
        <f>VLOOKUP($A658,Orders!$A$1:$H$361,MATCH(OrderLines!$M$1,Orders!$A$1:$H$1,0),0)</f>
        <v>UPI</v>
      </c>
      <c r="N658" t="str">
        <f t="shared" si="30"/>
        <v>Combo</v>
      </c>
      <c r="O658" t="str" cm="1">
        <f t="array" ref="O658">IF((SUMPRODUCT((OrderID=OrderLines!$A658)*Qty*UnitPrice*DiscountPct))&gt;40,"HighDisc","OK")</f>
        <v>OK</v>
      </c>
      <c r="P658">
        <f>(orderlinesTABLE[[#This Row],[UnitCost]]*orderlinesTABLE[[#This Row],[Qty]])</f>
        <v>9.3800000000000008</v>
      </c>
      <c r="Q658">
        <f>(orderlinesTABLE[[#This Row],[LineNetAmount]]-orderlinesTABLE[[#This Row],[totalCOST]])</f>
        <v>11.265999999999996</v>
      </c>
      <c r="R658" t="str">
        <f>VLOOKUP($B658,Menu!$A$1:$F$20,MATCH(OrderLines!R$1,Menu!$A$1:$F$1,0),0)</f>
        <v>Coffee</v>
      </c>
      <c r="S658" t="str" cm="1">
        <f t="array" ref="S658">_xlfn.TEXTJOIN("+",TRUE,_xlfn._xlws.FILTER(orderlinesTABLE[ItemName],OrderID=orderlinesTABLE[[#This Row],[OrderID]]))</f>
        <v>Coffee+Poha+Rajma Chawal</v>
      </c>
      <c r="T658" s="54">
        <f>orderlinesTABLE[[#This Row],[Profit]]/orderlinesTABLE[[#This Row],[LineNetAmount]]</f>
        <v>0.5456747069650294</v>
      </c>
      <c r="U658" s="70">
        <f>(orderlinesTABLE[[#This Row],[Qty]]*orderlinesTABLE[[#This Row],[UnitCost]])</f>
        <v>9.3800000000000008</v>
      </c>
    </row>
    <row r="659" spans="1:21" x14ac:dyDescent="0.3">
      <c r="A659" s="15" t="s">
        <v>293</v>
      </c>
      <c r="B659" s="15" t="s">
        <v>401</v>
      </c>
      <c r="C659" s="15">
        <v>1</v>
      </c>
      <c r="D659" s="36">
        <f>VLOOKUP($B659,Menu!$A$1:$F$20,MATCH($D$1,Menu!$A$1:$F$1,0),0)</f>
        <v>52.45</v>
      </c>
      <c r="E659" s="15" t="str">
        <f>VLOOKUP($B659,Menu!$A$1:$F$20,MATCH(OrderLines!E$1,Menu!$A$1:$F$1,0),0)</f>
        <v>Snack</v>
      </c>
      <c r="F659" s="36">
        <f>VLOOKUP($B659,Menu!$A$1:$F$20,MATCH(OrderLines!F$1,Menu!$A$1:$F$1,0),0)</f>
        <v>25.8</v>
      </c>
      <c r="G659" s="27">
        <f>VLOOKUP($A659,Orders!$A$1:$H$361,MATCH($G$1,Orders!$A$1:$H$1,0),0)</f>
        <v>45841</v>
      </c>
      <c r="H659" s="15" t="str">
        <f>VLOOKUP($A659,Orders!$A$1:$H$361,MATCH(OrderLines!$H$1,Orders!$A$1:$H$1,0),0)</f>
        <v>Head Office Café</v>
      </c>
      <c r="I659" s="15">
        <f>VLOOKUP($A659,Orders!$A$1:$H$361,MATCH(OrderLines!$I$1,Orders!$A$1:$H$1,0),0)</f>
        <v>7.0000000000000007E-2</v>
      </c>
      <c r="J659" s="15">
        <f t="shared" si="31"/>
        <v>48.778500000000001</v>
      </c>
      <c r="K659" s="27" t="str">
        <f t="shared" si="32"/>
        <v>July</v>
      </c>
      <c r="L659" s="15" t="str">
        <f>VLOOKUP(OrderLines!$A659,Orders!$A$1:$H$361,MATCH(OrderLines!$L$1,Orders!$A$1:$H$1,0),0)</f>
        <v>Dinner</v>
      </c>
      <c r="M659" t="str">
        <f>VLOOKUP($A659,Orders!$A$1:$H$361,MATCH(OrderLines!$M$1,Orders!$A$1:$H$1,0),0)</f>
        <v>UPI</v>
      </c>
      <c r="N659" t="str">
        <f t="shared" si="30"/>
        <v>Combo</v>
      </c>
      <c r="O659" t="str" cm="1">
        <f t="array" ref="O659">IF((SUMPRODUCT((OrderID=OrderLines!$A659)*Qty*UnitPrice*DiscountPct))&gt;40,"HighDisc","OK")</f>
        <v>OK</v>
      </c>
      <c r="P659">
        <f>(orderlinesTABLE[[#This Row],[UnitCost]]*orderlinesTABLE[[#This Row],[Qty]])</f>
        <v>25.8</v>
      </c>
      <c r="Q659">
        <f>(orderlinesTABLE[[#This Row],[LineNetAmount]]-orderlinesTABLE[[#This Row],[totalCOST]])</f>
        <v>22.9785</v>
      </c>
      <c r="R659" t="str">
        <f>VLOOKUP($B659,Menu!$A$1:$F$20,MATCH(OrderLines!R$1,Menu!$A$1:$F$1,0),0)</f>
        <v>Poha</v>
      </c>
      <c r="S659" t="str" cm="1">
        <f t="array" ref="S659">_xlfn.TEXTJOIN("+",TRUE,_xlfn._xlws.FILTER(orderlinesTABLE[ItemName],OrderID=orderlinesTABLE[[#This Row],[OrderID]]))</f>
        <v>Coffee+Poha+Rajma Chawal</v>
      </c>
      <c r="T659" s="54">
        <f>orderlinesTABLE[[#This Row],[Profit]]/orderlinesTABLE[[#This Row],[LineNetAmount]]</f>
        <v>0.47107844644669272</v>
      </c>
      <c r="U659" s="70">
        <f>(orderlinesTABLE[[#This Row],[Qty]]*orderlinesTABLE[[#This Row],[UnitCost]])</f>
        <v>25.8</v>
      </c>
    </row>
    <row r="660" spans="1:21" x14ac:dyDescent="0.3">
      <c r="A660" s="14" t="s">
        <v>293</v>
      </c>
      <c r="B660" s="14" t="s">
        <v>417</v>
      </c>
      <c r="C660" s="14">
        <v>2</v>
      </c>
      <c r="D660" s="37">
        <f>VLOOKUP($B660,Menu!$A$1:$F$20,MATCH($D$1,Menu!$A$1:$F$1,0),0)</f>
        <v>146.4</v>
      </c>
      <c r="E660" s="14" t="str">
        <f>VLOOKUP($B660,Menu!$A$1:$F$20,MATCH(OrderLines!E$1,Menu!$A$1:$F$1,0),0)</f>
        <v>Hot Meal</v>
      </c>
      <c r="F660" s="37">
        <f>VLOOKUP($B660,Menu!$A$1:$F$20,MATCH(OrderLines!F$1,Menu!$A$1:$F$1,0),0)</f>
        <v>80.92</v>
      </c>
      <c r="G660" s="28">
        <f>VLOOKUP($A660,Orders!$A$1:$H$361,MATCH($G$1,Orders!$A$1:$H$1,0),0)</f>
        <v>45841</v>
      </c>
      <c r="H660" s="14" t="str">
        <f>VLOOKUP($A660,Orders!$A$1:$H$361,MATCH(OrderLines!$H$1,Orders!$A$1:$H$1,0),0)</f>
        <v>Head Office Café</v>
      </c>
      <c r="I660" s="14">
        <f>VLOOKUP($A660,Orders!$A$1:$H$361,MATCH(OrderLines!$I$1,Orders!$A$1:$H$1,0),0)</f>
        <v>7.0000000000000007E-2</v>
      </c>
      <c r="J660" s="14">
        <f t="shared" si="31"/>
        <v>272.30399999999997</v>
      </c>
      <c r="K660" s="28" t="str">
        <f t="shared" si="32"/>
        <v>July</v>
      </c>
      <c r="L660" s="14" t="str">
        <f>VLOOKUP(OrderLines!$A660,Orders!$A$1:$H$361,MATCH(OrderLines!$L$1,Orders!$A$1:$H$1,0),0)</f>
        <v>Dinner</v>
      </c>
      <c r="M660" t="str">
        <f>VLOOKUP($A660,Orders!$A$1:$H$361,MATCH(OrderLines!$M$1,Orders!$A$1:$H$1,0),0)</f>
        <v>UPI</v>
      </c>
      <c r="N660" t="str">
        <f t="shared" si="30"/>
        <v>Combo</v>
      </c>
      <c r="O660" t="str" cm="1">
        <f t="array" ref="O660">IF((SUMPRODUCT((OrderID=OrderLines!$A660)*Qty*UnitPrice*DiscountPct))&gt;40,"HighDisc","OK")</f>
        <v>OK</v>
      </c>
      <c r="P660">
        <f>(orderlinesTABLE[[#This Row],[UnitCost]]*orderlinesTABLE[[#This Row],[Qty]])</f>
        <v>161.84</v>
      </c>
      <c r="Q660">
        <f>(orderlinesTABLE[[#This Row],[LineNetAmount]]-orderlinesTABLE[[#This Row],[totalCOST]])</f>
        <v>110.46399999999997</v>
      </c>
      <c r="R660" t="str">
        <f>VLOOKUP($B660,Menu!$A$1:$F$20,MATCH(OrderLines!R$1,Menu!$A$1:$F$1,0),0)</f>
        <v>Rajma Chawal</v>
      </c>
      <c r="S660" t="str" cm="1">
        <f t="array" ref="S660">_xlfn.TEXTJOIN("+",TRUE,_xlfn._xlws.FILTER(orderlinesTABLE[ItemName],OrderID=orderlinesTABLE[[#This Row],[OrderID]]))</f>
        <v>Coffee+Poha+Rajma Chawal</v>
      </c>
      <c r="T660" s="54">
        <f>orderlinesTABLE[[#This Row],[Profit]]/orderlinesTABLE[[#This Row],[LineNetAmount]]</f>
        <v>0.40566425759445318</v>
      </c>
      <c r="U660" s="70">
        <f>(orderlinesTABLE[[#This Row],[Qty]]*orderlinesTABLE[[#This Row],[UnitCost]])</f>
        <v>161.84</v>
      </c>
    </row>
    <row r="661" spans="1:21" x14ac:dyDescent="0.3">
      <c r="A661" s="15" t="s">
        <v>294</v>
      </c>
      <c r="B661" s="15" t="s">
        <v>412</v>
      </c>
      <c r="C661" s="15">
        <v>1</v>
      </c>
      <c r="D661" s="36">
        <f>VLOOKUP($B661,Menu!$A$1:$F$20,MATCH($D$1,Menu!$A$1:$F$1,0),0)</f>
        <v>57.07</v>
      </c>
      <c r="E661" s="15" t="str">
        <f>VLOOKUP($B661,Menu!$A$1:$F$20,MATCH(OrderLines!E$1,Menu!$A$1:$F$1,0),0)</f>
        <v>Dessert</v>
      </c>
      <c r="F661" s="36">
        <f>VLOOKUP($B661,Menu!$A$1:$F$20,MATCH(OrderLines!F$1,Menu!$A$1:$F$1,0),0)</f>
        <v>29.14</v>
      </c>
      <c r="G661" s="27">
        <f>VLOOKUP($A661,Orders!$A$1:$H$361,MATCH($G$1,Orders!$A$1:$H$1,0),0)</f>
        <v>45842</v>
      </c>
      <c r="H661" s="15" t="str">
        <f>VLOOKUP($A661,Orders!$A$1:$H$361,MATCH(OrderLines!$H$1,Orders!$A$1:$H$1,0),0)</f>
        <v>Plant 1 Canteen</v>
      </c>
      <c r="I661" s="15">
        <f>VLOOKUP($A661,Orders!$A$1:$H$361,MATCH(OrderLines!$I$1,Orders!$A$1:$H$1,0),0)</f>
        <v>0.09</v>
      </c>
      <c r="J661" s="15">
        <f t="shared" si="31"/>
        <v>51.933700000000002</v>
      </c>
      <c r="K661" s="27" t="str">
        <f t="shared" si="32"/>
        <v>July</v>
      </c>
      <c r="L661" s="15" t="str">
        <f>VLOOKUP(OrderLines!$A661,Orders!$A$1:$H$361,MATCH(OrderLines!$L$1,Orders!$A$1:$H$1,0),0)</f>
        <v>Breakfast</v>
      </c>
      <c r="M661" t="str">
        <f>VLOOKUP($A661,Orders!$A$1:$H$361,MATCH(OrderLines!$M$1,Orders!$A$1:$H$1,0),0)</f>
        <v>UPI</v>
      </c>
      <c r="N661" t="str">
        <f t="shared" si="30"/>
        <v>Single</v>
      </c>
      <c r="O661" t="str" cm="1">
        <f t="array" ref="O661">IF((SUMPRODUCT((OrderID=OrderLines!$A661)*Qty*UnitPrice*DiscountPct))&gt;40,"HighDisc","OK")</f>
        <v>OK</v>
      </c>
      <c r="P661">
        <f>(orderlinesTABLE[[#This Row],[UnitCost]]*orderlinesTABLE[[#This Row],[Qty]])</f>
        <v>29.14</v>
      </c>
      <c r="Q661">
        <f>(orderlinesTABLE[[#This Row],[LineNetAmount]]-orderlinesTABLE[[#This Row],[totalCOST]])</f>
        <v>22.793700000000001</v>
      </c>
      <c r="R661" t="str">
        <f>VLOOKUP($B661,Menu!$A$1:$F$20,MATCH(OrderLines!R$1,Menu!$A$1:$F$1,0),0)</f>
        <v>Fruit Cup</v>
      </c>
      <c r="S661" t="str" cm="1">
        <f t="array" ref="S661">_xlfn.TEXTJOIN("+",TRUE,_xlfn._xlws.FILTER(orderlinesTABLE[ItemName],OrderID=orderlinesTABLE[[#This Row],[OrderID]]))</f>
        <v>Fruit Cup+Masala Puff+Coffee</v>
      </c>
      <c r="T661" s="54">
        <f>orderlinesTABLE[[#This Row],[Profit]]/orderlinesTABLE[[#This Row],[LineNetAmount]]</f>
        <v>0.43889998209255265</v>
      </c>
      <c r="U661" s="70">
        <f>(orderlinesTABLE[[#This Row],[Qty]]*orderlinesTABLE[[#This Row],[UnitCost]])</f>
        <v>29.14</v>
      </c>
    </row>
    <row r="662" spans="1:21" x14ac:dyDescent="0.3">
      <c r="A662" s="14" t="s">
        <v>294</v>
      </c>
      <c r="B662" s="14" t="s">
        <v>419</v>
      </c>
      <c r="C662" s="14">
        <v>1</v>
      </c>
      <c r="D662" s="37">
        <f>VLOOKUP($B662,Menu!$A$1:$F$20,MATCH($D$1,Menu!$A$1:$F$1,0),0)</f>
        <v>50.19</v>
      </c>
      <c r="E662" s="14" t="str">
        <f>VLOOKUP($B662,Menu!$A$1:$F$20,MATCH(OrderLines!E$1,Menu!$A$1:$F$1,0),0)</f>
        <v>Snack</v>
      </c>
      <c r="F662" s="37">
        <f>VLOOKUP($B662,Menu!$A$1:$F$20,MATCH(OrderLines!F$1,Menu!$A$1:$F$1,0),0)</f>
        <v>22.61</v>
      </c>
      <c r="G662" s="28">
        <f>VLOOKUP($A662,Orders!$A$1:$H$361,MATCH($G$1,Orders!$A$1:$H$1,0),0)</f>
        <v>45842</v>
      </c>
      <c r="H662" s="14" t="str">
        <f>VLOOKUP($A662,Orders!$A$1:$H$361,MATCH(OrderLines!$H$1,Orders!$A$1:$H$1,0),0)</f>
        <v>Plant 1 Canteen</v>
      </c>
      <c r="I662" s="14">
        <f>VLOOKUP($A662,Orders!$A$1:$H$361,MATCH(OrderLines!$I$1,Orders!$A$1:$H$1,0),0)</f>
        <v>0.09</v>
      </c>
      <c r="J662" s="14">
        <f t="shared" si="31"/>
        <v>45.672899999999998</v>
      </c>
      <c r="K662" s="28" t="str">
        <f t="shared" si="32"/>
        <v>July</v>
      </c>
      <c r="L662" s="14" t="str">
        <f>VLOOKUP(OrderLines!$A662,Orders!$A$1:$H$361,MATCH(OrderLines!$L$1,Orders!$A$1:$H$1,0),0)</f>
        <v>Breakfast</v>
      </c>
      <c r="M662" t="str">
        <f>VLOOKUP($A662,Orders!$A$1:$H$361,MATCH(OrderLines!$M$1,Orders!$A$1:$H$1,0),0)</f>
        <v>UPI</v>
      </c>
      <c r="N662" t="str">
        <f t="shared" si="30"/>
        <v>Single</v>
      </c>
      <c r="O662" t="str" cm="1">
        <f t="array" ref="O662">IF((SUMPRODUCT((OrderID=OrderLines!$A662)*Qty*UnitPrice*DiscountPct))&gt;40,"HighDisc","OK")</f>
        <v>OK</v>
      </c>
      <c r="P662">
        <f>(orderlinesTABLE[[#This Row],[UnitCost]]*orderlinesTABLE[[#This Row],[Qty]])</f>
        <v>22.61</v>
      </c>
      <c r="Q662">
        <f>(orderlinesTABLE[[#This Row],[LineNetAmount]]-orderlinesTABLE[[#This Row],[totalCOST]])</f>
        <v>23.062899999999999</v>
      </c>
      <c r="R662" t="str">
        <f>VLOOKUP($B662,Menu!$A$1:$F$20,MATCH(OrderLines!R$1,Menu!$A$1:$F$1,0),0)</f>
        <v>Masala Puff</v>
      </c>
      <c r="S662" t="str" cm="1">
        <f t="array" ref="S662">_xlfn.TEXTJOIN("+",TRUE,_xlfn._xlws.FILTER(orderlinesTABLE[ItemName],OrderID=orderlinesTABLE[[#This Row],[OrderID]]))</f>
        <v>Fruit Cup+Masala Puff+Coffee</v>
      </c>
      <c r="T662" s="54">
        <f>orderlinesTABLE[[#This Row],[Profit]]/orderlinesTABLE[[#This Row],[LineNetAmount]]</f>
        <v>0.50495808236394013</v>
      </c>
      <c r="U662" s="70">
        <f>(orderlinesTABLE[[#This Row],[Qty]]*orderlinesTABLE[[#This Row],[UnitCost]])</f>
        <v>22.61</v>
      </c>
    </row>
    <row r="663" spans="1:21" x14ac:dyDescent="0.3">
      <c r="A663" s="15" t="s">
        <v>294</v>
      </c>
      <c r="B663" s="15" t="s">
        <v>411</v>
      </c>
      <c r="C663" s="15">
        <v>3</v>
      </c>
      <c r="D663" s="36">
        <f>VLOOKUP($B663,Menu!$A$1:$F$20,MATCH($D$1,Menu!$A$1:$F$1,0),0)</f>
        <v>22.2</v>
      </c>
      <c r="E663" s="15" t="str">
        <f>VLOOKUP($B663,Menu!$A$1:$F$20,MATCH(OrderLines!E$1,Menu!$A$1:$F$1,0),0)</f>
        <v>Beverage</v>
      </c>
      <c r="F663" s="36">
        <f>VLOOKUP($B663,Menu!$A$1:$F$20,MATCH(OrderLines!F$1,Menu!$A$1:$F$1,0),0)</f>
        <v>9.3800000000000008</v>
      </c>
      <c r="G663" s="27">
        <f>VLOOKUP($A663,Orders!$A$1:$H$361,MATCH($G$1,Orders!$A$1:$H$1,0),0)</f>
        <v>45842</v>
      </c>
      <c r="H663" s="15" t="str">
        <f>VLOOKUP($A663,Orders!$A$1:$H$361,MATCH(OrderLines!$H$1,Orders!$A$1:$H$1,0),0)</f>
        <v>Plant 1 Canteen</v>
      </c>
      <c r="I663" s="15">
        <f>VLOOKUP($A663,Orders!$A$1:$H$361,MATCH(OrderLines!$I$1,Orders!$A$1:$H$1,0),0)</f>
        <v>0.09</v>
      </c>
      <c r="J663" s="15">
        <f t="shared" si="31"/>
        <v>60.605999999999995</v>
      </c>
      <c r="K663" s="27" t="str">
        <f t="shared" si="32"/>
        <v>July</v>
      </c>
      <c r="L663" s="15" t="str">
        <f>VLOOKUP(OrderLines!$A663,Orders!$A$1:$H$361,MATCH(OrderLines!$L$1,Orders!$A$1:$H$1,0),0)</f>
        <v>Breakfast</v>
      </c>
      <c r="M663" t="str">
        <f>VLOOKUP($A663,Orders!$A$1:$H$361,MATCH(OrderLines!$M$1,Orders!$A$1:$H$1,0),0)</f>
        <v>UPI</v>
      </c>
      <c r="N663" t="str">
        <f t="shared" si="30"/>
        <v>Single</v>
      </c>
      <c r="O663" t="str" cm="1">
        <f t="array" ref="O663">IF((SUMPRODUCT((OrderID=OrderLines!$A663)*Qty*UnitPrice*DiscountPct))&gt;40,"HighDisc","OK")</f>
        <v>OK</v>
      </c>
      <c r="P663">
        <f>(orderlinesTABLE[[#This Row],[UnitCost]]*orderlinesTABLE[[#This Row],[Qty]])</f>
        <v>28.14</v>
      </c>
      <c r="Q663">
        <f>(orderlinesTABLE[[#This Row],[LineNetAmount]]-orderlinesTABLE[[#This Row],[totalCOST]])</f>
        <v>32.465999999999994</v>
      </c>
      <c r="R663" t="str">
        <f>VLOOKUP($B663,Menu!$A$1:$F$20,MATCH(OrderLines!R$1,Menu!$A$1:$F$1,0),0)</f>
        <v>Coffee</v>
      </c>
      <c r="S663" t="str" cm="1">
        <f t="array" ref="S663">_xlfn.TEXTJOIN("+",TRUE,_xlfn._xlws.FILTER(orderlinesTABLE[ItemName],OrderID=orderlinesTABLE[[#This Row],[OrderID]]))</f>
        <v>Fruit Cup+Masala Puff+Coffee</v>
      </c>
      <c r="T663" s="54">
        <f>orderlinesTABLE[[#This Row],[Profit]]/orderlinesTABLE[[#This Row],[LineNetAmount]]</f>
        <v>0.53568953568953559</v>
      </c>
      <c r="U663" s="70">
        <f>(orderlinesTABLE[[#This Row],[Qty]]*orderlinesTABLE[[#This Row],[UnitCost]])</f>
        <v>28.14</v>
      </c>
    </row>
    <row r="664" spans="1:21" x14ac:dyDescent="0.3">
      <c r="A664" s="14" t="s">
        <v>295</v>
      </c>
      <c r="B664" s="14" t="s">
        <v>404</v>
      </c>
      <c r="C664" s="14">
        <v>2</v>
      </c>
      <c r="D664" s="37">
        <f>VLOOKUP($B664,Menu!$A$1:$F$20,MATCH($D$1,Menu!$A$1:$F$1,0),0)</f>
        <v>32.979999999999997</v>
      </c>
      <c r="E664" s="14" t="str">
        <f>VLOOKUP($B664,Menu!$A$1:$F$20,MATCH(OrderLines!E$1,Menu!$A$1:$F$1,0),0)</f>
        <v>Beverage</v>
      </c>
      <c r="F664" s="37">
        <f>VLOOKUP($B664,Menu!$A$1:$F$20,MATCH(OrderLines!F$1,Menu!$A$1:$F$1,0),0)</f>
        <v>11.84</v>
      </c>
      <c r="G664" s="28">
        <f>VLOOKUP($A664,Orders!$A$1:$H$361,MATCH($G$1,Orders!$A$1:$H$1,0),0)</f>
        <v>45872</v>
      </c>
      <c r="H664" s="14" t="str">
        <f>VLOOKUP($A664,Orders!$A$1:$H$361,MATCH(OrderLines!$H$1,Orders!$A$1:$H$1,0),0)</f>
        <v>Plant 2 Canteen</v>
      </c>
      <c r="I664" s="14">
        <f>VLOOKUP($A664,Orders!$A$1:$H$361,MATCH(OrderLines!$I$1,Orders!$A$1:$H$1,0),0)</f>
        <v>0.09</v>
      </c>
      <c r="J664" s="14">
        <f t="shared" si="31"/>
        <v>60.023599999999995</v>
      </c>
      <c r="K664" s="28" t="str">
        <f t="shared" si="32"/>
        <v>August</v>
      </c>
      <c r="L664" s="14" t="str">
        <f>VLOOKUP(OrderLines!$A664,Orders!$A$1:$H$361,MATCH(OrderLines!$L$1,Orders!$A$1:$H$1,0),0)</f>
        <v>Breakfast</v>
      </c>
      <c r="M664" t="str">
        <f>VLOOKUP($A664,Orders!$A$1:$H$361,MATCH(OrderLines!$M$1,Orders!$A$1:$H$1,0),0)</f>
        <v>Cash</v>
      </c>
      <c r="N664" t="str">
        <f t="shared" si="30"/>
        <v>Combo</v>
      </c>
      <c r="O664" t="str" cm="1">
        <f t="array" ref="O664">IF((SUMPRODUCT((OrderID=OrderLines!$A664)*Qty*UnitPrice*DiscountPct))&gt;40,"HighDisc","OK")</f>
        <v>HighDisc</v>
      </c>
      <c r="P664">
        <f>(orderlinesTABLE[[#This Row],[UnitCost]]*orderlinesTABLE[[#This Row],[Qty]])</f>
        <v>23.68</v>
      </c>
      <c r="Q664">
        <f>(orderlinesTABLE[[#This Row],[LineNetAmount]]-orderlinesTABLE[[#This Row],[totalCOST]])</f>
        <v>36.343599999999995</v>
      </c>
      <c r="R664" t="str">
        <f>VLOOKUP($B664,Menu!$A$1:$F$20,MATCH(OrderLines!R$1,Menu!$A$1:$F$1,0),0)</f>
        <v>Masala Chaas</v>
      </c>
      <c r="S664" t="str" cm="1">
        <f t="array" ref="S664">_xlfn.TEXTJOIN("+",TRUE,_xlfn._xlws.FILTER(orderlinesTABLE[ItemName],OrderID=orderlinesTABLE[[#This Row],[OrderID]]))</f>
        <v>Masala Chaas+Veg Sandwich+Bottled Water+Rajma Chawal</v>
      </c>
      <c r="T664" s="54">
        <f>orderlinesTABLE[[#This Row],[Profit]]/orderlinesTABLE[[#This Row],[LineNetAmount]]</f>
        <v>0.60548850785357755</v>
      </c>
      <c r="U664" s="70">
        <f>(orderlinesTABLE[[#This Row],[Qty]]*orderlinesTABLE[[#This Row],[UnitCost]])</f>
        <v>23.68</v>
      </c>
    </row>
    <row r="665" spans="1:21" x14ac:dyDescent="0.3">
      <c r="A665" s="15" t="s">
        <v>295</v>
      </c>
      <c r="B665" s="15" t="s">
        <v>408</v>
      </c>
      <c r="C665" s="15">
        <v>3</v>
      </c>
      <c r="D665" s="36">
        <f>VLOOKUP($B665,Menu!$A$1:$F$20,MATCH($D$1,Menu!$A$1:$F$1,0),0)</f>
        <v>70.540000000000006</v>
      </c>
      <c r="E665" s="15" t="str">
        <f>VLOOKUP($B665,Menu!$A$1:$F$20,MATCH(OrderLines!E$1,Menu!$A$1:$F$1,0),0)</f>
        <v>Snack</v>
      </c>
      <c r="F665" s="36">
        <f>VLOOKUP($B665,Menu!$A$1:$F$20,MATCH(OrderLines!F$1,Menu!$A$1:$F$1,0),0)</f>
        <v>35.81</v>
      </c>
      <c r="G665" s="27">
        <f>VLOOKUP($A665,Orders!$A$1:$H$361,MATCH($G$1,Orders!$A$1:$H$1,0),0)</f>
        <v>45872</v>
      </c>
      <c r="H665" s="15" t="str">
        <f>VLOOKUP($A665,Orders!$A$1:$H$361,MATCH(OrderLines!$H$1,Orders!$A$1:$H$1,0),0)</f>
        <v>Plant 2 Canteen</v>
      </c>
      <c r="I665" s="15">
        <f>VLOOKUP($A665,Orders!$A$1:$H$361,MATCH(OrderLines!$I$1,Orders!$A$1:$H$1,0),0)</f>
        <v>0.09</v>
      </c>
      <c r="J665" s="15">
        <f t="shared" si="31"/>
        <v>192.57420000000002</v>
      </c>
      <c r="K665" s="27" t="str">
        <f t="shared" si="32"/>
        <v>August</v>
      </c>
      <c r="L665" s="15" t="str">
        <f>VLOOKUP(OrderLines!$A665,Orders!$A$1:$H$361,MATCH(OrderLines!$L$1,Orders!$A$1:$H$1,0),0)</f>
        <v>Breakfast</v>
      </c>
      <c r="M665" t="str">
        <f>VLOOKUP($A665,Orders!$A$1:$H$361,MATCH(OrderLines!$M$1,Orders!$A$1:$H$1,0),0)</f>
        <v>Cash</v>
      </c>
      <c r="N665" t="str">
        <f t="shared" si="30"/>
        <v>Combo</v>
      </c>
      <c r="O665" t="str" cm="1">
        <f t="array" ref="O665">IF((SUMPRODUCT((OrderID=OrderLines!$A665)*Qty*UnitPrice*DiscountPct))&gt;40,"HighDisc","OK")</f>
        <v>HighDisc</v>
      </c>
      <c r="P665">
        <f>(orderlinesTABLE[[#This Row],[UnitCost]]*orderlinesTABLE[[#This Row],[Qty]])</f>
        <v>107.43</v>
      </c>
      <c r="Q665">
        <f>(orderlinesTABLE[[#This Row],[LineNetAmount]]-orderlinesTABLE[[#This Row],[totalCOST]])</f>
        <v>85.144200000000012</v>
      </c>
      <c r="R665" t="str">
        <f>VLOOKUP($B665,Menu!$A$1:$F$20,MATCH(OrderLines!R$1,Menu!$A$1:$F$1,0),0)</f>
        <v>Veg Sandwich</v>
      </c>
      <c r="S665" t="str" cm="1">
        <f t="array" ref="S665">_xlfn.TEXTJOIN("+",TRUE,_xlfn._xlws.FILTER(orderlinesTABLE[ItemName],OrderID=orderlinesTABLE[[#This Row],[OrderID]]))</f>
        <v>Masala Chaas+Veg Sandwich+Bottled Water+Rajma Chawal</v>
      </c>
      <c r="T665" s="54">
        <f>orderlinesTABLE[[#This Row],[Profit]]/orderlinesTABLE[[#This Row],[LineNetAmount]]</f>
        <v>0.44213710870926637</v>
      </c>
      <c r="U665" s="70">
        <f>(orderlinesTABLE[[#This Row],[Qty]]*orderlinesTABLE[[#This Row],[UnitCost]])</f>
        <v>107.43</v>
      </c>
    </row>
    <row r="666" spans="1:21" x14ac:dyDescent="0.3">
      <c r="A666" s="14" t="s">
        <v>295</v>
      </c>
      <c r="B666" s="14" t="s">
        <v>409</v>
      </c>
      <c r="C666" s="14">
        <v>1</v>
      </c>
      <c r="D666" s="37">
        <f>VLOOKUP($B666,Menu!$A$1:$F$20,MATCH($D$1,Menu!$A$1:$F$1,0),0)</f>
        <v>28.43</v>
      </c>
      <c r="E666" s="14" t="str">
        <f>VLOOKUP($B666,Menu!$A$1:$F$20,MATCH(OrderLines!E$1,Menu!$A$1:$F$1,0),0)</f>
        <v>Beverage</v>
      </c>
      <c r="F666" s="37">
        <f>VLOOKUP($B666,Menu!$A$1:$F$20,MATCH(OrderLines!F$1,Menu!$A$1:$F$1,0),0)</f>
        <v>13.89</v>
      </c>
      <c r="G666" s="28">
        <f>VLOOKUP($A666,Orders!$A$1:$H$361,MATCH($G$1,Orders!$A$1:$H$1,0),0)</f>
        <v>45872</v>
      </c>
      <c r="H666" s="14" t="str">
        <f>VLOOKUP($A666,Orders!$A$1:$H$361,MATCH(OrderLines!$H$1,Orders!$A$1:$H$1,0),0)</f>
        <v>Plant 2 Canteen</v>
      </c>
      <c r="I666" s="14">
        <f>VLOOKUP($A666,Orders!$A$1:$H$361,MATCH(OrderLines!$I$1,Orders!$A$1:$H$1,0),0)</f>
        <v>0.09</v>
      </c>
      <c r="J666" s="14">
        <f t="shared" si="31"/>
        <v>25.871300000000002</v>
      </c>
      <c r="K666" s="28" t="str">
        <f t="shared" si="32"/>
        <v>August</v>
      </c>
      <c r="L666" s="14" t="str">
        <f>VLOOKUP(OrderLines!$A666,Orders!$A$1:$H$361,MATCH(OrderLines!$L$1,Orders!$A$1:$H$1,0),0)</f>
        <v>Breakfast</v>
      </c>
      <c r="M666" t="str">
        <f>VLOOKUP($A666,Orders!$A$1:$H$361,MATCH(OrderLines!$M$1,Orders!$A$1:$H$1,0),0)</f>
        <v>Cash</v>
      </c>
      <c r="N666" t="str">
        <f t="shared" si="30"/>
        <v>Combo</v>
      </c>
      <c r="O666" t="str" cm="1">
        <f t="array" ref="O666">IF((SUMPRODUCT((OrderID=OrderLines!$A666)*Qty*UnitPrice*DiscountPct))&gt;40,"HighDisc","OK")</f>
        <v>HighDisc</v>
      </c>
      <c r="P666">
        <f>(orderlinesTABLE[[#This Row],[UnitCost]]*orderlinesTABLE[[#This Row],[Qty]])</f>
        <v>13.89</v>
      </c>
      <c r="Q666">
        <f>(orderlinesTABLE[[#This Row],[LineNetAmount]]-orderlinesTABLE[[#This Row],[totalCOST]])</f>
        <v>11.981300000000001</v>
      </c>
      <c r="R666" t="str">
        <f>VLOOKUP($B666,Menu!$A$1:$F$20,MATCH(OrderLines!R$1,Menu!$A$1:$F$1,0),0)</f>
        <v>Bottled Water</v>
      </c>
      <c r="S666" t="str" cm="1">
        <f t="array" ref="S666">_xlfn.TEXTJOIN("+",TRUE,_xlfn._xlws.FILTER(orderlinesTABLE[ItemName],OrderID=orderlinesTABLE[[#This Row],[OrderID]]))</f>
        <v>Masala Chaas+Veg Sandwich+Bottled Water+Rajma Chawal</v>
      </c>
      <c r="T666" s="54">
        <f>orderlinesTABLE[[#This Row],[Profit]]/orderlinesTABLE[[#This Row],[LineNetAmount]]</f>
        <v>0.46311163335433475</v>
      </c>
      <c r="U666" s="70">
        <f>(orderlinesTABLE[[#This Row],[Qty]]*orderlinesTABLE[[#This Row],[UnitCost]])</f>
        <v>13.89</v>
      </c>
    </row>
    <row r="667" spans="1:21" x14ac:dyDescent="0.3">
      <c r="A667" s="15" t="s">
        <v>295</v>
      </c>
      <c r="B667" s="15" t="s">
        <v>417</v>
      </c>
      <c r="C667" s="15">
        <v>2</v>
      </c>
      <c r="D667" s="36">
        <f>VLOOKUP($B667,Menu!$A$1:$F$20,MATCH($D$1,Menu!$A$1:$F$1,0),0)</f>
        <v>146.4</v>
      </c>
      <c r="E667" s="15" t="str">
        <f>VLOOKUP($B667,Menu!$A$1:$F$20,MATCH(OrderLines!E$1,Menu!$A$1:$F$1,0),0)</f>
        <v>Hot Meal</v>
      </c>
      <c r="F667" s="36">
        <f>VLOOKUP($B667,Menu!$A$1:$F$20,MATCH(OrderLines!F$1,Menu!$A$1:$F$1,0),0)</f>
        <v>80.92</v>
      </c>
      <c r="G667" s="27">
        <f>VLOOKUP($A667,Orders!$A$1:$H$361,MATCH($G$1,Orders!$A$1:$H$1,0),0)</f>
        <v>45872</v>
      </c>
      <c r="H667" s="15" t="str">
        <f>VLOOKUP($A667,Orders!$A$1:$H$361,MATCH(OrderLines!$H$1,Orders!$A$1:$H$1,0),0)</f>
        <v>Plant 2 Canteen</v>
      </c>
      <c r="I667" s="15">
        <f>VLOOKUP($A667,Orders!$A$1:$H$361,MATCH(OrderLines!$I$1,Orders!$A$1:$H$1,0),0)</f>
        <v>0.09</v>
      </c>
      <c r="J667" s="15">
        <f t="shared" si="31"/>
        <v>266.44800000000004</v>
      </c>
      <c r="K667" s="27" t="str">
        <f t="shared" si="32"/>
        <v>August</v>
      </c>
      <c r="L667" s="15" t="str">
        <f>VLOOKUP(OrderLines!$A667,Orders!$A$1:$H$361,MATCH(OrderLines!$L$1,Orders!$A$1:$H$1,0),0)</f>
        <v>Breakfast</v>
      </c>
      <c r="M667" t="str">
        <f>VLOOKUP($A667,Orders!$A$1:$H$361,MATCH(OrderLines!$M$1,Orders!$A$1:$H$1,0),0)</f>
        <v>Cash</v>
      </c>
      <c r="N667" t="str">
        <f t="shared" si="30"/>
        <v>Combo</v>
      </c>
      <c r="O667" t="str" cm="1">
        <f t="array" ref="O667">IF((SUMPRODUCT((OrderID=OrderLines!$A667)*Qty*UnitPrice*DiscountPct))&gt;40,"HighDisc","OK")</f>
        <v>HighDisc</v>
      </c>
      <c r="P667">
        <f>(orderlinesTABLE[[#This Row],[UnitCost]]*orderlinesTABLE[[#This Row],[Qty]])</f>
        <v>161.84</v>
      </c>
      <c r="Q667">
        <f>(orderlinesTABLE[[#This Row],[LineNetAmount]]-orderlinesTABLE[[#This Row],[totalCOST]])</f>
        <v>104.60800000000003</v>
      </c>
      <c r="R667" t="str">
        <f>VLOOKUP($B667,Menu!$A$1:$F$20,MATCH(OrderLines!R$1,Menu!$A$1:$F$1,0),0)</f>
        <v>Rajma Chawal</v>
      </c>
      <c r="S667" t="str" cm="1">
        <f t="array" ref="S667">_xlfn.TEXTJOIN("+",TRUE,_xlfn._xlws.FILTER(orderlinesTABLE[ItemName],OrderID=orderlinesTABLE[[#This Row],[OrderID]]))</f>
        <v>Masala Chaas+Veg Sandwich+Bottled Water+Rajma Chawal</v>
      </c>
      <c r="T667" s="54">
        <f>orderlinesTABLE[[#This Row],[Profit]]/orderlinesTABLE[[#This Row],[LineNetAmount]]</f>
        <v>0.39260193358554019</v>
      </c>
      <c r="U667" s="70">
        <f>(orderlinesTABLE[[#This Row],[Qty]]*orderlinesTABLE[[#This Row],[UnitCost]])</f>
        <v>161.84</v>
      </c>
    </row>
    <row r="668" spans="1:21" x14ac:dyDescent="0.3">
      <c r="A668" s="14" t="s">
        <v>296</v>
      </c>
      <c r="B668" s="14" t="s">
        <v>407</v>
      </c>
      <c r="C668" s="14">
        <v>1</v>
      </c>
      <c r="D668" s="37">
        <f>VLOOKUP($B668,Menu!$A$1:$F$20,MATCH($D$1,Menu!$A$1:$F$1,0),0)</f>
        <v>246.09</v>
      </c>
      <c r="E668" s="14" t="str">
        <f>VLOOKUP($B668,Menu!$A$1:$F$20,MATCH(OrderLines!E$1,Menu!$A$1:$F$1,0),0)</f>
        <v>Hot Meal</v>
      </c>
      <c r="F668" s="37">
        <f>VLOOKUP($B668,Menu!$A$1:$F$20,MATCH(OrderLines!F$1,Menu!$A$1:$F$1,0),0)</f>
        <v>112.08</v>
      </c>
      <c r="G668" s="28">
        <f>VLOOKUP($A668,Orders!$A$1:$H$361,MATCH($G$1,Orders!$A$1:$H$1,0),0)</f>
        <v>45894</v>
      </c>
      <c r="H668" s="14" t="str">
        <f>VLOOKUP($A668,Orders!$A$1:$H$361,MATCH(OrderLines!$H$1,Orders!$A$1:$H$1,0),0)</f>
        <v>Head Office Café</v>
      </c>
      <c r="I668" s="14">
        <f>VLOOKUP($A668,Orders!$A$1:$H$361,MATCH(OrderLines!$I$1,Orders!$A$1:$H$1,0),0)</f>
        <v>0.03</v>
      </c>
      <c r="J668" s="14">
        <f t="shared" si="31"/>
        <v>238.7073</v>
      </c>
      <c r="K668" s="28" t="str">
        <f t="shared" si="32"/>
        <v>August</v>
      </c>
      <c r="L668" s="14" t="str">
        <f>VLOOKUP(OrderLines!$A668,Orders!$A$1:$H$361,MATCH(OrderLines!$L$1,Orders!$A$1:$H$1,0),0)</f>
        <v>Breakfast</v>
      </c>
      <c r="M668" t="str">
        <f>VLOOKUP($A668,Orders!$A$1:$H$361,MATCH(OrderLines!$M$1,Orders!$A$1:$H$1,0),0)</f>
        <v>Cash</v>
      </c>
      <c r="N668" t="str">
        <f t="shared" si="30"/>
        <v>Single</v>
      </c>
      <c r="O668" t="str" cm="1">
        <f t="array" ref="O668">IF((SUMPRODUCT((OrderID=OrderLines!$A668)*Qty*UnitPrice*DiscountPct))&gt;40,"HighDisc","OK")</f>
        <v>OK</v>
      </c>
      <c r="P668">
        <f>(orderlinesTABLE[[#This Row],[UnitCost]]*orderlinesTABLE[[#This Row],[Qty]])</f>
        <v>112.08</v>
      </c>
      <c r="Q668">
        <f>(orderlinesTABLE[[#This Row],[LineNetAmount]]-orderlinesTABLE[[#This Row],[totalCOST]])</f>
        <v>126.62730000000001</v>
      </c>
      <c r="R668" t="str">
        <f>VLOOKUP($B668,Menu!$A$1:$F$20,MATCH(OrderLines!R$1,Menu!$A$1:$F$1,0),0)</f>
        <v>Egg Curry + Rice</v>
      </c>
      <c r="S668" t="str" cm="1">
        <f t="array" ref="S668">_xlfn.TEXTJOIN("+",TRUE,_xlfn._xlws.FILTER(orderlinesTABLE[ItemName],OrderID=orderlinesTABLE[[#This Row],[OrderID]]))</f>
        <v>Egg Curry + Rice+Veg Sandwich</v>
      </c>
      <c r="T668" s="54">
        <f>orderlinesTABLE[[#This Row],[Profit]]/orderlinesTABLE[[#This Row],[LineNetAmount]]</f>
        <v>0.53047099942062936</v>
      </c>
      <c r="U668" s="70">
        <f>(orderlinesTABLE[[#This Row],[Qty]]*orderlinesTABLE[[#This Row],[UnitCost]])</f>
        <v>112.08</v>
      </c>
    </row>
    <row r="669" spans="1:21" x14ac:dyDescent="0.3">
      <c r="A669" s="15" t="s">
        <v>296</v>
      </c>
      <c r="B669" s="15" t="s">
        <v>408</v>
      </c>
      <c r="C669" s="15">
        <v>2</v>
      </c>
      <c r="D669" s="36">
        <f>VLOOKUP($B669,Menu!$A$1:$F$20,MATCH($D$1,Menu!$A$1:$F$1,0),0)</f>
        <v>70.540000000000006</v>
      </c>
      <c r="E669" s="15" t="str">
        <f>VLOOKUP($B669,Menu!$A$1:$F$20,MATCH(OrderLines!E$1,Menu!$A$1:$F$1,0),0)</f>
        <v>Snack</v>
      </c>
      <c r="F669" s="36">
        <f>VLOOKUP($B669,Menu!$A$1:$F$20,MATCH(OrderLines!F$1,Menu!$A$1:$F$1,0),0)</f>
        <v>35.81</v>
      </c>
      <c r="G669" s="27">
        <f>VLOOKUP($A669,Orders!$A$1:$H$361,MATCH($G$1,Orders!$A$1:$H$1,0),0)</f>
        <v>45894</v>
      </c>
      <c r="H669" s="15" t="str">
        <f>VLOOKUP($A669,Orders!$A$1:$H$361,MATCH(OrderLines!$H$1,Orders!$A$1:$H$1,0),0)</f>
        <v>Head Office Café</v>
      </c>
      <c r="I669" s="15">
        <f>VLOOKUP($A669,Orders!$A$1:$H$361,MATCH(OrderLines!$I$1,Orders!$A$1:$H$1,0),0)</f>
        <v>0.03</v>
      </c>
      <c r="J669" s="15">
        <f t="shared" si="31"/>
        <v>136.8476</v>
      </c>
      <c r="K669" s="27" t="str">
        <f t="shared" si="32"/>
        <v>August</v>
      </c>
      <c r="L669" s="15" t="str">
        <f>VLOOKUP(OrderLines!$A669,Orders!$A$1:$H$361,MATCH(OrderLines!$L$1,Orders!$A$1:$H$1,0),0)</f>
        <v>Breakfast</v>
      </c>
      <c r="M669" t="str">
        <f>VLOOKUP($A669,Orders!$A$1:$H$361,MATCH(OrderLines!$M$1,Orders!$A$1:$H$1,0),0)</f>
        <v>Cash</v>
      </c>
      <c r="N669" t="str">
        <f t="shared" si="30"/>
        <v>Single</v>
      </c>
      <c r="O669" t="str" cm="1">
        <f t="array" ref="O669">IF((SUMPRODUCT((OrderID=OrderLines!$A669)*Qty*UnitPrice*DiscountPct))&gt;40,"HighDisc","OK")</f>
        <v>OK</v>
      </c>
      <c r="P669">
        <f>(orderlinesTABLE[[#This Row],[UnitCost]]*orderlinesTABLE[[#This Row],[Qty]])</f>
        <v>71.62</v>
      </c>
      <c r="Q669">
        <f>(orderlinesTABLE[[#This Row],[LineNetAmount]]-orderlinesTABLE[[#This Row],[totalCOST]])</f>
        <v>65.227599999999995</v>
      </c>
      <c r="R669" t="str">
        <f>VLOOKUP($B669,Menu!$A$1:$F$20,MATCH(OrderLines!R$1,Menu!$A$1:$F$1,0),0)</f>
        <v>Veg Sandwich</v>
      </c>
      <c r="S669" t="str" cm="1">
        <f t="array" ref="S669">_xlfn.TEXTJOIN("+",TRUE,_xlfn._xlws.FILTER(orderlinesTABLE[ItemName],OrderID=orderlinesTABLE[[#This Row],[OrderID]]))</f>
        <v>Egg Curry + Rice+Veg Sandwich</v>
      </c>
      <c r="T669" s="54">
        <f>orderlinesTABLE[[#This Row],[Profit]]/orderlinesTABLE[[#This Row],[LineNetAmount]]</f>
        <v>0.47664409167570343</v>
      </c>
      <c r="U669" s="70">
        <f>(orderlinesTABLE[[#This Row],[Qty]]*orderlinesTABLE[[#This Row],[UnitCost]])</f>
        <v>71.62</v>
      </c>
    </row>
    <row r="670" spans="1:21" x14ac:dyDescent="0.3">
      <c r="A670" s="14" t="s">
        <v>297</v>
      </c>
      <c r="B670" s="14" t="s">
        <v>416</v>
      </c>
      <c r="C670" s="14">
        <v>1</v>
      </c>
      <c r="D670" s="37">
        <f>VLOOKUP($B670,Menu!$A$1:$F$20,MATCH($D$1,Menu!$A$1:$F$1,0),0)</f>
        <v>227.61</v>
      </c>
      <c r="E670" s="14" t="str">
        <f>VLOOKUP($B670,Menu!$A$1:$F$20,MATCH(OrderLines!E$1,Menu!$A$1:$F$1,0),0)</f>
        <v>Hot Meal</v>
      </c>
      <c r="F670" s="37">
        <f>VLOOKUP($B670,Menu!$A$1:$F$20,MATCH(OrderLines!F$1,Menu!$A$1:$F$1,0),0)</f>
        <v>96.22</v>
      </c>
      <c r="G670" s="28">
        <f>VLOOKUP($A670,Orders!$A$1:$H$361,MATCH($G$1,Orders!$A$1:$H$1,0),0)</f>
        <v>45842</v>
      </c>
      <c r="H670" s="14" t="str">
        <f>VLOOKUP($A670,Orders!$A$1:$H$361,MATCH(OrderLines!$H$1,Orders!$A$1:$H$1,0),0)</f>
        <v>Plant 1 Canteen</v>
      </c>
      <c r="I670" s="14">
        <f>VLOOKUP($A670,Orders!$A$1:$H$361,MATCH(OrderLines!$I$1,Orders!$A$1:$H$1,0),0)</f>
        <v>0.04</v>
      </c>
      <c r="J670" s="14">
        <f t="shared" si="31"/>
        <v>218.50560000000002</v>
      </c>
      <c r="K670" s="28" t="str">
        <f t="shared" si="32"/>
        <v>July</v>
      </c>
      <c r="L670" s="14" t="str">
        <f>VLOOKUP(OrderLines!$A670,Orders!$A$1:$H$361,MATCH(OrderLines!$L$1,Orders!$A$1:$H$1,0),0)</f>
        <v>Breakfast</v>
      </c>
      <c r="M670" t="str">
        <f>VLOOKUP($A670,Orders!$A$1:$H$361,MATCH(OrderLines!$M$1,Orders!$A$1:$H$1,0),0)</f>
        <v>UPI</v>
      </c>
      <c r="N670" t="str">
        <f t="shared" si="30"/>
        <v>Single</v>
      </c>
      <c r="O670" t="str" cm="1">
        <f t="array" ref="O670">IF((SUMPRODUCT((OrderID=OrderLines!$A670)*Qty*UnitPrice*DiscountPct))&gt;40,"HighDisc","OK")</f>
        <v>OK</v>
      </c>
      <c r="P670">
        <f>(orderlinesTABLE[[#This Row],[UnitCost]]*orderlinesTABLE[[#This Row],[Qty]])</f>
        <v>96.22</v>
      </c>
      <c r="Q670">
        <f>(orderlinesTABLE[[#This Row],[LineNetAmount]]-orderlinesTABLE[[#This Row],[totalCOST]])</f>
        <v>122.28560000000002</v>
      </c>
      <c r="R670" t="str">
        <f>VLOOKUP($B670,Menu!$A$1:$F$20,MATCH(OrderLines!R$1,Menu!$A$1:$F$1,0),0)</f>
        <v>Veg Thali</v>
      </c>
      <c r="S670" t="str" cm="1">
        <f t="array" ref="S670">_xlfn.TEXTJOIN("+",TRUE,_xlfn._xlws.FILTER(orderlinesTABLE[ItemName],OrderID=orderlinesTABLE[[#This Row],[OrderID]]))</f>
        <v>Veg Thali+Rajma Chawal</v>
      </c>
      <c r="T670" s="54">
        <f>orderlinesTABLE[[#This Row],[Profit]]/orderlinesTABLE[[#This Row],[LineNetAmount]]</f>
        <v>0.55964515325923003</v>
      </c>
      <c r="U670" s="70">
        <f>(orderlinesTABLE[[#This Row],[Qty]]*orderlinesTABLE[[#This Row],[UnitCost]])</f>
        <v>96.22</v>
      </c>
    </row>
    <row r="671" spans="1:21" x14ac:dyDescent="0.3">
      <c r="A671" s="15" t="s">
        <v>297</v>
      </c>
      <c r="B671" s="15" t="s">
        <v>417</v>
      </c>
      <c r="C671" s="15">
        <v>2</v>
      </c>
      <c r="D671" s="36">
        <f>VLOOKUP($B671,Menu!$A$1:$F$20,MATCH($D$1,Menu!$A$1:$F$1,0),0)</f>
        <v>146.4</v>
      </c>
      <c r="E671" s="15" t="str">
        <f>VLOOKUP($B671,Menu!$A$1:$F$20,MATCH(OrderLines!E$1,Menu!$A$1:$F$1,0),0)</f>
        <v>Hot Meal</v>
      </c>
      <c r="F671" s="36">
        <f>VLOOKUP($B671,Menu!$A$1:$F$20,MATCH(OrderLines!F$1,Menu!$A$1:$F$1,0),0)</f>
        <v>80.92</v>
      </c>
      <c r="G671" s="27">
        <f>VLOOKUP($A671,Orders!$A$1:$H$361,MATCH($G$1,Orders!$A$1:$H$1,0),0)</f>
        <v>45842</v>
      </c>
      <c r="H671" s="15" t="str">
        <f>VLOOKUP($A671,Orders!$A$1:$H$361,MATCH(OrderLines!$H$1,Orders!$A$1:$H$1,0),0)</f>
        <v>Plant 1 Canteen</v>
      </c>
      <c r="I671" s="15">
        <f>VLOOKUP($A671,Orders!$A$1:$H$361,MATCH(OrderLines!$I$1,Orders!$A$1:$H$1,0),0)</f>
        <v>0.04</v>
      </c>
      <c r="J671" s="15">
        <f t="shared" si="31"/>
        <v>281.08800000000002</v>
      </c>
      <c r="K671" s="27" t="str">
        <f t="shared" si="32"/>
        <v>July</v>
      </c>
      <c r="L671" s="15" t="str">
        <f>VLOOKUP(OrderLines!$A671,Orders!$A$1:$H$361,MATCH(OrderLines!$L$1,Orders!$A$1:$H$1,0),0)</f>
        <v>Breakfast</v>
      </c>
      <c r="M671" t="str">
        <f>VLOOKUP($A671,Orders!$A$1:$H$361,MATCH(OrderLines!$M$1,Orders!$A$1:$H$1,0),0)</f>
        <v>UPI</v>
      </c>
      <c r="N671" t="str">
        <f t="shared" si="30"/>
        <v>Single</v>
      </c>
      <c r="O671" t="str" cm="1">
        <f t="array" ref="O671">IF((SUMPRODUCT((OrderID=OrderLines!$A671)*Qty*UnitPrice*DiscountPct))&gt;40,"HighDisc","OK")</f>
        <v>OK</v>
      </c>
      <c r="P671">
        <f>(orderlinesTABLE[[#This Row],[UnitCost]]*orderlinesTABLE[[#This Row],[Qty]])</f>
        <v>161.84</v>
      </c>
      <c r="Q671">
        <f>(orderlinesTABLE[[#This Row],[LineNetAmount]]-orderlinesTABLE[[#This Row],[totalCOST]])</f>
        <v>119.24800000000002</v>
      </c>
      <c r="R671" t="str">
        <f>VLOOKUP($B671,Menu!$A$1:$F$20,MATCH(OrderLines!R$1,Menu!$A$1:$F$1,0),0)</f>
        <v>Rajma Chawal</v>
      </c>
      <c r="S671" t="str" cm="1">
        <f t="array" ref="S671">_xlfn.TEXTJOIN("+",TRUE,_xlfn._xlws.FILTER(orderlinesTABLE[ItemName],OrderID=orderlinesTABLE[[#This Row],[OrderID]]))</f>
        <v>Veg Thali+Rajma Chawal</v>
      </c>
      <c r="T671" s="54">
        <f>orderlinesTABLE[[#This Row],[Profit]]/orderlinesTABLE[[#This Row],[LineNetAmount]]</f>
        <v>0.4242372495446266</v>
      </c>
      <c r="U671" s="70">
        <f>(orderlinesTABLE[[#This Row],[Qty]]*orderlinesTABLE[[#This Row],[UnitCost]])</f>
        <v>161.84</v>
      </c>
    </row>
    <row r="672" spans="1:21" x14ac:dyDescent="0.3">
      <c r="A672" s="14" t="s">
        <v>298</v>
      </c>
      <c r="B672" s="14" t="s">
        <v>409</v>
      </c>
      <c r="C672" s="14">
        <v>2</v>
      </c>
      <c r="D672" s="37">
        <f>VLOOKUP($B672,Menu!$A$1:$F$20,MATCH($D$1,Menu!$A$1:$F$1,0),0)</f>
        <v>28.43</v>
      </c>
      <c r="E672" s="14" t="str">
        <f>VLOOKUP($B672,Menu!$A$1:$F$20,MATCH(OrderLines!E$1,Menu!$A$1:$F$1,0),0)</f>
        <v>Beverage</v>
      </c>
      <c r="F672" s="37">
        <f>VLOOKUP($B672,Menu!$A$1:$F$20,MATCH(OrderLines!F$1,Menu!$A$1:$F$1,0),0)</f>
        <v>13.89</v>
      </c>
      <c r="G672" s="28">
        <f>VLOOKUP($A672,Orders!$A$1:$H$361,MATCH($G$1,Orders!$A$1:$H$1,0),0)</f>
        <v>45875</v>
      </c>
      <c r="H672" s="14" t="str">
        <f>VLOOKUP($A672,Orders!$A$1:$H$361,MATCH(OrderLines!$H$1,Orders!$A$1:$H$1,0),0)</f>
        <v>Plant 2 Canteen</v>
      </c>
      <c r="I672" s="14">
        <f>VLOOKUP($A672,Orders!$A$1:$H$361,MATCH(OrderLines!$I$1,Orders!$A$1:$H$1,0),0)</f>
        <v>0.09</v>
      </c>
      <c r="J672" s="14">
        <f t="shared" si="31"/>
        <v>51.742600000000003</v>
      </c>
      <c r="K672" s="28" t="str">
        <f t="shared" si="32"/>
        <v>August</v>
      </c>
      <c r="L672" s="14" t="str">
        <f>VLOOKUP(OrderLines!$A672,Orders!$A$1:$H$361,MATCH(OrderLines!$L$1,Orders!$A$1:$H$1,0),0)</f>
        <v>Dinner</v>
      </c>
      <c r="M672" t="str">
        <f>VLOOKUP($A672,Orders!$A$1:$H$361,MATCH(OrderLines!$M$1,Orders!$A$1:$H$1,0),0)</f>
        <v>Card</v>
      </c>
      <c r="N672" t="str">
        <f t="shared" si="30"/>
        <v>Combo</v>
      </c>
      <c r="O672" t="str" cm="1">
        <f t="array" ref="O672">IF((SUMPRODUCT((OrderID=OrderLines!$A672)*Qty*UnitPrice*DiscountPct))&gt;40,"HighDisc","OK")</f>
        <v>OK</v>
      </c>
      <c r="P672">
        <f>(orderlinesTABLE[[#This Row],[UnitCost]]*orderlinesTABLE[[#This Row],[Qty]])</f>
        <v>27.78</v>
      </c>
      <c r="Q672">
        <f>(orderlinesTABLE[[#This Row],[LineNetAmount]]-orderlinesTABLE[[#This Row],[totalCOST]])</f>
        <v>23.962600000000002</v>
      </c>
      <c r="R672" t="str">
        <f>VLOOKUP($B672,Menu!$A$1:$F$20,MATCH(OrderLines!R$1,Menu!$A$1:$F$1,0),0)</f>
        <v>Bottled Water</v>
      </c>
      <c r="S672" t="str" cm="1">
        <f t="array" ref="S672">_xlfn.TEXTJOIN("+",TRUE,_xlfn._xlws.FILTER(orderlinesTABLE[ItemName],OrderID=orderlinesTABLE[[#This Row],[OrderID]]))</f>
        <v>Bottled Water+Poha+Rajma Chawal</v>
      </c>
      <c r="T672" s="54">
        <f>orderlinesTABLE[[#This Row],[Profit]]/orderlinesTABLE[[#This Row],[LineNetAmount]]</f>
        <v>0.46311163335433475</v>
      </c>
      <c r="U672" s="70">
        <f>(orderlinesTABLE[[#This Row],[Qty]]*orderlinesTABLE[[#This Row],[UnitCost]])</f>
        <v>27.78</v>
      </c>
    </row>
    <row r="673" spans="1:21" x14ac:dyDescent="0.3">
      <c r="A673" s="15" t="s">
        <v>298</v>
      </c>
      <c r="B673" s="15" t="s">
        <v>401</v>
      </c>
      <c r="C673" s="15">
        <v>1</v>
      </c>
      <c r="D673" s="36">
        <f>VLOOKUP($B673,Menu!$A$1:$F$20,MATCH($D$1,Menu!$A$1:$F$1,0),0)</f>
        <v>52.45</v>
      </c>
      <c r="E673" s="15" t="str">
        <f>VLOOKUP($B673,Menu!$A$1:$F$20,MATCH(OrderLines!E$1,Menu!$A$1:$F$1,0),0)</f>
        <v>Snack</v>
      </c>
      <c r="F673" s="36">
        <f>VLOOKUP($B673,Menu!$A$1:$F$20,MATCH(OrderLines!F$1,Menu!$A$1:$F$1,0),0)</f>
        <v>25.8</v>
      </c>
      <c r="G673" s="27">
        <f>VLOOKUP($A673,Orders!$A$1:$H$361,MATCH($G$1,Orders!$A$1:$H$1,0),0)</f>
        <v>45875</v>
      </c>
      <c r="H673" s="15" t="str">
        <f>VLOOKUP($A673,Orders!$A$1:$H$361,MATCH(OrderLines!$H$1,Orders!$A$1:$H$1,0),0)</f>
        <v>Plant 2 Canteen</v>
      </c>
      <c r="I673" s="15">
        <f>VLOOKUP($A673,Orders!$A$1:$H$361,MATCH(OrderLines!$I$1,Orders!$A$1:$H$1,0),0)</f>
        <v>0.09</v>
      </c>
      <c r="J673" s="15">
        <f t="shared" si="31"/>
        <v>47.729500000000002</v>
      </c>
      <c r="K673" s="27" t="str">
        <f t="shared" si="32"/>
        <v>August</v>
      </c>
      <c r="L673" s="15" t="str">
        <f>VLOOKUP(OrderLines!$A673,Orders!$A$1:$H$361,MATCH(OrderLines!$L$1,Orders!$A$1:$H$1,0),0)</f>
        <v>Dinner</v>
      </c>
      <c r="M673" t="str">
        <f>VLOOKUP($A673,Orders!$A$1:$H$361,MATCH(OrderLines!$M$1,Orders!$A$1:$H$1,0),0)</f>
        <v>Card</v>
      </c>
      <c r="N673" t="str">
        <f t="shared" si="30"/>
        <v>Combo</v>
      </c>
      <c r="O673" t="str" cm="1">
        <f t="array" ref="O673">IF((SUMPRODUCT((OrderID=OrderLines!$A673)*Qty*UnitPrice*DiscountPct))&gt;40,"HighDisc","OK")</f>
        <v>OK</v>
      </c>
      <c r="P673">
        <f>(orderlinesTABLE[[#This Row],[UnitCost]]*orderlinesTABLE[[#This Row],[Qty]])</f>
        <v>25.8</v>
      </c>
      <c r="Q673">
        <f>(orderlinesTABLE[[#This Row],[LineNetAmount]]-orderlinesTABLE[[#This Row],[totalCOST]])</f>
        <v>21.929500000000001</v>
      </c>
      <c r="R673" t="str">
        <f>VLOOKUP($B673,Menu!$A$1:$F$20,MATCH(OrderLines!R$1,Menu!$A$1:$F$1,0),0)</f>
        <v>Poha</v>
      </c>
      <c r="S673" t="str" cm="1">
        <f t="array" ref="S673">_xlfn.TEXTJOIN("+",TRUE,_xlfn._xlws.FILTER(orderlinesTABLE[ItemName],OrderID=orderlinesTABLE[[#This Row],[OrderID]]))</f>
        <v>Bottled Water+Poha+Rajma Chawal</v>
      </c>
      <c r="T673" s="54">
        <f>orderlinesTABLE[[#This Row],[Profit]]/orderlinesTABLE[[#This Row],[LineNetAmount]]</f>
        <v>0.45945379691804861</v>
      </c>
      <c r="U673" s="70">
        <f>(orderlinesTABLE[[#This Row],[Qty]]*orderlinesTABLE[[#This Row],[UnitCost]])</f>
        <v>25.8</v>
      </c>
    </row>
    <row r="674" spans="1:21" x14ac:dyDescent="0.3">
      <c r="A674" s="14" t="s">
        <v>298</v>
      </c>
      <c r="B674" s="14" t="s">
        <v>417</v>
      </c>
      <c r="C674" s="14">
        <v>1</v>
      </c>
      <c r="D674" s="37">
        <f>VLOOKUP($B674,Menu!$A$1:$F$20,MATCH($D$1,Menu!$A$1:$F$1,0),0)</f>
        <v>146.4</v>
      </c>
      <c r="E674" s="14" t="str">
        <f>VLOOKUP($B674,Menu!$A$1:$F$20,MATCH(OrderLines!E$1,Menu!$A$1:$F$1,0),0)</f>
        <v>Hot Meal</v>
      </c>
      <c r="F674" s="37">
        <f>VLOOKUP($B674,Menu!$A$1:$F$20,MATCH(OrderLines!F$1,Menu!$A$1:$F$1,0),0)</f>
        <v>80.92</v>
      </c>
      <c r="G674" s="28">
        <f>VLOOKUP($A674,Orders!$A$1:$H$361,MATCH($G$1,Orders!$A$1:$H$1,0),0)</f>
        <v>45875</v>
      </c>
      <c r="H674" s="14" t="str">
        <f>VLOOKUP($A674,Orders!$A$1:$H$361,MATCH(OrderLines!$H$1,Orders!$A$1:$H$1,0),0)</f>
        <v>Plant 2 Canteen</v>
      </c>
      <c r="I674" s="14">
        <f>VLOOKUP($A674,Orders!$A$1:$H$361,MATCH(OrderLines!$I$1,Orders!$A$1:$H$1,0),0)</f>
        <v>0.09</v>
      </c>
      <c r="J674" s="14">
        <f t="shared" si="31"/>
        <v>133.22400000000002</v>
      </c>
      <c r="K674" s="28" t="str">
        <f t="shared" si="32"/>
        <v>August</v>
      </c>
      <c r="L674" s="14" t="str">
        <f>VLOOKUP(OrderLines!$A674,Orders!$A$1:$H$361,MATCH(OrderLines!$L$1,Orders!$A$1:$H$1,0),0)</f>
        <v>Dinner</v>
      </c>
      <c r="M674" t="str">
        <f>VLOOKUP($A674,Orders!$A$1:$H$361,MATCH(OrderLines!$M$1,Orders!$A$1:$H$1,0),0)</f>
        <v>Card</v>
      </c>
      <c r="N674" t="str">
        <f t="shared" si="30"/>
        <v>Combo</v>
      </c>
      <c r="O674" t="str" cm="1">
        <f t="array" ref="O674">IF((SUMPRODUCT((OrderID=OrderLines!$A674)*Qty*UnitPrice*DiscountPct))&gt;40,"HighDisc","OK")</f>
        <v>OK</v>
      </c>
      <c r="P674">
        <f>(orderlinesTABLE[[#This Row],[UnitCost]]*orderlinesTABLE[[#This Row],[Qty]])</f>
        <v>80.92</v>
      </c>
      <c r="Q674">
        <f>(orderlinesTABLE[[#This Row],[LineNetAmount]]-orderlinesTABLE[[#This Row],[totalCOST]])</f>
        <v>52.304000000000016</v>
      </c>
      <c r="R674" t="str">
        <f>VLOOKUP($B674,Menu!$A$1:$F$20,MATCH(OrderLines!R$1,Menu!$A$1:$F$1,0),0)</f>
        <v>Rajma Chawal</v>
      </c>
      <c r="S674" t="str" cm="1">
        <f t="array" ref="S674">_xlfn.TEXTJOIN("+",TRUE,_xlfn._xlws.FILTER(orderlinesTABLE[ItemName],OrderID=orderlinesTABLE[[#This Row],[OrderID]]))</f>
        <v>Bottled Water+Poha+Rajma Chawal</v>
      </c>
      <c r="T674" s="54">
        <f>orderlinesTABLE[[#This Row],[Profit]]/orderlinesTABLE[[#This Row],[LineNetAmount]]</f>
        <v>0.39260193358554019</v>
      </c>
      <c r="U674" s="70">
        <f>(orderlinesTABLE[[#This Row],[Qty]]*orderlinesTABLE[[#This Row],[UnitCost]])</f>
        <v>80.92</v>
      </c>
    </row>
    <row r="675" spans="1:21" x14ac:dyDescent="0.3">
      <c r="A675" s="15" t="s">
        <v>299</v>
      </c>
      <c r="B675" s="15" t="s">
        <v>403</v>
      </c>
      <c r="C675" s="15">
        <v>2</v>
      </c>
      <c r="D675" s="36">
        <f>VLOOKUP($B675,Menu!$A$1:$F$20,MATCH($D$1,Menu!$A$1:$F$1,0),0)</f>
        <v>76.55</v>
      </c>
      <c r="E675" s="15" t="str">
        <f>VLOOKUP($B675,Menu!$A$1:$F$20,MATCH(OrderLines!E$1,Menu!$A$1:$F$1,0),0)</f>
        <v>Dessert</v>
      </c>
      <c r="F675" s="36">
        <f>VLOOKUP($B675,Menu!$A$1:$F$20,MATCH(OrderLines!F$1,Menu!$A$1:$F$1,0),0)</f>
        <v>38.229999999999997</v>
      </c>
      <c r="G675" s="27">
        <f>VLOOKUP($A675,Orders!$A$1:$H$361,MATCH($G$1,Orders!$A$1:$H$1,0),0)</f>
        <v>45875</v>
      </c>
      <c r="H675" s="15" t="str">
        <f>VLOOKUP($A675,Orders!$A$1:$H$361,MATCH(OrderLines!$H$1,Orders!$A$1:$H$1,0),0)</f>
        <v>Plant 2 Canteen</v>
      </c>
      <c r="I675" s="15">
        <f>VLOOKUP($A675,Orders!$A$1:$H$361,MATCH(OrderLines!$I$1,Orders!$A$1:$H$1,0),0)</f>
        <v>0.08</v>
      </c>
      <c r="J675" s="15">
        <f t="shared" si="31"/>
        <v>140.852</v>
      </c>
      <c r="K675" s="27" t="str">
        <f t="shared" si="32"/>
        <v>August</v>
      </c>
      <c r="L675" s="15" t="str">
        <f>VLOOKUP(OrderLines!$A675,Orders!$A$1:$H$361,MATCH(OrderLines!$L$1,Orders!$A$1:$H$1,0),0)</f>
        <v>Breakfast</v>
      </c>
      <c r="M675" t="str">
        <f>VLOOKUP($A675,Orders!$A$1:$H$361,MATCH(OrderLines!$M$1,Orders!$A$1:$H$1,0),0)</f>
        <v>Card</v>
      </c>
      <c r="N675" t="str">
        <f t="shared" si="30"/>
        <v>Single</v>
      </c>
      <c r="O675" t="str" cm="1">
        <f t="array" ref="O675">IF((SUMPRODUCT((OrderID=OrderLines!$A675)*Qty*UnitPrice*DiscountPct))&gt;40,"HighDisc","OK")</f>
        <v>HighDisc</v>
      </c>
      <c r="P675">
        <f>(orderlinesTABLE[[#This Row],[UnitCost]]*orderlinesTABLE[[#This Row],[Qty]])</f>
        <v>76.459999999999994</v>
      </c>
      <c r="Q675">
        <f>(orderlinesTABLE[[#This Row],[LineNetAmount]]-orderlinesTABLE[[#This Row],[totalCOST]])</f>
        <v>64.39200000000001</v>
      </c>
      <c r="R675" t="str">
        <f>VLOOKUP($B675,Menu!$A$1:$F$20,MATCH(OrderLines!R$1,Menu!$A$1:$F$1,0),0)</f>
        <v>Gulab Jamun (2 pc)</v>
      </c>
      <c r="S675" t="str" cm="1">
        <f t="array" ref="S675">_xlfn.TEXTJOIN("+",TRUE,_xlfn._xlws.FILTER(orderlinesTABLE[ItemName],OrderID=orderlinesTABLE[[#This Row],[OrderID]]))</f>
        <v>Gulab Jamun (2 pc)+Kheer Cup+Chicken Thali</v>
      </c>
      <c r="T675" s="54">
        <f>orderlinesTABLE[[#This Row],[Profit]]/orderlinesTABLE[[#This Row],[LineNetAmount]]</f>
        <v>0.45716070769318157</v>
      </c>
      <c r="U675" s="70">
        <f>(orderlinesTABLE[[#This Row],[Qty]]*orderlinesTABLE[[#This Row],[UnitCost]])</f>
        <v>76.459999999999994</v>
      </c>
    </row>
    <row r="676" spans="1:21" x14ac:dyDescent="0.3">
      <c r="A676" s="14" t="s">
        <v>299</v>
      </c>
      <c r="B676" s="14" t="s">
        <v>413</v>
      </c>
      <c r="C676" s="14">
        <v>1</v>
      </c>
      <c r="D676" s="37">
        <f>VLOOKUP($B676,Menu!$A$1:$F$20,MATCH($D$1,Menu!$A$1:$F$1,0),0)</f>
        <v>54.2</v>
      </c>
      <c r="E676" s="14" t="str">
        <f>VLOOKUP($B676,Menu!$A$1:$F$20,MATCH(OrderLines!E$1,Menu!$A$1:$F$1,0),0)</f>
        <v>Dessert</v>
      </c>
      <c r="F676" s="37">
        <f>VLOOKUP($B676,Menu!$A$1:$F$20,MATCH(OrderLines!F$1,Menu!$A$1:$F$1,0),0)</f>
        <v>21.95</v>
      </c>
      <c r="G676" s="28">
        <f>VLOOKUP($A676,Orders!$A$1:$H$361,MATCH($G$1,Orders!$A$1:$H$1,0),0)</f>
        <v>45875</v>
      </c>
      <c r="H676" s="14" t="str">
        <f>VLOOKUP($A676,Orders!$A$1:$H$361,MATCH(OrderLines!$H$1,Orders!$A$1:$H$1,0),0)</f>
        <v>Plant 2 Canteen</v>
      </c>
      <c r="I676" s="14">
        <f>VLOOKUP($A676,Orders!$A$1:$H$361,MATCH(OrderLines!$I$1,Orders!$A$1:$H$1,0),0)</f>
        <v>0.08</v>
      </c>
      <c r="J676" s="14">
        <f t="shared" si="31"/>
        <v>49.864000000000004</v>
      </c>
      <c r="K676" s="28" t="str">
        <f t="shared" si="32"/>
        <v>August</v>
      </c>
      <c r="L676" s="14" t="str">
        <f>VLOOKUP(OrderLines!$A676,Orders!$A$1:$H$361,MATCH(OrderLines!$L$1,Orders!$A$1:$H$1,0),0)</f>
        <v>Breakfast</v>
      </c>
      <c r="M676" t="str">
        <f>VLOOKUP($A676,Orders!$A$1:$H$361,MATCH(OrderLines!$M$1,Orders!$A$1:$H$1,0),0)</f>
        <v>Card</v>
      </c>
      <c r="N676" t="str">
        <f t="shared" si="30"/>
        <v>Single</v>
      </c>
      <c r="O676" t="str" cm="1">
        <f t="array" ref="O676">IF((SUMPRODUCT((OrderID=OrderLines!$A676)*Qty*UnitPrice*DiscountPct))&gt;40,"HighDisc","OK")</f>
        <v>HighDisc</v>
      </c>
      <c r="P676">
        <f>(orderlinesTABLE[[#This Row],[UnitCost]]*orderlinesTABLE[[#This Row],[Qty]])</f>
        <v>21.95</v>
      </c>
      <c r="Q676">
        <f>(orderlinesTABLE[[#This Row],[LineNetAmount]]-orderlinesTABLE[[#This Row],[totalCOST]])</f>
        <v>27.914000000000005</v>
      </c>
      <c r="R676" t="str">
        <f>VLOOKUP($B676,Menu!$A$1:$F$20,MATCH(OrderLines!R$1,Menu!$A$1:$F$1,0),0)</f>
        <v>Kheer Cup</v>
      </c>
      <c r="S676" t="str" cm="1">
        <f t="array" ref="S676">_xlfn.TEXTJOIN("+",TRUE,_xlfn._xlws.FILTER(orderlinesTABLE[ItemName],OrderID=orderlinesTABLE[[#This Row],[OrderID]]))</f>
        <v>Gulab Jamun (2 pc)+Kheer Cup+Chicken Thali</v>
      </c>
      <c r="T676" s="54">
        <f>orderlinesTABLE[[#This Row],[Profit]]/orderlinesTABLE[[#This Row],[LineNetAmount]]</f>
        <v>0.55980266324402383</v>
      </c>
      <c r="U676" s="70">
        <f>(orderlinesTABLE[[#This Row],[Qty]]*orderlinesTABLE[[#This Row],[UnitCost]])</f>
        <v>21.95</v>
      </c>
    </row>
    <row r="677" spans="1:21" x14ac:dyDescent="0.3">
      <c r="A677" s="15" t="s">
        <v>299</v>
      </c>
      <c r="B677" s="15" t="s">
        <v>415</v>
      </c>
      <c r="C677" s="15">
        <v>2</v>
      </c>
      <c r="D677" s="36">
        <f>VLOOKUP($B677,Menu!$A$1:$F$20,MATCH($D$1,Menu!$A$1:$F$1,0),0)</f>
        <v>256.91000000000003</v>
      </c>
      <c r="E677" s="15" t="str">
        <f>VLOOKUP($B677,Menu!$A$1:$F$20,MATCH(OrderLines!E$1,Menu!$A$1:$F$1,0),0)</f>
        <v>Hot Meal</v>
      </c>
      <c r="F677" s="36">
        <f>VLOOKUP($B677,Menu!$A$1:$F$20,MATCH(OrderLines!F$1,Menu!$A$1:$F$1,0),0)</f>
        <v>121.24</v>
      </c>
      <c r="G677" s="27">
        <f>VLOOKUP($A677,Orders!$A$1:$H$361,MATCH($G$1,Orders!$A$1:$H$1,0),0)</f>
        <v>45875</v>
      </c>
      <c r="H677" s="15" t="str">
        <f>VLOOKUP($A677,Orders!$A$1:$H$361,MATCH(OrderLines!$H$1,Orders!$A$1:$H$1,0),0)</f>
        <v>Plant 2 Canteen</v>
      </c>
      <c r="I677" s="15">
        <f>VLOOKUP($A677,Orders!$A$1:$H$361,MATCH(OrderLines!$I$1,Orders!$A$1:$H$1,0),0)</f>
        <v>0.08</v>
      </c>
      <c r="J677" s="15">
        <f t="shared" si="31"/>
        <v>472.71440000000007</v>
      </c>
      <c r="K677" s="27" t="str">
        <f t="shared" si="32"/>
        <v>August</v>
      </c>
      <c r="L677" s="15" t="str">
        <f>VLOOKUP(OrderLines!$A677,Orders!$A$1:$H$361,MATCH(OrderLines!$L$1,Orders!$A$1:$H$1,0),0)</f>
        <v>Breakfast</v>
      </c>
      <c r="M677" t="str">
        <f>VLOOKUP($A677,Orders!$A$1:$H$361,MATCH(OrderLines!$M$1,Orders!$A$1:$H$1,0),0)</f>
        <v>Card</v>
      </c>
      <c r="N677" t="str">
        <f t="shared" si="30"/>
        <v>Single</v>
      </c>
      <c r="O677" t="str" cm="1">
        <f t="array" ref="O677">IF((SUMPRODUCT((OrderID=OrderLines!$A677)*Qty*UnitPrice*DiscountPct))&gt;40,"HighDisc","OK")</f>
        <v>HighDisc</v>
      </c>
      <c r="P677">
        <f>(orderlinesTABLE[[#This Row],[UnitCost]]*orderlinesTABLE[[#This Row],[Qty]])</f>
        <v>242.48</v>
      </c>
      <c r="Q677">
        <f>(orderlinesTABLE[[#This Row],[LineNetAmount]]-orderlinesTABLE[[#This Row],[totalCOST]])</f>
        <v>230.23440000000008</v>
      </c>
      <c r="R677" t="str">
        <f>VLOOKUP($B677,Menu!$A$1:$F$20,MATCH(OrderLines!R$1,Menu!$A$1:$F$1,0),0)</f>
        <v>Chicken Thali</v>
      </c>
      <c r="S677" t="str" cm="1">
        <f t="array" ref="S677">_xlfn.TEXTJOIN("+",TRUE,_xlfn._xlws.FILTER(orderlinesTABLE[ItemName],OrderID=orderlinesTABLE[[#This Row],[OrderID]]))</f>
        <v>Gulab Jamun (2 pc)+Kheer Cup+Chicken Thali</v>
      </c>
      <c r="T677" s="54">
        <f>orderlinesTABLE[[#This Row],[Profit]]/orderlinesTABLE[[#This Row],[LineNetAmount]]</f>
        <v>0.48704757037230101</v>
      </c>
      <c r="U677" s="70">
        <f>(orderlinesTABLE[[#This Row],[Qty]]*orderlinesTABLE[[#This Row],[UnitCost]])</f>
        <v>242.48</v>
      </c>
    </row>
    <row r="678" spans="1:21" x14ac:dyDescent="0.3">
      <c r="A678" s="14" t="s">
        <v>300</v>
      </c>
      <c r="B678" s="14" t="s">
        <v>415</v>
      </c>
      <c r="C678" s="14">
        <v>1</v>
      </c>
      <c r="D678" s="37">
        <f>VLOOKUP($B678,Menu!$A$1:$F$20,MATCH($D$1,Menu!$A$1:$F$1,0),0)</f>
        <v>256.91000000000003</v>
      </c>
      <c r="E678" s="14" t="str">
        <f>VLOOKUP($B678,Menu!$A$1:$F$20,MATCH(OrderLines!E$1,Menu!$A$1:$F$1,0),0)</f>
        <v>Hot Meal</v>
      </c>
      <c r="F678" s="37">
        <f>VLOOKUP($B678,Menu!$A$1:$F$20,MATCH(OrderLines!F$1,Menu!$A$1:$F$1,0),0)</f>
        <v>121.24</v>
      </c>
      <c r="G678" s="28">
        <f>VLOOKUP($A678,Orders!$A$1:$H$361,MATCH($G$1,Orders!$A$1:$H$1,0),0)</f>
        <v>45844</v>
      </c>
      <c r="H678" s="14" t="str">
        <f>VLOOKUP($A678,Orders!$A$1:$H$361,MATCH(OrderLines!$H$1,Orders!$A$1:$H$1,0),0)</f>
        <v>Plant 1 Canteen</v>
      </c>
      <c r="I678" s="14">
        <f>VLOOKUP($A678,Orders!$A$1:$H$361,MATCH(OrderLines!$I$1,Orders!$A$1:$H$1,0),0)</f>
        <v>0.06</v>
      </c>
      <c r="J678" s="14">
        <f t="shared" si="31"/>
        <v>241.49540000000002</v>
      </c>
      <c r="K678" s="28" t="str">
        <f t="shared" si="32"/>
        <v>July</v>
      </c>
      <c r="L678" s="14" t="str">
        <f>VLOOKUP(OrderLines!$A678,Orders!$A$1:$H$361,MATCH(OrderLines!$L$1,Orders!$A$1:$H$1,0),0)</f>
        <v>Breakfast</v>
      </c>
      <c r="M678" t="str">
        <f>VLOOKUP($A678,Orders!$A$1:$H$361,MATCH(OrderLines!$M$1,Orders!$A$1:$H$1,0),0)</f>
        <v>UPI</v>
      </c>
      <c r="N678" t="str">
        <f t="shared" si="30"/>
        <v>Single</v>
      </c>
      <c r="O678" t="str" cm="1">
        <f t="array" ref="O678">IF((SUMPRODUCT((OrderID=OrderLines!$A678)*Qty*UnitPrice*DiscountPct))&gt;40,"HighDisc","OK")</f>
        <v>OK</v>
      </c>
      <c r="P678">
        <f>(orderlinesTABLE[[#This Row],[UnitCost]]*orderlinesTABLE[[#This Row],[Qty]])</f>
        <v>121.24</v>
      </c>
      <c r="Q678">
        <f>(orderlinesTABLE[[#This Row],[LineNetAmount]]-orderlinesTABLE[[#This Row],[totalCOST]])</f>
        <v>120.25540000000002</v>
      </c>
      <c r="R678" t="str">
        <f>VLOOKUP($B678,Menu!$A$1:$F$20,MATCH(OrderLines!R$1,Menu!$A$1:$F$1,0),0)</f>
        <v>Chicken Thali</v>
      </c>
      <c r="S678" t="str" cm="1">
        <f t="array" ref="S678">_xlfn.TEXTJOIN("+",TRUE,_xlfn._xlws.FILTER(orderlinesTABLE[ItemName],OrderID=orderlinesTABLE[[#This Row],[OrderID]]))</f>
        <v>Chicken Thali+Gulab Jamun (2 pc)</v>
      </c>
      <c r="T678" s="54">
        <f>orderlinesTABLE[[#This Row],[Profit]]/orderlinesTABLE[[#This Row],[LineNetAmount]]</f>
        <v>0.49796145185374135</v>
      </c>
      <c r="U678" s="70">
        <f>(orderlinesTABLE[[#This Row],[Qty]]*orderlinesTABLE[[#This Row],[UnitCost]])</f>
        <v>121.24</v>
      </c>
    </row>
    <row r="679" spans="1:21" x14ac:dyDescent="0.3">
      <c r="A679" s="15" t="s">
        <v>300</v>
      </c>
      <c r="B679" s="15" t="s">
        <v>403</v>
      </c>
      <c r="C679" s="15">
        <v>2</v>
      </c>
      <c r="D679" s="36">
        <f>VLOOKUP($B679,Menu!$A$1:$F$20,MATCH($D$1,Menu!$A$1:$F$1,0),0)</f>
        <v>76.55</v>
      </c>
      <c r="E679" s="15" t="str">
        <f>VLOOKUP($B679,Menu!$A$1:$F$20,MATCH(OrderLines!E$1,Menu!$A$1:$F$1,0),0)</f>
        <v>Dessert</v>
      </c>
      <c r="F679" s="36">
        <f>VLOOKUP($B679,Menu!$A$1:$F$20,MATCH(OrderLines!F$1,Menu!$A$1:$F$1,0),0)</f>
        <v>38.229999999999997</v>
      </c>
      <c r="G679" s="27">
        <f>VLOOKUP($A679,Orders!$A$1:$H$361,MATCH($G$1,Orders!$A$1:$H$1,0),0)</f>
        <v>45844</v>
      </c>
      <c r="H679" s="15" t="str">
        <f>VLOOKUP($A679,Orders!$A$1:$H$361,MATCH(OrderLines!$H$1,Orders!$A$1:$H$1,0),0)</f>
        <v>Plant 1 Canteen</v>
      </c>
      <c r="I679" s="15">
        <f>VLOOKUP($A679,Orders!$A$1:$H$361,MATCH(OrderLines!$I$1,Orders!$A$1:$H$1,0),0)</f>
        <v>0.06</v>
      </c>
      <c r="J679" s="15">
        <f t="shared" si="31"/>
        <v>143.91399999999999</v>
      </c>
      <c r="K679" s="27" t="str">
        <f t="shared" si="32"/>
        <v>July</v>
      </c>
      <c r="L679" s="15" t="str">
        <f>VLOOKUP(OrderLines!$A679,Orders!$A$1:$H$361,MATCH(OrderLines!$L$1,Orders!$A$1:$H$1,0),0)</f>
        <v>Breakfast</v>
      </c>
      <c r="M679" t="str">
        <f>VLOOKUP($A679,Orders!$A$1:$H$361,MATCH(OrderLines!$M$1,Orders!$A$1:$H$1,0),0)</f>
        <v>UPI</v>
      </c>
      <c r="N679" t="str">
        <f t="shared" si="30"/>
        <v>Single</v>
      </c>
      <c r="O679" t="str" cm="1">
        <f t="array" ref="O679">IF((SUMPRODUCT((OrderID=OrderLines!$A679)*Qty*UnitPrice*DiscountPct))&gt;40,"HighDisc","OK")</f>
        <v>OK</v>
      </c>
      <c r="P679">
        <f>(orderlinesTABLE[[#This Row],[UnitCost]]*orderlinesTABLE[[#This Row],[Qty]])</f>
        <v>76.459999999999994</v>
      </c>
      <c r="Q679">
        <f>(orderlinesTABLE[[#This Row],[LineNetAmount]]-orderlinesTABLE[[#This Row],[totalCOST]])</f>
        <v>67.453999999999994</v>
      </c>
      <c r="R679" t="str">
        <f>VLOOKUP($B679,Menu!$A$1:$F$20,MATCH(OrderLines!R$1,Menu!$A$1:$F$1,0),0)</f>
        <v>Gulab Jamun (2 pc)</v>
      </c>
      <c r="S679" t="str" cm="1">
        <f t="array" ref="S679">_xlfn.TEXTJOIN("+",TRUE,_xlfn._xlws.FILTER(orderlinesTABLE[ItemName],OrderID=orderlinesTABLE[[#This Row],[OrderID]]))</f>
        <v>Chicken Thali+Gulab Jamun (2 pc)</v>
      </c>
      <c r="T679" s="54">
        <f>orderlinesTABLE[[#This Row],[Profit]]/orderlinesTABLE[[#This Row],[LineNetAmount]]</f>
        <v>0.46871047986992231</v>
      </c>
      <c r="U679" s="70">
        <f>(orderlinesTABLE[[#This Row],[Qty]]*orderlinesTABLE[[#This Row],[UnitCost]])</f>
        <v>76.459999999999994</v>
      </c>
    </row>
    <row r="680" spans="1:21" x14ac:dyDescent="0.3">
      <c r="A680" s="14" t="s">
        <v>301</v>
      </c>
      <c r="B680" s="14" t="s">
        <v>409</v>
      </c>
      <c r="C680" s="14">
        <v>1</v>
      </c>
      <c r="D680" s="37">
        <f>VLOOKUP($B680,Menu!$A$1:$F$20,MATCH($D$1,Menu!$A$1:$F$1,0),0)</f>
        <v>28.43</v>
      </c>
      <c r="E680" s="14" t="str">
        <f>VLOOKUP($B680,Menu!$A$1:$F$20,MATCH(OrderLines!E$1,Menu!$A$1:$F$1,0),0)</f>
        <v>Beverage</v>
      </c>
      <c r="F680" s="37">
        <f>VLOOKUP($B680,Menu!$A$1:$F$20,MATCH(OrderLines!F$1,Menu!$A$1:$F$1,0),0)</f>
        <v>13.89</v>
      </c>
      <c r="G680" s="28">
        <f>VLOOKUP($A680,Orders!$A$1:$H$361,MATCH($G$1,Orders!$A$1:$H$1,0),0)</f>
        <v>45847</v>
      </c>
      <c r="H680" s="14" t="str">
        <f>VLOOKUP($A680,Orders!$A$1:$H$361,MATCH(OrderLines!$H$1,Orders!$A$1:$H$1,0),0)</f>
        <v>Plant 2 Canteen</v>
      </c>
      <c r="I680" s="14">
        <f>VLOOKUP($A680,Orders!$A$1:$H$361,MATCH(OrderLines!$I$1,Orders!$A$1:$H$1,0),0)</f>
        <v>0.06</v>
      </c>
      <c r="J680" s="14">
        <f t="shared" si="31"/>
        <v>26.7242</v>
      </c>
      <c r="K680" s="28" t="str">
        <f t="shared" si="32"/>
        <v>July</v>
      </c>
      <c r="L680" s="14" t="str">
        <f>VLOOKUP(OrderLines!$A680,Orders!$A$1:$H$361,MATCH(OrderLines!$L$1,Orders!$A$1:$H$1,0),0)</f>
        <v>Breakfast</v>
      </c>
      <c r="M680" t="str">
        <f>VLOOKUP($A680,Orders!$A$1:$H$361,MATCH(OrderLines!$M$1,Orders!$A$1:$H$1,0),0)</f>
        <v>UPI</v>
      </c>
      <c r="N680" t="str">
        <f t="shared" si="30"/>
        <v>Single</v>
      </c>
      <c r="O680" t="str" cm="1">
        <f t="array" ref="O680">IF((SUMPRODUCT((OrderID=OrderLines!$A680)*Qty*UnitPrice*DiscountPct))&gt;40,"HighDisc","OK")</f>
        <v>OK</v>
      </c>
      <c r="P680">
        <f>(orderlinesTABLE[[#This Row],[UnitCost]]*orderlinesTABLE[[#This Row],[Qty]])</f>
        <v>13.89</v>
      </c>
      <c r="Q680">
        <f>(orderlinesTABLE[[#This Row],[LineNetAmount]]-orderlinesTABLE[[#This Row],[totalCOST]])</f>
        <v>12.834199999999999</v>
      </c>
      <c r="R680" t="str">
        <f>VLOOKUP($B680,Menu!$A$1:$F$20,MATCH(OrderLines!R$1,Menu!$A$1:$F$1,0),0)</f>
        <v>Bottled Water</v>
      </c>
      <c r="S680" t="str" cm="1">
        <f t="array" ref="S680">_xlfn.TEXTJOIN("+",TRUE,_xlfn._xlws.FILTER(orderlinesTABLE[ItemName],OrderID=orderlinesTABLE[[#This Row],[OrderID]]))</f>
        <v>Bottled Water+Gulab Jamun (2 pc)+Brownie</v>
      </c>
      <c r="T680" s="54">
        <f>orderlinesTABLE[[#This Row],[Profit]]/orderlinesTABLE[[#This Row],[LineNetAmount]]</f>
        <v>0.48024636846004742</v>
      </c>
      <c r="U680" s="70">
        <f>(orderlinesTABLE[[#This Row],[Qty]]*orderlinesTABLE[[#This Row],[UnitCost]])</f>
        <v>13.89</v>
      </c>
    </row>
    <row r="681" spans="1:21" x14ac:dyDescent="0.3">
      <c r="A681" s="15" t="s">
        <v>301</v>
      </c>
      <c r="B681" s="15" t="s">
        <v>403</v>
      </c>
      <c r="C681" s="15">
        <v>2</v>
      </c>
      <c r="D681" s="36">
        <f>VLOOKUP($B681,Menu!$A$1:$F$20,MATCH($D$1,Menu!$A$1:$F$1,0),0)</f>
        <v>76.55</v>
      </c>
      <c r="E681" s="15" t="str">
        <f>VLOOKUP($B681,Menu!$A$1:$F$20,MATCH(OrderLines!E$1,Menu!$A$1:$F$1,0),0)</f>
        <v>Dessert</v>
      </c>
      <c r="F681" s="36">
        <f>VLOOKUP($B681,Menu!$A$1:$F$20,MATCH(OrderLines!F$1,Menu!$A$1:$F$1,0),0)</f>
        <v>38.229999999999997</v>
      </c>
      <c r="G681" s="27">
        <f>VLOOKUP($A681,Orders!$A$1:$H$361,MATCH($G$1,Orders!$A$1:$H$1,0),0)</f>
        <v>45847</v>
      </c>
      <c r="H681" s="15" t="str">
        <f>VLOOKUP($A681,Orders!$A$1:$H$361,MATCH(OrderLines!$H$1,Orders!$A$1:$H$1,0),0)</f>
        <v>Plant 2 Canteen</v>
      </c>
      <c r="I681" s="15">
        <f>VLOOKUP($A681,Orders!$A$1:$H$361,MATCH(OrderLines!$I$1,Orders!$A$1:$H$1,0),0)</f>
        <v>0.06</v>
      </c>
      <c r="J681" s="15">
        <f t="shared" si="31"/>
        <v>143.91399999999999</v>
      </c>
      <c r="K681" s="27" t="str">
        <f t="shared" si="32"/>
        <v>July</v>
      </c>
      <c r="L681" s="15" t="str">
        <f>VLOOKUP(OrderLines!$A681,Orders!$A$1:$H$361,MATCH(OrderLines!$L$1,Orders!$A$1:$H$1,0),0)</f>
        <v>Breakfast</v>
      </c>
      <c r="M681" t="str">
        <f>VLOOKUP($A681,Orders!$A$1:$H$361,MATCH(OrderLines!$M$1,Orders!$A$1:$H$1,0),0)</f>
        <v>UPI</v>
      </c>
      <c r="N681" t="str">
        <f t="shared" si="30"/>
        <v>Single</v>
      </c>
      <c r="O681" t="str" cm="1">
        <f t="array" ref="O681">IF((SUMPRODUCT((OrderID=OrderLines!$A681)*Qty*UnitPrice*DiscountPct))&gt;40,"HighDisc","OK")</f>
        <v>OK</v>
      </c>
      <c r="P681">
        <f>(orderlinesTABLE[[#This Row],[UnitCost]]*orderlinesTABLE[[#This Row],[Qty]])</f>
        <v>76.459999999999994</v>
      </c>
      <c r="Q681">
        <f>(orderlinesTABLE[[#This Row],[LineNetAmount]]-orderlinesTABLE[[#This Row],[totalCOST]])</f>
        <v>67.453999999999994</v>
      </c>
      <c r="R681" t="str">
        <f>VLOOKUP($B681,Menu!$A$1:$F$20,MATCH(OrderLines!R$1,Menu!$A$1:$F$1,0),0)</f>
        <v>Gulab Jamun (2 pc)</v>
      </c>
      <c r="S681" t="str" cm="1">
        <f t="array" ref="S681">_xlfn.TEXTJOIN("+",TRUE,_xlfn._xlws.FILTER(orderlinesTABLE[ItemName],OrderID=orderlinesTABLE[[#This Row],[OrderID]]))</f>
        <v>Bottled Water+Gulab Jamun (2 pc)+Brownie</v>
      </c>
      <c r="T681" s="54">
        <f>orderlinesTABLE[[#This Row],[Profit]]/orderlinesTABLE[[#This Row],[LineNetAmount]]</f>
        <v>0.46871047986992231</v>
      </c>
      <c r="U681" s="70">
        <f>(orderlinesTABLE[[#This Row],[Qty]]*orderlinesTABLE[[#This Row],[UnitCost]])</f>
        <v>76.459999999999994</v>
      </c>
    </row>
    <row r="682" spans="1:21" x14ac:dyDescent="0.3">
      <c r="A682" s="14" t="s">
        <v>301</v>
      </c>
      <c r="B682" s="14" t="s">
        <v>414</v>
      </c>
      <c r="C682" s="14">
        <v>3</v>
      </c>
      <c r="D682" s="37">
        <f>VLOOKUP($B682,Menu!$A$1:$F$20,MATCH($D$1,Menu!$A$1:$F$1,0),0)</f>
        <v>116.8</v>
      </c>
      <c r="E682" s="14" t="str">
        <f>VLOOKUP($B682,Menu!$A$1:$F$20,MATCH(OrderLines!E$1,Menu!$A$1:$F$1,0),0)</f>
        <v>Dessert</v>
      </c>
      <c r="F682" s="37">
        <f>VLOOKUP($B682,Menu!$A$1:$F$20,MATCH(OrderLines!F$1,Menu!$A$1:$F$1,0),0)</f>
        <v>48.97</v>
      </c>
      <c r="G682" s="28">
        <f>VLOOKUP($A682,Orders!$A$1:$H$361,MATCH($G$1,Orders!$A$1:$H$1,0),0)</f>
        <v>45847</v>
      </c>
      <c r="H682" s="14" t="str">
        <f>VLOOKUP($A682,Orders!$A$1:$H$361,MATCH(OrderLines!$H$1,Orders!$A$1:$H$1,0),0)</f>
        <v>Plant 2 Canteen</v>
      </c>
      <c r="I682" s="14">
        <f>VLOOKUP($A682,Orders!$A$1:$H$361,MATCH(OrderLines!$I$1,Orders!$A$1:$H$1,0),0)</f>
        <v>0.06</v>
      </c>
      <c r="J682" s="14">
        <f t="shared" si="31"/>
        <v>329.37599999999998</v>
      </c>
      <c r="K682" s="28" t="str">
        <f t="shared" si="32"/>
        <v>July</v>
      </c>
      <c r="L682" s="14" t="str">
        <f>VLOOKUP(OrderLines!$A682,Orders!$A$1:$H$361,MATCH(OrderLines!$L$1,Orders!$A$1:$H$1,0),0)</f>
        <v>Breakfast</v>
      </c>
      <c r="M682" t="str">
        <f>VLOOKUP($A682,Orders!$A$1:$H$361,MATCH(OrderLines!$M$1,Orders!$A$1:$H$1,0),0)</f>
        <v>UPI</v>
      </c>
      <c r="N682" t="str">
        <f t="shared" si="30"/>
        <v>Single</v>
      </c>
      <c r="O682" t="str" cm="1">
        <f t="array" ref="O682">IF((SUMPRODUCT((OrderID=OrderLines!$A682)*Qty*UnitPrice*DiscountPct))&gt;40,"HighDisc","OK")</f>
        <v>OK</v>
      </c>
      <c r="P682">
        <f>(orderlinesTABLE[[#This Row],[UnitCost]]*orderlinesTABLE[[#This Row],[Qty]])</f>
        <v>146.91</v>
      </c>
      <c r="Q682">
        <f>(orderlinesTABLE[[#This Row],[LineNetAmount]]-orderlinesTABLE[[#This Row],[totalCOST]])</f>
        <v>182.46599999999998</v>
      </c>
      <c r="R682" t="str">
        <f>VLOOKUP($B682,Menu!$A$1:$F$20,MATCH(OrderLines!R$1,Menu!$A$1:$F$1,0),0)</f>
        <v>Brownie</v>
      </c>
      <c r="S682" t="str" cm="1">
        <f t="array" ref="S682">_xlfn.TEXTJOIN("+",TRUE,_xlfn._xlws.FILTER(orderlinesTABLE[ItemName],OrderID=orderlinesTABLE[[#This Row],[OrderID]]))</f>
        <v>Bottled Water+Gulab Jamun (2 pc)+Brownie</v>
      </c>
      <c r="T682" s="54">
        <f>orderlinesTABLE[[#This Row],[Profit]]/orderlinesTABLE[[#This Row],[LineNetAmount]]</f>
        <v>0.55397478869134364</v>
      </c>
      <c r="U682" s="70">
        <f>(orderlinesTABLE[[#This Row],[Qty]]*orderlinesTABLE[[#This Row],[UnitCost]])</f>
        <v>146.91</v>
      </c>
    </row>
    <row r="683" spans="1:21" x14ac:dyDescent="0.3">
      <c r="A683" s="15" t="s">
        <v>302</v>
      </c>
      <c r="B683" s="15" t="s">
        <v>402</v>
      </c>
      <c r="C683" s="15">
        <v>2</v>
      </c>
      <c r="D683" s="36">
        <f>VLOOKUP($B683,Menu!$A$1:$F$20,MATCH($D$1,Menu!$A$1:$F$1,0),0)</f>
        <v>30.34</v>
      </c>
      <c r="E683" s="15" t="str">
        <f>VLOOKUP($B683,Menu!$A$1:$F$20,MATCH(OrderLines!E$1,Menu!$A$1:$F$1,0),0)</f>
        <v>Beverage</v>
      </c>
      <c r="F683" s="36">
        <f>VLOOKUP($B683,Menu!$A$1:$F$20,MATCH(OrderLines!F$1,Menu!$A$1:$F$1,0),0)</f>
        <v>14.18</v>
      </c>
      <c r="G683" s="27">
        <f>VLOOKUP($A683,Orders!$A$1:$H$361,MATCH($G$1,Orders!$A$1:$H$1,0),0)</f>
        <v>45886</v>
      </c>
      <c r="H683" s="15" t="str">
        <f>VLOOKUP($A683,Orders!$A$1:$H$361,MATCH(OrderLines!$H$1,Orders!$A$1:$H$1,0),0)</f>
        <v>Head Office Café</v>
      </c>
      <c r="I683" s="15">
        <f>VLOOKUP($A683,Orders!$A$1:$H$361,MATCH(OrderLines!$I$1,Orders!$A$1:$H$1,0),0)</f>
        <v>0.11</v>
      </c>
      <c r="J683" s="15">
        <f t="shared" si="31"/>
        <v>54.005200000000002</v>
      </c>
      <c r="K683" s="27" t="str">
        <f t="shared" si="32"/>
        <v>August</v>
      </c>
      <c r="L683" s="15" t="str">
        <f>VLOOKUP(OrderLines!$A683,Orders!$A$1:$H$361,MATCH(OrderLines!$L$1,Orders!$A$1:$H$1,0),0)</f>
        <v>Breakfast</v>
      </c>
      <c r="M683" t="str">
        <f>VLOOKUP($A683,Orders!$A$1:$H$361,MATCH(OrderLines!$M$1,Orders!$A$1:$H$1,0),0)</f>
        <v>Card</v>
      </c>
      <c r="N683" t="str">
        <f t="shared" si="30"/>
        <v>Combo</v>
      </c>
      <c r="O683" t="str" cm="1">
        <f t="array" ref="O683">IF((SUMPRODUCT((OrderID=OrderLines!$A683)*Qty*UnitPrice*DiscountPct))&gt;40,"HighDisc","OK")</f>
        <v>HighDisc</v>
      </c>
      <c r="P683">
        <f>(orderlinesTABLE[[#This Row],[UnitCost]]*orderlinesTABLE[[#This Row],[Qty]])</f>
        <v>28.36</v>
      </c>
      <c r="Q683">
        <f>(orderlinesTABLE[[#This Row],[LineNetAmount]]-orderlinesTABLE[[#This Row],[totalCOST]])</f>
        <v>25.645200000000003</v>
      </c>
      <c r="R683" t="str">
        <f>VLOOKUP($B683,Menu!$A$1:$F$20,MATCH(OrderLines!R$1,Menu!$A$1:$F$1,0),0)</f>
        <v>Tea</v>
      </c>
      <c r="S683" t="str" cm="1">
        <f t="array" ref="S683">_xlfn.TEXTJOIN("+",TRUE,_xlfn._xlws.FILTER(orderlinesTABLE[ItemName],OrderID=orderlinesTABLE[[#This Row],[OrderID]]))</f>
        <v>Tea+Nimbu Pani+Egg Curry + Rice</v>
      </c>
      <c r="T683" s="54">
        <f>orderlinesTABLE[[#This Row],[Profit]]/orderlinesTABLE[[#This Row],[LineNetAmount]]</f>
        <v>0.47486538333345679</v>
      </c>
      <c r="U683" s="70">
        <f>(orderlinesTABLE[[#This Row],[Qty]]*orderlinesTABLE[[#This Row],[UnitCost]])</f>
        <v>28.36</v>
      </c>
    </row>
    <row r="684" spans="1:21" x14ac:dyDescent="0.3">
      <c r="A684" s="14" t="s">
        <v>302</v>
      </c>
      <c r="B684" s="14" t="s">
        <v>410</v>
      </c>
      <c r="C684" s="14">
        <v>2</v>
      </c>
      <c r="D684" s="37">
        <f>VLOOKUP($B684,Menu!$A$1:$F$20,MATCH($D$1,Menu!$A$1:$F$1,0),0)</f>
        <v>20.11</v>
      </c>
      <c r="E684" s="14" t="str">
        <f>VLOOKUP($B684,Menu!$A$1:$F$20,MATCH(OrderLines!E$1,Menu!$A$1:$F$1,0),0)</f>
        <v>Beverage</v>
      </c>
      <c r="F684" s="37">
        <f>VLOOKUP($B684,Menu!$A$1:$F$20,MATCH(OrderLines!F$1,Menu!$A$1:$F$1,0),0)</f>
        <v>8</v>
      </c>
      <c r="G684" s="28">
        <f>VLOOKUP($A684,Orders!$A$1:$H$361,MATCH($G$1,Orders!$A$1:$H$1,0),0)</f>
        <v>45886</v>
      </c>
      <c r="H684" s="14" t="str">
        <f>VLOOKUP($A684,Orders!$A$1:$H$361,MATCH(OrderLines!$H$1,Orders!$A$1:$H$1,0),0)</f>
        <v>Head Office Café</v>
      </c>
      <c r="I684" s="14">
        <f>VLOOKUP($A684,Orders!$A$1:$H$361,MATCH(OrderLines!$I$1,Orders!$A$1:$H$1,0),0)</f>
        <v>0.11</v>
      </c>
      <c r="J684" s="14">
        <f t="shared" si="31"/>
        <v>35.7958</v>
      </c>
      <c r="K684" s="28" t="str">
        <f t="shared" si="32"/>
        <v>August</v>
      </c>
      <c r="L684" s="14" t="str">
        <f>VLOOKUP(OrderLines!$A684,Orders!$A$1:$H$361,MATCH(OrderLines!$L$1,Orders!$A$1:$H$1,0),0)</f>
        <v>Breakfast</v>
      </c>
      <c r="M684" t="str">
        <f>VLOOKUP($A684,Orders!$A$1:$H$361,MATCH(OrderLines!$M$1,Orders!$A$1:$H$1,0),0)</f>
        <v>Card</v>
      </c>
      <c r="N684" t="str">
        <f t="shared" si="30"/>
        <v>Combo</v>
      </c>
      <c r="O684" t="str" cm="1">
        <f t="array" ref="O684">IF((SUMPRODUCT((OrderID=OrderLines!$A684)*Qty*UnitPrice*DiscountPct))&gt;40,"HighDisc","OK")</f>
        <v>HighDisc</v>
      </c>
      <c r="P684">
        <f>(orderlinesTABLE[[#This Row],[UnitCost]]*orderlinesTABLE[[#This Row],[Qty]])</f>
        <v>16</v>
      </c>
      <c r="Q684">
        <f>(orderlinesTABLE[[#This Row],[LineNetAmount]]-orderlinesTABLE[[#This Row],[totalCOST]])</f>
        <v>19.7958</v>
      </c>
      <c r="R684" t="str">
        <f>VLOOKUP($B684,Menu!$A$1:$F$20,MATCH(OrderLines!R$1,Menu!$A$1:$F$1,0),0)</f>
        <v>Nimbu Pani</v>
      </c>
      <c r="S684" t="str" cm="1">
        <f t="array" ref="S684">_xlfn.TEXTJOIN("+",TRUE,_xlfn._xlws.FILTER(orderlinesTABLE[ItemName],OrderID=orderlinesTABLE[[#This Row],[OrderID]]))</f>
        <v>Tea+Nimbu Pani+Egg Curry + Rice</v>
      </c>
      <c r="T684" s="54">
        <f>orderlinesTABLE[[#This Row],[Profit]]/orderlinesTABLE[[#This Row],[LineNetAmount]]</f>
        <v>0.55302018672581699</v>
      </c>
      <c r="U684" s="70">
        <f>(orderlinesTABLE[[#This Row],[Qty]]*orderlinesTABLE[[#This Row],[UnitCost]])</f>
        <v>16</v>
      </c>
    </row>
    <row r="685" spans="1:21" x14ac:dyDescent="0.3">
      <c r="A685" s="15" t="s">
        <v>302</v>
      </c>
      <c r="B685" s="15" t="s">
        <v>407</v>
      </c>
      <c r="C685" s="15">
        <v>2</v>
      </c>
      <c r="D685" s="36">
        <f>VLOOKUP($B685,Menu!$A$1:$F$20,MATCH($D$1,Menu!$A$1:$F$1,0),0)</f>
        <v>246.09</v>
      </c>
      <c r="E685" s="15" t="str">
        <f>VLOOKUP($B685,Menu!$A$1:$F$20,MATCH(OrderLines!E$1,Menu!$A$1:$F$1,0),0)</f>
        <v>Hot Meal</v>
      </c>
      <c r="F685" s="36">
        <f>VLOOKUP($B685,Menu!$A$1:$F$20,MATCH(OrderLines!F$1,Menu!$A$1:$F$1,0),0)</f>
        <v>112.08</v>
      </c>
      <c r="G685" s="27">
        <f>VLOOKUP($A685,Orders!$A$1:$H$361,MATCH($G$1,Orders!$A$1:$H$1,0),0)</f>
        <v>45886</v>
      </c>
      <c r="H685" s="15" t="str">
        <f>VLOOKUP($A685,Orders!$A$1:$H$361,MATCH(OrderLines!$H$1,Orders!$A$1:$H$1,0),0)</f>
        <v>Head Office Café</v>
      </c>
      <c r="I685" s="15">
        <f>VLOOKUP($A685,Orders!$A$1:$H$361,MATCH(OrderLines!$I$1,Orders!$A$1:$H$1,0),0)</f>
        <v>0.11</v>
      </c>
      <c r="J685" s="15">
        <f t="shared" si="31"/>
        <v>438.04020000000003</v>
      </c>
      <c r="K685" s="27" t="str">
        <f t="shared" si="32"/>
        <v>August</v>
      </c>
      <c r="L685" s="15" t="str">
        <f>VLOOKUP(OrderLines!$A685,Orders!$A$1:$H$361,MATCH(OrderLines!$L$1,Orders!$A$1:$H$1,0),0)</f>
        <v>Breakfast</v>
      </c>
      <c r="M685" t="str">
        <f>VLOOKUP($A685,Orders!$A$1:$H$361,MATCH(OrderLines!$M$1,Orders!$A$1:$H$1,0),0)</f>
        <v>Card</v>
      </c>
      <c r="N685" t="str">
        <f t="shared" si="30"/>
        <v>Combo</v>
      </c>
      <c r="O685" t="str" cm="1">
        <f t="array" ref="O685">IF((SUMPRODUCT((OrderID=OrderLines!$A685)*Qty*UnitPrice*DiscountPct))&gt;40,"HighDisc","OK")</f>
        <v>HighDisc</v>
      </c>
      <c r="P685">
        <f>(orderlinesTABLE[[#This Row],[UnitCost]]*orderlinesTABLE[[#This Row],[Qty]])</f>
        <v>224.16</v>
      </c>
      <c r="Q685">
        <f>(orderlinesTABLE[[#This Row],[LineNetAmount]]-orderlinesTABLE[[#This Row],[totalCOST]])</f>
        <v>213.88020000000003</v>
      </c>
      <c r="R685" t="str">
        <f>VLOOKUP($B685,Menu!$A$1:$F$20,MATCH(OrderLines!R$1,Menu!$A$1:$F$1,0),0)</f>
        <v>Egg Curry + Rice</v>
      </c>
      <c r="S685" t="str" cm="1">
        <f t="array" ref="S685">_xlfn.TEXTJOIN("+",TRUE,_xlfn._xlws.FILTER(orderlinesTABLE[ItemName],OrderID=orderlinesTABLE[[#This Row],[OrderID]]))</f>
        <v>Tea+Nimbu Pani+Egg Curry + Rice</v>
      </c>
      <c r="T685" s="54">
        <f>orderlinesTABLE[[#This Row],[Profit]]/orderlinesTABLE[[#This Row],[LineNetAmount]]</f>
        <v>0.48826614543596686</v>
      </c>
      <c r="U685" s="70">
        <f>(orderlinesTABLE[[#This Row],[Qty]]*orderlinesTABLE[[#This Row],[UnitCost]])</f>
        <v>224.16</v>
      </c>
    </row>
    <row r="686" spans="1:21" x14ac:dyDescent="0.3">
      <c r="A686" s="14" t="s">
        <v>303</v>
      </c>
      <c r="B686" s="14" t="s">
        <v>414</v>
      </c>
      <c r="C686" s="14">
        <v>2</v>
      </c>
      <c r="D686" s="37">
        <f>VLOOKUP($B686,Menu!$A$1:$F$20,MATCH($D$1,Menu!$A$1:$F$1,0),0)</f>
        <v>116.8</v>
      </c>
      <c r="E686" s="14" t="str">
        <f>VLOOKUP($B686,Menu!$A$1:$F$20,MATCH(OrderLines!E$1,Menu!$A$1:$F$1,0),0)</f>
        <v>Dessert</v>
      </c>
      <c r="F686" s="37">
        <f>VLOOKUP($B686,Menu!$A$1:$F$20,MATCH(OrderLines!F$1,Menu!$A$1:$F$1,0),0)</f>
        <v>48.97</v>
      </c>
      <c r="G686" s="28">
        <f>VLOOKUP($A686,Orders!$A$1:$H$361,MATCH($G$1,Orders!$A$1:$H$1,0),0)</f>
        <v>45860</v>
      </c>
      <c r="H686" s="14" t="str">
        <f>VLOOKUP($A686,Orders!$A$1:$H$361,MATCH(OrderLines!$H$1,Orders!$A$1:$H$1,0),0)</f>
        <v>Head Office Café</v>
      </c>
      <c r="I686" s="14">
        <f>VLOOKUP($A686,Orders!$A$1:$H$361,MATCH(OrderLines!$I$1,Orders!$A$1:$H$1,0),0)</f>
        <v>0.04</v>
      </c>
      <c r="J686" s="14">
        <f t="shared" si="31"/>
        <v>224.256</v>
      </c>
      <c r="K686" s="28" t="str">
        <f t="shared" si="32"/>
        <v>July</v>
      </c>
      <c r="L686" s="14" t="str">
        <f>VLOOKUP(OrderLines!$A686,Orders!$A$1:$H$361,MATCH(OrderLines!$L$1,Orders!$A$1:$H$1,0),0)</f>
        <v>Breakfast</v>
      </c>
      <c r="M686" t="str">
        <f>VLOOKUP($A686,Orders!$A$1:$H$361,MATCH(OrderLines!$M$1,Orders!$A$1:$H$1,0),0)</f>
        <v>Card</v>
      </c>
      <c r="N686" t="str">
        <f t="shared" si="30"/>
        <v>Single</v>
      </c>
      <c r="O686" t="str" cm="1">
        <f t="array" ref="O686">IF((SUMPRODUCT((OrderID=OrderLines!$A686)*Qty*UnitPrice*DiscountPct))&gt;40,"HighDisc","OK")</f>
        <v>OK</v>
      </c>
      <c r="P686">
        <f>(orderlinesTABLE[[#This Row],[UnitCost]]*orderlinesTABLE[[#This Row],[Qty]])</f>
        <v>97.94</v>
      </c>
      <c r="Q686">
        <f>(orderlinesTABLE[[#This Row],[LineNetAmount]]-orderlinesTABLE[[#This Row],[totalCOST]])</f>
        <v>126.316</v>
      </c>
      <c r="R686" t="str">
        <f>VLOOKUP($B686,Menu!$A$1:$F$20,MATCH(OrderLines!R$1,Menu!$A$1:$F$1,0),0)</f>
        <v>Brownie</v>
      </c>
      <c r="S686" t="str" cm="1">
        <f t="array" ref="S686">_xlfn.TEXTJOIN("+",TRUE,_xlfn._xlws.FILTER(orderlinesTABLE[ItemName],OrderID=orderlinesTABLE[[#This Row],[OrderID]]))</f>
        <v>Brownie+Veg Thali</v>
      </c>
      <c r="T686" s="54">
        <f>orderlinesTABLE[[#This Row],[Profit]]/orderlinesTABLE[[#This Row],[LineNetAmount]]</f>
        <v>0.56326698059360736</v>
      </c>
      <c r="U686" s="70">
        <f>(orderlinesTABLE[[#This Row],[Qty]]*orderlinesTABLE[[#This Row],[UnitCost]])</f>
        <v>97.94</v>
      </c>
    </row>
    <row r="687" spans="1:21" x14ac:dyDescent="0.3">
      <c r="A687" s="15" t="s">
        <v>303</v>
      </c>
      <c r="B687" s="15" t="s">
        <v>416</v>
      </c>
      <c r="C687" s="15">
        <v>1</v>
      </c>
      <c r="D687" s="36">
        <f>VLOOKUP($B687,Menu!$A$1:$F$20,MATCH($D$1,Menu!$A$1:$F$1,0),0)</f>
        <v>227.61</v>
      </c>
      <c r="E687" s="15" t="str">
        <f>VLOOKUP($B687,Menu!$A$1:$F$20,MATCH(OrderLines!E$1,Menu!$A$1:$F$1,0),0)</f>
        <v>Hot Meal</v>
      </c>
      <c r="F687" s="36">
        <f>VLOOKUP($B687,Menu!$A$1:$F$20,MATCH(OrderLines!F$1,Menu!$A$1:$F$1,0),0)</f>
        <v>96.22</v>
      </c>
      <c r="G687" s="27">
        <f>VLOOKUP($A687,Orders!$A$1:$H$361,MATCH($G$1,Orders!$A$1:$H$1,0),0)</f>
        <v>45860</v>
      </c>
      <c r="H687" s="15" t="str">
        <f>VLOOKUP($A687,Orders!$A$1:$H$361,MATCH(OrderLines!$H$1,Orders!$A$1:$H$1,0),0)</f>
        <v>Head Office Café</v>
      </c>
      <c r="I687" s="15">
        <f>VLOOKUP($A687,Orders!$A$1:$H$361,MATCH(OrderLines!$I$1,Orders!$A$1:$H$1,0),0)</f>
        <v>0.04</v>
      </c>
      <c r="J687" s="15">
        <f t="shared" si="31"/>
        <v>218.50560000000002</v>
      </c>
      <c r="K687" s="27" t="str">
        <f t="shared" si="32"/>
        <v>July</v>
      </c>
      <c r="L687" s="15" t="str">
        <f>VLOOKUP(OrderLines!$A687,Orders!$A$1:$H$361,MATCH(OrderLines!$L$1,Orders!$A$1:$H$1,0),0)</f>
        <v>Breakfast</v>
      </c>
      <c r="M687" t="str">
        <f>VLOOKUP($A687,Orders!$A$1:$H$361,MATCH(OrderLines!$M$1,Orders!$A$1:$H$1,0),0)</f>
        <v>Card</v>
      </c>
      <c r="N687" t="str">
        <f t="shared" si="30"/>
        <v>Single</v>
      </c>
      <c r="O687" t="str" cm="1">
        <f t="array" ref="O687">IF((SUMPRODUCT((OrderID=OrderLines!$A687)*Qty*UnitPrice*DiscountPct))&gt;40,"HighDisc","OK")</f>
        <v>OK</v>
      </c>
      <c r="P687">
        <f>(orderlinesTABLE[[#This Row],[UnitCost]]*orderlinesTABLE[[#This Row],[Qty]])</f>
        <v>96.22</v>
      </c>
      <c r="Q687">
        <f>(orderlinesTABLE[[#This Row],[LineNetAmount]]-orderlinesTABLE[[#This Row],[totalCOST]])</f>
        <v>122.28560000000002</v>
      </c>
      <c r="R687" t="str">
        <f>VLOOKUP($B687,Menu!$A$1:$F$20,MATCH(OrderLines!R$1,Menu!$A$1:$F$1,0),0)</f>
        <v>Veg Thali</v>
      </c>
      <c r="S687" t="str" cm="1">
        <f t="array" ref="S687">_xlfn.TEXTJOIN("+",TRUE,_xlfn._xlws.FILTER(orderlinesTABLE[ItemName],OrderID=orderlinesTABLE[[#This Row],[OrderID]]))</f>
        <v>Brownie+Veg Thali</v>
      </c>
      <c r="T687" s="54">
        <f>orderlinesTABLE[[#This Row],[Profit]]/orderlinesTABLE[[#This Row],[LineNetAmount]]</f>
        <v>0.55964515325923003</v>
      </c>
      <c r="U687" s="70">
        <f>(orderlinesTABLE[[#This Row],[Qty]]*orderlinesTABLE[[#This Row],[UnitCost]])</f>
        <v>96.22</v>
      </c>
    </row>
    <row r="688" spans="1:21" x14ac:dyDescent="0.3">
      <c r="A688" s="14" t="s">
        <v>304</v>
      </c>
      <c r="B688" s="14" t="s">
        <v>416</v>
      </c>
      <c r="C688" s="14">
        <v>1</v>
      </c>
      <c r="D688" s="37">
        <f>VLOOKUP($B688,Menu!$A$1:$F$20,MATCH($D$1,Menu!$A$1:$F$1,0),0)</f>
        <v>227.61</v>
      </c>
      <c r="E688" s="14" t="str">
        <f>VLOOKUP($B688,Menu!$A$1:$F$20,MATCH(OrderLines!E$1,Menu!$A$1:$F$1,0),0)</f>
        <v>Hot Meal</v>
      </c>
      <c r="F688" s="37">
        <f>VLOOKUP($B688,Menu!$A$1:$F$20,MATCH(OrderLines!F$1,Menu!$A$1:$F$1,0),0)</f>
        <v>96.22</v>
      </c>
      <c r="G688" s="28">
        <f>VLOOKUP($A688,Orders!$A$1:$H$361,MATCH($G$1,Orders!$A$1:$H$1,0),0)</f>
        <v>45850</v>
      </c>
      <c r="H688" s="14" t="str">
        <f>VLOOKUP($A688,Orders!$A$1:$H$361,MATCH(OrderLines!$H$1,Orders!$A$1:$H$1,0),0)</f>
        <v>Plant 2 Canteen</v>
      </c>
      <c r="I688" s="14">
        <f>VLOOKUP($A688,Orders!$A$1:$H$361,MATCH(OrderLines!$I$1,Orders!$A$1:$H$1,0),0)</f>
        <v>0.08</v>
      </c>
      <c r="J688" s="14">
        <f t="shared" si="31"/>
        <v>209.40120000000002</v>
      </c>
      <c r="K688" s="28" t="str">
        <f t="shared" si="32"/>
        <v>July</v>
      </c>
      <c r="L688" s="14" t="str">
        <f>VLOOKUP(OrderLines!$A688,Orders!$A$1:$H$361,MATCH(OrderLines!$L$1,Orders!$A$1:$H$1,0),0)</f>
        <v>Breakfast</v>
      </c>
      <c r="M688" t="str">
        <f>VLOOKUP($A688,Orders!$A$1:$H$361,MATCH(OrderLines!$M$1,Orders!$A$1:$H$1,0),0)</f>
        <v>UPI</v>
      </c>
      <c r="N688" t="str">
        <f t="shared" si="30"/>
        <v>Combo</v>
      </c>
      <c r="O688" t="str" cm="1">
        <f t="array" ref="O688">IF((SUMPRODUCT((OrderID=OrderLines!$A688)*Qty*UnitPrice*DiscountPct))&gt;40,"HighDisc","OK")</f>
        <v>HighDisc</v>
      </c>
      <c r="P688">
        <f>(orderlinesTABLE[[#This Row],[UnitCost]]*orderlinesTABLE[[#This Row],[Qty]])</f>
        <v>96.22</v>
      </c>
      <c r="Q688">
        <f>(orderlinesTABLE[[#This Row],[LineNetAmount]]-orderlinesTABLE[[#This Row],[totalCOST]])</f>
        <v>113.18120000000002</v>
      </c>
      <c r="R688" t="str">
        <f>VLOOKUP($B688,Menu!$A$1:$F$20,MATCH(OrderLines!R$1,Menu!$A$1:$F$1,0),0)</f>
        <v>Veg Thali</v>
      </c>
      <c r="S688" t="str" cm="1">
        <f t="array" ref="S688">_xlfn.TEXTJOIN("+",TRUE,_xlfn._xlws.FILTER(orderlinesTABLE[ItemName],OrderID=orderlinesTABLE[[#This Row],[OrderID]]))</f>
        <v>Veg Thali+Egg Curry + Rice+Nimbu Pani+Bottled Water</v>
      </c>
      <c r="T688" s="54">
        <f>orderlinesTABLE[[#This Row],[Profit]]/orderlinesTABLE[[#This Row],[LineNetAmount]]</f>
        <v>0.54049929035745736</v>
      </c>
      <c r="U688" s="70">
        <f>(orderlinesTABLE[[#This Row],[Qty]]*orderlinesTABLE[[#This Row],[UnitCost]])</f>
        <v>96.22</v>
      </c>
    </row>
    <row r="689" spans="1:21" x14ac:dyDescent="0.3">
      <c r="A689" s="15" t="s">
        <v>304</v>
      </c>
      <c r="B689" s="15" t="s">
        <v>407</v>
      </c>
      <c r="C689" s="15">
        <v>1</v>
      </c>
      <c r="D689" s="36">
        <f>VLOOKUP($B689,Menu!$A$1:$F$20,MATCH($D$1,Menu!$A$1:$F$1,0),0)</f>
        <v>246.09</v>
      </c>
      <c r="E689" s="15" t="str">
        <f>VLOOKUP($B689,Menu!$A$1:$F$20,MATCH(OrderLines!E$1,Menu!$A$1:$F$1,0),0)</f>
        <v>Hot Meal</v>
      </c>
      <c r="F689" s="36">
        <f>VLOOKUP($B689,Menu!$A$1:$F$20,MATCH(OrderLines!F$1,Menu!$A$1:$F$1,0),0)</f>
        <v>112.08</v>
      </c>
      <c r="G689" s="27">
        <f>VLOOKUP($A689,Orders!$A$1:$H$361,MATCH($G$1,Orders!$A$1:$H$1,0),0)</f>
        <v>45850</v>
      </c>
      <c r="H689" s="15" t="str">
        <f>VLOOKUP($A689,Orders!$A$1:$H$361,MATCH(OrderLines!$H$1,Orders!$A$1:$H$1,0),0)</f>
        <v>Plant 2 Canteen</v>
      </c>
      <c r="I689" s="15">
        <f>VLOOKUP($A689,Orders!$A$1:$H$361,MATCH(OrderLines!$I$1,Orders!$A$1:$H$1,0),0)</f>
        <v>0.08</v>
      </c>
      <c r="J689" s="15">
        <f t="shared" si="31"/>
        <v>226.40280000000001</v>
      </c>
      <c r="K689" s="27" t="str">
        <f t="shared" si="32"/>
        <v>July</v>
      </c>
      <c r="L689" s="15" t="str">
        <f>VLOOKUP(OrderLines!$A689,Orders!$A$1:$H$361,MATCH(OrderLines!$L$1,Orders!$A$1:$H$1,0),0)</f>
        <v>Breakfast</v>
      </c>
      <c r="M689" t="str">
        <f>VLOOKUP($A689,Orders!$A$1:$H$361,MATCH(OrderLines!$M$1,Orders!$A$1:$H$1,0),0)</f>
        <v>UPI</v>
      </c>
      <c r="N689" t="str">
        <f t="shared" si="30"/>
        <v>Combo</v>
      </c>
      <c r="O689" t="str" cm="1">
        <f t="array" ref="O689">IF((SUMPRODUCT((OrderID=OrderLines!$A689)*Qty*UnitPrice*DiscountPct))&gt;40,"HighDisc","OK")</f>
        <v>HighDisc</v>
      </c>
      <c r="P689">
        <f>(orderlinesTABLE[[#This Row],[UnitCost]]*orderlinesTABLE[[#This Row],[Qty]])</f>
        <v>112.08</v>
      </c>
      <c r="Q689">
        <f>(orderlinesTABLE[[#This Row],[LineNetAmount]]-orderlinesTABLE[[#This Row],[totalCOST]])</f>
        <v>114.32280000000002</v>
      </c>
      <c r="R689" t="str">
        <f>VLOOKUP($B689,Menu!$A$1:$F$20,MATCH(OrderLines!R$1,Menu!$A$1:$F$1,0),0)</f>
        <v>Egg Curry + Rice</v>
      </c>
      <c r="S689" t="str" cm="1">
        <f t="array" ref="S689">_xlfn.TEXTJOIN("+",TRUE,_xlfn._xlws.FILTER(orderlinesTABLE[ItemName],OrderID=orderlinesTABLE[[#This Row],[OrderID]]))</f>
        <v>Veg Thali+Egg Curry + Rice+Nimbu Pani+Bottled Water</v>
      </c>
      <c r="T689" s="54">
        <f>orderlinesTABLE[[#This Row],[Profit]]/orderlinesTABLE[[#This Row],[LineNetAmount]]</f>
        <v>0.50495311895435924</v>
      </c>
      <c r="U689" s="70">
        <f>(orderlinesTABLE[[#This Row],[Qty]]*orderlinesTABLE[[#This Row],[UnitCost]])</f>
        <v>112.08</v>
      </c>
    </row>
    <row r="690" spans="1:21" x14ac:dyDescent="0.3">
      <c r="A690" s="14" t="s">
        <v>304</v>
      </c>
      <c r="B690" s="14" t="s">
        <v>410</v>
      </c>
      <c r="C690" s="14">
        <v>1</v>
      </c>
      <c r="D690" s="37">
        <f>VLOOKUP($B690,Menu!$A$1:$F$20,MATCH($D$1,Menu!$A$1:$F$1,0),0)</f>
        <v>20.11</v>
      </c>
      <c r="E690" s="14" t="str">
        <f>VLOOKUP($B690,Menu!$A$1:$F$20,MATCH(OrderLines!E$1,Menu!$A$1:$F$1,0),0)</f>
        <v>Beverage</v>
      </c>
      <c r="F690" s="37">
        <f>VLOOKUP($B690,Menu!$A$1:$F$20,MATCH(OrderLines!F$1,Menu!$A$1:$F$1,0),0)</f>
        <v>8</v>
      </c>
      <c r="G690" s="28">
        <f>VLOOKUP($A690,Orders!$A$1:$H$361,MATCH($G$1,Orders!$A$1:$H$1,0),0)</f>
        <v>45850</v>
      </c>
      <c r="H690" s="14" t="str">
        <f>VLOOKUP($A690,Orders!$A$1:$H$361,MATCH(OrderLines!$H$1,Orders!$A$1:$H$1,0),0)</f>
        <v>Plant 2 Canteen</v>
      </c>
      <c r="I690" s="14">
        <f>VLOOKUP($A690,Orders!$A$1:$H$361,MATCH(OrderLines!$I$1,Orders!$A$1:$H$1,0),0)</f>
        <v>0.08</v>
      </c>
      <c r="J690" s="14">
        <f t="shared" si="31"/>
        <v>18.501200000000001</v>
      </c>
      <c r="K690" s="28" t="str">
        <f t="shared" si="32"/>
        <v>July</v>
      </c>
      <c r="L690" s="14" t="str">
        <f>VLOOKUP(OrderLines!$A690,Orders!$A$1:$H$361,MATCH(OrderLines!$L$1,Orders!$A$1:$H$1,0),0)</f>
        <v>Breakfast</v>
      </c>
      <c r="M690" t="str">
        <f>VLOOKUP($A690,Orders!$A$1:$H$361,MATCH(OrderLines!$M$1,Orders!$A$1:$H$1,0),0)</f>
        <v>UPI</v>
      </c>
      <c r="N690" t="str">
        <f t="shared" si="30"/>
        <v>Combo</v>
      </c>
      <c r="O690" t="str" cm="1">
        <f t="array" ref="O690">IF((SUMPRODUCT((OrderID=OrderLines!$A690)*Qty*UnitPrice*DiscountPct))&gt;40,"HighDisc","OK")</f>
        <v>HighDisc</v>
      </c>
      <c r="P690">
        <f>(orderlinesTABLE[[#This Row],[UnitCost]]*orderlinesTABLE[[#This Row],[Qty]])</f>
        <v>8</v>
      </c>
      <c r="Q690">
        <f>(orderlinesTABLE[[#This Row],[LineNetAmount]]-orderlinesTABLE[[#This Row],[totalCOST]])</f>
        <v>10.501200000000001</v>
      </c>
      <c r="R690" t="str">
        <f>VLOOKUP($B690,Menu!$A$1:$F$20,MATCH(OrderLines!R$1,Menu!$A$1:$F$1,0),0)</f>
        <v>Nimbu Pani</v>
      </c>
      <c r="S690" t="str" cm="1">
        <f t="array" ref="S690">_xlfn.TEXTJOIN("+",TRUE,_xlfn._xlws.FILTER(orderlinesTABLE[ItemName],OrderID=orderlinesTABLE[[#This Row],[OrderID]]))</f>
        <v>Veg Thali+Egg Curry + Rice+Nimbu Pani+Bottled Water</v>
      </c>
      <c r="T690" s="54">
        <f>orderlinesTABLE[[#This Row],[Profit]]/orderlinesTABLE[[#This Row],[LineNetAmount]]</f>
        <v>0.5675956154195404</v>
      </c>
      <c r="U690" s="70">
        <f>(orderlinesTABLE[[#This Row],[Qty]]*orderlinesTABLE[[#This Row],[UnitCost]])</f>
        <v>8</v>
      </c>
    </row>
    <row r="691" spans="1:21" x14ac:dyDescent="0.3">
      <c r="A691" s="15" t="s">
        <v>304</v>
      </c>
      <c r="B691" s="15" t="s">
        <v>409</v>
      </c>
      <c r="C691" s="15">
        <v>3</v>
      </c>
      <c r="D691" s="36">
        <f>VLOOKUP($B691,Menu!$A$1:$F$20,MATCH($D$1,Menu!$A$1:$F$1,0),0)</f>
        <v>28.43</v>
      </c>
      <c r="E691" s="15" t="str">
        <f>VLOOKUP($B691,Menu!$A$1:$F$20,MATCH(OrderLines!E$1,Menu!$A$1:$F$1,0),0)</f>
        <v>Beverage</v>
      </c>
      <c r="F691" s="36">
        <f>VLOOKUP($B691,Menu!$A$1:$F$20,MATCH(OrderLines!F$1,Menu!$A$1:$F$1,0),0)</f>
        <v>13.89</v>
      </c>
      <c r="G691" s="27">
        <f>VLOOKUP($A691,Orders!$A$1:$H$361,MATCH($G$1,Orders!$A$1:$H$1,0),0)</f>
        <v>45850</v>
      </c>
      <c r="H691" s="15" t="str">
        <f>VLOOKUP($A691,Orders!$A$1:$H$361,MATCH(OrderLines!$H$1,Orders!$A$1:$H$1,0),0)</f>
        <v>Plant 2 Canteen</v>
      </c>
      <c r="I691" s="15">
        <f>VLOOKUP($A691,Orders!$A$1:$H$361,MATCH(OrderLines!$I$1,Orders!$A$1:$H$1,0),0)</f>
        <v>0.08</v>
      </c>
      <c r="J691" s="15">
        <f t="shared" si="31"/>
        <v>78.466799999999992</v>
      </c>
      <c r="K691" s="27" t="str">
        <f t="shared" si="32"/>
        <v>July</v>
      </c>
      <c r="L691" s="15" t="str">
        <f>VLOOKUP(OrderLines!$A691,Orders!$A$1:$H$361,MATCH(OrderLines!$L$1,Orders!$A$1:$H$1,0),0)</f>
        <v>Breakfast</v>
      </c>
      <c r="M691" t="str">
        <f>VLOOKUP($A691,Orders!$A$1:$H$361,MATCH(OrderLines!$M$1,Orders!$A$1:$H$1,0),0)</f>
        <v>UPI</v>
      </c>
      <c r="N691" t="str">
        <f t="shared" si="30"/>
        <v>Combo</v>
      </c>
      <c r="O691" t="str" cm="1">
        <f t="array" ref="O691">IF((SUMPRODUCT((OrderID=OrderLines!$A691)*Qty*UnitPrice*DiscountPct))&gt;40,"HighDisc","OK")</f>
        <v>HighDisc</v>
      </c>
      <c r="P691">
        <f>(orderlinesTABLE[[#This Row],[UnitCost]]*orderlinesTABLE[[#This Row],[Qty]])</f>
        <v>41.67</v>
      </c>
      <c r="Q691">
        <f>(orderlinesTABLE[[#This Row],[LineNetAmount]]-orderlinesTABLE[[#This Row],[totalCOST]])</f>
        <v>36.79679999999999</v>
      </c>
      <c r="R691" t="str">
        <f>VLOOKUP($B691,Menu!$A$1:$F$20,MATCH(OrderLines!R$1,Menu!$A$1:$F$1,0),0)</f>
        <v>Bottled Water</v>
      </c>
      <c r="S691" t="str" cm="1">
        <f t="array" ref="S691">_xlfn.TEXTJOIN("+",TRUE,_xlfn._xlws.FILTER(orderlinesTABLE[ItemName],OrderID=orderlinesTABLE[[#This Row],[OrderID]]))</f>
        <v>Veg Thali+Egg Curry + Rice+Nimbu Pani+Bottled Water</v>
      </c>
      <c r="T691" s="54">
        <f>orderlinesTABLE[[#This Row],[Profit]]/orderlinesTABLE[[#This Row],[LineNetAmount]]</f>
        <v>0.46894737647004842</v>
      </c>
      <c r="U691" s="70">
        <f>(orderlinesTABLE[[#This Row],[Qty]]*orderlinesTABLE[[#This Row],[UnitCost]])</f>
        <v>41.67</v>
      </c>
    </row>
    <row r="692" spans="1:21" x14ac:dyDescent="0.3">
      <c r="A692" s="14" t="s">
        <v>305</v>
      </c>
      <c r="B692" s="14" t="s">
        <v>419</v>
      </c>
      <c r="C692" s="14">
        <v>1</v>
      </c>
      <c r="D692" s="37">
        <f>VLOOKUP($B692,Menu!$A$1:$F$20,MATCH($D$1,Menu!$A$1:$F$1,0),0)</f>
        <v>50.19</v>
      </c>
      <c r="E692" s="14" t="str">
        <f>VLOOKUP($B692,Menu!$A$1:$F$20,MATCH(OrderLines!E$1,Menu!$A$1:$F$1,0),0)</f>
        <v>Snack</v>
      </c>
      <c r="F692" s="37">
        <f>VLOOKUP($B692,Menu!$A$1:$F$20,MATCH(OrderLines!F$1,Menu!$A$1:$F$1,0),0)</f>
        <v>22.61</v>
      </c>
      <c r="G692" s="28">
        <f>VLOOKUP($A692,Orders!$A$1:$H$361,MATCH($G$1,Orders!$A$1:$H$1,0),0)</f>
        <v>45890</v>
      </c>
      <c r="H692" s="14" t="str">
        <f>VLOOKUP($A692,Orders!$A$1:$H$361,MATCH(OrderLines!$H$1,Orders!$A$1:$H$1,0),0)</f>
        <v>Head Office Café</v>
      </c>
      <c r="I692" s="14">
        <f>VLOOKUP($A692,Orders!$A$1:$H$361,MATCH(OrderLines!$I$1,Orders!$A$1:$H$1,0),0)</f>
        <v>0.05</v>
      </c>
      <c r="J692" s="14">
        <f t="shared" si="31"/>
        <v>47.680499999999995</v>
      </c>
      <c r="K692" s="28" t="str">
        <f t="shared" si="32"/>
        <v>August</v>
      </c>
      <c r="L692" s="14" t="str">
        <f>VLOOKUP(OrderLines!$A692,Orders!$A$1:$H$361,MATCH(OrderLines!$L$1,Orders!$A$1:$H$1,0),0)</f>
        <v>Breakfast</v>
      </c>
      <c r="M692" t="str">
        <f>VLOOKUP($A692,Orders!$A$1:$H$361,MATCH(OrderLines!$M$1,Orders!$A$1:$H$1,0),0)</f>
        <v>Cash</v>
      </c>
      <c r="N692" t="str">
        <f t="shared" si="30"/>
        <v>Single</v>
      </c>
      <c r="O692" t="str" cm="1">
        <f t="array" ref="O692">IF((SUMPRODUCT((OrderID=OrderLines!$A692)*Qty*UnitPrice*DiscountPct))&gt;40,"HighDisc","OK")</f>
        <v>HighDisc</v>
      </c>
      <c r="P692">
        <f>(orderlinesTABLE[[#This Row],[UnitCost]]*orderlinesTABLE[[#This Row],[Qty]])</f>
        <v>22.61</v>
      </c>
      <c r="Q692">
        <f>(orderlinesTABLE[[#This Row],[LineNetAmount]]-orderlinesTABLE[[#This Row],[totalCOST]])</f>
        <v>25.070499999999996</v>
      </c>
      <c r="R692" t="str">
        <f>VLOOKUP($B692,Menu!$A$1:$F$20,MATCH(OrderLines!R$1,Menu!$A$1:$F$1,0),0)</f>
        <v>Masala Puff</v>
      </c>
      <c r="S692" t="str" cm="1">
        <f t="array" ref="S692">_xlfn.TEXTJOIN("+",TRUE,_xlfn._xlws.FILTER(orderlinesTABLE[ItemName],OrderID=orderlinesTABLE[[#This Row],[OrderID]]))</f>
        <v>Masala Puff+Chicken Thali+Fruit Cup</v>
      </c>
      <c r="T692" s="54">
        <f>orderlinesTABLE[[#This Row],[Profit]]/orderlinesTABLE[[#This Row],[LineNetAmount]]</f>
        <v>0.52580195258019524</v>
      </c>
      <c r="U692" s="70">
        <f>(orderlinesTABLE[[#This Row],[Qty]]*orderlinesTABLE[[#This Row],[UnitCost]])</f>
        <v>22.61</v>
      </c>
    </row>
    <row r="693" spans="1:21" x14ac:dyDescent="0.3">
      <c r="A693" s="15" t="s">
        <v>305</v>
      </c>
      <c r="B693" s="15" t="s">
        <v>415</v>
      </c>
      <c r="C693" s="15">
        <v>3</v>
      </c>
      <c r="D693" s="36">
        <f>VLOOKUP($B693,Menu!$A$1:$F$20,MATCH($D$1,Menu!$A$1:$F$1,0),0)</f>
        <v>256.91000000000003</v>
      </c>
      <c r="E693" s="15" t="str">
        <f>VLOOKUP($B693,Menu!$A$1:$F$20,MATCH(OrderLines!E$1,Menu!$A$1:$F$1,0),0)</f>
        <v>Hot Meal</v>
      </c>
      <c r="F693" s="36">
        <f>VLOOKUP($B693,Menu!$A$1:$F$20,MATCH(OrderLines!F$1,Menu!$A$1:$F$1,0),0)</f>
        <v>121.24</v>
      </c>
      <c r="G693" s="27">
        <f>VLOOKUP($A693,Orders!$A$1:$H$361,MATCH($G$1,Orders!$A$1:$H$1,0),0)</f>
        <v>45890</v>
      </c>
      <c r="H693" s="15" t="str">
        <f>VLOOKUP($A693,Orders!$A$1:$H$361,MATCH(OrderLines!$H$1,Orders!$A$1:$H$1,0),0)</f>
        <v>Head Office Café</v>
      </c>
      <c r="I693" s="15">
        <f>VLOOKUP($A693,Orders!$A$1:$H$361,MATCH(OrderLines!$I$1,Orders!$A$1:$H$1,0),0)</f>
        <v>0.05</v>
      </c>
      <c r="J693" s="15">
        <f t="shared" si="31"/>
        <v>732.19349999999997</v>
      </c>
      <c r="K693" s="27" t="str">
        <f t="shared" si="32"/>
        <v>August</v>
      </c>
      <c r="L693" s="15" t="str">
        <f>VLOOKUP(OrderLines!$A693,Orders!$A$1:$H$361,MATCH(OrderLines!$L$1,Orders!$A$1:$H$1,0),0)</f>
        <v>Breakfast</v>
      </c>
      <c r="M693" t="str">
        <f>VLOOKUP($A693,Orders!$A$1:$H$361,MATCH(OrderLines!$M$1,Orders!$A$1:$H$1,0),0)</f>
        <v>Cash</v>
      </c>
      <c r="N693" t="str">
        <f t="shared" si="30"/>
        <v>Single</v>
      </c>
      <c r="O693" t="str" cm="1">
        <f t="array" ref="O693">IF((SUMPRODUCT((OrderID=OrderLines!$A693)*Qty*UnitPrice*DiscountPct))&gt;40,"HighDisc","OK")</f>
        <v>HighDisc</v>
      </c>
      <c r="P693">
        <f>(orderlinesTABLE[[#This Row],[UnitCost]]*orderlinesTABLE[[#This Row],[Qty]])</f>
        <v>363.71999999999997</v>
      </c>
      <c r="Q693">
        <f>(orderlinesTABLE[[#This Row],[LineNetAmount]]-orderlinesTABLE[[#This Row],[totalCOST]])</f>
        <v>368.4735</v>
      </c>
      <c r="R693" t="str">
        <f>VLOOKUP($B693,Menu!$A$1:$F$20,MATCH(OrderLines!R$1,Menu!$A$1:$F$1,0),0)</f>
        <v>Chicken Thali</v>
      </c>
      <c r="S693" t="str" cm="1">
        <f t="array" ref="S693">_xlfn.TEXTJOIN("+",TRUE,_xlfn._xlws.FILTER(orderlinesTABLE[ItemName],OrderID=orderlinesTABLE[[#This Row],[OrderID]]))</f>
        <v>Masala Puff+Chicken Thali+Fruit Cup</v>
      </c>
      <c r="T693" s="54">
        <f>orderlinesTABLE[[#This Row],[Profit]]/orderlinesTABLE[[#This Row],[LineNetAmount]]</f>
        <v>0.50324606815001771</v>
      </c>
      <c r="U693" s="70">
        <f>(orderlinesTABLE[[#This Row],[Qty]]*orderlinesTABLE[[#This Row],[UnitCost]])</f>
        <v>363.71999999999997</v>
      </c>
    </row>
    <row r="694" spans="1:21" x14ac:dyDescent="0.3">
      <c r="A694" s="14" t="s">
        <v>305</v>
      </c>
      <c r="B694" s="14" t="s">
        <v>412</v>
      </c>
      <c r="C694" s="14">
        <v>3</v>
      </c>
      <c r="D694" s="37">
        <f>VLOOKUP($B694,Menu!$A$1:$F$20,MATCH($D$1,Menu!$A$1:$F$1,0),0)</f>
        <v>57.07</v>
      </c>
      <c r="E694" s="14" t="str">
        <f>VLOOKUP($B694,Menu!$A$1:$F$20,MATCH(OrderLines!E$1,Menu!$A$1:$F$1,0),0)</f>
        <v>Dessert</v>
      </c>
      <c r="F694" s="37">
        <f>VLOOKUP($B694,Menu!$A$1:$F$20,MATCH(OrderLines!F$1,Menu!$A$1:$F$1,0),0)</f>
        <v>29.14</v>
      </c>
      <c r="G694" s="28">
        <f>VLOOKUP($A694,Orders!$A$1:$H$361,MATCH($G$1,Orders!$A$1:$H$1,0),0)</f>
        <v>45890</v>
      </c>
      <c r="H694" s="14" t="str">
        <f>VLOOKUP($A694,Orders!$A$1:$H$361,MATCH(OrderLines!$H$1,Orders!$A$1:$H$1,0),0)</f>
        <v>Head Office Café</v>
      </c>
      <c r="I694" s="14">
        <f>VLOOKUP($A694,Orders!$A$1:$H$361,MATCH(OrderLines!$I$1,Orders!$A$1:$H$1,0),0)</f>
        <v>0.05</v>
      </c>
      <c r="J694" s="14">
        <f t="shared" si="31"/>
        <v>162.64949999999999</v>
      </c>
      <c r="K694" s="28" t="str">
        <f t="shared" si="32"/>
        <v>August</v>
      </c>
      <c r="L694" s="14" t="str">
        <f>VLOOKUP(OrderLines!$A694,Orders!$A$1:$H$361,MATCH(OrderLines!$L$1,Orders!$A$1:$H$1,0),0)</f>
        <v>Breakfast</v>
      </c>
      <c r="M694" t="str">
        <f>VLOOKUP($A694,Orders!$A$1:$H$361,MATCH(OrderLines!$M$1,Orders!$A$1:$H$1,0),0)</f>
        <v>Cash</v>
      </c>
      <c r="N694" t="str">
        <f t="shared" si="30"/>
        <v>Single</v>
      </c>
      <c r="O694" t="str" cm="1">
        <f t="array" ref="O694">IF((SUMPRODUCT((OrderID=OrderLines!$A694)*Qty*UnitPrice*DiscountPct))&gt;40,"HighDisc","OK")</f>
        <v>HighDisc</v>
      </c>
      <c r="P694">
        <f>(orderlinesTABLE[[#This Row],[UnitCost]]*orderlinesTABLE[[#This Row],[Qty]])</f>
        <v>87.42</v>
      </c>
      <c r="Q694">
        <f>(orderlinesTABLE[[#This Row],[LineNetAmount]]-orderlinesTABLE[[#This Row],[totalCOST]])</f>
        <v>75.229499999999987</v>
      </c>
      <c r="R694" t="str">
        <f>VLOOKUP($B694,Menu!$A$1:$F$20,MATCH(OrderLines!R$1,Menu!$A$1:$F$1,0),0)</f>
        <v>Fruit Cup</v>
      </c>
      <c r="S694" t="str" cm="1">
        <f t="array" ref="S694">_xlfn.TEXTJOIN("+",TRUE,_xlfn._xlws.FILTER(orderlinesTABLE[ItemName],OrderID=orderlinesTABLE[[#This Row],[OrderID]]))</f>
        <v>Masala Puff+Chicken Thali+Fruit Cup</v>
      </c>
      <c r="T694" s="54">
        <f>orderlinesTABLE[[#This Row],[Profit]]/orderlinesTABLE[[#This Row],[LineNetAmount]]</f>
        <v>0.46252524600444511</v>
      </c>
      <c r="U694" s="70">
        <f>(orderlinesTABLE[[#This Row],[Qty]]*orderlinesTABLE[[#This Row],[UnitCost]])</f>
        <v>87.42</v>
      </c>
    </row>
    <row r="695" spans="1:21" x14ac:dyDescent="0.3">
      <c r="A695" s="15" t="s">
        <v>306</v>
      </c>
      <c r="B695" s="15" t="s">
        <v>415</v>
      </c>
      <c r="C695" s="15">
        <v>3</v>
      </c>
      <c r="D695" s="36">
        <f>VLOOKUP($B695,Menu!$A$1:$F$20,MATCH($D$1,Menu!$A$1:$F$1,0),0)</f>
        <v>256.91000000000003</v>
      </c>
      <c r="E695" s="15" t="str">
        <f>VLOOKUP($B695,Menu!$A$1:$F$20,MATCH(OrderLines!E$1,Menu!$A$1:$F$1,0),0)</f>
        <v>Hot Meal</v>
      </c>
      <c r="F695" s="36">
        <f>VLOOKUP($B695,Menu!$A$1:$F$20,MATCH(OrderLines!F$1,Menu!$A$1:$F$1,0),0)</f>
        <v>121.24</v>
      </c>
      <c r="G695" s="27">
        <f>VLOOKUP($A695,Orders!$A$1:$H$361,MATCH($G$1,Orders!$A$1:$H$1,0),0)</f>
        <v>45877</v>
      </c>
      <c r="H695" s="15" t="str">
        <f>VLOOKUP($A695,Orders!$A$1:$H$361,MATCH(OrderLines!$H$1,Orders!$A$1:$H$1,0),0)</f>
        <v>Head Office Café</v>
      </c>
      <c r="I695" s="15">
        <f>VLOOKUP($A695,Orders!$A$1:$H$361,MATCH(OrderLines!$I$1,Orders!$A$1:$H$1,0),0)</f>
        <v>0.05</v>
      </c>
      <c r="J695" s="15">
        <f t="shared" si="31"/>
        <v>732.19349999999997</v>
      </c>
      <c r="K695" s="27" t="str">
        <f t="shared" si="32"/>
        <v>August</v>
      </c>
      <c r="L695" s="15" t="str">
        <f>VLOOKUP(OrderLines!$A695,Orders!$A$1:$H$361,MATCH(OrderLines!$L$1,Orders!$A$1:$H$1,0),0)</f>
        <v>Lunch</v>
      </c>
      <c r="M695" t="str">
        <f>VLOOKUP($A695,Orders!$A$1:$H$361,MATCH(OrderLines!$M$1,Orders!$A$1:$H$1,0),0)</f>
        <v>Cash</v>
      </c>
      <c r="N695" t="str">
        <f t="shared" si="30"/>
        <v>Combo</v>
      </c>
      <c r="O695" t="str" cm="1">
        <f t="array" ref="O695">IF((SUMPRODUCT((OrderID=OrderLines!$A695)*Qty*UnitPrice*DiscountPct))&gt;40,"HighDisc","OK")</f>
        <v>HighDisc</v>
      </c>
      <c r="P695">
        <f>(orderlinesTABLE[[#This Row],[UnitCost]]*orderlinesTABLE[[#This Row],[Qty]])</f>
        <v>363.71999999999997</v>
      </c>
      <c r="Q695">
        <f>(orderlinesTABLE[[#This Row],[LineNetAmount]]-orderlinesTABLE[[#This Row],[totalCOST]])</f>
        <v>368.4735</v>
      </c>
      <c r="R695" t="str">
        <f>VLOOKUP($B695,Menu!$A$1:$F$20,MATCH(OrderLines!R$1,Menu!$A$1:$F$1,0),0)</f>
        <v>Chicken Thali</v>
      </c>
      <c r="S695" t="str" cm="1">
        <f t="array" ref="S695">_xlfn.TEXTJOIN("+",TRUE,_xlfn._xlws.FILTER(orderlinesTABLE[ItemName],OrderID=orderlinesTABLE[[#This Row],[OrderID]]))</f>
        <v>Chicken Thali+Bottled Water+Veg Thali+Veg Sandwich</v>
      </c>
      <c r="T695" s="54">
        <f>orderlinesTABLE[[#This Row],[Profit]]/orderlinesTABLE[[#This Row],[LineNetAmount]]</f>
        <v>0.50324606815001771</v>
      </c>
      <c r="U695" s="70">
        <f>(orderlinesTABLE[[#This Row],[Qty]]*orderlinesTABLE[[#This Row],[UnitCost]])</f>
        <v>363.71999999999997</v>
      </c>
    </row>
    <row r="696" spans="1:21" x14ac:dyDescent="0.3">
      <c r="A696" s="14" t="s">
        <v>306</v>
      </c>
      <c r="B696" s="14" t="s">
        <v>409</v>
      </c>
      <c r="C696" s="14">
        <v>1</v>
      </c>
      <c r="D696" s="37">
        <f>VLOOKUP($B696,Menu!$A$1:$F$20,MATCH($D$1,Menu!$A$1:$F$1,0),0)</f>
        <v>28.43</v>
      </c>
      <c r="E696" s="14" t="str">
        <f>VLOOKUP($B696,Menu!$A$1:$F$20,MATCH(OrderLines!E$1,Menu!$A$1:$F$1,0),0)</f>
        <v>Beverage</v>
      </c>
      <c r="F696" s="37">
        <f>VLOOKUP($B696,Menu!$A$1:$F$20,MATCH(OrderLines!F$1,Menu!$A$1:$F$1,0),0)</f>
        <v>13.89</v>
      </c>
      <c r="G696" s="28">
        <f>VLOOKUP($A696,Orders!$A$1:$H$361,MATCH($G$1,Orders!$A$1:$H$1,0),0)</f>
        <v>45877</v>
      </c>
      <c r="H696" s="14" t="str">
        <f>VLOOKUP($A696,Orders!$A$1:$H$361,MATCH(OrderLines!$H$1,Orders!$A$1:$H$1,0),0)</f>
        <v>Head Office Café</v>
      </c>
      <c r="I696" s="14">
        <f>VLOOKUP($A696,Orders!$A$1:$H$361,MATCH(OrderLines!$I$1,Orders!$A$1:$H$1,0),0)</f>
        <v>0.05</v>
      </c>
      <c r="J696" s="14">
        <f t="shared" si="31"/>
        <v>27.008499999999998</v>
      </c>
      <c r="K696" s="28" t="str">
        <f t="shared" si="32"/>
        <v>August</v>
      </c>
      <c r="L696" s="14" t="str">
        <f>VLOOKUP(OrderLines!$A696,Orders!$A$1:$H$361,MATCH(OrderLines!$L$1,Orders!$A$1:$H$1,0),0)</f>
        <v>Lunch</v>
      </c>
      <c r="M696" t="str">
        <f>VLOOKUP($A696,Orders!$A$1:$H$361,MATCH(OrderLines!$M$1,Orders!$A$1:$H$1,0),0)</f>
        <v>Cash</v>
      </c>
      <c r="N696" t="str">
        <f t="shared" si="30"/>
        <v>Combo</v>
      </c>
      <c r="O696" t="str" cm="1">
        <f t="array" ref="O696">IF((SUMPRODUCT((OrderID=OrderLines!$A696)*Qty*UnitPrice*DiscountPct))&gt;40,"HighDisc","OK")</f>
        <v>HighDisc</v>
      </c>
      <c r="P696">
        <f>(orderlinesTABLE[[#This Row],[UnitCost]]*orderlinesTABLE[[#This Row],[Qty]])</f>
        <v>13.89</v>
      </c>
      <c r="Q696">
        <f>(orderlinesTABLE[[#This Row],[LineNetAmount]]-orderlinesTABLE[[#This Row],[totalCOST]])</f>
        <v>13.118499999999997</v>
      </c>
      <c r="R696" t="str">
        <f>VLOOKUP($B696,Menu!$A$1:$F$20,MATCH(OrderLines!R$1,Menu!$A$1:$F$1,0),0)</f>
        <v>Bottled Water</v>
      </c>
      <c r="S696" t="str" cm="1">
        <f t="array" ref="S696">_xlfn.TEXTJOIN("+",TRUE,_xlfn._xlws.FILTER(orderlinesTABLE[ItemName],OrderID=orderlinesTABLE[[#This Row],[OrderID]]))</f>
        <v>Chicken Thali+Bottled Water+Veg Thali+Veg Sandwich</v>
      </c>
      <c r="T696" s="54">
        <f>orderlinesTABLE[[#This Row],[Profit]]/orderlinesTABLE[[#This Row],[LineNetAmount]]</f>
        <v>0.48571745931836269</v>
      </c>
      <c r="U696" s="70">
        <f>(orderlinesTABLE[[#This Row],[Qty]]*orderlinesTABLE[[#This Row],[UnitCost]])</f>
        <v>13.89</v>
      </c>
    </row>
    <row r="697" spans="1:21" x14ac:dyDescent="0.3">
      <c r="A697" s="15" t="s">
        <v>306</v>
      </c>
      <c r="B697" s="15" t="s">
        <v>416</v>
      </c>
      <c r="C697" s="15">
        <v>1</v>
      </c>
      <c r="D697" s="36">
        <f>VLOOKUP($B697,Menu!$A$1:$F$20,MATCH($D$1,Menu!$A$1:$F$1,0),0)</f>
        <v>227.61</v>
      </c>
      <c r="E697" s="15" t="str">
        <f>VLOOKUP($B697,Menu!$A$1:$F$20,MATCH(OrderLines!E$1,Menu!$A$1:$F$1,0),0)</f>
        <v>Hot Meal</v>
      </c>
      <c r="F697" s="36">
        <f>VLOOKUP($B697,Menu!$A$1:$F$20,MATCH(OrderLines!F$1,Menu!$A$1:$F$1,0),0)</f>
        <v>96.22</v>
      </c>
      <c r="G697" s="27">
        <f>VLOOKUP($A697,Orders!$A$1:$H$361,MATCH($G$1,Orders!$A$1:$H$1,0),0)</f>
        <v>45877</v>
      </c>
      <c r="H697" s="15" t="str">
        <f>VLOOKUP($A697,Orders!$A$1:$H$361,MATCH(OrderLines!$H$1,Orders!$A$1:$H$1,0),0)</f>
        <v>Head Office Café</v>
      </c>
      <c r="I697" s="15">
        <f>VLOOKUP($A697,Orders!$A$1:$H$361,MATCH(OrderLines!$I$1,Orders!$A$1:$H$1,0),0)</f>
        <v>0.05</v>
      </c>
      <c r="J697" s="15">
        <f t="shared" si="31"/>
        <v>216.2295</v>
      </c>
      <c r="K697" s="27" t="str">
        <f t="shared" si="32"/>
        <v>August</v>
      </c>
      <c r="L697" s="15" t="str">
        <f>VLOOKUP(OrderLines!$A697,Orders!$A$1:$H$361,MATCH(OrderLines!$L$1,Orders!$A$1:$H$1,0),0)</f>
        <v>Lunch</v>
      </c>
      <c r="M697" t="str">
        <f>VLOOKUP($A697,Orders!$A$1:$H$361,MATCH(OrderLines!$M$1,Orders!$A$1:$H$1,0),0)</f>
        <v>Cash</v>
      </c>
      <c r="N697" t="str">
        <f t="shared" si="30"/>
        <v>Combo</v>
      </c>
      <c r="O697" t="str" cm="1">
        <f t="array" ref="O697">IF((SUMPRODUCT((OrderID=OrderLines!$A697)*Qty*UnitPrice*DiscountPct))&gt;40,"HighDisc","OK")</f>
        <v>HighDisc</v>
      </c>
      <c r="P697">
        <f>(orderlinesTABLE[[#This Row],[UnitCost]]*orderlinesTABLE[[#This Row],[Qty]])</f>
        <v>96.22</v>
      </c>
      <c r="Q697">
        <f>(orderlinesTABLE[[#This Row],[LineNetAmount]]-orderlinesTABLE[[#This Row],[totalCOST]])</f>
        <v>120.0095</v>
      </c>
      <c r="R697" t="str">
        <f>VLOOKUP($B697,Menu!$A$1:$F$20,MATCH(OrderLines!R$1,Menu!$A$1:$F$1,0),0)</f>
        <v>Veg Thali</v>
      </c>
      <c r="S697" t="str" cm="1">
        <f t="array" ref="S697">_xlfn.TEXTJOIN("+",TRUE,_xlfn._xlws.FILTER(orderlinesTABLE[ItemName],OrderID=orderlinesTABLE[[#This Row],[OrderID]]))</f>
        <v>Chicken Thali+Bottled Water+Veg Thali+Veg Sandwich</v>
      </c>
      <c r="T697" s="54">
        <f>orderlinesTABLE[[#This Row],[Profit]]/orderlinesTABLE[[#This Row],[LineNetAmount]]</f>
        <v>0.55500983908301138</v>
      </c>
      <c r="U697" s="70">
        <f>(orderlinesTABLE[[#This Row],[Qty]]*orderlinesTABLE[[#This Row],[UnitCost]])</f>
        <v>96.22</v>
      </c>
    </row>
    <row r="698" spans="1:21" x14ac:dyDescent="0.3">
      <c r="A698" s="14" t="s">
        <v>306</v>
      </c>
      <c r="B698" s="14" t="s">
        <v>408</v>
      </c>
      <c r="C698" s="14">
        <v>2</v>
      </c>
      <c r="D698" s="37">
        <f>VLOOKUP($B698,Menu!$A$1:$F$20,MATCH($D$1,Menu!$A$1:$F$1,0),0)</f>
        <v>70.540000000000006</v>
      </c>
      <c r="E698" s="14" t="str">
        <f>VLOOKUP($B698,Menu!$A$1:$F$20,MATCH(OrderLines!E$1,Menu!$A$1:$F$1,0),0)</f>
        <v>Snack</v>
      </c>
      <c r="F698" s="37">
        <f>VLOOKUP($B698,Menu!$A$1:$F$20,MATCH(OrderLines!F$1,Menu!$A$1:$F$1,0),0)</f>
        <v>35.81</v>
      </c>
      <c r="G698" s="28">
        <f>VLOOKUP($A698,Orders!$A$1:$H$361,MATCH($G$1,Orders!$A$1:$H$1,0),0)</f>
        <v>45877</v>
      </c>
      <c r="H698" s="14" t="str">
        <f>VLOOKUP($A698,Orders!$A$1:$H$361,MATCH(OrderLines!$H$1,Orders!$A$1:$H$1,0),0)</f>
        <v>Head Office Café</v>
      </c>
      <c r="I698" s="14">
        <f>VLOOKUP($A698,Orders!$A$1:$H$361,MATCH(OrderLines!$I$1,Orders!$A$1:$H$1,0),0)</f>
        <v>0.05</v>
      </c>
      <c r="J698" s="14">
        <f t="shared" si="31"/>
        <v>134.02600000000001</v>
      </c>
      <c r="K698" s="28" t="str">
        <f t="shared" si="32"/>
        <v>August</v>
      </c>
      <c r="L698" s="14" t="str">
        <f>VLOOKUP(OrderLines!$A698,Orders!$A$1:$H$361,MATCH(OrderLines!$L$1,Orders!$A$1:$H$1,0),0)</f>
        <v>Lunch</v>
      </c>
      <c r="M698" t="str">
        <f>VLOOKUP($A698,Orders!$A$1:$H$361,MATCH(OrderLines!$M$1,Orders!$A$1:$H$1,0),0)</f>
        <v>Cash</v>
      </c>
      <c r="N698" t="str">
        <f t="shared" si="30"/>
        <v>Combo</v>
      </c>
      <c r="O698" t="str" cm="1">
        <f t="array" ref="O698">IF((SUMPRODUCT((OrderID=OrderLines!$A698)*Qty*UnitPrice*DiscountPct))&gt;40,"HighDisc","OK")</f>
        <v>HighDisc</v>
      </c>
      <c r="P698">
        <f>(orderlinesTABLE[[#This Row],[UnitCost]]*orderlinesTABLE[[#This Row],[Qty]])</f>
        <v>71.62</v>
      </c>
      <c r="Q698">
        <f>(orderlinesTABLE[[#This Row],[LineNetAmount]]-orderlinesTABLE[[#This Row],[totalCOST]])</f>
        <v>62.406000000000006</v>
      </c>
      <c r="R698" t="str">
        <f>VLOOKUP($B698,Menu!$A$1:$F$20,MATCH(OrderLines!R$1,Menu!$A$1:$F$1,0),0)</f>
        <v>Veg Sandwich</v>
      </c>
      <c r="S698" t="str" cm="1">
        <f t="array" ref="S698">_xlfn.TEXTJOIN("+",TRUE,_xlfn._xlws.FILTER(orderlinesTABLE[ItemName],OrderID=orderlinesTABLE[[#This Row],[OrderID]]))</f>
        <v>Chicken Thali+Bottled Water+Veg Thali+Veg Sandwich</v>
      </c>
      <c r="T698" s="54">
        <f>orderlinesTABLE[[#This Row],[Profit]]/orderlinesTABLE[[#This Row],[LineNetAmount]]</f>
        <v>0.46562607255308675</v>
      </c>
      <c r="U698" s="70">
        <f>(orderlinesTABLE[[#This Row],[Qty]]*orderlinesTABLE[[#This Row],[UnitCost]])</f>
        <v>71.62</v>
      </c>
    </row>
    <row r="699" spans="1:21" x14ac:dyDescent="0.3">
      <c r="A699" s="15" t="s">
        <v>307</v>
      </c>
      <c r="B699" s="15" t="s">
        <v>407</v>
      </c>
      <c r="C699" s="15">
        <v>3</v>
      </c>
      <c r="D699" s="36">
        <f>VLOOKUP($B699,Menu!$A$1:$F$20,MATCH($D$1,Menu!$A$1:$F$1,0),0)</f>
        <v>246.09</v>
      </c>
      <c r="E699" s="15" t="str">
        <f>VLOOKUP($B699,Menu!$A$1:$F$20,MATCH(OrderLines!E$1,Menu!$A$1:$F$1,0),0)</f>
        <v>Hot Meal</v>
      </c>
      <c r="F699" s="36">
        <f>VLOOKUP($B699,Menu!$A$1:$F$20,MATCH(OrderLines!F$1,Menu!$A$1:$F$1,0),0)</f>
        <v>112.08</v>
      </c>
      <c r="G699" s="27">
        <f>VLOOKUP($A699,Orders!$A$1:$H$361,MATCH($G$1,Orders!$A$1:$H$1,0),0)</f>
        <v>45868</v>
      </c>
      <c r="H699" s="15" t="str">
        <f>VLOOKUP($A699,Orders!$A$1:$H$361,MATCH(OrderLines!$H$1,Orders!$A$1:$H$1,0),0)</f>
        <v>Plant 1 Canteen</v>
      </c>
      <c r="I699" s="15">
        <f>VLOOKUP($A699,Orders!$A$1:$H$361,MATCH(OrderLines!$I$1,Orders!$A$1:$H$1,0),0)</f>
        <v>0.1</v>
      </c>
      <c r="J699" s="15">
        <f t="shared" si="31"/>
        <v>664.44299999999998</v>
      </c>
      <c r="K699" s="27" t="str">
        <f t="shared" si="32"/>
        <v>July</v>
      </c>
      <c r="L699" s="15" t="str">
        <f>VLOOKUP(OrderLines!$A699,Orders!$A$1:$H$361,MATCH(OrderLines!$L$1,Orders!$A$1:$H$1,0),0)</f>
        <v>Lunch</v>
      </c>
      <c r="M699" t="str">
        <f>VLOOKUP($A699,Orders!$A$1:$H$361,MATCH(OrderLines!$M$1,Orders!$A$1:$H$1,0),0)</f>
        <v>Card</v>
      </c>
      <c r="N699" t="str">
        <f t="shared" si="30"/>
        <v>Single</v>
      </c>
      <c r="O699" t="str" cm="1">
        <f t="array" ref="O699">IF((SUMPRODUCT((OrderID=OrderLines!$A699)*Qty*UnitPrice*DiscountPct))&gt;40,"HighDisc","OK")</f>
        <v>HighDisc</v>
      </c>
      <c r="P699">
        <f>(orderlinesTABLE[[#This Row],[UnitCost]]*orderlinesTABLE[[#This Row],[Qty]])</f>
        <v>336.24</v>
      </c>
      <c r="Q699">
        <f>(orderlinesTABLE[[#This Row],[LineNetAmount]]-orderlinesTABLE[[#This Row],[totalCOST]])</f>
        <v>328.20299999999997</v>
      </c>
      <c r="R699" t="str">
        <f>VLOOKUP($B699,Menu!$A$1:$F$20,MATCH(OrderLines!R$1,Menu!$A$1:$F$1,0),0)</f>
        <v>Egg Curry + Rice</v>
      </c>
      <c r="S699" t="str" cm="1">
        <f t="array" ref="S699">_xlfn.TEXTJOIN("+",TRUE,_xlfn._xlws.FILTER(orderlinesTABLE[ItemName],OrderID=orderlinesTABLE[[#This Row],[OrderID]]))</f>
        <v>Egg Curry + Rice+Chicken Thali+Veg Sandwich</v>
      </c>
      <c r="T699" s="54">
        <f>orderlinesTABLE[[#This Row],[Profit]]/orderlinesTABLE[[#This Row],[LineNetAmount]]</f>
        <v>0.49395207715334494</v>
      </c>
      <c r="U699" s="70">
        <f>(orderlinesTABLE[[#This Row],[Qty]]*orderlinesTABLE[[#This Row],[UnitCost]])</f>
        <v>336.24</v>
      </c>
    </row>
    <row r="700" spans="1:21" x14ac:dyDescent="0.3">
      <c r="A700" s="14" t="s">
        <v>307</v>
      </c>
      <c r="B700" s="14" t="s">
        <v>415</v>
      </c>
      <c r="C700" s="14">
        <v>3</v>
      </c>
      <c r="D700" s="37">
        <f>VLOOKUP($B700,Menu!$A$1:$F$20,MATCH($D$1,Menu!$A$1:$F$1,0),0)</f>
        <v>256.91000000000003</v>
      </c>
      <c r="E700" s="14" t="str">
        <f>VLOOKUP($B700,Menu!$A$1:$F$20,MATCH(OrderLines!E$1,Menu!$A$1:$F$1,0),0)</f>
        <v>Hot Meal</v>
      </c>
      <c r="F700" s="37">
        <f>VLOOKUP($B700,Menu!$A$1:$F$20,MATCH(OrderLines!F$1,Menu!$A$1:$F$1,0),0)</f>
        <v>121.24</v>
      </c>
      <c r="G700" s="28">
        <f>VLOOKUP($A700,Orders!$A$1:$H$361,MATCH($G$1,Orders!$A$1:$H$1,0),0)</f>
        <v>45868</v>
      </c>
      <c r="H700" s="14" t="str">
        <f>VLOOKUP($A700,Orders!$A$1:$H$361,MATCH(OrderLines!$H$1,Orders!$A$1:$H$1,0),0)</f>
        <v>Plant 1 Canteen</v>
      </c>
      <c r="I700" s="14">
        <f>VLOOKUP($A700,Orders!$A$1:$H$361,MATCH(OrderLines!$I$1,Orders!$A$1:$H$1,0),0)</f>
        <v>0.1</v>
      </c>
      <c r="J700" s="14">
        <f t="shared" si="31"/>
        <v>693.65700000000004</v>
      </c>
      <c r="K700" s="28" t="str">
        <f t="shared" si="32"/>
        <v>July</v>
      </c>
      <c r="L700" s="14" t="str">
        <f>VLOOKUP(OrderLines!$A700,Orders!$A$1:$H$361,MATCH(OrderLines!$L$1,Orders!$A$1:$H$1,0),0)</f>
        <v>Lunch</v>
      </c>
      <c r="M700" t="str">
        <f>VLOOKUP($A700,Orders!$A$1:$H$361,MATCH(OrderLines!$M$1,Orders!$A$1:$H$1,0),0)</f>
        <v>Card</v>
      </c>
      <c r="N700" t="str">
        <f t="shared" si="30"/>
        <v>Single</v>
      </c>
      <c r="O700" t="str" cm="1">
        <f t="array" ref="O700">IF((SUMPRODUCT((OrderID=OrderLines!$A700)*Qty*UnitPrice*DiscountPct))&gt;40,"HighDisc","OK")</f>
        <v>HighDisc</v>
      </c>
      <c r="P700">
        <f>(orderlinesTABLE[[#This Row],[UnitCost]]*orderlinesTABLE[[#This Row],[Qty]])</f>
        <v>363.71999999999997</v>
      </c>
      <c r="Q700">
        <f>(orderlinesTABLE[[#This Row],[LineNetAmount]]-orderlinesTABLE[[#This Row],[totalCOST]])</f>
        <v>329.93700000000007</v>
      </c>
      <c r="R700" t="str">
        <f>VLOOKUP($B700,Menu!$A$1:$F$20,MATCH(OrderLines!R$1,Menu!$A$1:$F$1,0),0)</f>
        <v>Chicken Thali</v>
      </c>
      <c r="S700" t="str" cm="1">
        <f t="array" ref="S700">_xlfn.TEXTJOIN("+",TRUE,_xlfn._xlws.FILTER(orderlinesTABLE[ItemName],OrderID=orderlinesTABLE[[#This Row],[OrderID]]))</f>
        <v>Egg Curry + Rice+Chicken Thali+Veg Sandwich</v>
      </c>
      <c r="T700" s="54">
        <f>orderlinesTABLE[[#This Row],[Profit]]/orderlinesTABLE[[#This Row],[LineNetAmount]]</f>
        <v>0.47564862749168546</v>
      </c>
      <c r="U700" s="70">
        <f>(orderlinesTABLE[[#This Row],[Qty]]*orderlinesTABLE[[#This Row],[UnitCost]])</f>
        <v>363.71999999999997</v>
      </c>
    </row>
    <row r="701" spans="1:21" x14ac:dyDescent="0.3">
      <c r="A701" s="15" t="s">
        <v>307</v>
      </c>
      <c r="B701" s="15" t="s">
        <v>408</v>
      </c>
      <c r="C701" s="15">
        <v>2</v>
      </c>
      <c r="D701" s="36">
        <f>VLOOKUP($B701,Menu!$A$1:$F$20,MATCH($D$1,Menu!$A$1:$F$1,0),0)</f>
        <v>70.540000000000006</v>
      </c>
      <c r="E701" s="15" t="str">
        <f>VLOOKUP($B701,Menu!$A$1:$F$20,MATCH(OrderLines!E$1,Menu!$A$1:$F$1,0),0)</f>
        <v>Snack</v>
      </c>
      <c r="F701" s="36">
        <f>VLOOKUP($B701,Menu!$A$1:$F$20,MATCH(OrderLines!F$1,Menu!$A$1:$F$1,0),0)</f>
        <v>35.81</v>
      </c>
      <c r="G701" s="27">
        <f>VLOOKUP($A701,Orders!$A$1:$H$361,MATCH($G$1,Orders!$A$1:$H$1,0),0)</f>
        <v>45868</v>
      </c>
      <c r="H701" s="15" t="str">
        <f>VLOOKUP($A701,Orders!$A$1:$H$361,MATCH(OrderLines!$H$1,Orders!$A$1:$H$1,0),0)</f>
        <v>Plant 1 Canteen</v>
      </c>
      <c r="I701" s="15">
        <f>VLOOKUP($A701,Orders!$A$1:$H$361,MATCH(OrderLines!$I$1,Orders!$A$1:$H$1,0),0)</f>
        <v>0.1</v>
      </c>
      <c r="J701" s="15">
        <f t="shared" si="31"/>
        <v>126.97200000000001</v>
      </c>
      <c r="K701" s="27" t="str">
        <f t="shared" si="32"/>
        <v>July</v>
      </c>
      <c r="L701" s="15" t="str">
        <f>VLOOKUP(OrderLines!$A701,Orders!$A$1:$H$361,MATCH(OrderLines!$L$1,Orders!$A$1:$H$1,0),0)</f>
        <v>Lunch</v>
      </c>
      <c r="M701" t="str">
        <f>VLOOKUP($A701,Orders!$A$1:$H$361,MATCH(OrderLines!$M$1,Orders!$A$1:$H$1,0),0)</f>
        <v>Card</v>
      </c>
      <c r="N701" t="str">
        <f t="shared" si="30"/>
        <v>Single</v>
      </c>
      <c r="O701" t="str" cm="1">
        <f t="array" ref="O701">IF((SUMPRODUCT((OrderID=OrderLines!$A701)*Qty*UnitPrice*DiscountPct))&gt;40,"HighDisc","OK")</f>
        <v>HighDisc</v>
      </c>
      <c r="P701">
        <f>(orderlinesTABLE[[#This Row],[UnitCost]]*orderlinesTABLE[[#This Row],[Qty]])</f>
        <v>71.62</v>
      </c>
      <c r="Q701">
        <f>(orderlinesTABLE[[#This Row],[LineNetAmount]]-orderlinesTABLE[[#This Row],[totalCOST]])</f>
        <v>55.352000000000004</v>
      </c>
      <c r="R701" t="str">
        <f>VLOOKUP($B701,Menu!$A$1:$F$20,MATCH(OrderLines!R$1,Menu!$A$1:$F$1,0),0)</f>
        <v>Veg Sandwich</v>
      </c>
      <c r="S701" t="str" cm="1">
        <f t="array" ref="S701">_xlfn.TEXTJOIN("+",TRUE,_xlfn._xlws.FILTER(orderlinesTABLE[ItemName],OrderID=orderlinesTABLE[[#This Row],[OrderID]]))</f>
        <v>Egg Curry + Rice+Chicken Thali+Veg Sandwich</v>
      </c>
      <c r="T701" s="54">
        <f>orderlinesTABLE[[#This Row],[Profit]]/orderlinesTABLE[[#This Row],[LineNetAmount]]</f>
        <v>0.43593863213936929</v>
      </c>
      <c r="U701" s="70">
        <f>(orderlinesTABLE[[#This Row],[Qty]]*orderlinesTABLE[[#This Row],[UnitCost]])</f>
        <v>71.62</v>
      </c>
    </row>
    <row r="702" spans="1:21" x14ac:dyDescent="0.3">
      <c r="A702" s="14" t="s">
        <v>308</v>
      </c>
      <c r="B702" s="14" t="s">
        <v>411</v>
      </c>
      <c r="C702" s="14">
        <v>1</v>
      </c>
      <c r="D702" s="37">
        <f>VLOOKUP($B702,Menu!$A$1:$F$20,MATCH($D$1,Menu!$A$1:$F$1,0),0)</f>
        <v>22.2</v>
      </c>
      <c r="E702" s="14" t="str">
        <f>VLOOKUP($B702,Menu!$A$1:$F$20,MATCH(OrderLines!E$1,Menu!$A$1:$F$1,0),0)</f>
        <v>Beverage</v>
      </c>
      <c r="F702" s="37">
        <f>VLOOKUP($B702,Menu!$A$1:$F$20,MATCH(OrderLines!F$1,Menu!$A$1:$F$1,0),0)</f>
        <v>9.3800000000000008</v>
      </c>
      <c r="G702" s="28">
        <f>VLOOKUP($A702,Orders!$A$1:$H$361,MATCH($G$1,Orders!$A$1:$H$1,0),0)</f>
        <v>45871</v>
      </c>
      <c r="H702" s="14" t="str">
        <f>VLOOKUP($A702,Orders!$A$1:$H$361,MATCH(OrderLines!$H$1,Orders!$A$1:$H$1,0),0)</f>
        <v>Plant 1 Canteen</v>
      </c>
      <c r="I702" s="14">
        <f>VLOOKUP($A702,Orders!$A$1:$H$361,MATCH(OrderLines!$I$1,Orders!$A$1:$H$1,0),0)</f>
        <v>0.09</v>
      </c>
      <c r="J702" s="14">
        <f t="shared" si="31"/>
        <v>20.202000000000002</v>
      </c>
      <c r="K702" s="28" t="str">
        <f t="shared" si="32"/>
        <v>August</v>
      </c>
      <c r="L702" s="14" t="str">
        <f>VLOOKUP(OrderLines!$A702,Orders!$A$1:$H$361,MATCH(OrderLines!$L$1,Orders!$A$1:$H$1,0),0)</f>
        <v>Breakfast</v>
      </c>
      <c r="M702" t="str">
        <f>VLOOKUP($A702,Orders!$A$1:$H$361,MATCH(OrderLines!$M$1,Orders!$A$1:$H$1,0),0)</f>
        <v>Card</v>
      </c>
      <c r="N702" t="str">
        <f t="shared" si="30"/>
        <v>Single</v>
      </c>
      <c r="O702" t="str" cm="1">
        <f t="array" ref="O702">IF((SUMPRODUCT((OrderID=OrderLines!$A702)*Qty*UnitPrice*DiscountPct))&gt;40,"HighDisc","OK")</f>
        <v>OK</v>
      </c>
      <c r="P702">
        <f>(orderlinesTABLE[[#This Row],[UnitCost]]*orderlinesTABLE[[#This Row],[Qty]])</f>
        <v>9.3800000000000008</v>
      </c>
      <c r="Q702">
        <f>(orderlinesTABLE[[#This Row],[LineNetAmount]]-orderlinesTABLE[[#This Row],[totalCOST]])</f>
        <v>10.822000000000001</v>
      </c>
      <c r="R702" t="str">
        <f>VLOOKUP($B702,Menu!$A$1:$F$20,MATCH(OrderLines!R$1,Menu!$A$1:$F$1,0),0)</f>
        <v>Coffee</v>
      </c>
      <c r="S702" t="str" cm="1">
        <f t="array" ref="S702">_xlfn.TEXTJOIN("+",TRUE,_xlfn._xlws.FILTER(orderlinesTABLE[ItemName],OrderID=orderlinesTABLE[[#This Row],[OrderID]]))</f>
        <v>Coffee+Gulab Jamun (2 pc)+Kheer Cup</v>
      </c>
      <c r="T702" s="54">
        <f>orderlinesTABLE[[#This Row],[Profit]]/orderlinesTABLE[[#This Row],[LineNetAmount]]</f>
        <v>0.5356895356895357</v>
      </c>
      <c r="U702" s="70">
        <f>(orderlinesTABLE[[#This Row],[Qty]]*orderlinesTABLE[[#This Row],[UnitCost]])</f>
        <v>9.3800000000000008</v>
      </c>
    </row>
    <row r="703" spans="1:21" x14ac:dyDescent="0.3">
      <c r="A703" s="15" t="s">
        <v>308</v>
      </c>
      <c r="B703" s="15" t="s">
        <v>403</v>
      </c>
      <c r="C703" s="15">
        <v>1</v>
      </c>
      <c r="D703" s="36">
        <f>VLOOKUP($B703,Menu!$A$1:$F$20,MATCH($D$1,Menu!$A$1:$F$1,0),0)</f>
        <v>76.55</v>
      </c>
      <c r="E703" s="15" t="str">
        <f>VLOOKUP($B703,Menu!$A$1:$F$20,MATCH(OrderLines!E$1,Menu!$A$1:$F$1,0),0)</f>
        <v>Dessert</v>
      </c>
      <c r="F703" s="36">
        <f>VLOOKUP($B703,Menu!$A$1:$F$20,MATCH(OrderLines!F$1,Menu!$A$1:$F$1,0),0)</f>
        <v>38.229999999999997</v>
      </c>
      <c r="G703" s="27">
        <f>VLOOKUP($A703,Orders!$A$1:$H$361,MATCH($G$1,Orders!$A$1:$H$1,0),0)</f>
        <v>45871</v>
      </c>
      <c r="H703" s="15" t="str">
        <f>VLOOKUP($A703,Orders!$A$1:$H$361,MATCH(OrderLines!$H$1,Orders!$A$1:$H$1,0),0)</f>
        <v>Plant 1 Canteen</v>
      </c>
      <c r="I703" s="15">
        <f>VLOOKUP($A703,Orders!$A$1:$H$361,MATCH(OrderLines!$I$1,Orders!$A$1:$H$1,0),0)</f>
        <v>0.09</v>
      </c>
      <c r="J703" s="15">
        <f t="shared" si="31"/>
        <v>69.660499999999999</v>
      </c>
      <c r="K703" s="27" t="str">
        <f t="shared" si="32"/>
        <v>August</v>
      </c>
      <c r="L703" s="15" t="str">
        <f>VLOOKUP(OrderLines!$A703,Orders!$A$1:$H$361,MATCH(OrderLines!$L$1,Orders!$A$1:$H$1,0),0)</f>
        <v>Breakfast</v>
      </c>
      <c r="M703" t="str">
        <f>VLOOKUP($A703,Orders!$A$1:$H$361,MATCH(OrderLines!$M$1,Orders!$A$1:$H$1,0),0)</f>
        <v>Card</v>
      </c>
      <c r="N703" t="str">
        <f t="shared" si="30"/>
        <v>Single</v>
      </c>
      <c r="O703" t="str" cm="1">
        <f t="array" ref="O703">IF((SUMPRODUCT((OrderID=OrderLines!$A703)*Qty*UnitPrice*DiscountPct))&gt;40,"HighDisc","OK")</f>
        <v>OK</v>
      </c>
      <c r="P703">
        <f>(orderlinesTABLE[[#This Row],[UnitCost]]*orderlinesTABLE[[#This Row],[Qty]])</f>
        <v>38.229999999999997</v>
      </c>
      <c r="Q703">
        <f>(orderlinesTABLE[[#This Row],[LineNetAmount]]-orderlinesTABLE[[#This Row],[totalCOST]])</f>
        <v>31.430500000000002</v>
      </c>
      <c r="R703" t="str">
        <f>VLOOKUP($B703,Menu!$A$1:$F$20,MATCH(OrderLines!R$1,Menu!$A$1:$F$1,0),0)</f>
        <v>Gulab Jamun (2 pc)</v>
      </c>
      <c r="S703" t="str" cm="1">
        <f t="array" ref="S703">_xlfn.TEXTJOIN("+",TRUE,_xlfn._xlws.FILTER(orderlinesTABLE[ItemName],OrderID=orderlinesTABLE[[#This Row],[OrderID]]))</f>
        <v>Coffee+Gulab Jamun (2 pc)+Kheer Cup</v>
      </c>
      <c r="T703" s="54">
        <f>orderlinesTABLE[[#This Row],[Profit]]/orderlinesTABLE[[#This Row],[LineNetAmount]]</f>
        <v>0.45119544074475493</v>
      </c>
      <c r="U703" s="70">
        <f>(orderlinesTABLE[[#This Row],[Qty]]*orderlinesTABLE[[#This Row],[UnitCost]])</f>
        <v>38.229999999999997</v>
      </c>
    </row>
    <row r="704" spans="1:21" x14ac:dyDescent="0.3">
      <c r="A704" s="14" t="s">
        <v>308</v>
      </c>
      <c r="B704" s="14" t="s">
        <v>413</v>
      </c>
      <c r="C704" s="14">
        <v>1</v>
      </c>
      <c r="D704" s="37">
        <f>VLOOKUP($B704,Menu!$A$1:$F$20,MATCH($D$1,Menu!$A$1:$F$1,0),0)</f>
        <v>54.2</v>
      </c>
      <c r="E704" s="14" t="str">
        <f>VLOOKUP($B704,Menu!$A$1:$F$20,MATCH(OrderLines!E$1,Menu!$A$1:$F$1,0),0)</f>
        <v>Dessert</v>
      </c>
      <c r="F704" s="37">
        <f>VLOOKUP($B704,Menu!$A$1:$F$20,MATCH(OrderLines!F$1,Menu!$A$1:$F$1,0),0)</f>
        <v>21.95</v>
      </c>
      <c r="G704" s="28">
        <f>VLOOKUP($A704,Orders!$A$1:$H$361,MATCH($G$1,Orders!$A$1:$H$1,0),0)</f>
        <v>45871</v>
      </c>
      <c r="H704" s="14" t="str">
        <f>VLOOKUP($A704,Orders!$A$1:$H$361,MATCH(OrderLines!$H$1,Orders!$A$1:$H$1,0),0)</f>
        <v>Plant 1 Canteen</v>
      </c>
      <c r="I704" s="14">
        <f>VLOOKUP($A704,Orders!$A$1:$H$361,MATCH(OrderLines!$I$1,Orders!$A$1:$H$1,0),0)</f>
        <v>0.09</v>
      </c>
      <c r="J704" s="14">
        <f t="shared" si="31"/>
        <v>49.322000000000003</v>
      </c>
      <c r="K704" s="28" t="str">
        <f t="shared" si="32"/>
        <v>August</v>
      </c>
      <c r="L704" s="14" t="str">
        <f>VLOOKUP(OrderLines!$A704,Orders!$A$1:$H$361,MATCH(OrderLines!$L$1,Orders!$A$1:$H$1,0),0)</f>
        <v>Breakfast</v>
      </c>
      <c r="M704" t="str">
        <f>VLOOKUP($A704,Orders!$A$1:$H$361,MATCH(OrderLines!$M$1,Orders!$A$1:$H$1,0),0)</f>
        <v>Card</v>
      </c>
      <c r="N704" t="str">
        <f t="shared" si="30"/>
        <v>Single</v>
      </c>
      <c r="O704" t="str" cm="1">
        <f t="array" ref="O704">IF((SUMPRODUCT((OrderID=OrderLines!$A704)*Qty*UnitPrice*DiscountPct))&gt;40,"HighDisc","OK")</f>
        <v>OK</v>
      </c>
      <c r="P704">
        <f>(orderlinesTABLE[[#This Row],[UnitCost]]*orderlinesTABLE[[#This Row],[Qty]])</f>
        <v>21.95</v>
      </c>
      <c r="Q704">
        <f>(orderlinesTABLE[[#This Row],[LineNetAmount]]-orderlinesTABLE[[#This Row],[totalCOST]])</f>
        <v>27.372000000000003</v>
      </c>
      <c r="R704" t="str">
        <f>VLOOKUP($B704,Menu!$A$1:$F$20,MATCH(OrderLines!R$1,Menu!$A$1:$F$1,0),0)</f>
        <v>Kheer Cup</v>
      </c>
      <c r="S704" t="str" cm="1">
        <f t="array" ref="S704">_xlfn.TEXTJOIN("+",TRUE,_xlfn._xlws.FILTER(orderlinesTABLE[ItemName],OrderID=orderlinesTABLE[[#This Row],[OrderID]]))</f>
        <v>Coffee+Gulab Jamun (2 pc)+Kheer Cup</v>
      </c>
      <c r="T704" s="54">
        <f>orderlinesTABLE[[#This Row],[Profit]]/orderlinesTABLE[[#This Row],[LineNetAmount]]</f>
        <v>0.55496532987307901</v>
      </c>
      <c r="U704" s="70">
        <f>(orderlinesTABLE[[#This Row],[Qty]]*orderlinesTABLE[[#This Row],[UnitCost]])</f>
        <v>21.95</v>
      </c>
    </row>
    <row r="705" spans="1:21" x14ac:dyDescent="0.3">
      <c r="A705" s="15" t="s">
        <v>309</v>
      </c>
      <c r="B705" s="15" t="s">
        <v>417</v>
      </c>
      <c r="C705" s="15">
        <v>1</v>
      </c>
      <c r="D705" s="36">
        <f>VLOOKUP($B705,Menu!$A$1:$F$20,MATCH($D$1,Menu!$A$1:$F$1,0),0)</f>
        <v>146.4</v>
      </c>
      <c r="E705" s="15" t="str">
        <f>VLOOKUP($B705,Menu!$A$1:$F$20,MATCH(OrderLines!E$1,Menu!$A$1:$F$1,0),0)</f>
        <v>Hot Meal</v>
      </c>
      <c r="F705" s="36">
        <f>VLOOKUP($B705,Menu!$A$1:$F$20,MATCH(OrderLines!F$1,Menu!$A$1:$F$1,0),0)</f>
        <v>80.92</v>
      </c>
      <c r="G705" s="27">
        <f>VLOOKUP($A705,Orders!$A$1:$H$361,MATCH($G$1,Orders!$A$1:$H$1,0),0)</f>
        <v>45856</v>
      </c>
      <c r="H705" s="15" t="str">
        <f>VLOOKUP($A705,Orders!$A$1:$H$361,MATCH(OrderLines!$H$1,Orders!$A$1:$H$1,0),0)</f>
        <v>Plant 1 Canteen</v>
      </c>
      <c r="I705" s="15">
        <f>VLOOKUP($A705,Orders!$A$1:$H$361,MATCH(OrderLines!$I$1,Orders!$A$1:$H$1,0),0)</f>
        <v>0.09</v>
      </c>
      <c r="J705" s="15">
        <f t="shared" si="31"/>
        <v>133.22400000000002</v>
      </c>
      <c r="K705" s="27" t="str">
        <f t="shared" si="32"/>
        <v>July</v>
      </c>
      <c r="L705" s="15" t="str">
        <f>VLOOKUP(OrderLines!$A705,Orders!$A$1:$H$361,MATCH(OrderLines!$L$1,Orders!$A$1:$H$1,0),0)</f>
        <v>Breakfast</v>
      </c>
      <c r="M705" t="str">
        <f>VLOOKUP($A705,Orders!$A$1:$H$361,MATCH(OrderLines!$M$1,Orders!$A$1:$H$1,0),0)</f>
        <v>UPI</v>
      </c>
      <c r="N705" t="str">
        <f t="shared" si="30"/>
        <v>Combo</v>
      </c>
      <c r="O705" t="str" cm="1">
        <f t="array" ref="O705">IF((SUMPRODUCT((OrderID=OrderLines!$A705)*Qty*UnitPrice*DiscountPct))&gt;40,"HighDisc","OK")</f>
        <v>OK</v>
      </c>
      <c r="P705">
        <f>(orderlinesTABLE[[#This Row],[UnitCost]]*orderlinesTABLE[[#This Row],[Qty]])</f>
        <v>80.92</v>
      </c>
      <c r="Q705">
        <f>(orderlinesTABLE[[#This Row],[LineNetAmount]]-orderlinesTABLE[[#This Row],[totalCOST]])</f>
        <v>52.304000000000016</v>
      </c>
      <c r="R705" t="str">
        <f>VLOOKUP($B705,Menu!$A$1:$F$20,MATCH(OrderLines!R$1,Menu!$A$1:$F$1,0),0)</f>
        <v>Rajma Chawal</v>
      </c>
      <c r="S705" t="str" cm="1">
        <f t="array" ref="S705">_xlfn.TEXTJOIN("+",TRUE,_xlfn._xlws.FILTER(orderlinesTABLE[ItemName],OrderID=orderlinesTABLE[[#This Row],[OrderID]]))</f>
        <v>Rajma Chawal+Coffee+Paneer Roll</v>
      </c>
      <c r="T705" s="54">
        <f>orderlinesTABLE[[#This Row],[Profit]]/orderlinesTABLE[[#This Row],[LineNetAmount]]</f>
        <v>0.39260193358554019</v>
      </c>
      <c r="U705" s="70">
        <f>(orderlinesTABLE[[#This Row],[Qty]]*orderlinesTABLE[[#This Row],[UnitCost]])</f>
        <v>80.92</v>
      </c>
    </row>
    <row r="706" spans="1:21" x14ac:dyDescent="0.3">
      <c r="A706" s="14" t="s">
        <v>309</v>
      </c>
      <c r="B706" s="14" t="s">
        <v>411</v>
      </c>
      <c r="C706" s="14">
        <v>3</v>
      </c>
      <c r="D706" s="37">
        <f>VLOOKUP($B706,Menu!$A$1:$F$20,MATCH($D$1,Menu!$A$1:$F$1,0),0)</f>
        <v>22.2</v>
      </c>
      <c r="E706" s="14" t="str">
        <f>VLOOKUP($B706,Menu!$A$1:$F$20,MATCH(OrderLines!E$1,Menu!$A$1:$F$1,0),0)</f>
        <v>Beverage</v>
      </c>
      <c r="F706" s="37">
        <f>VLOOKUP($B706,Menu!$A$1:$F$20,MATCH(OrderLines!F$1,Menu!$A$1:$F$1,0),0)</f>
        <v>9.3800000000000008</v>
      </c>
      <c r="G706" s="28">
        <f>VLOOKUP($A706,Orders!$A$1:$H$361,MATCH($G$1,Orders!$A$1:$H$1,0),0)</f>
        <v>45856</v>
      </c>
      <c r="H706" s="14" t="str">
        <f>VLOOKUP($A706,Orders!$A$1:$H$361,MATCH(OrderLines!$H$1,Orders!$A$1:$H$1,0),0)</f>
        <v>Plant 1 Canteen</v>
      </c>
      <c r="I706" s="14">
        <f>VLOOKUP($A706,Orders!$A$1:$H$361,MATCH(OrderLines!$I$1,Orders!$A$1:$H$1,0),0)</f>
        <v>0.09</v>
      </c>
      <c r="J706" s="14">
        <f t="shared" si="31"/>
        <v>60.605999999999995</v>
      </c>
      <c r="K706" s="28" t="str">
        <f t="shared" si="32"/>
        <v>July</v>
      </c>
      <c r="L706" s="14" t="str">
        <f>VLOOKUP(OrderLines!$A706,Orders!$A$1:$H$361,MATCH(OrderLines!$L$1,Orders!$A$1:$H$1,0),0)</f>
        <v>Breakfast</v>
      </c>
      <c r="M706" t="str">
        <f>VLOOKUP($A706,Orders!$A$1:$H$361,MATCH(OrderLines!$M$1,Orders!$A$1:$H$1,0),0)</f>
        <v>UPI</v>
      </c>
      <c r="N706" t="str">
        <f t="shared" ref="N706:N769" si="33">IF(AND(COUNTIFS(OrderID,$A706,Category,"hot meal")&gt;=1,COUNTIFS(OrderID,$A706,Category,"beverage")&gt;=1),"Combo","Single")</f>
        <v>Combo</v>
      </c>
      <c r="O706" t="str" cm="1">
        <f t="array" ref="O706">IF((SUMPRODUCT((OrderID=OrderLines!$A706)*Qty*UnitPrice*DiscountPct))&gt;40,"HighDisc","OK")</f>
        <v>OK</v>
      </c>
      <c r="P706">
        <f>(orderlinesTABLE[[#This Row],[UnitCost]]*orderlinesTABLE[[#This Row],[Qty]])</f>
        <v>28.14</v>
      </c>
      <c r="Q706">
        <f>(orderlinesTABLE[[#This Row],[LineNetAmount]]-orderlinesTABLE[[#This Row],[totalCOST]])</f>
        <v>32.465999999999994</v>
      </c>
      <c r="R706" t="str">
        <f>VLOOKUP($B706,Menu!$A$1:$F$20,MATCH(OrderLines!R$1,Menu!$A$1:$F$1,0),0)</f>
        <v>Coffee</v>
      </c>
      <c r="S706" t="str" cm="1">
        <f t="array" ref="S706">_xlfn.TEXTJOIN("+",TRUE,_xlfn._xlws.FILTER(orderlinesTABLE[ItemName],OrderID=orderlinesTABLE[[#This Row],[OrderID]]))</f>
        <v>Rajma Chawal+Coffee+Paneer Roll</v>
      </c>
      <c r="T706" s="54">
        <f>orderlinesTABLE[[#This Row],[Profit]]/orderlinesTABLE[[#This Row],[LineNetAmount]]</f>
        <v>0.53568953568953559</v>
      </c>
      <c r="U706" s="70">
        <f>(orderlinesTABLE[[#This Row],[Qty]]*orderlinesTABLE[[#This Row],[UnitCost]])</f>
        <v>28.14</v>
      </c>
    </row>
    <row r="707" spans="1:21" x14ac:dyDescent="0.3">
      <c r="A707" s="15" t="s">
        <v>309</v>
      </c>
      <c r="B707" s="15" t="s">
        <v>406</v>
      </c>
      <c r="C707" s="15">
        <v>1</v>
      </c>
      <c r="D707" s="36">
        <f>VLOOKUP($B707,Menu!$A$1:$F$20,MATCH($D$1,Menu!$A$1:$F$1,0),0)</f>
        <v>38.06</v>
      </c>
      <c r="E707" s="15" t="str">
        <f>VLOOKUP($B707,Menu!$A$1:$F$20,MATCH(OrderLines!E$1,Menu!$A$1:$F$1,0),0)</f>
        <v>Snack</v>
      </c>
      <c r="F707" s="36">
        <f>VLOOKUP($B707,Menu!$A$1:$F$20,MATCH(OrderLines!F$1,Menu!$A$1:$F$1,0),0)</f>
        <v>19.55</v>
      </c>
      <c r="G707" s="27">
        <f>VLOOKUP($A707,Orders!$A$1:$H$361,MATCH($G$1,Orders!$A$1:$H$1,0),0)</f>
        <v>45856</v>
      </c>
      <c r="H707" s="15" t="str">
        <f>VLOOKUP($A707,Orders!$A$1:$H$361,MATCH(OrderLines!$H$1,Orders!$A$1:$H$1,0),0)</f>
        <v>Plant 1 Canteen</v>
      </c>
      <c r="I707" s="15">
        <f>VLOOKUP($A707,Orders!$A$1:$H$361,MATCH(OrderLines!$I$1,Orders!$A$1:$H$1,0),0)</f>
        <v>0.09</v>
      </c>
      <c r="J707" s="15">
        <f t="shared" ref="J707:J770" si="34">$C707*$D707*(1-$I707)</f>
        <v>34.634600000000006</v>
      </c>
      <c r="K707" s="27" t="str">
        <f t="shared" ref="K707:K770" si="35">TEXT($G707,"mmmm")</f>
        <v>July</v>
      </c>
      <c r="L707" s="15" t="str">
        <f>VLOOKUP(OrderLines!$A707,Orders!$A$1:$H$361,MATCH(OrderLines!$L$1,Orders!$A$1:$H$1,0),0)</f>
        <v>Breakfast</v>
      </c>
      <c r="M707" t="str">
        <f>VLOOKUP($A707,Orders!$A$1:$H$361,MATCH(OrderLines!$M$1,Orders!$A$1:$H$1,0),0)</f>
        <v>UPI</v>
      </c>
      <c r="N707" t="str">
        <f t="shared" si="33"/>
        <v>Combo</v>
      </c>
      <c r="O707" t="str" cm="1">
        <f t="array" ref="O707">IF((SUMPRODUCT((OrderID=OrderLines!$A707)*Qty*UnitPrice*DiscountPct))&gt;40,"HighDisc","OK")</f>
        <v>OK</v>
      </c>
      <c r="P707">
        <f>(orderlinesTABLE[[#This Row],[UnitCost]]*orderlinesTABLE[[#This Row],[Qty]])</f>
        <v>19.55</v>
      </c>
      <c r="Q707">
        <f>(orderlinesTABLE[[#This Row],[LineNetAmount]]-orderlinesTABLE[[#This Row],[totalCOST]])</f>
        <v>15.084600000000005</v>
      </c>
      <c r="R707" t="str">
        <f>VLOOKUP($B707,Menu!$A$1:$F$20,MATCH(OrderLines!R$1,Menu!$A$1:$F$1,0),0)</f>
        <v>Paneer Roll</v>
      </c>
      <c r="S707" t="str" cm="1">
        <f t="array" ref="S707">_xlfn.TEXTJOIN("+",TRUE,_xlfn._xlws.FILTER(orderlinesTABLE[ItemName],OrderID=orderlinesTABLE[[#This Row],[OrderID]]))</f>
        <v>Rajma Chawal+Coffee+Paneer Roll</v>
      </c>
      <c r="T707" s="54">
        <f>orderlinesTABLE[[#This Row],[Profit]]/orderlinesTABLE[[#This Row],[LineNetAmount]]</f>
        <v>0.43553556270319282</v>
      </c>
      <c r="U707" s="70">
        <f>(orderlinesTABLE[[#This Row],[Qty]]*orderlinesTABLE[[#This Row],[UnitCost]])</f>
        <v>19.55</v>
      </c>
    </row>
    <row r="708" spans="1:21" x14ac:dyDescent="0.3">
      <c r="A708" s="14" t="s">
        <v>310</v>
      </c>
      <c r="B708" s="14" t="s">
        <v>414</v>
      </c>
      <c r="C708" s="14">
        <v>3</v>
      </c>
      <c r="D708" s="37">
        <f>VLOOKUP($B708,Menu!$A$1:$F$20,MATCH($D$1,Menu!$A$1:$F$1,0),0)</f>
        <v>116.8</v>
      </c>
      <c r="E708" s="14" t="str">
        <f>VLOOKUP($B708,Menu!$A$1:$F$20,MATCH(OrderLines!E$1,Menu!$A$1:$F$1,0),0)</f>
        <v>Dessert</v>
      </c>
      <c r="F708" s="37">
        <f>VLOOKUP($B708,Menu!$A$1:$F$20,MATCH(OrderLines!F$1,Menu!$A$1:$F$1,0),0)</f>
        <v>48.97</v>
      </c>
      <c r="G708" s="28">
        <f>VLOOKUP($A708,Orders!$A$1:$H$361,MATCH($G$1,Orders!$A$1:$H$1,0),0)</f>
        <v>45887</v>
      </c>
      <c r="H708" s="14" t="str">
        <f>VLOOKUP($A708,Orders!$A$1:$H$361,MATCH(OrderLines!$H$1,Orders!$A$1:$H$1,0),0)</f>
        <v>Head Office Café</v>
      </c>
      <c r="I708" s="14">
        <f>VLOOKUP($A708,Orders!$A$1:$H$361,MATCH(OrderLines!$I$1,Orders!$A$1:$H$1,0),0)</f>
        <v>0.11</v>
      </c>
      <c r="J708" s="14">
        <f t="shared" si="34"/>
        <v>311.85599999999999</v>
      </c>
      <c r="K708" s="28" t="str">
        <f t="shared" si="35"/>
        <v>August</v>
      </c>
      <c r="L708" s="14" t="str">
        <f>VLOOKUP(OrderLines!$A708,Orders!$A$1:$H$361,MATCH(OrderLines!$L$1,Orders!$A$1:$H$1,0),0)</f>
        <v>Dinner</v>
      </c>
      <c r="M708" t="str">
        <f>VLOOKUP($A708,Orders!$A$1:$H$361,MATCH(OrderLines!$M$1,Orders!$A$1:$H$1,0),0)</f>
        <v>Card</v>
      </c>
      <c r="N708" t="str">
        <f t="shared" si="33"/>
        <v>Single</v>
      </c>
      <c r="O708" t="str" cm="1">
        <f t="array" ref="O708">IF((SUMPRODUCT((OrderID=OrderLines!$A708)*Qty*UnitPrice*DiscountPct))&gt;40,"HighDisc","OK")</f>
        <v>OK</v>
      </c>
      <c r="P708">
        <f>(orderlinesTABLE[[#This Row],[UnitCost]]*orderlinesTABLE[[#This Row],[Qty]])</f>
        <v>146.91</v>
      </c>
      <c r="Q708">
        <f>(orderlinesTABLE[[#This Row],[LineNetAmount]]-orderlinesTABLE[[#This Row],[totalCOST]])</f>
        <v>164.946</v>
      </c>
      <c r="R708" t="str">
        <f>VLOOKUP($B708,Menu!$A$1:$F$20,MATCH(OrderLines!R$1,Menu!$A$1:$F$1,0),0)</f>
        <v>Brownie</v>
      </c>
      <c r="S708" t="str" cm="1">
        <f t="array" ref="S708">_xlfn.TEXTJOIN("+",TRUE,_xlfn._xlws.FILTER(orderlinesTABLE[ItemName],OrderID=orderlinesTABLE[[#This Row],[OrderID]]))</f>
        <v>Brownie</v>
      </c>
      <c r="T708" s="54">
        <f>orderlinesTABLE[[#This Row],[Profit]]/orderlinesTABLE[[#This Row],[LineNetAmount]]</f>
        <v>0.52891719255040792</v>
      </c>
      <c r="U708" s="70">
        <f>(orderlinesTABLE[[#This Row],[Qty]]*orderlinesTABLE[[#This Row],[UnitCost]])</f>
        <v>146.91</v>
      </c>
    </row>
    <row r="709" spans="1:21" x14ac:dyDescent="0.3">
      <c r="A709" s="15" t="s">
        <v>311</v>
      </c>
      <c r="B709" s="15" t="s">
        <v>406</v>
      </c>
      <c r="C709" s="15">
        <v>1</v>
      </c>
      <c r="D709" s="36">
        <f>VLOOKUP($B709,Menu!$A$1:$F$20,MATCH($D$1,Menu!$A$1:$F$1,0),0)</f>
        <v>38.06</v>
      </c>
      <c r="E709" s="15" t="str">
        <f>VLOOKUP($B709,Menu!$A$1:$F$20,MATCH(OrderLines!E$1,Menu!$A$1:$F$1,0),0)</f>
        <v>Snack</v>
      </c>
      <c r="F709" s="36">
        <f>VLOOKUP($B709,Menu!$A$1:$F$20,MATCH(OrderLines!F$1,Menu!$A$1:$F$1,0),0)</f>
        <v>19.55</v>
      </c>
      <c r="G709" s="27">
        <f>VLOOKUP($A709,Orders!$A$1:$H$361,MATCH($G$1,Orders!$A$1:$H$1,0),0)</f>
        <v>45877</v>
      </c>
      <c r="H709" s="15" t="str">
        <f>VLOOKUP($A709,Orders!$A$1:$H$361,MATCH(OrderLines!$H$1,Orders!$A$1:$H$1,0),0)</f>
        <v>Head Office Café</v>
      </c>
      <c r="I709" s="15">
        <f>VLOOKUP($A709,Orders!$A$1:$H$361,MATCH(OrderLines!$I$1,Orders!$A$1:$H$1,0),0)</f>
        <v>0.06</v>
      </c>
      <c r="J709" s="15">
        <f t="shared" si="34"/>
        <v>35.776400000000002</v>
      </c>
      <c r="K709" s="27" t="str">
        <f t="shared" si="35"/>
        <v>August</v>
      </c>
      <c r="L709" s="15" t="str">
        <f>VLOOKUP(OrderLines!$A709,Orders!$A$1:$H$361,MATCH(OrderLines!$L$1,Orders!$A$1:$H$1,0),0)</f>
        <v>Dinner</v>
      </c>
      <c r="M709" t="str">
        <f>VLOOKUP($A709,Orders!$A$1:$H$361,MATCH(OrderLines!$M$1,Orders!$A$1:$H$1,0),0)</f>
        <v>Card</v>
      </c>
      <c r="N709" t="str">
        <f t="shared" si="33"/>
        <v>Combo</v>
      </c>
      <c r="O709" t="str" cm="1">
        <f t="array" ref="O709">IF((SUMPRODUCT((OrderID=OrderLines!$A709)*Qty*UnitPrice*DiscountPct))&gt;40,"HighDisc","OK")</f>
        <v>HighDisc</v>
      </c>
      <c r="P709">
        <f>(orderlinesTABLE[[#This Row],[UnitCost]]*orderlinesTABLE[[#This Row],[Qty]])</f>
        <v>19.55</v>
      </c>
      <c r="Q709">
        <f>(orderlinesTABLE[[#This Row],[LineNetAmount]]-orderlinesTABLE[[#This Row],[totalCOST]])</f>
        <v>16.226400000000002</v>
      </c>
      <c r="R709" t="str">
        <f>VLOOKUP($B709,Menu!$A$1:$F$20,MATCH(OrderLines!R$1,Menu!$A$1:$F$1,0),0)</f>
        <v>Paneer Roll</v>
      </c>
      <c r="S709" t="str" cm="1">
        <f t="array" ref="S709">_xlfn.TEXTJOIN("+",TRUE,_xlfn._xlws.FILTER(orderlinesTABLE[ItemName],OrderID=orderlinesTABLE[[#This Row],[OrderID]]))</f>
        <v>Paneer Roll+Coffee+Masala Puff+Chicken Thali</v>
      </c>
      <c r="T709" s="54">
        <f>orderlinesTABLE[[#This Row],[Profit]]/orderlinesTABLE[[#This Row],[LineNetAmount]]</f>
        <v>0.45355038517011215</v>
      </c>
      <c r="U709" s="70">
        <f>(orderlinesTABLE[[#This Row],[Qty]]*orderlinesTABLE[[#This Row],[UnitCost]])</f>
        <v>19.55</v>
      </c>
    </row>
    <row r="710" spans="1:21" x14ac:dyDescent="0.3">
      <c r="A710" s="14" t="s">
        <v>311</v>
      </c>
      <c r="B710" s="14" t="s">
        <v>411</v>
      </c>
      <c r="C710" s="14">
        <v>1</v>
      </c>
      <c r="D710" s="37">
        <f>VLOOKUP($B710,Menu!$A$1:$F$20,MATCH($D$1,Menu!$A$1:$F$1,0),0)</f>
        <v>22.2</v>
      </c>
      <c r="E710" s="14" t="str">
        <f>VLOOKUP($B710,Menu!$A$1:$F$20,MATCH(OrderLines!E$1,Menu!$A$1:$F$1,0),0)</f>
        <v>Beverage</v>
      </c>
      <c r="F710" s="37">
        <f>VLOOKUP($B710,Menu!$A$1:$F$20,MATCH(OrderLines!F$1,Menu!$A$1:$F$1,0),0)</f>
        <v>9.3800000000000008</v>
      </c>
      <c r="G710" s="28">
        <f>VLOOKUP($A710,Orders!$A$1:$H$361,MATCH($G$1,Orders!$A$1:$H$1,0),0)</f>
        <v>45877</v>
      </c>
      <c r="H710" s="14" t="str">
        <f>VLOOKUP($A710,Orders!$A$1:$H$361,MATCH(OrderLines!$H$1,Orders!$A$1:$H$1,0),0)</f>
        <v>Head Office Café</v>
      </c>
      <c r="I710" s="14">
        <f>VLOOKUP($A710,Orders!$A$1:$H$361,MATCH(OrderLines!$I$1,Orders!$A$1:$H$1,0),0)</f>
        <v>0.06</v>
      </c>
      <c r="J710" s="14">
        <f t="shared" si="34"/>
        <v>20.867999999999999</v>
      </c>
      <c r="K710" s="28" t="str">
        <f t="shared" si="35"/>
        <v>August</v>
      </c>
      <c r="L710" s="14" t="str">
        <f>VLOOKUP(OrderLines!$A710,Orders!$A$1:$H$361,MATCH(OrderLines!$L$1,Orders!$A$1:$H$1,0),0)</f>
        <v>Dinner</v>
      </c>
      <c r="M710" t="str">
        <f>VLOOKUP($A710,Orders!$A$1:$H$361,MATCH(OrderLines!$M$1,Orders!$A$1:$H$1,0),0)</f>
        <v>Card</v>
      </c>
      <c r="N710" t="str">
        <f t="shared" si="33"/>
        <v>Combo</v>
      </c>
      <c r="O710" t="str" cm="1">
        <f t="array" ref="O710">IF((SUMPRODUCT((OrderID=OrderLines!$A710)*Qty*UnitPrice*DiscountPct))&gt;40,"HighDisc","OK")</f>
        <v>HighDisc</v>
      </c>
      <c r="P710">
        <f>(orderlinesTABLE[[#This Row],[UnitCost]]*orderlinesTABLE[[#This Row],[Qty]])</f>
        <v>9.3800000000000008</v>
      </c>
      <c r="Q710">
        <f>(orderlinesTABLE[[#This Row],[LineNetAmount]]-orderlinesTABLE[[#This Row],[totalCOST]])</f>
        <v>11.487999999999998</v>
      </c>
      <c r="R710" t="str">
        <f>VLOOKUP($B710,Menu!$A$1:$F$20,MATCH(OrderLines!R$1,Menu!$A$1:$F$1,0),0)</f>
        <v>Coffee</v>
      </c>
      <c r="S710" t="str" cm="1">
        <f t="array" ref="S710">_xlfn.TEXTJOIN("+",TRUE,_xlfn._xlws.FILTER(orderlinesTABLE[ItemName],OrderID=orderlinesTABLE[[#This Row],[OrderID]]))</f>
        <v>Paneer Roll+Coffee+Masala Puff+Chicken Thali</v>
      </c>
      <c r="T710" s="54">
        <f>orderlinesTABLE[[#This Row],[Profit]]/orderlinesTABLE[[#This Row],[LineNetAmount]]</f>
        <v>0.55050795476327385</v>
      </c>
      <c r="U710" s="70">
        <f>(orderlinesTABLE[[#This Row],[Qty]]*orderlinesTABLE[[#This Row],[UnitCost]])</f>
        <v>9.3800000000000008</v>
      </c>
    </row>
    <row r="711" spans="1:21" x14ac:dyDescent="0.3">
      <c r="A711" s="15" t="s">
        <v>311</v>
      </c>
      <c r="B711" s="15" t="s">
        <v>419</v>
      </c>
      <c r="C711" s="15">
        <v>2</v>
      </c>
      <c r="D711" s="36">
        <f>VLOOKUP($B711,Menu!$A$1:$F$20,MATCH($D$1,Menu!$A$1:$F$1,0),0)</f>
        <v>50.19</v>
      </c>
      <c r="E711" s="15" t="str">
        <f>VLOOKUP($B711,Menu!$A$1:$F$20,MATCH(OrderLines!E$1,Menu!$A$1:$F$1,0),0)</f>
        <v>Snack</v>
      </c>
      <c r="F711" s="36">
        <f>VLOOKUP($B711,Menu!$A$1:$F$20,MATCH(OrderLines!F$1,Menu!$A$1:$F$1,0),0)</f>
        <v>22.61</v>
      </c>
      <c r="G711" s="27">
        <f>VLOOKUP($A711,Orders!$A$1:$H$361,MATCH($G$1,Orders!$A$1:$H$1,0),0)</f>
        <v>45877</v>
      </c>
      <c r="H711" s="15" t="str">
        <f>VLOOKUP($A711,Orders!$A$1:$H$361,MATCH(OrderLines!$H$1,Orders!$A$1:$H$1,0),0)</f>
        <v>Head Office Café</v>
      </c>
      <c r="I711" s="15">
        <f>VLOOKUP($A711,Orders!$A$1:$H$361,MATCH(OrderLines!$I$1,Orders!$A$1:$H$1,0),0)</f>
        <v>0.06</v>
      </c>
      <c r="J711" s="15">
        <f t="shared" si="34"/>
        <v>94.357199999999992</v>
      </c>
      <c r="K711" s="27" t="str">
        <f t="shared" si="35"/>
        <v>August</v>
      </c>
      <c r="L711" s="15" t="str">
        <f>VLOOKUP(OrderLines!$A711,Orders!$A$1:$H$361,MATCH(OrderLines!$L$1,Orders!$A$1:$H$1,0),0)</f>
        <v>Dinner</v>
      </c>
      <c r="M711" t="str">
        <f>VLOOKUP($A711,Orders!$A$1:$H$361,MATCH(OrderLines!$M$1,Orders!$A$1:$H$1,0),0)</f>
        <v>Card</v>
      </c>
      <c r="N711" t="str">
        <f t="shared" si="33"/>
        <v>Combo</v>
      </c>
      <c r="O711" t="str" cm="1">
        <f t="array" ref="O711">IF((SUMPRODUCT((OrderID=OrderLines!$A711)*Qty*UnitPrice*DiscountPct))&gt;40,"HighDisc","OK")</f>
        <v>HighDisc</v>
      </c>
      <c r="P711">
        <f>(orderlinesTABLE[[#This Row],[UnitCost]]*orderlinesTABLE[[#This Row],[Qty]])</f>
        <v>45.22</v>
      </c>
      <c r="Q711">
        <f>(orderlinesTABLE[[#This Row],[LineNetAmount]]-orderlinesTABLE[[#This Row],[totalCOST]])</f>
        <v>49.137199999999993</v>
      </c>
      <c r="R711" t="str">
        <f>VLOOKUP($B711,Menu!$A$1:$F$20,MATCH(OrderLines!R$1,Menu!$A$1:$F$1,0),0)</f>
        <v>Masala Puff</v>
      </c>
      <c r="S711" t="str" cm="1">
        <f t="array" ref="S711">_xlfn.TEXTJOIN("+",TRUE,_xlfn._xlws.FILTER(orderlinesTABLE[ItemName],OrderID=orderlinesTABLE[[#This Row],[OrderID]]))</f>
        <v>Paneer Roll+Coffee+Masala Puff+Chicken Thali</v>
      </c>
      <c r="T711" s="54">
        <f>orderlinesTABLE[[#This Row],[Profit]]/orderlinesTABLE[[#This Row],[LineNetAmount]]</f>
        <v>0.52075729250126113</v>
      </c>
      <c r="U711" s="70">
        <f>(orderlinesTABLE[[#This Row],[Qty]]*orderlinesTABLE[[#This Row],[UnitCost]])</f>
        <v>45.22</v>
      </c>
    </row>
    <row r="712" spans="1:21" x14ac:dyDescent="0.3">
      <c r="A712" s="14" t="s">
        <v>311</v>
      </c>
      <c r="B712" s="14" t="s">
        <v>415</v>
      </c>
      <c r="C712" s="14">
        <v>2</v>
      </c>
      <c r="D712" s="37">
        <f>VLOOKUP($B712,Menu!$A$1:$F$20,MATCH($D$1,Menu!$A$1:$F$1,0),0)</f>
        <v>256.91000000000003</v>
      </c>
      <c r="E712" s="14" t="str">
        <f>VLOOKUP($B712,Menu!$A$1:$F$20,MATCH(OrderLines!E$1,Menu!$A$1:$F$1,0),0)</f>
        <v>Hot Meal</v>
      </c>
      <c r="F712" s="37">
        <f>VLOOKUP($B712,Menu!$A$1:$F$20,MATCH(OrderLines!F$1,Menu!$A$1:$F$1,0),0)</f>
        <v>121.24</v>
      </c>
      <c r="G712" s="28">
        <f>VLOOKUP($A712,Orders!$A$1:$H$361,MATCH($G$1,Orders!$A$1:$H$1,0),0)</f>
        <v>45877</v>
      </c>
      <c r="H712" s="14" t="str">
        <f>VLOOKUP($A712,Orders!$A$1:$H$361,MATCH(OrderLines!$H$1,Orders!$A$1:$H$1,0),0)</f>
        <v>Head Office Café</v>
      </c>
      <c r="I712" s="14">
        <f>VLOOKUP($A712,Orders!$A$1:$H$361,MATCH(OrderLines!$I$1,Orders!$A$1:$H$1,0),0)</f>
        <v>0.06</v>
      </c>
      <c r="J712" s="14">
        <f t="shared" si="34"/>
        <v>482.99080000000004</v>
      </c>
      <c r="K712" s="28" t="str">
        <f t="shared" si="35"/>
        <v>August</v>
      </c>
      <c r="L712" s="14" t="str">
        <f>VLOOKUP(OrderLines!$A712,Orders!$A$1:$H$361,MATCH(OrderLines!$L$1,Orders!$A$1:$H$1,0),0)</f>
        <v>Dinner</v>
      </c>
      <c r="M712" t="str">
        <f>VLOOKUP($A712,Orders!$A$1:$H$361,MATCH(OrderLines!$M$1,Orders!$A$1:$H$1,0),0)</f>
        <v>Card</v>
      </c>
      <c r="N712" t="str">
        <f t="shared" si="33"/>
        <v>Combo</v>
      </c>
      <c r="O712" t="str" cm="1">
        <f t="array" ref="O712">IF((SUMPRODUCT((OrderID=OrderLines!$A712)*Qty*UnitPrice*DiscountPct))&gt;40,"HighDisc","OK")</f>
        <v>HighDisc</v>
      </c>
      <c r="P712">
        <f>(orderlinesTABLE[[#This Row],[UnitCost]]*orderlinesTABLE[[#This Row],[Qty]])</f>
        <v>242.48</v>
      </c>
      <c r="Q712">
        <f>(orderlinesTABLE[[#This Row],[LineNetAmount]]-orderlinesTABLE[[#This Row],[totalCOST]])</f>
        <v>240.51080000000005</v>
      </c>
      <c r="R712" t="str">
        <f>VLOOKUP($B712,Menu!$A$1:$F$20,MATCH(OrderLines!R$1,Menu!$A$1:$F$1,0),0)</f>
        <v>Chicken Thali</v>
      </c>
      <c r="S712" t="str" cm="1">
        <f t="array" ref="S712">_xlfn.TEXTJOIN("+",TRUE,_xlfn._xlws.FILTER(orderlinesTABLE[ItemName],OrderID=orderlinesTABLE[[#This Row],[OrderID]]))</f>
        <v>Paneer Roll+Coffee+Masala Puff+Chicken Thali</v>
      </c>
      <c r="T712" s="54">
        <f>orderlinesTABLE[[#This Row],[Profit]]/orderlinesTABLE[[#This Row],[LineNetAmount]]</f>
        <v>0.49796145185374135</v>
      </c>
      <c r="U712" s="70">
        <f>(orderlinesTABLE[[#This Row],[Qty]]*orderlinesTABLE[[#This Row],[UnitCost]])</f>
        <v>242.48</v>
      </c>
    </row>
    <row r="713" spans="1:21" x14ac:dyDescent="0.3">
      <c r="A713" s="15" t="s">
        <v>312</v>
      </c>
      <c r="B713" s="15" t="s">
        <v>402</v>
      </c>
      <c r="C713" s="15">
        <v>2</v>
      </c>
      <c r="D713" s="36">
        <f>VLOOKUP($B713,Menu!$A$1:$F$20,MATCH($D$1,Menu!$A$1:$F$1,0),0)</f>
        <v>30.34</v>
      </c>
      <c r="E713" s="15" t="str">
        <f>VLOOKUP($B713,Menu!$A$1:$F$20,MATCH(OrderLines!E$1,Menu!$A$1:$F$1,0),0)</f>
        <v>Beverage</v>
      </c>
      <c r="F713" s="36">
        <f>VLOOKUP($B713,Menu!$A$1:$F$20,MATCH(OrderLines!F$1,Menu!$A$1:$F$1,0),0)</f>
        <v>14.18</v>
      </c>
      <c r="G713" s="27">
        <f>VLOOKUP($A713,Orders!$A$1:$H$361,MATCH($G$1,Orders!$A$1:$H$1,0),0)</f>
        <v>45883</v>
      </c>
      <c r="H713" s="15" t="str">
        <f>VLOOKUP($A713,Orders!$A$1:$H$361,MATCH(OrderLines!$H$1,Orders!$A$1:$H$1,0),0)</f>
        <v>Plant 1 Canteen</v>
      </c>
      <c r="I713" s="15">
        <f>VLOOKUP($A713,Orders!$A$1:$H$361,MATCH(OrderLines!$I$1,Orders!$A$1:$H$1,0),0)</f>
        <v>0.09</v>
      </c>
      <c r="J713" s="15">
        <f t="shared" si="34"/>
        <v>55.218800000000002</v>
      </c>
      <c r="K713" s="27" t="str">
        <f t="shared" si="35"/>
        <v>August</v>
      </c>
      <c r="L713" s="15" t="str">
        <f>VLOOKUP(OrderLines!$A713,Orders!$A$1:$H$361,MATCH(OrderLines!$L$1,Orders!$A$1:$H$1,0),0)</f>
        <v>Dinner</v>
      </c>
      <c r="M713" t="str">
        <f>VLOOKUP($A713,Orders!$A$1:$H$361,MATCH(OrderLines!$M$1,Orders!$A$1:$H$1,0),0)</f>
        <v>UPI</v>
      </c>
      <c r="N713" t="str">
        <f t="shared" si="33"/>
        <v>Combo</v>
      </c>
      <c r="O713" t="str" cm="1">
        <f t="array" ref="O713">IF((SUMPRODUCT((OrderID=OrderLines!$A713)*Qty*UnitPrice*DiscountPct))&gt;40,"HighDisc","OK")</f>
        <v>HighDisc</v>
      </c>
      <c r="P713">
        <f>(orderlinesTABLE[[#This Row],[UnitCost]]*orderlinesTABLE[[#This Row],[Qty]])</f>
        <v>28.36</v>
      </c>
      <c r="Q713">
        <f>(orderlinesTABLE[[#This Row],[LineNetAmount]]-orderlinesTABLE[[#This Row],[totalCOST]])</f>
        <v>26.858800000000002</v>
      </c>
      <c r="R713" t="str">
        <f>VLOOKUP($B713,Menu!$A$1:$F$20,MATCH(OrderLines!R$1,Menu!$A$1:$F$1,0),0)</f>
        <v>Tea</v>
      </c>
      <c r="S713" t="str" cm="1">
        <f t="array" ref="S713">_xlfn.TEXTJOIN("+",TRUE,_xlfn._xlws.FILTER(orderlinesTABLE[ItemName],OrderID=orderlinesTABLE[[#This Row],[OrderID]]))</f>
        <v>Tea+Paneer Butter Masala + Naan+Brownie+Masala Puff</v>
      </c>
      <c r="T713" s="54">
        <f>orderlinesTABLE[[#This Row],[Profit]]/orderlinesTABLE[[#This Row],[LineNetAmount]]</f>
        <v>0.48640680347997423</v>
      </c>
      <c r="U713" s="70">
        <f>(orderlinesTABLE[[#This Row],[Qty]]*orderlinesTABLE[[#This Row],[UnitCost]])</f>
        <v>28.36</v>
      </c>
    </row>
    <row r="714" spans="1:21" x14ac:dyDescent="0.3">
      <c r="A714" s="14" t="s">
        <v>312</v>
      </c>
      <c r="B714" s="14" t="s">
        <v>405</v>
      </c>
      <c r="C714" s="14">
        <v>2</v>
      </c>
      <c r="D714" s="37">
        <f>VLOOKUP($B714,Menu!$A$1:$F$20,MATCH($D$1,Menu!$A$1:$F$1,0),0)</f>
        <v>170.83</v>
      </c>
      <c r="E714" s="14" t="str">
        <f>VLOOKUP($B714,Menu!$A$1:$F$20,MATCH(OrderLines!E$1,Menu!$A$1:$F$1,0),0)</f>
        <v>Hot Meal</v>
      </c>
      <c r="F714" s="37">
        <f>VLOOKUP($B714,Menu!$A$1:$F$20,MATCH(OrderLines!F$1,Menu!$A$1:$F$1,0),0)</f>
        <v>74.069999999999993</v>
      </c>
      <c r="G714" s="28">
        <f>VLOOKUP($A714,Orders!$A$1:$H$361,MATCH($G$1,Orders!$A$1:$H$1,0),0)</f>
        <v>45883</v>
      </c>
      <c r="H714" s="14" t="str">
        <f>VLOOKUP($A714,Orders!$A$1:$H$361,MATCH(OrderLines!$H$1,Orders!$A$1:$H$1,0),0)</f>
        <v>Plant 1 Canteen</v>
      </c>
      <c r="I714" s="14">
        <f>VLOOKUP($A714,Orders!$A$1:$H$361,MATCH(OrderLines!$I$1,Orders!$A$1:$H$1,0),0)</f>
        <v>0.09</v>
      </c>
      <c r="J714" s="14">
        <f t="shared" si="34"/>
        <v>310.91060000000004</v>
      </c>
      <c r="K714" s="28" t="str">
        <f t="shared" si="35"/>
        <v>August</v>
      </c>
      <c r="L714" s="14" t="str">
        <f>VLOOKUP(OrderLines!$A714,Orders!$A$1:$H$361,MATCH(OrderLines!$L$1,Orders!$A$1:$H$1,0),0)</f>
        <v>Dinner</v>
      </c>
      <c r="M714" t="str">
        <f>VLOOKUP($A714,Orders!$A$1:$H$361,MATCH(OrderLines!$M$1,Orders!$A$1:$H$1,0),0)</f>
        <v>UPI</v>
      </c>
      <c r="N714" t="str">
        <f t="shared" si="33"/>
        <v>Combo</v>
      </c>
      <c r="O714" t="str" cm="1">
        <f t="array" ref="O714">IF((SUMPRODUCT((OrderID=OrderLines!$A714)*Qty*UnitPrice*DiscountPct))&gt;40,"HighDisc","OK")</f>
        <v>HighDisc</v>
      </c>
      <c r="P714">
        <f>(orderlinesTABLE[[#This Row],[UnitCost]]*orderlinesTABLE[[#This Row],[Qty]])</f>
        <v>148.13999999999999</v>
      </c>
      <c r="Q714">
        <f>(orderlinesTABLE[[#This Row],[LineNetAmount]]-orderlinesTABLE[[#This Row],[totalCOST]])</f>
        <v>162.77060000000006</v>
      </c>
      <c r="R714" t="str">
        <f>VLOOKUP($B714,Menu!$A$1:$F$20,MATCH(OrderLines!R$1,Menu!$A$1:$F$1,0),0)</f>
        <v>Paneer Butter Masala + Naan</v>
      </c>
      <c r="S714" t="str" cm="1">
        <f t="array" ref="S714">_xlfn.TEXTJOIN("+",TRUE,_xlfn._xlws.FILTER(orderlinesTABLE[ItemName],OrderID=orderlinesTABLE[[#This Row],[OrderID]]))</f>
        <v>Tea+Paneer Butter Masala + Naan+Brownie+Masala Puff</v>
      </c>
      <c r="T714" s="54">
        <f>orderlinesTABLE[[#This Row],[Profit]]/orderlinesTABLE[[#This Row],[LineNetAmount]]</f>
        <v>0.52352862848677417</v>
      </c>
      <c r="U714" s="70">
        <f>(orderlinesTABLE[[#This Row],[Qty]]*orderlinesTABLE[[#This Row],[UnitCost]])</f>
        <v>148.13999999999999</v>
      </c>
    </row>
    <row r="715" spans="1:21" x14ac:dyDescent="0.3">
      <c r="A715" s="15" t="s">
        <v>312</v>
      </c>
      <c r="B715" s="15" t="s">
        <v>414</v>
      </c>
      <c r="C715" s="15">
        <v>3</v>
      </c>
      <c r="D715" s="36">
        <f>VLOOKUP($B715,Menu!$A$1:$F$20,MATCH($D$1,Menu!$A$1:$F$1,0),0)</f>
        <v>116.8</v>
      </c>
      <c r="E715" s="15" t="str">
        <f>VLOOKUP($B715,Menu!$A$1:$F$20,MATCH(OrderLines!E$1,Menu!$A$1:$F$1,0),0)</f>
        <v>Dessert</v>
      </c>
      <c r="F715" s="36">
        <f>VLOOKUP($B715,Menu!$A$1:$F$20,MATCH(OrderLines!F$1,Menu!$A$1:$F$1,0),0)</f>
        <v>48.97</v>
      </c>
      <c r="G715" s="27">
        <f>VLOOKUP($A715,Orders!$A$1:$H$361,MATCH($G$1,Orders!$A$1:$H$1,0),0)</f>
        <v>45883</v>
      </c>
      <c r="H715" s="15" t="str">
        <f>VLOOKUP($A715,Orders!$A$1:$H$361,MATCH(OrderLines!$H$1,Orders!$A$1:$H$1,0),0)</f>
        <v>Plant 1 Canteen</v>
      </c>
      <c r="I715" s="15">
        <f>VLOOKUP($A715,Orders!$A$1:$H$361,MATCH(OrderLines!$I$1,Orders!$A$1:$H$1,0),0)</f>
        <v>0.09</v>
      </c>
      <c r="J715" s="15">
        <f t="shared" si="34"/>
        <v>318.86399999999998</v>
      </c>
      <c r="K715" s="27" t="str">
        <f t="shared" si="35"/>
        <v>August</v>
      </c>
      <c r="L715" s="15" t="str">
        <f>VLOOKUP(OrderLines!$A715,Orders!$A$1:$H$361,MATCH(OrderLines!$L$1,Orders!$A$1:$H$1,0),0)</f>
        <v>Dinner</v>
      </c>
      <c r="M715" t="str">
        <f>VLOOKUP($A715,Orders!$A$1:$H$361,MATCH(OrderLines!$M$1,Orders!$A$1:$H$1,0),0)</f>
        <v>UPI</v>
      </c>
      <c r="N715" t="str">
        <f t="shared" si="33"/>
        <v>Combo</v>
      </c>
      <c r="O715" t="str" cm="1">
        <f t="array" ref="O715">IF((SUMPRODUCT((OrderID=OrderLines!$A715)*Qty*UnitPrice*DiscountPct))&gt;40,"HighDisc","OK")</f>
        <v>HighDisc</v>
      </c>
      <c r="P715">
        <f>(orderlinesTABLE[[#This Row],[UnitCost]]*orderlinesTABLE[[#This Row],[Qty]])</f>
        <v>146.91</v>
      </c>
      <c r="Q715">
        <f>(orderlinesTABLE[[#This Row],[LineNetAmount]]-orderlinesTABLE[[#This Row],[totalCOST]])</f>
        <v>171.95399999999998</v>
      </c>
      <c r="R715" t="str">
        <f>VLOOKUP($B715,Menu!$A$1:$F$20,MATCH(OrderLines!R$1,Menu!$A$1:$F$1,0),0)</f>
        <v>Brownie</v>
      </c>
      <c r="S715" t="str" cm="1">
        <f t="array" ref="S715">_xlfn.TEXTJOIN("+",TRUE,_xlfn._xlws.FILTER(orderlinesTABLE[ItemName],OrderID=orderlinesTABLE[[#This Row],[OrderID]]))</f>
        <v>Tea+Paneer Butter Masala + Naan+Brownie+Masala Puff</v>
      </c>
      <c r="T715" s="54">
        <f>orderlinesTABLE[[#This Row],[Profit]]/orderlinesTABLE[[#This Row],[LineNetAmount]]</f>
        <v>0.53927066084600328</v>
      </c>
      <c r="U715" s="70">
        <f>(orderlinesTABLE[[#This Row],[Qty]]*orderlinesTABLE[[#This Row],[UnitCost]])</f>
        <v>146.91</v>
      </c>
    </row>
    <row r="716" spans="1:21" x14ac:dyDescent="0.3">
      <c r="A716" s="14" t="s">
        <v>312</v>
      </c>
      <c r="B716" s="14" t="s">
        <v>419</v>
      </c>
      <c r="C716" s="14">
        <v>3</v>
      </c>
      <c r="D716" s="37">
        <f>VLOOKUP($B716,Menu!$A$1:$F$20,MATCH($D$1,Menu!$A$1:$F$1,0),0)</f>
        <v>50.19</v>
      </c>
      <c r="E716" s="14" t="str">
        <f>VLOOKUP($B716,Menu!$A$1:$F$20,MATCH(OrderLines!E$1,Menu!$A$1:$F$1,0),0)</f>
        <v>Snack</v>
      </c>
      <c r="F716" s="37">
        <f>VLOOKUP($B716,Menu!$A$1:$F$20,MATCH(OrderLines!F$1,Menu!$A$1:$F$1,0),0)</f>
        <v>22.61</v>
      </c>
      <c r="G716" s="28">
        <f>VLOOKUP($A716,Orders!$A$1:$H$361,MATCH($G$1,Orders!$A$1:$H$1,0),0)</f>
        <v>45883</v>
      </c>
      <c r="H716" s="14" t="str">
        <f>VLOOKUP($A716,Orders!$A$1:$H$361,MATCH(OrderLines!$H$1,Orders!$A$1:$H$1,0),0)</f>
        <v>Plant 1 Canteen</v>
      </c>
      <c r="I716" s="14">
        <f>VLOOKUP($A716,Orders!$A$1:$H$361,MATCH(OrderLines!$I$1,Orders!$A$1:$H$1,0),0)</f>
        <v>0.09</v>
      </c>
      <c r="J716" s="14">
        <f t="shared" si="34"/>
        <v>137.0187</v>
      </c>
      <c r="K716" s="28" t="str">
        <f t="shared" si="35"/>
        <v>August</v>
      </c>
      <c r="L716" s="14" t="str">
        <f>VLOOKUP(OrderLines!$A716,Orders!$A$1:$H$361,MATCH(OrderLines!$L$1,Orders!$A$1:$H$1,0),0)</f>
        <v>Dinner</v>
      </c>
      <c r="M716" t="str">
        <f>VLOOKUP($A716,Orders!$A$1:$H$361,MATCH(OrderLines!$M$1,Orders!$A$1:$H$1,0),0)</f>
        <v>UPI</v>
      </c>
      <c r="N716" t="str">
        <f t="shared" si="33"/>
        <v>Combo</v>
      </c>
      <c r="O716" t="str" cm="1">
        <f t="array" ref="O716">IF((SUMPRODUCT((OrderID=OrderLines!$A716)*Qty*UnitPrice*DiscountPct))&gt;40,"HighDisc","OK")</f>
        <v>HighDisc</v>
      </c>
      <c r="P716">
        <f>(orderlinesTABLE[[#This Row],[UnitCost]]*orderlinesTABLE[[#This Row],[Qty]])</f>
        <v>67.83</v>
      </c>
      <c r="Q716">
        <f>(orderlinesTABLE[[#This Row],[LineNetAmount]]-orderlinesTABLE[[#This Row],[totalCOST]])</f>
        <v>69.188699999999997</v>
      </c>
      <c r="R716" t="str">
        <f>VLOOKUP($B716,Menu!$A$1:$F$20,MATCH(OrderLines!R$1,Menu!$A$1:$F$1,0),0)</f>
        <v>Masala Puff</v>
      </c>
      <c r="S716" t="str" cm="1">
        <f t="array" ref="S716">_xlfn.TEXTJOIN("+",TRUE,_xlfn._xlws.FILTER(orderlinesTABLE[ItemName],OrderID=orderlinesTABLE[[#This Row],[OrderID]]))</f>
        <v>Tea+Paneer Butter Masala + Naan+Brownie+Masala Puff</v>
      </c>
      <c r="T716" s="54">
        <f>orderlinesTABLE[[#This Row],[Profit]]/orderlinesTABLE[[#This Row],[LineNetAmount]]</f>
        <v>0.50495808236394013</v>
      </c>
      <c r="U716" s="70">
        <f>(orderlinesTABLE[[#This Row],[Qty]]*orderlinesTABLE[[#This Row],[UnitCost]])</f>
        <v>67.83</v>
      </c>
    </row>
    <row r="717" spans="1:21" x14ac:dyDescent="0.3">
      <c r="A717" s="15" t="s">
        <v>313</v>
      </c>
      <c r="B717" s="15" t="s">
        <v>406</v>
      </c>
      <c r="C717" s="15">
        <v>1</v>
      </c>
      <c r="D717" s="36">
        <f>VLOOKUP($B717,Menu!$A$1:$F$20,MATCH($D$1,Menu!$A$1:$F$1,0),0)</f>
        <v>38.06</v>
      </c>
      <c r="E717" s="15" t="str">
        <f>VLOOKUP($B717,Menu!$A$1:$F$20,MATCH(OrderLines!E$1,Menu!$A$1:$F$1,0),0)</f>
        <v>Snack</v>
      </c>
      <c r="F717" s="36">
        <f>VLOOKUP($B717,Menu!$A$1:$F$20,MATCH(OrderLines!F$1,Menu!$A$1:$F$1,0),0)</f>
        <v>19.55</v>
      </c>
      <c r="G717" s="27">
        <f>VLOOKUP($A717,Orders!$A$1:$H$361,MATCH($G$1,Orders!$A$1:$H$1,0),0)</f>
        <v>45894</v>
      </c>
      <c r="H717" s="15" t="str">
        <f>VLOOKUP($A717,Orders!$A$1:$H$361,MATCH(OrderLines!$H$1,Orders!$A$1:$H$1,0),0)</f>
        <v>Plant 2 Canteen</v>
      </c>
      <c r="I717" s="15">
        <f>VLOOKUP($A717,Orders!$A$1:$H$361,MATCH(OrderLines!$I$1,Orders!$A$1:$H$1,0),0)</f>
        <v>0.05</v>
      </c>
      <c r="J717" s="15">
        <f t="shared" si="34"/>
        <v>36.157000000000004</v>
      </c>
      <c r="K717" s="27" t="str">
        <f t="shared" si="35"/>
        <v>August</v>
      </c>
      <c r="L717" s="15" t="str">
        <f>VLOOKUP(OrderLines!$A717,Orders!$A$1:$H$361,MATCH(OrderLines!$L$1,Orders!$A$1:$H$1,0),0)</f>
        <v>Dinner</v>
      </c>
      <c r="M717" t="str">
        <f>VLOOKUP($A717,Orders!$A$1:$H$361,MATCH(OrderLines!$M$1,Orders!$A$1:$H$1,0),0)</f>
        <v>UPI</v>
      </c>
      <c r="N717" t="str">
        <f t="shared" si="33"/>
        <v>Single</v>
      </c>
      <c r="O717" t="str" cm="1">
        <f t="array" ref="O717">IF((SUMPRODUCT((OrderID=OrderLines!$A717)*Qty*UnitPrice*DiscountPct))&gt;40,"HighDisc","OK")</f>
        <v>OK</v>
      </c>
      <c r="P717">
        <f>(orderlinesTABLE[[#This Row],[UnitCost]]*orderlinesTABLE[[#This Row],[Qty]])</f>
        <v>19.55</v>
      </c>
      <c r="Q717">
        <f>(orderlinesTABLE[[#This Row],[LineNetAmount]]-orderlinesTABLE[[#This Row],[totalCOST]])</f>
        <v>16.607000000000003</v>
      </c>
      <c r="R717" t="str">
        <f>VLOOKUP($B717,Menu!$A$1:$F$20,MATCH(OrderLines!R$1,Menu!$A$1:$F$1,0),0)</f>
        <v>Paneer Roll</v>
      </c>
      <c r="S717" t="str" cm="1">
        <f t="array" ref="S717">_xlfn.TEXTJOIN("+",TRUE,_xlfn._xlws.FILTER(orderlinesTABLE[ItemName],OrderID=orderlinesTABLE[[#This Row],[OrderID]]))</f>
        <v>Paneer Roll+Nimbu Pani+Brownie</v>
      </c>
      <c r="T717" s="54">
        <f>orderlinesTABLE[[#This Row],[Profit]]/orderlinesTABLE[[#This Row],[LineNetAmount]]</f>
        <v>0.45930248637884785</v>
      </c>
      <c r="U717" s="70">
        <f>(orderlinesTABLE[[#This Row],[Qty]]*orderlinesTABLE[[#This Row],[UnitCost]])</f>
        <v>19.55</v>
      </c>
    </row>
    <row r="718" spans="1:21" x14ac:dyDescent="0.3">
      <c r="A718" s="14" t="s">
        <v>313</v>
      </c>
      <c r="B718" s="14" t="s">
        <v>410</v>
      </c>
      <c r="C718" s="14">
        <v>2</v>
      </c>
      <c r="D718" s="37">
        <f>VLOOKUP($B718,Menu!$A$1:$F$20,MATCH($D$1,Menu!$A$1:$F$1,0),0)</f>
        <v>20.11</v>
      </c>
      <c r="E718" s="14" t="str">
        <f>VLOOKUP($B718,Menu!$A$1:$F$20,MATCH(OrderLines!E$1,Menu!$A$1:$F$1,0),0)</f>
        <v>Beverage</v>
      </c>
      <c r="F718" s="37">
        <f>VLOOKUP($B718,Menu!$A$1:$F$20,MATCH(OrderLines!F$1,Menu!$A$1:$F$1,0),0)</f>
        <v>8</v>
      </c>
      <c r="G718" s="28">
        <f>VLOOKUP($A718,Orders!$A$1:$H$361,MATCH($G$1,Orders!$A$1:$H$1,0),0)</f>
        <v>45894</v>
      </c>
      <c r="H718" s="14" t="str">
        <f>VLOOKUP($A718,Orders!$A$1:$H$361,MATCH(OrderLines!$H$1,Orders!$A$1:$H$1,0),0)</f>
        <v>Plant 2 Canteen</v>
      </c>
      <c r="I718" s="14">
        <f>VLOOKUP($A718,Orders!$A$1:$H$361,MATCH(OrderLines!$I$1,Orders!$A$1:$H$1,0),0)</f>
        <v>0.05</v>
      </c>
      <c r="J718" s="14">
        <f t="shared" si="34"/>
        <v>38.208999999999996</v>
      </c>
      <c r="K718" s="28" t="str">
        <f t="shared" si="35"/>
        <v>August</v>
      </c>
      <c r="L718" s="14" t="str">
        <f>VLOOKUP(OrderLines!$A718,Orders!$A$1:$H$361,MATCH(OrderLines!$L$1,Orders!$A$1:$H$1,0),0)</f>
        <v>Dinner</v>
      </c>
      <c r="M718" t="str">
        <f>VLOOKUP($A718,Orders!$A$1:$H$361,MATCH(OrderLines!$M$1,Orders!$A$1:$H$1,0),0)</f>
        <v>UPI</v>
      </c>
      <c r="N718" t="str">
        <f t="shared" si="33"/>
        <v>Single</v>
      </c>
      <c r="O718" t="str" cm="1">
        <f t="array" ref="O718">IF((SUMPRODUCT((OrderID=OrderLines!$A718)*Qty*UnitPrice*DiscountPct))&gt;40,"HighDisc","OK")</f>
        <v>OK</v>
      </c>
      <c r="P718">
        <f>(orderlinesTABLE[[#This Row],[UnitCost]]*orderlinesTABLE[[#This Row],[Qty]])</f>
        <v>16</v>
      </c>
      <c r="Q718">
        <f>(orderlinesTABLE[[#This Row],[LineNetAmount]]-orderlinesTABLE[[#This Row],[totalCOST]])</f>
        <v>22.208999999999996</v>
      </c>
      <c r="R718" t="str">
        <f>VLOOKUP($B718,Menu!$A$1:$F$20,MATCH(OrderLines!R$1,Menu!$A$1:$F$1,0),0)</f>
        <v>Nimbu Pani</v>
      </c>
      <c r="S718" t="str" cm="1">
        <f t="array" ref="S718">_xlfn.TEXTJOIN("+",TRUE,_xlfn._xlws.FILTER(orderlinesTABLE[ItemName],OrderID=orderlinesTABLE[[#This Row],[OrderID]]))</f>
        <v>Paneer Roll+Nimbu Pani+Brownie</v>
      </c>
      <c r="T718" s="54">
        <f>orderlinesTABLE[[#This Row],[Profit]]/orderlinesTABLE[[#This Row],[LineNetAmount]]</f>
        <v>0.58125049072208113</v>
      </c>
      <c r="U718" s="70">
        <f>(orderlinesTABLE[[#This Row],[Qty]]*orderlinesTABLE[[#This Row],[UnitCost]])</f>
        <v>16</v>
      </c>
    </row>
    <row r="719" spans="1:21" x14ac:dyDescent="0.3">
      <c r="A719" s="15" t="s">
        <v>313</v>
      </c>
      <c r="B719" s="15" t="s">
        <v>414</v>
      </c>
      <c r="C719" s="15">
        <v>3</v>
      </c>
      <c r="D719" s="36">
        <f>VLOOKUP($B719,Menu!$A$1:$F$20,MATCH($D$1,Menu!$A$1:$F$1,0),0)</f>
        <v>116.8</v>
      </c>
      <c r="E719" s="15" t="str">
        <f>VLOOKUP($B719,Menu!$A$1:$F$20,MATCH(OrderLines!E$1,Menu!$A$1:$F$1,0),0)</f>
        <v>Dessert</v>
      </c>
      <c r="F719" s="36">
        <f>VLOOKUP($B719,Menu!$A$1:$F$20,MATCH(OrderLines!F$1,Menu!$A$1:$F$1,0),0)</f>
        <v>48.97</v>
      </c>
      <c r="G719" s="27">
        <f>VLOOKUP($A719,Orders!$A$1:$H$361,MATCH($G$1,Orders!$A$1:$H$1,0),0)</f>
        <v>45894</v>
      </c>
      <c r="H719" s="15" t="str">
        <f>VLOOKUP($A719,Orders!$A$1:$H$361,MATCH(OrderLines!$H$1,Orders!$A$1:$H$1,0),0)</f>
        <v>Plant 2 Canteen</v>
      </c>
      <c r="I719" s="15">
        <f>VLOOKUP($A719,Orders!$A$1:$H$361,MATCH(OrderLines!$I$1,Orders!$A$1:$H$1,0),0)</f>
        <v>0.05</v>
      </c>
      <c r="J719" s="15">
        <f t="shared" si="34"/>
        <v>332.87999999999994</v>
      </c>
      <c r="K719" s="27" t="str">
        <f t="shared" si="35"/>
        <v>August</v>
      </c>
      <c r="L719" s="15" t="str">
        <f>VLOOKUP(OrderLines!$A719,Orders!$A$1:$H$361,MATCH(OrderLines!$L$1,Orders!$A$1:$H$1,0),0)</f>
        <v>Dinner</v>
      </c>
      <c r="M719" t="str">
        <f>VLOOKUP($A719,Orders!$A$1:$H$361,MATCH(OrderLines!$M$1,Orders!$A$1:$H$1,0),0)</f>
        <v>UPI</v>
      </c>
      <c r="N719" t="str">
        <f t="shared" si="33"/>
        <v>Single</v>
      </c>
      <c r="O719" t="str" cm="1">
        <f t="array" ref="O719">IF((SUMPRODUCT((OrderID=OrderLines!$A719)*Qty*UnitPrice*DiscountPct))&gt;40,"HighDisc","OK")</f>
        <v>OK</v>
      </c>
      <c r="P719">
        <f>(orderlinesTABLE[[#This Row],[UnitCost]]*orderlinesTABLE[[#This Row],[Qty]])</f>
        <v>146.91</v>
      </c>
      <c r="Q719">
        <f>(orderlinesTABLE[[#This Row],[LineNetAmount]]-orderlinesTABLE[[#This Row],[totalCOST]])</f>
        <v>185.96999999999994</v>
      </c>
      <c r="R719" t="str">
        <f>VLOOKUP($B719,Menu!$A$1:$F$20,MATCH(OrderLines!R$1,Menu!$A$1:$F$1,0),0)</f>
        <v>Brownie</v>
      </c>
      <c r="S719" t="str" cm="1">
        <f t="array" ref="S719">_xlfn.TEXTJOIN("+",TRUE,_xlfn._xlws.FILTER(orderlinesTABLE[ItemName],OrderID=orderlinesTABLE[[#This Row],[OrderID]]))</f>
        <v>Paneer Roll+Nimbu Pani+Brownie</v>
      </c>
      <c r="T719" s="54">
        <f>orderlinesTABLE[[#This Row],[Profit]]/orderlinesTABLE[[#This Row],[LineNetAmount]]</f>
        <v>0.55866979091564517</v>
      </c>
      <c r="U719" s="70">
        <f>(orderlinesTABLE[[#This Row],[Qty]]*orderlinesTABLE[[#This Row],[UnitCost]])</f>
        <v>146.91</v>
      </c>
    </row>
    <row r="720" spans="1:21" x14ac:dyDescent="0.3">
      <c r="A720" s="14" t="s">
        <v>314</v>
      </c>
      <c r="B720" s="14" t="s">
        <v>406</v>
      </c>
      <c r="C720" s="14">
        <v>1</v>
      </c>
      <c r="D720" s="37">
        <f>VLOOKUP($B720,Menu!$A$1:$F$20,MATCH($D$1,Menu!$A$1:$F$1,0),0)</f>
        <v>38.06</v>
      </c>
      <c r="E720" s="14" t="str">
        <f>VLOOKUP($B720,Menu!$A$1:$F$20,MATCH(OrderLines!E$1,Menu!$A$1:$F$1,0),0)</f>
        <v>Snack</v>
      </c>
      <c r="F720" s="37">
        <f>VLOOKUP($B720,Menu!$A$1:$F$20,MATCH(OrderLines!F$1,Menu!$A$1:$F$1,0),0)</f>
        <v>19.55</v>
      </c>
      <c r="G720" s="28">
        <f>VLOOKUP($A720,Orders!$A$1:$H$361,MATCH($G$1,Orders!$A$1:$H$1,0),0)</f>
        <v>45867</v>
      </c>
      <c r="H720" s="14" t="str">
        <f>VLOOKUP($A720,Orders!$A$1:$H$361,MATCH(OrderLines!$H$1,Orders!$A$1:$H$1,0),0)</f>
        <v>Plant 1 Canteen</v>
      </c>
      <c r="I720" s="14">
        <f>VLOOKUP($A720,Orders!$A$1:$H$361,MATCH(OrderLines!$I$1,Orders!$A$1:$H$1,0),0)</f>
        <v>7.0000000000000007E-2</v>
      </c>
      <c r="J720" s="14">
        <f t="shared" si="34"/>
        <v>35.395800000000001</v>
      </c>
      <c r="K720" s="28" t="str">
        <f t="shared" si="35"/>
        <v>July</v>
      </c>
      <c r="L720" s="14" t="str">
        <f>VLOOKUP(OrderLines!$A720,Orders!$A$1:$H$361,MATCH(OrderLines!$L$1,Orders!$A$1:$H$1,0),0)</f>
        <v>Breakfast</v>
      </c>
      <c r="M720" t="str">
        <f>VLOOKUP($A720,Orders!$A$1:$H$361,MATCH(OrderLines!$M$1,Orders!$A$1:$H$1,0),0)</f>
        <v>Cash</v>
      </c>
      <c r="N720" t="str">
        <f t="shared" si="33"/>
        <v>Single</v>
      </c>
      <c r="O720" t="str" cm="1">
        <f t="array" ref="O720">IF((SUMPRODUCT((OrderID=OrderLines!$A720)*Qty*UnitPrice*DiscountPct))&gt;40,"HighDisc","OK")</f>
        <v>OK</v>
      </c>
      <c r="P720">
        <f>(orderlinesTABLE[[#This Row],[UnitCost]]*orderlinesTABLE[[#This Row],[Qty]])</f>
        <v>19.55</v>
      </c>
      <c r="Q720">
        <f>(orderlinesTABLE[[#This Row],[LineNetAmount]]-orderlinesTABLE[[#This Row],[totalCOST]])</f>
        <v>15.845800000000001</v>
      </c>
      <c r="R720" t="str">
        <f>VLOOKUP($B720,Menu!$A$1:$F$20,MATCH(OrderLines!R$1,Menu!$A$1:$F$1,0),0)</f>
        <v>Paneer Roll</v>
      </c>
      <c r="S720" t="str" cm="1">
        <f t="array" ref="S720">_xlfn.TEXTJOIN("+",TRUE,_xlfn._xlws.FILTER(orderlinesTABLE[ItemName],OrderID=orderlinesTABLE[[#This Row],[OrderID]]))</f>
        <v>Paneer Roll+Samosa</v>
      </c>
      <c r="T720" s="54">
        <f>orderlinesTABLE[[#This Row],[Profit]]/orderlinesTABLE[[#This Row],[LineNetAmount]]</f>
        <v>0.44767458286011336</v>
      </c>
      <c r="U720" s="70">
        <f>(orderlinesTABLE[[#This Row],[Qty]]*orderlinesTABLE[[#This Row],[UnitCost]])</f>
        <v>19.55</v>
      </c>
    </row>
    <row r="721" spans="1:21" x14ac:dyDescent="0.3">
      <c r="A721" s="15" t="s">
        <v>314</v>
      </c>
      <c r="B721" s="15" t="s">
        <v>418</v>
      </c>
      <c r="C721" s="15">
        <v>1</v>
      </c>
      <c r="D721" s="36">
        <f>VLOOKUP($B721,Menu!$A$1:$F$20,MATCH($D$1,Menu!$A$1:$F$1,0),0)</f>
        <v>39.950000000000003</v>
      </c>
      <c r="E721" s="15" t="str">
        <f>VLOOKUP($B721,Menu!$A$1:$F$20,MATCH(OrderLines!E$1,Menu!$A$1:$F$1,0),0)</f>
        <v>Snack</v>
      </c>
      <c r="F721" s="36">
        <f>VLOOKUP($B721,Menu!$A$1:$F$20,MATCH(OrderLines!F$1,Menu!$A$1:$F$1,0),0)</f>
        <v>15.51</v>
      </c>
      <c r="G721" s="27">
        <f>VLOOKUP($A721,Orders!$A$1:$H$361,MATCH($G$1,Orders!$A$1:$H$1,0),0)</f>
        <v>45867</v>
      </c>
      <c r="H721" s="15" t="str">
        <f>VLOOKUP($A721,Orders!$A$1:$H$361,MATCH(OrderLines!$H$1,Orders!$A$1:$H$1,0),0)</f>
        <v>Plant 1 Canteen</v>
      </c>
      <c r="I721" s="15">
        <f>VLOOKUP($A721,Orders!$A$1:$H$361,MATCH(OrderLines!$I$1,Orders!$A$1:$H$1,0),0)</f>
        <v>7.0000000000000007E-2</v>
      </c>
      <c r="J721" s="15">
        <f t="shared" si="34"/>
        <v>37.153500000000001</v>
      </c>
      <c r="K721" s="27" t="str">
        <f t="shared" si="35"/>
        <v>July</v>
      </c>
      <c r="L721" s="15" t="str">
        <f>VLOOKUP(OrderLines!$A721,Orders!$A$1:$H$361,MATCH(OrderLines!$L$1,Orders!$A$1:$H$1,0),0)</f>
        <v>Breakfast</v>
      </c>
      <c r="M721" t="str">
        <f>VLOOKUP($A721,Orders!$A$1:$H$361,MATCH(OrderLines!$M$1,Orders!$A$1:$H$1,0),0)</f>
        <v>Cash</v>
      </c>
      <c r="N721" t="str">
        <f t="shared" si="33"/>
        <v>Single</v>
      </c>
      <c r="O721" t="str" cm="1">
        <f t="array" ref="O721">IF((SUMPRODUCT((OrderID=OrderLines!$A721)*Qty*UnitPrice*DiscountPct))&gt;40,"HighDisc","OK")</f>
        <v>OK</v>
      </c>
      <c r="P721">
        <f>(orderlinesTABLE[[#This Row],[UnitCost]]*orderlinesTABLE[[#This Row],[Qty]])</f>
        <v>15.51</v>
      </c>
      <c r="Q721">
        <f>(orderlinesTABLE[[#This Row],[LineNetAmount]]-orderlinesTABLE[[#This Row],[totalCOST]])</f>
        <v>21.643500000000003</v>
      </c>
      <c r="R721" t="str">
        <f>VLOOKUP($B721,Menu!$A$1:$F$20,MATCH(OrderLines!R$1,Menu!$A$1:$F$1,0),0)</f>
        <v>Samosa</v>
      </c>
      <c r="S721" t="str" cm="1">
        <f t="array" ref="S721">_xlfn.TEXTJOIN("+",TRUE,_xlfn._xlws.FILTER(orderlinesTABLE[ItemName],OrderID=orderlinesTABLE[[#This Row],[OrderID]]))</f>
        <v>Paneer Roll+Samosa</v>
      </c>
      <c r="T721" s="54">
        <f>orderlinesTABLE[[#This Row],[Profit]]/orderlinesTABLE[[#This Row],[LineNetAmount]]</f>
        <v>0.58254269449715379</v>
      </c>
      <c r="U721" s="70">
        <f>(orderlinesTABLE[[#This Row],[Qty]]*orderlinesTABLE[[#This Row],[UnitCost]])</f>
        <v>15.51</v>
      </c>
    </row>
    <row r="722" spans="1:21" x14ac:dyDescent="0.3">
      <c r="A722" s="14" t="s">
        <v>315</v>
      </c>
      <c r="B722" s="14" t="s">
        <v>405</v>
      </c>
      <c r="C722" s="14">
        <v>1</v>
      </c>
      <c r="D722" s="37">
        <f>VLOOKUP($B722,Menu!$A$1:$F$20,MATCH($D$1,Menu!$A$1:$F$1,0),0)</f>
        <v>170.83</v>
      </c>
      <c r="E722" s="14" t="str">
        <f>VLOOKUP($B722,Menu!$A$1:$F$20,MATCH(OrderLines!E$1,Menu!$A$1:$F$1,0),0)</f>
        <v>Hot Meal</v>
      </c>
      <c r="F722" s="37">
        <f>VLOOKUP($B722,Menu!$A$1:$F$20,MATCH(OrderLines!F$1,Menu!$A$1:$F$1,0),0)</f>
        <v>74.069999999999993</v>
      </c>
      <c r="G722" s="28">
        <f>VLOOKUP($A722,Orders!$A$1:$H$361,MATCH($G$1,Orders!$A$1:$H$1,0),0)</f>
        <v>45855</v>
      </c>
      <c r="H722" s="14" t="str">
        <f>VLOOKUP($A722,Orders!$A$1:$H$361,MATCH(OrderLines!$H$1,Orders!$A$1:$H$1,0),0)</f>
        <v>Head Office Café</v>
      </c>
      <c r="I722" s="14">
        <f>VLOOKUP($A722,Orders!$A$1:$H$361,MATCH(OrderLines!$I$1,Orders!$A$1:$H$1,0),0)</f>
        <v>0.05</v>
      </c>
      <c r="J722" s="14">
        <f t="shared" si="34"/>
        <v>162.2885</v>
      </c>
      <c r="K722" s="28" t="str">
        <f t="shared" si="35"/>
        <v>July</v>
      </c>
      <c r="L722" s="14" t="str">
        <f>VLOOKUP(OrderLines!$A722,Orders!$A$1:$H$361,MATCH(OrderLines!$L$1,Orders!$A$1:$H$1,0),0)</f>
        <v>Dinner</v>
      </c>
      <c r="M722" t="str">
        <f>VLOOKUP($A722,Orders!$A$1:$H$361,MATCH(OrderLines!$M$1,Orders!$A$1:$H$1,0),0)</f>
        <v>UPI</v>
      </c>
      <c r="N722" t="str">
        <f t="shared" si="33"/>
        <v>Combo</v>
      </c>
      <c r="O722" t="str" cm="1">
        <f t="array" ref="O722">IF((SUMPRODUCT((OrderID=OrderLines!$A722)*Qty*UnitPrice*DiscountPct))&gt;40,"HighDisc","OK")</f>
        <v>OK</v>
      </c>
      <c r="P722">
        <f>(orderlinesTABLE[[#This Row],[UnitCost]]*orderlinesTABLE[[#This Row],[Qty]])</f>
        <v>74.069999999999993</v>
      </c>
      <c r="Q722">
        <f>(orderlinesTABLE[[#This Row],[LineNetAmount]]-orderlinesTABLE[[#This Row],[totalCOST]])</f>
        <v>88.218500000000006</v>
      </c>
      <c r="R722" t="str">
        <f>VLOOKUP($B722,Menu!$A$1:$F$20,MATCH(OrderLines!R$1,Menu!$A$1:$F$1,0),0)</f>
        <v>Paneer Butter Masala + Naan</v>
      </c>
      <c r="S722" t="str" cm="1">
        <f t="array" ref="S722">_xlfn.TEXTJOIN("+",TRUE,_xlfn._xlws.FILTER(orderlinesTABLE[ItemName],OrderID=orderlinesTABLE[[#This Row],[OrderID]]))</f>
        <v>Paneer Butter Masala + Naan+Tea+Brownie</v>
      </c>
      <c r="T722" s="54">
        <f>orderlinesTABLE[[#This Row],[Profit]]/orderlinesTABLE[[#This Row],[LineNetAmount]]</f>
        <v>0.54359058097154145</v>
      </c>
      <c r="U722" s="70">
        <f>(orderlinesTABLE[[#This Row],[Qty]]*orderlinesTABLE[[#This Row],[UnitCost]])</f>
        <v>74.069999999999993</v>
      </c>
    </row>
    <row r="723" spans="1:21" x14ac:dyDescent="0.3">
      <c r="A723" s="15" t="s">
        <v>315</v>
      </c>
      <c r="B723" s="15" t="s">
        <v>402</v>
      </c>
      <c r="C723" s="15">
        <v>1</v>
      </c>
      <c r="D723" s="36">
        <f>VLOOKUP($B723,Menu!$A$1:$F$20,MATCH($D$1,Menu!$A$1:$F$1,0),0)</f>
        <v>30.34</v>
      </c>
      <c r="E723" s="15" t="str">
        <f>VLOOKUP($B723,Menu!$A$1:$F$20,MATCH(OrderLines!E$1,Menu!$A$1:$F$1,0),0)</f>
        <v>Beverage</v>
      </c>
      <c r="F723" s="36">
        <f>VLOOKUP($B723,Menu!$A$1:$F$20,MATCH(OrderLines!F$1,Menu!$A$1:$F$1,0),0)</f>
        <v>14.18</v>
      </c>
      <c r="G723" s="27">
        <f>VLOOKUP($A723,Orders!$A$1:$H$361,MATCH($G$1,Orders!$A$1:$H$1,0),0)</f>
        <v>45855</v>
      </c>
      <c r="H723" s="15" t="str">
        <f>VLOOKUP($A723,Orders!$A$1:$H$361,MATCH(OrderLines!$H$1,Orders!$A$1:$H$1,0),0)</f>
        <v>Head Office Café</v>
      </c>
      <c r="I723" s="15">
        <f>VLOOKUP($A723,Orders!$A$1:$H$361,MATCH(OrderLines!$I$1,Orders!$A$1:$H$1,0),0)</f>
        <v>0.05</v>
      </c>
      <c r="J723" s="15">
        <f t="shared" si="34"/>
        <v>28.822999999999997</v>
      </c>
      <c r="K723" s="27" t="str">
        <f t="shared" si="35"/>
        <v>July</v>
      </c>
      <c r="L723" s="15" t="str">
        <f>VLOOKUP(OrderLines!$A723,Orders!$A$1:$H$361,MATCH(OrderLines!$L$1,Orders!$A$1:$H$1,0),0)</f>
        <v>Dinner</v>
      </c>
      <c r="M723" t="str">
        <f>VLOOKUP($A723,Orders!$A$1:$H$361,MATCH(OrderLines!$M$1,Orders!$A$1:$H$1,0),0)</f>
        <v>UPI</v>
      </c>
      <c r="N723" t="str">
        <f t="shared" si="33"/>
        <v>Combo</v>
      </c>
      <c r="O723" t="str" cm="1">
        <f t="array" ref="O723">IF((SUMPRODUCT((OrderID=OrderLines!$A723)*Qty*UnitPrice*DiscountPct))&gt;40,"HighDisc","OK")</f>
        <v>OK</v>
      </c>
      <c r="P723">
        <f>(orderlinesTABLE[[#This Row],[UnitCost]]*orderlinesTABLE[[#This Row],[Qty]])</f>
        <v>14.18</v>
      </c>
      <c r="Q723">
        <f>(orderlinesTABLE[[#This Row],[LineNetAmount]]-orderlinesTABLE[[#This Row],[totalCOST]])</f>
        <v>14.642999999999997</v>
      </c>
      <c r="R723" t="str">
        <f>VLOOKUP($B723,Menu!$A$1:$F$20,MATCH(OrderLines!R$1,Menu!$A$1:$F$1,0),0)</f>
        <v>Tea</v>
      </c>
      <c r="S723" t="str" cm="1">
        <f t="array" ref="S723">_xlfn.TEXTJOIN("+",TRUE,_xlfn._xlws.FILTER(orderlinesTABLE[ItemName],OrderID=orderlinesTABLE[[#This Row],[OrderID]]))</f>
        <v>Paneer Butter Masala + Naan+Tea+Brownie</v>
      </c>
      <c r="T723" s="54">
        <f>orderlinesTABLE[[#This Row],[Profit]]/orderlinesTABLE[[#This Row],[LineNetAmount]]</f>
        <v>0.50803178017555417</v>
      </c>
      <c r="U723" s="70">
        <f>(orderlinesTABLE[[#This Row],[Qty]]*orderlinesTABLE[[#This Row],[UnitCost]])</f>
        <v>14.18</v>
      </c>
    </row>
    <row r="724" spans="1:21" x14ac:dyDescent="0.3">
      <c r="A724" s="14" t="s">
        <v>315</v>
      </c>
      <c r="B724" s="14" t="s">
        <v>414</v>
      </c>
      <c r="C724" s="14">
        <v>2</v>
      </c>
      <c r="D724" s="37">
        <f>VLOOKUP($B724,Menu!$A$1:$F$20,MATCH($D$1,Menu!$A$1:$F$1,0),0)</f>
        <v>116.8</v>
      </c>
      <c r="E724" s="14" t="str">
        <f>VLOOKUP($B724,Menu!$A$1:$F$20,MATCH(OrderLines!E$1,Menu!$A$1:$F$1,0),0)</f>
        <v>Dessert</v>
      </c>
      <c r="F724" s="37">
        <f>VLOOKUP($B724,Menu!$A$1:$F$20,MATCH(OrderLines!F$1,Menu!$A$1:$F$1,0),0)</f>
        <v>48.97</v>
      </c>
      <c r="G724" s="28">
        <f>VLOOKUP($A724,Orders!$A$1:$H$361,MATCH($G$1,Orders!$A$1:$H$1,0),0)</f>
        <v>45855</v>
      </c>
      <c r="H724" s="14" t="str">
        <f>VLOOKUP($A724,Orders!$A$1:$H$361,MATCH(OrderLines!$H$1,Orders!$A$1:$H$1,0),0)</f>
        <v>Head Office Café</v>
      </c>
      <c r="I724" s="14">
        <f>VLOOKUP($A724,Orders!$A$1:$H$361,MATCH(OrderLines!$I$1,Orders!$A$1:$H$1,0),0)</f>
        <v>0.05</v>
      </c>
      <c r="J724" s="14">
        <f t="shared" si="34"/>
        <v>221.92</v>
      </c>
      <c r="K724" s="28" t="str">
        <f t="shared" si="35"/>
        <v>July</v>
      </c>
      <c r="L724" s="14" t="str">
        <f>VLOOKUP(OrderLines!$A724,Orders!$A$1:$H$361,MATCH(OrderLines!$L$1,Orders!$A$1:$H$1,0),0)</f>
        <v>Dinner</v>
      </c>
      <c r="M724" t="str">
        <f>VLOOKUP($A724,Orders!$A$1:$H$361,MATCH(OrderLines!$M$1,Orders!$A$1:$H$1,0),0)</f>
        <v>UPI</v>
      </c>
      <c r="N724" t="str">
        <f t="shared" si="33"/>
        <v>Combo</v>
      </c>
      <c r="O724" t="str" cm="1">
        <f t="array" ref="O724">IF((SUMPRODUCT((OrderID=OrderLines!$A724)*Qty*UnitPrice*DiscountPct))&gt;40,"HighDisc","OK")</f>
        <v>OK</v>
      </c>
      <c r="P724">
        <f>(orderlinesTABLE[[#This Row],[UnitCost]]*orderlinesTABLE[[#This Row],[Qty]])</f>
        <v>97.94</v>
      </c>
      <c r="Q724">
        <f>(orderlinesTABLE[[#This Row],[LineNetAmount]]-orderlinesTABLE[[#This Row],[totalCOST]])</f>
        <v>123.97999999999999</v>
      </c>
      <c r="R724" t="str">
        <f>VLOOKUP($B724,Menu!$A$1:$F$20,MATCH(OrderLines!R$1,Menu!$A$1:$F$1,0),0)</f>
        <v>Brownie</v>
      </c>
      <c r="S724" t="str" cm="1">
        <f t="array" ref="S724">_xlfn.TEXTJOIN("+",TRUE,_xlfn._xlws.FILTER(orderlinesTABLE[ItemName],OrderID=orderlinesTABLE[[#This Row],[OrderID]]))</f>
        <v>Paneer Butter Masala + Naan+Tea+Brownie</v>
      </c>
      <c r="T724" s="54">
        <f>orderlinesTABLE[[#This Row],[Profit]]/orderlinesTABLE[[#This Row],[LineNetAmount]]</f>
        <v>0.55866979091564528</v>
      </c>
      <c r="U724" s="70">
        <f>(orderlinesTABLE[[#This Row],[Qty]]*orderlinesTABLE[[#This Row],[UnitCost]])</f>
        <v>97.94</v>
      </c>
    </row>
    <row r="725" spans="1:21" x14ac:dyDescent="0.3">
      <c r="A725" s="15" t="s">
        <v>316</v>
      </c>
      <c r="B725" s="15" t="s">
        <v>402</v>
      </c>
      <c r="C725" s="15">
        <v>1</v>
      </c>
      <c r="D725" s="36">
        <f>VLOOKUP($B725,Menu!$A$1:$F$20,MATCH($D$1,Menu!$A$1:$F$1,0),0)</f>
        <v>30.34</v>
      </c>
      <c r="E725" s="15" t="str">
        <f>VLOOKUP($B725,Menu!$A$1:$F$20,MATCH(OrderLines!E$1,Menu!$A$1:$F$1,0),0)</f>
        <v>Beverage</v>
      </c>
      <c r="F725" s="36">
        <f>VLOOKUP($B725,Menu!$A$1:$F$20,MATCH(OrderLines!F$1,Menu!$A$1:$F$1,0),0)</f>
        <v>14.18</v>
      </c>
      <c r="G725" s="27">
        <f>VLOOKUP($A725,Orders!$A$1:$H$361,MATCH($G$1,Orders!$A$1:$H$1,0),0)</f>
        <v>45847</v>
      </c>
      <c r="H725" s="15" t="str">
        <f>VLOOKUP($A725,Orders!$A$1:$H$361,MATCH(OrderLines!$H$1,Orders!$A$1:$H$1,0),0)</f>
        <v>Plant 2 Canteen</v>
      </c>
      <c r="I725" s="15">
        <f>VLOOKUP($A725,Orders!$A$1:$H$361,MATCH(OrderLines!$I$1,Orders!$A$1:$H$1,0),0)</f>
        <v>0.06</v>
      </c>
      <c r="J725" s="15">
        <f t="shared" si="34"/>
        <v>28.519599999999997</v>
      </c>
      <c r="K725" s="27" t="str">
        <f t="shared" si="35"/>
        <v>July</v>
      </c>
      <c r="L725" s="15" t="str">
        <f>VLOOKUP(OrderLines!$A725,Orders!$A$1:$H$361,MATCH(OrderLines!$L$1,Orders!$A$1:$H$1,0),0)</f>
        <v>Dinner</v>
      </c>
      <c r="M725" t="str">
        <f>VLOOKUP($A725,Orders!$A$1:$H$361,MATCH(OrderLines!$M$1,Orders!$A$1:$H$1,0),0)</f>
        <v>Cash</v>
      </c>
      <c r="N725" t="str">
        <f t="shared" si="33"/>
        <v>Single</v>
      </c>
      <c r="O725" t="str" cm="1">
        <f t="array" ref="O725">IF((SUMPRODUCT((OrderID=OrderLines!$A725)*Qty*UnitPrice*DiscountPct))&gt;40,"HighDisc","OK")</f>
        <v>OK</v>
      </c>
      <c r="P725">
        <f>(orderlinesTABLE[[#This Row],[UnitCost]]*orderlinesTABLE[[#This Row],[Qty]])</f>
        <v>14.18</v>
      </c>
      <c r="Q725">
        <f>(orderlinesTABLE[[#This Row],[LineNetAmount]]-orderlinesTABLE[[#This Row],[totalCOST]])</f>
        <v>14.339599999999997</v>
      </c>
      <c r="R725" t="str">
        <f>VLOOKUP($B725,Menu!$A$1:$F$20,MATCH(OrderLines!R$1,Menu!$A$1:$F$1,0),0)</f>
        <v>Tea</v>
      </c>
      <c r="S725" t="str" cm="1">
        <f t="array" ref="S725">_xlfn.TEXTJOIN("+",TRUE,_xlfn._xlws.FILTER(orderlinesTABLE[ItemName],OrderID=orderlinesTABLE[[#This Row],[OrderID]]))</f>
        <v>Tea</v>
      </c>
      <c r="T725" s="54">
        <f>orderlinesTABLE[[#This Row],[Profit]]/orderlinesTABLE[[#This Row],[LineNetAmount]]</f>
        <v>0.50279807570933666</v>
      </c>
      <c r="U725" s="70">
        <f>(orderlinesTABLE[[#This Row],[Qty]]*orderlinesTABLE[[#This Row],[UnitCost]])</f>
        <v>14.18</v>
      </c>
    </row>
    <row r="726" spans="1:21" x14ac:dyDescent="0.3">
      <c r="A726" s="14" t="s">
        <v>317</v>
      </c>
      <c r="B726" s="14" t="s">
        <v>409</v>
      </c>
      <c r="C726" s="14">
        <v>1</v>
      </c>
      <c r="D726" s="37">
        <f>VLOOKUP($B726,Menu!$A$1:$F$20,MATCH($D$1,Menu!$A$1:$F$1,0),0)</f>
        <v>28.43</v>
      </c>
      <c r="E726" s="14" t="str">
        <f>VLOOKUP($B726,Menu!$A$1:$F$20,MATCH(OrderLines!E$1,Menu!$A$1:$F$1,0),0)</f>
        <v>Beverage</v>
      </c>
      <c r="F726" s="37">
        <f>VLOOKUP($B726,Menu!$A$1:$F$20,MATCH(OrderLines!F$1,Menu!$A$1:$F$1,0),0)</f>
        <v>13.89</v>
      </c>
      <c r="G726" s="28">
        <f>VLOOKUP($A726,Orders!$A$1:$H$361,MATCH($G$1,Orders!$A$1:$H$1,0),0)</f>
        <v>45896</v>
      </c>
      <c r="H726" s="14" t="str">
        <f>VLOOKUP($A726,Orders!$A$1:$H$361,MATCH(OrderLines!$H$1,Orders!$A$1:$H$1,0),0)</f>
        <v>Plant 2 Canteen</v>
      </c>
      <c r="I726" s="14">
        <f>VLOOKUP($A726,Orders!$A$1:$H$361,MATCH(OrderLines!$I$1,Orders!$A$1:$H$1,0),0)</f>
        <v>0.08</v>
      </c>
      <c r="J726" s="14">
        <f t="shared" si="34"/>
        <v>26.1556</v>
      </c>
      <c r="K726" s="28" t="str">
        <f t="shared" si="35"/>
        <v>August</v>
      </c>
      <c r="L726" s="14" t="str">
        <f>VLOOKUP(OrderLines!$A726,Orders!$A$1:$H$361,MATCH(OrderLines!$L$1,Orders!$A$1:$H$1,0),0)</f>
        <v>Breakfast</v>
      </c>
      <c r="M726" t="str">
        <f>VLOOKUP($A726,Orders!$A$1:$H$361,MATCH(OrderLines!$M$1,Orders!$A$1:$H$1,0),0)</f>
        <v>Cash</v>
      </c>
      <c r="N726" t="str">
        <f t="shared" si="33"/>
        <v>Combo</v>
      </c>
      <c r="O726" t="str" cm="1">
        <f t="array" ref="O726">IF((SUMPRODUCT((OrderID=OrderLines!$A726)*Qty*UnitPrice*DiscountPct))&gt;40,"HighDisc","OK")</f>
        <v>OK</v>
      </c>
      <c r="P726">
        <f>(orderlinesTABLE[[#This Row],[UnitCost]]*orderlinesTABLE[[#This Row],[Qty]])</f>
        <v>13.89</v>
      </c>
      <c r="Q726">
        <f>(orderlinesTABLE[[#This Row],[LineNetAmount]]-orderlinesTABLE[[#This Row],[totalCOST]])</f>
        <v>12.265599999999999</v>
      </c>
      <c r="R726" t="str">
        <f>VLOOKUP($B726,Menu!$A$1:$F$20,MATCH(OrderLines!R$1,Menu!$A$1:$F$1,0),0)</f>
        <v>Bottled Water</v>
      </c>
      <c r="S726" t="str" cm="1">
        <f t="array" ref="S726">_xlfn.TEXTJOIN("+",TRUE,_xlfn._xlws.FILTER(orderlinesTABLE[ItemName],OrderID=orderlinesTABLE[[#This Row],[OrderID]]))</f>
        <v>Bottled Water+Tea+Paneer Butter Masala + Naan</v>
      </c>
      <c r="T726" s="54">
        <f>orderlinesTABLE[[#This Row],[Profit]]/orderlinesTABLE[[#This Row],[LineNetAmount]]</f>
        <v>0.46894737647004847</v>
      </c>
      <c r="U726" s="70">
        <f>(orderlinesTABLE[[#This Row],[Qty]]*orderlinesTABLE[[#This Row],[UnitCost]])</f>
        <v>13.89</v>
      </c>
    </row>
    <row r="727" spans="1:21" x14ac:dyDescent="0.3">
      <c r="A727" s="15" t="s">
        <v>317</v>
      </c>
      <c r="B727" s="15" t="s">
        <v>402</v>
      </c>
      <c r="C727" s="15">
        <v>3</v>
      </c>
      <c r="D727" s="36">
        <f>VLOOKUP($B727,Menu!$A$1:$F$20,MATCH($D$1,Menu!$A$1:$F$1,0),0)</f>
        <v>30.34</v>
      </c>
      <c r="E727" s="15" t="str">
        <f>VLOOKUP($B727,Menu!$A$1:$F$20,MATCH(OrderLines!E$1,Menu!$A$1:$F$1,0),0)</f>
        <v>Beverage</v>
      </c>
      <c r="F727" s="36">
        <f>VLOOKUP($B727,Menu!$A$1:$F$20,MATCH(OrderLines!F$1,Menu!$A$1:$F$1,0),0)</f>
        <v>14.18</v>
      </c>
      <c r="G727" s="27">
        <f>VLOOKUP($A727,Orders!$A$1:$H$361,MATCH($G$1,Orders!$A$1:$H$1,0),0)</f>
        <v>45896</v>
      </c>
      <c r="H727" s="15" t="str">
        <f>VLOOKUP($A727,Orders!$A$1:$H$361,MATCH(OrderLines!$H$1,Orders!$A$1:$H$1,0),0)</f>
        <v>Plant 2 Canteen</v>
      </c>
      <c r="I727" s="15">
        <f>VLOOKUP($A727,Orders!$A$1:$H$361,MATCH(OrderLines!$I$1,Orders!$A$1:$H$1,0),0)</f>
        <v>0.08</v>
      </c>
      <c r="J727" s="15">
        <f t="shared" si="34"/>
        <v>83.738399999999999</v>
      </c>
      <c r="K727" s="27" t="str">
        <f t="shared" si="35"/>
        <v>August</v>
      </c>
      <c r="L727" s="15" t="str">
        <f>VLOOKUP(OrderLines!$A727,Orders!$A$1:$H$361,MATCH(OrderLines!$L$1,Orders!$A$1:$H$1,0),0)</f>
        <v>Breakfast</v>
      </c>
      <c r="M727" t="str">
        <f>VLOOKUP($A727,Orders!$A$1:$H$361,MATCH(OrderLines!$M$1,Orders!$A$1:$H$1,0),0)</f>
        <v>Cash</v>
      </c>
      <c r="N727" t="str">
        <f t="shared" si="33"/>
        <v>Combo</v>
      </c>
      <c r="O727" t="str" cm="1">
        <f t="array" ref="O727">IF((SUMPRODUCT((OrderID=OrderLines!$A727)*Qty*UnitPrice*DiscountPct))&gt;40,"HighDisc","OK")</f>
        <v>OK</v>
      </c>
      <c r="P727">
        <f>(orderlinesTABLE[[#This Row],[UnitCost]]*orderlinesTABLE[[#This Row],[Qty]])</f>
        <v>42.54</v>
      </c>
      <c r="Q727">
        <f>(orderlinesTABLE[[#This Row],[LineNetAmount]]-orderlinesTABLE[[#This Row],[totalCOST]])</f>
        <v>41.198399999999999</v>
      </c>
      <c r="R727" t="str">
        <f>VLOOKUP($B727,Menu!$A$1:$F$20,MATCH(OrderLines!R$1,Menu!$A$1:$F$1,0),0)</f>
        <v>Tea</v>
      </c>
      <c r="S727" t="str" cm="1">
        <f t="array" ref="S727">_xlfn.TEXTJOIN("+",TRUE,_xlfn._xlws.FILTER(orderlinesTABLE[ItemName],OrderID=orderlinesTABLE[[#This Row],[OrderID]]))</f>
        <v>Bottled Water+Tea+Paneer Butter Masala + Naan</v>
      </c>
      <c r="T727" s="54">
        <f>orderlinesTABLE[[#This Row],[Profit]]/orderlinesTABLE[[#This Row],[LineNetAmount]]</f>
        <v>0.4919893382247571</v>
      </c>
      <c r="U727" s="70">
        <f>(orderlinesTABLE[[#This Row],[Qty]]*orderlinesTABLE[[#This Row],[UnitCost]])</f>
        <v>42.54</v>
      </c>
    </row>
    <row r="728" spans="1:21" x14ac:dyDescent="0.3">
      <c r="A728" s="14" t="s">
        <v>317</v>
      </c>
      <c r="B728" s="14" t="s">
        <v>405</v>
      </c>
      <c r="C728" s="14">
        <v>1</v>
      </c>
      <c r="D728" s="37">
        <f>VLOOKUP($B728,Menu!$A$1:$F$20,MATCH($D$1,Menu!$A$1:$F$1,0),0)</f>
        <v>170.83</v>
      </c>
      <c r="E728" s="14" t="str">
        <f>VLOOKUP($B728,Menu!$A$1:$F$20,MATCH(OrderLines!E$1,Menu!$A$1:$F$1,0),0)</f>
        <v>Hot Meal</v>
      </c>
      <c r="F728" s="37">
        <f>VLOOKUP($B728,Menu!$A$1:$F$20,MATCH(OrderLines!F$1,Menu!$A$1:$F$1,0),0)</f>
        <v>74.069999999999993</v>
      </c>
      <c r="G728" s="28">
        <f>VLOOKUP($A728,Orders!$A$1:$H$361,MATCH($G$1,Orders!$A$1:$H$1,0),0)</f>
        <v>45896</v>
      </c>
      <c r="H728" s="14" t="str">
        <f>VLOOKUP($A728,Orders!$A$1:$H$361,MATCH(OrderLines!$H$1,Orders!$A$1:$H$1,0),0)</f>
        <v>Plant 2 Canteen</v>
      </c>
      <c r="I728" s="14">
        <f>VLOOKUP($A728,Orders!$A$1:$H$361,MATCH(OrderLines!$I$1,Orders!$A$1:$H$1,0),0)</f>
        <v>0.08</v>
      </c>
      <c r="J728" s="14">
        <f t="shared" si="34"/>
        <v>157.16360000000003</v>
      </c>
      <c r="K728" s="28" t="str">
        <f t="shared" si="35"/>
        <v>August</v>
      </c>
      <c r="L728" s="14" t="str">
        <f>VLOOKUP(OrderLines!$A728,Orders!$A$1:$H$361,MATCH(OrderLines!$L$1,Orders!$A$1:$H$1,0),0)</f>
        <v>Breakfast</v>
      </c>
      <c r="M728" t="str">
        <f>VLOOKUP($A728,Orders!$A$1:$H$361,MATCH(OrderLines!$M$1,Orders!$A$1:$H$1,0),0)</f>
        <v>Cash</v>
      </c>
      <c r="N728" t="str">
        <f t="shared" si="33"/>
        <v>Combo</v>
      </c>
      <c r="O728" t="str" cm="1">
        <f t="array" ref="O728">IF((SUMPRODUCT((OrderID=OrderLines!$A728)*Qty*UnitPrice*DiscountPct))&gt;40,"HighDisc","OK")</f>
        <v>OK</v>
      </c>
      <c r="P728">
        <f>(orderlinesTABLE[[#This Row],[UnitCost]]*orderlinesTABLE[[#This Row],[Qty]])</f>
        <v>74.069999999999993</v>
      </c>
      <c r="Q728">
        <f>(orderlinesTABLE[[#This Row],[LineNetAmount]]-orderlinesTABLE[[#This Row],[totalCOST]])</f>
        <v>83.093600000000038</v>
      </c>
      <c r="R728" t="str">
        <f>VLOOKUP($B728,Menu!$A$1:$F$20,MATCH(OrderLines!R$1,Menu!$A$1:$F$1,0),0)</f>
        <v>Paneer Butter Masala + Naan</v>
      </c>
      <c r="S728" t="str" cm="1">
        <f t="array" ref="S728">_xlfn.TEXTJOIN("+",TRUE,_xlfn._xlws.FILTER(orderlinesTABLE[ItemName],OrderID=orderlinesTABLE[[#This Row],[OrderID]]))</f>
        <v>Bottled Water+Tea+Paneer Butter Masala + Naan</v>
      </c>
      <c r="T728" s="54">
        <f>orderlinesTABLE[[#This Row],[Profit]]/orderlinesTABLE[[#This Row],[LineNetAmount]]</f>
        <v>0.52870766513365708</v>
      </c>
      <c r="U728" s="70">
        <f>(orderlinesTABLE[[#This Row],[Qty]]*orderlinesTABLE[[#This Row],[UnitCost]])</f>
        <v>74.069999999999993</v>
      </c>
    </row>
    <row r="729" spans="1:21" x14ac:dyDescent="0.3">
      <c r="A729" s="15" t="s">
        <v>318</v>
      </c>
      <c r="B729" s="15" t="s">
        <v>402</v>
      </c>
      <c r="C729" s="15">
        <v>1</v>
      </c>
      <c r="D729" s="36">
        <f>VLOOKUP($B729,Menu!$A$1:$F$20,MATCH($D$1,Menu!$A$1:$F$1,0),0)</f>
        <v>30.34</v>
      </c>
      <c r="E729" s="15" t="str">
        <f>VLOOKUP($B729,Menu!$A$1:$F$20,MATCH(OrderLines!E$1,Menu!$A$1:$F$1,0),0)</f>
        <v>Beverage</v>
      </c>
      <c r="F729" s="36">
        <f>VLOOKUP($B729,Menu!$A$1:$F$20,MATCH(OrderLines!F$1,Menu!$A$1:$F$1,0),0)</f>
        <v>14.18</v>
      </c>
      <c r="G729" s="27">
        <f>VLOOKUP($A729,Orders!$A$1:$H$361,MATCH($G$1,Orders!$A$1:$H$1,0),0)</f>
        <v>45869</v>
      </c>
      <c r="H729" s="15" t="str">
        <f>VLOOKUP($A729,Orders!$A$1:$H$361,MATCH(OrderLines!$H$1,Orders!$A$1:$H$1,0),0)</f>
        <v>Head Office Café</v>
      </c>
      <c r="I729" s="15">
        <f>VLOOKUP($A729,Orders!$A$1:$H$361,MATCH(OrderLines!$I$1,Orders!$A$1:$H$1,0),0)</f>
        <v>0.03</v>
      </c>
      <c r="J729" s="15">
        <f t="shared" si="34"/>
        <v>29.4298</v>
      </c>
      <c r="K729" s="27" t="str">
        <f t="shared" si="35"/>
        <v>July</v>
      </c>
      <c r="L729" s="15" t="str">
        <f>VLOOKUP(OrderLines!$A729,Orders!$A$1:$H$361,MATCH(OrderLines!$L$1,Orders!$A$1:$H$1,0),0)</f>
        <v>Breakfast</v>
      </c>
      <c r="M729" t="str">
        <f>VLOOKUP($A729,Orders!$A$1:$H$361,MATCH(OrderLines!$M$1,Orders!$A$1:$H$1,0),0)</f>
        <v>Cash</v>
      </c>
      <c r="N729" t="str">
        <f t="shared" si="33"/>
        <v>Single</v>
      </c>
      <c r="O729" t="str" cm="1">
        <f t="array" ref="O729">IF((SUMPRODUCT((OrderID=OrderLines!$A729)*Qty*UnitPrice*DiscountPct))&gt;40,"HighDisc","OK")</f>
        <v>OK</v>
      </c>
      <c r="P729">
        <f>(orderlinesTABLE[[#This Row],[UnitCost]]*orderlinesTABLE[[#This Row],[Qty]])</f>
        <v>14.18</v>
      </c>
      <c r="Q729">
        <f>(orderlinesTABLE[[#This Row],[LineNetAmount]]-orderlinesTABLE[[#This Row],[totalCOST]])</f>
        <v>15.2498</v>
      </c>
      <c r="R729" t="str">
        <f>VLOOKUP($B729,Menu!$A$1:$F$20,MATCH(OrderLines!R$1,Menu!$A$1:$F$1,0),0)</f>
        <v>Tea</v>
      </c>
      <c r="S729" t="str" cm="1">
        <f t="array" ref="S729">_xlfn.TEXTJOIN("+",TRUE,_xlfn._xlws.FILTER(orderlinesTABLE[ItemName],OrderID=orderlinesTABLE[[#This Row],[OrderID]]))</f>
        <v>Tea</v>
      </c>
      <c r="T729" s="54">
        <f>orderlinesTABLE[[#This Row],[Profit]]/orderlinesTABLE[[#This Row],[LineNetAmount]]</f>
        <v>0.51817545481110983</v>
      </c>
      <c r="U729" s="70">
        <f>(orderlinesTABLE[[#This Row],[Qty]]*orderlinesTABLE[[#This Row],[UnitCost]])</f>
        <v>14.18</v>
      </c>
    </row>
    <row r="730" spans="1:21" x14ac:dyDescent="0.3">
      <c r="A730" s="14" t="s">
        <v>319</v>
      </c>
      <c r="B730" s="14" t="s">
        <v>418</v>
      </c>
      <c r="C730" s="14">
        <v>2</v>
      </c>
      <c r="D730" s="37">
        <f>VLOOKUP($B730,Menu!$A$1:$F$20,MATCH($D$1,Menu!$A$1:$F$1,0),0)</f>
        <v>39.950000000000003</v>
      </c>
      <c r="E730" s="14" t="str">
        <f>VLOOKUP($B730,Menu!$A$1:$F$20,MATCH(OrderLines!E$1,Menu!$A$1:$F$1,0),0)</f>
        <v>Snack</v>
      </c>
      <c r="F730" s="37">
        <f>VLOOKUP($B730,Menu!$A$1:$F$20,MATCH(OrderLines!F$1,Menu!$A$1:$F$1,0),0)</f>
        <v>15.51</v>
      </c>
      <c r="G730" s="28">
        <f>VLOOKUP($A730,Orders!$A$1:$H$361,MATCH($G$1,Orders!$A$1:$H$1,0),0)</f>
        <v>45855</v>
      </c>
      <c r="H730" s="14" t="str">
        <f>VLOOKUP($A730,Orders!$A$1:$H$361,MATCH(OrderLines!$H$1,Orders!$A$1:$H$1,0),0)</f>
        <v>Plant 1 Canteen</v>
      </c>
      <c r="I730" s="14">
        <f>VLOOKUP($A730,Orders!$A$1:$H$361,MATCH(OrderLines!$I$1,Orders!$A$1:$H$1,0),0)</f>
        <v>0.14000000000000001</v>
      </c>
      <c r="J730" s="14">
        <f t="shared" si="34"/>
        <v>68.713999999999999</v>
      </c>
      <c r="K730" s="28" t="str">
        <f t="shared" si="35"/>
        <v>July</v>
      </c>
      <c r="L730" s="14" t="str">
        <f>VLOOKUP(OrderLines!$A730,Orders!$A$1:$H$361,MATCH(OrderLines!$L$1,Orders!$A$1:$H$1,0),0)</f>
        <v>Lunch</v>
      </c>
      <c r="M730" t="str">
        <f>VLOOKUP($A730,Orders!$A$1:$H$361,MATCH(OrderLines!$M$1,Orders!$A$1:$H$1,0),0)</f>
        <v>UPI</v>
      </c>
      <c r="N730" t="str">
        <f t="shared" si="33"/>
        <v>Single</v>
      </c>
      <c r="O730" t="str" cm="1">
        <f t="array" ref="O730">IF((SUMPRODUCT((OrderID=OrderLines!$A730)*Qty*UnitPrice*DiscountPct))&gt;40,"HighDisc","OK")</f>
        <v>HighDisc</v>
      </c>
      <c r="P730">
        <f>(orderlinesTABLE[[#This Row],[UnitCost]]*orderlinesTABLE[[#This Row],[Qty]])</f>
        <v>31.02</v>
      </c>
      <c r="Q730">
        <f>(orderlinesTABLE[[#This Row],[LineNetAmount]]-orderlinesTABLE[[#This Row],[totalCOST]])</f>
        <v>37.694000000000003</v>
      </c>
      <c r="R730" t="str">
        <f>VLOOKUP($B730,Menu!$A$1:$F$20,MATCH(OrderLines!R$1,Menu!$A$1:$F$1,0),0)</f>
        <v>Samosa</v>
      </c>
      <c r="S730" t="str" cm="1">
        <f t="array" ref="S730">_xlfn.TEXTJOIN("+",TRUE,_xlfn._xlws.FILTER(orderlinesTABLE[ItemName],OrderID=orderlinesTABLE[[#This Row],[OrderID]]))</f>
        <v>Samosa+Veg Sandwich+Tea</v>
      </c>
      <c r="T730" s="54">
        <f>orderlinesTABLE[[#This Row],[Profit]]/orderlinesTABLE[[#This Row],[LineNetAmount]]</f>
        <v>0.54856361149110811</v>
      </c>
      <c r="U730" s="70">
        <f>(orderlinesTABLE[[#This Row],[Qty]]*orderlinesTABLE[[#This Row],[UnitCost]])</f>
        <v>31.02</v>
      </c>
    </row>
    <row r="731" spans="1:21" x14ac:dyDescent="0.3">
      <c r="A731" s="15" t="s">
        <v>319</v>
      </c>
      <c r="B731" s="15" t="s">
        <v>408</v>
      </c>
      <c r="C731" s="15">
        <v>3</v>
      </c>
      <c r="D731" s="36">
        <f>VLOOKUP($B731,Menu!$A$1:$F$20,MATCH($D$1,Menu!$A$1:$F$1,0),0)</f>
        <v>70.540000000000006</v>
      </c>
      <c r="E731" s="15" t="str">
        <f>VLOOKUP($B731,Menu!$A$1:$F$20,MATCH(OrderLines!E$1,Menu!$A$1:$F$1,0),0)</f>
        <v>Snack</v>
      </c>
      <c r="F731" s="36">
        <f>VLOOKUP($B731,Menu!$A$1:$F$20,MATCH(OrderLines!F$1,Menu!$A$1:$F$1,0),0)</f>
        <v>35.81</v>
      </c>
      <c r="G731" s="27">
        <f>VLOOKUP($A731,Orders!$A$1:$H$361,MATCH($G$1,Orders!$A$1:$H$1,0),0)</f>
        <v>45855</v>
      </c>
      <c r="H731" s="15" t="str">
        <f>VLOOKUP($A731,Orders!$A$1:$H$361,MATCH(OrderLines!$H$1,Orders!$A$1:$H$1,0),0)</f>
        <v>Plant 1 Canteen</v>
      </c>
      <c r="I731" s="15">
        <f>VLOOKUP($A731,Orders!$A$1:$H$361,MATCH(OrderLines!$I$1,Orders!$A$1:$H$1,0),0)</f>
        <v>0.14000000000000001</v>
      </c>
      <c r="J731" s="15">
        <f t="shared" si="34"/>
        <v>181.9932</v>
      </c>
      <c r="K731" s="27" t="str">
        <f t="shared" si="35"/>
        <v>July</v>
      </c>
      <c r="L731" s="15" t="str">
        <f>VLOOKUP(OrderLines!$A731,Orders!$A$1:$H$361,MATCH(OrderLines!$L$1,Orders!$A$1:$H$1,0),0)</f>
        <v>Lunch</v>
      </c>
      <c r="M731" t="str">
        <f>VLOOKUP($A731,Orders!$A$1:$H$361,MATCH(OrderLines!$M$1,Orders!$A$1:$H$1,0),0)</f>
        <v>UPI</v>
      </c>
      <c r="N731" t="str">
        <f t="shared" si="33"/>
        <v>Single</v>
      </c>
      <c r="O731" t="str" cm="1">
        <f t="array" ref="O731">IF((SUMPRODUCT((OrderID=OrderLines!$A731)*Qty*UnitPrice*DiscountPct))&gt;40,"HighDisc","OK")</f>
        <v>HighDisc</v>
      </c>
      <c r="P731">
        <f>(orderlinesTABLE[[#This Row],[UnitCost]]*orderlinesTABLE[[#This Row],[Qty]])</f>
        <v>107.43</v>
      </c>
      <c r="Q731">
        <f>(orderlinesTABLE[[#This Row],[LineNetAmount]]-orderlinesTABLE[[#This Row],[totalCOST]])</f>
        <v>74.563199999999995</v>
      </c>
      <c r="R731" t="str">
        <f>VLOOKUP($B731,Menu!$A$1:$F$20,MATCH(OrderLines!R$1,Menu!$A$1:$F$1,0),0)</f>
        <v>Veg Sandwich</v>
      </c>
      <c r="S731" t="str" cm="1">
        <f t="array" ref="S731">_xlfn.TEXTJOIN("+",TRUE,_xlfn._xlws.FILTER(orderlinesTABLE[ItemName],OrderID=orderlinesTABLE[[#This Row],[OrderID]]))</f>
        <v>Samosa+Veg Sandwich+Tea</v>
      </c>
      <c r="T731" s="54">
        <f>orderlinesTABLE[[#This Row],[Profit]]/orderlinesTABLE[[#This Row],[LineNetAmount]]</f>
        <v>0.40970321968073531</v>
      </c>
      <c r="U731" s="70">
        <f>(orderlinesTABLE[[#This Row],[Qty]]*orderlinesTABLE[[#This Row],[UnitCost]])</f>
        <v>107.43</v>
      </c>
    </row>
    <row r="732" spans="1:21" x14ac:dyDescent="0.3">
      <c r="A732" s="14" t="s">
        <v>319</v>
      </c>
      <c r="B732" s="14" t="s">
        <v>402</v>
      </c>
      <c r="C732" s="14">
        <v>1</v>
      </c>
      <c r="D732" s="37">
        <f>VLOOKUP($B732,Menu!$A$1:$F$20,MATCH($D$1,Menu!$A$1:$F$1,0),0)</f>
        <v>30.34</v>
      </c>
      <c r="E732" s="14" t="str">
        <f>VLOOKUP($B732,Menu!$A$1:$F$20,MATCH(OrderLines!E$1,Menu!$A$1:$F$1,0),0)</f>
        <v>Beverage</v>
      </c>
      <c r="F732" s="37">
        <f>VLOOKUP($B732,Menu!$A$1:$F$20,MATCH(OrderLines!F$1,Menu!$A$1:$F$1,0),0)</f>
        <v>14.18</v>
      </c>
      <c r="G732" s="28">
        <f>VLOOKUP($A732,Orders!$A$1:$H$361,MATCH($G$1,Orders!$A$1:$H$1,0),0)</f>
        <v>45855</v>
      </c>
      <c r="H732" s="14" t="str">
        <f>VLOOKUP($A732,Orders!$A$1:$H$361,MATCH(OrderLines!$H$1,Orders!$A$1:$H$1,0),0)</f>
        <v>Plant 1 Canteen</v>
      </c>
      <c r="I732" s="14">
        <f>VLOOKUP($A732,Orders!$A$1:$H$361,MATCH(OrderLines!$I$1,Orders!$A$1:$H$1,0),0)</f>
        <v>0.14000000000000001</v>
      </c>
      <c r="J732" s="14">
        <f t="shared" si="34"/>
        <v>26.092399999999998</v>
      </c>
      <c r="K732" s="28" t="str">
        <f t="shared" si="35"/>
        <v>July</v>
      </c>
      <c r="L732" s="14" t="str">
        <f>VLOOKUP(OrderLines!$A732,Orders!$A$1:$H$361,MATCH(OrderLines!$L$1,Orders!$A$1:$H$1,0),0)</f>
        <v>Lunch</v>
      </c>
      <c r="M732" t="str">
        <f>VLOOKUP($A732,Orders!$A$1:$H$361,MATCH(OrderLines!$M$1,Orders!$A$1:$H$1,0),0)</f>
        <v>UPI</v>
      </c>
      <c r="N732" t="str">
        <f t="shared" si="33"/>
        <v>Single</v>
      </c>
      <c r="O732" t="str" cm="1">
        <f t="array" ref="O732">IF((SUMPRODUCT((OrderID=OrderLines!$A732)*Qty*UnitPrice*DiscountPct))&gt;40,"HighDisc","OK")</f>
        <v>HighDisc</v>
      </c>
      <c r="P732">
        <f>(orderlinesTABLE[[#This Row],[UnitCost]]*orderlinesTABLE[[#This Row],[Qty]])</f>
        <v>14.18</v>
      </c>
      <c r="Q732">
        <f>(orderlinesTABLE[[#This Row],[LineNetAmount]]-orderlinesTABLE[[#This Row],[totalCOST]])</f>
        <v>11.912399999999998</v>
      </c>
      <c r="R732" t="str">
        <f>VLOOKUP($B732,Menu!$A$1:$F$20,MATCH(OrderLines!R$1,Menu!$A$1:$F$1,0),0)</f>
        <v>Tea</v>
      </c>
      <c r="S732" t="str" cm="1">
        <f t="array" ref="S732">_xlfn.TEXTJOIN("+",TRUE,_xlfn._xlws.FILTER(orderlinesTABLE[ItemName],OrderID=orderlinesTABLE[[#This Row],[OrderID]]))</f>
        <v>Samosa+Veg Sandwich+Tea</v>
      </c>
      <c r="T732" s="54">
        <f>orderlinesTABLE[[#This Row],[Profit]]/orderlinesTABLE[[#This Row],[LineNetAmount]]</f>
        <v>0.4565467339148564</v>
      </c>
      <c r="U732" s="70">
        <f>(orderlinesTABLE[[#This Row],[Qty]]*orderlinesTABLE[[#This Row],[UnitCost]])</f>
        <v>14.18</v>
      </c>
    </row>
    <row r="733" spans="1:21" x14ac:dyDescent="0.3">
      <c r="A733" s="15" t="s">
        <v>320</v>
      </c>
      <c r="B733" s="15" t="s">
        <v>416</v>
      </c>
      <c r="C733" s="15">
        <v>3</v>
      </c>
      <c r="D733" s="36">
        <f>VLOOKUP($B733,Menu!$A$1:$F$20,MATCH($D$1,Menu!$A$1:$F$1,0),0)</f>
        <v>227.61</v>
      </c>
      <c r="E733" s="15" t="str">
        <f>VLOOKUP($B733,Menu!$A$1:$F$20,MATCH(OrderLines!E$1,Menu!$A$1:$F$1,0),0)</f>
        <v>Hot Meal</v>
      </c>
      <c r="F733" s="36">
        <f>VLOOKUP($B733,Menu!$A$1:$F$20,MATCH(OrderLines!F$1,Menu!$A$1:$F$1,0),0)</f>
        <v>96.22</v>
      </c>
      <c r="G733" s="27">
        <f>VLOOKUP($A733,Orders!$A$1:$H$361,MATCH($G$1,Orders!$A$1:$H$1,0),0)</f>
        <v>45890</v>
      </c>
      <c r="H733" s="15" t="str">
        <f>VLOOKUP($A733,Orders!$A$1:$H$361,MATCH(OrderLines!$H$1,Orders!$A$1:$H$1,0),0)</f>
        <v>Head Office Café</v>
      </c>
      <c r="I733" s="15">
        <f>VLOOKUP($A733,Orders!$A$1:$H$361,MATCH(OrderLines!$I$1,Orders!$A$1:$H$1,0),0)</f>
        <v>0.02</v>
      </c>
      <c r="J733" s="15">
        <f t="shared" si="34"/>
        <v>669.17340000000002</v>
      </c>
      <c r="K733" s="27" t="str">
        <f t="shared" si="35"/>
        <v>August</v>
      </c>
      <c r="L733" s="15" t="str">
        <f>VLOOKUP(OrderLines!$A733,Orders!$A$1:$H$361,MATCH(OrderLines!$L$1,Orders!$A$1:$H$1,0),0)</f>
        <v>Dinner</v>
      </c>
      <c r="M733" t="str">
        <f>VLOOKUP($A733,Orders!$A$1:$H$361,MATCH(OrderLines!$M$1,Orders!$A$1:$H$1,0),0)</f>
        <v>Card</v>
      </c>
      <c r="N733" t="str">
        <f t="shared" si="33"/>
        <v>Combo</v>
      </c>
      <c r="O733" t="str" cm="1">
        <f t="array" ref="O733">IF((SUMPRODUCT((OrderID=OrderLines!$A733)*Qty*UnitPrice*DiscountPct))&gt;40,"HighDisc","OK")</f>
        <v>OK</v>
      </c>
      <c r="P733">
        <f>(orderlinesTABLE[[#This Row],[UnitCost]]*orderlinesTABLE[[#This Row],[Qty]])</f>
        <v>288.65999999999997</v>
      </c>
      <c r="Q733">
        <f>(orderlinesTABLE[[#This Row],[LineNetAmount]]-orderlinesTABLE[[#This Row],[totalCOST]])</f>
        <v>380.51340000000005</v>
      </c>
      <c r="R733" t="str">
        <f>VLOOKUP($B733,Menu!$A$1:$F$20,MATCH(OrderLines!R$1,Menu!$A$1:$F$1,0),0)</f>
        <v>Veg Thali</v>
      </c>
      <c r="S733" t="str" cm="1">
        <f t="array" ref="S733">_xlfn.TEXTJOIN("+",TRUE,_xlfn._xlws.FILTER(orderlinesTABLE[ItemName],OrderID=orderlinesTABLE[[#This Row],[OrderID]]))</f>
        <v>Veg Thali+Samosa+Paneer Butter Masala + Naan+Tea</v>
      </c>
      <c r="T733" s="54">
        <f>orderlinesTABLE[[#This Row],[Profit]]/orderlinesTABLE[[#This Row],[LineNetAmount]]</f>
        <v>0.56863198686618455</v>
      </c>
      <c r="U733" s="70">
        <f>(orderlinesTABLE[[#This Row],[Qty]]*orderlinesTABLE[[#This Row],[UnitCost]])</f>
        <v>288.65999999999997</v>
      </c>
    </row>
    <row r="734" spans="1:21" x14ac:dyDescent="0.3">
      <c r="A734" s="14" t="s">
        <v>320</v>
      </c>
      <c r="B734" s="14" t="s">
        <v>418</v>
      </c>
      <c r="C734" s="14">
        <v>2</v>
      </c>
      <c r="D734" s="37">
        <f>VLOOKUP($B734,Menu!$A$1:$F$20,MATCH($D$1,Menu!$A$1:$F$1,0),0)</f>
        <v>39.950000000000003</v>
      </c>
      <c r="E734" s="14" t="str">
        <f>VLOOKUP($B734,Menu!$A$1:$F$20,MATCH(OrderLines!E$1,Menu!$A$1:$F$1,0),0)</f>
        <v>Snack</v>
      </c>
      <c r="F734" s="37">
        <f>VLOOKUP($B734,Menu!$A$1:$F$20,MATCH(OrderLines!F$1,Menu!$A$1:$F$1,0),0)</f>
        <v>15.51</v>
      </c>
      <c r="G734" s="28">
        <f>VLOOKUP($A734,Orders!$A$1:$H$361,MATCH($G$1,Orders!$A$1:$H$1,0),0)</f>
        <v>45890</v>
      </c>
      <c r="H734" s="14" t="str">
        <f>VLOOKUP($A734,Orders!$A$1:$H$361,MATCH(OrderLines!$H$1,Orders!$A$1:$H$1,0),0)</f>
        <v>Head Office Café</v>
      </c>
      <c r="I734" s="14">
        <f>VLOOKUP($A734,Orders!$A$1:$H$361,MATCH(OrderLines!$I$1,Orders!$A$1:$H$1,0),0)</f>
        <v>0.02</v>
      </c>
      <c r="J734" s="14">
        <f t="shared" si="34"/>
        <v>78.302000000000007</v>
      </c>
      <c r="K734" s="28" t="str">
        <f t="shared" si="35"/>
        <v>August</v>
      </c>
      <c r="L734" s="14" t="str">
        <f>VLOOKUP(OrderLines!$A734,Orders!$A$1:$H$361,MATCH(OrderLines!$L$1,Orders!$A$1:$H$1,0),0)</f>
        <v>Dinner</v>
      </c>
      <c r="M734" t="str">
        <f>VLOOKUP($A734,Orders!$A$1:$H$361,MATCH(OrderLines!$M$1,Orders!$A$1:$H$1,0),0)</f>
        <v>Card</v>
      </c>
      <c r="N734" t="str">
        <f t="shared" si="33"/>
        <v>Combo</v>
      </c>
      <c r="O734" t="str" cm="1">
        <f t="array" ref="O734">IF((SUMPRODUCT((OrderID=OrderLines!$A734)*Qty*UnitPrice*DiscountPct))&gt;40,"HighDisc","OK")</f>
        <v>OK</v>
      </c>
      <c r="P734">
        <f>(orderlinesTABLE[[#This Row],[UnitCost]]*orderlinesTABLE[[#This Row],[Qty]])</f>
        <v>31.02</v>
      </c>
      <c r="Q734">
        <f>(orderlinesTABLE[[#This Row],[LineNetAmount]]-orderlinesTABLE[[#This Row],[totalCOST]])</f>
        <v>47.282000000000011</v>
      </c>
      <c r="R734" t="str">
        <f>VLOOKUP($B734,Menu!$A$1:$F$20,MATCH(OrderLines!R$1,Menu!$A$1:$F$1,0),0)</f>
        <v>Samosa</v>
      </c>
      <c r="S734" t="str" cm="1">
        <f t="array" ref="S734">_xlfn.TEXTJOIN("+",TRUE,_xlfn._xlws.FILTER(orderlinesTABLE[ItemName],OrderID=orderlinesTABLE[[#This Row],[OrderID]]))</f>
        <v>Veg Thali+Samosa+Paneer Butter Masala + Naan+Tea</v>
      </c>
      <c r="T734" s="54">
        <f>orderlinesTABLE[[#This Row],[Profit]]/orderlinesTABLE[[#This Row],[LineNetAmount]]</f>
        <v>0.6038415366146459</v>
      </c>
      <c r="U734" s="70">
        <f>(orderlinesTABLE[[#This Row],[Qty]]*orderlinesTABLE[[#This Row],[UnitCost]])</f>
        <v>31.02</v>
      </c>
    </row>
    <row r="735" spans="1:21" x14ac:dyDescent="0.3">
      <c r="A735" s="15" t="s">
        <v>320</v>
      </c>
      <c r="B735" s="15" t="s">
        <v>405</v>
      </c>
      <c r="C735" s="15">
        <v>2</v>
      </c>
      <c r="D735" s="36">
        <f>VLOOKUP($B735,Menu!$A$1:$F$20,MATCH($D$1,Menu!$A$1:$F$1,0),0)</f>
        <v>170.83</v>
      </c>
      <c r="E735" s="15" t="str">
        <f>VLOOKUP($B735,Menu!$A$1:$F$20,MATCH(OrderLines!E$1,Menu!$A$1:$F$1,0),0)</f>
        <v>Hot Meal</v>
      </c>
      <c r="F735" s="36">
        <f>VLOOKUP($B735,Menu!$A$1:$F$20,MATCH(OrderLines!F$1,Menu!$A$1:$F$1,0),0)</f>
        <v>74.069999999999993</v>
      </c>
      <c r="G735" s="27">
        <f>VLOOKUP($A735,Orders!$A$1:$H$361,MATCH($G$1,Orders!$A$1:$H$1,0),0)</f>
        <v>45890</v>
      </c>
      <c r="H735" s="15" t="str">
        <f>VLOOKUP($A735,Orders!$A$1:$H$361,MATCH(OrderLines!$H$1,Orders!$A$1:$H$1,0),0)</f>
        <v>Head Office Café</v>
      </c>
      <c r="I735" s="15">
        <f>VLOOKUP($A735,Orders!$A$1:$H$361,MATCH(OrderLines!$I$1,Orders!$A$1:$H$1,0),0)</f>
        <v>0.02</v>
      </c>
      <c r="J735" s="15">
        <f t="shared" si="34"/>
        <v>334.82679999999999</v>
      </c>
      <c r="K735" s="27" t="str">
        <f t="shared" si="35"/>
        <v>August</v>
      </c>
      <c r="L735" s="15" t="str">
        <f>VLOOKUP(OrderLines!$A735,Orders!$A$1:$H$361,MATCH(OrderLines!$L$1,Orders!$A$1:$H$1,0),0)</f>
        <v>Dinner</v>
      </c>
      <c r="M735" t="str">
        <f>VLOOKUP($A735,Orders!$A$1:$H$361,MATCH(OrderLines!$M$1,Orders!$A$1:$H$1,0),0)</f>
        <v>Card</v>
      </c>
      <c r="N735" t="str">
        <f t="shared" si="33"/>
        <v>Combo</v>
      </c>
      <c r="O735" t="str" cm="1">
        <f t="array" ref="O735">IF((SUMPRODUCT((OrderID=OrderLines!$A735)*Qty*UnitPrice*DiscountPct))&gt;40,"HighDisc","OK")</f>
        <v>OK</v>
      </c>
      <c r="P735">
        <f>(orderlinesTABLE[[#This Row],[UnitCost]]*orderlinesTABLE[[#This Row],[Qty]])</f>
        <v>148.13999999999999</v>
      </c>
      <c r="Q735">
        <f>(orderlinesTABLE[[#This Row],[LineNetAmount]]-orderlinesTABLE[[#This Row],[totalCOST]])</f>
        <v>186.68680000000001</v>
      </c>
      <c r="R735" t="str">
        <f>VLOOKUP($B735,Menu!$A$1:$F$20,MATCH(OrderLines!R$1,Menu!$A$1:$F$1,0),0)</f>
        <v>Paneer Butter Masala + Naan</v>
      </c>
      <c r="S735" t="str" cm="1">
        <f t="array" ref="S735">_xlfn.TEXTJOIN("+",TRUE,_xlfn._xlws.FILTER(orderlinesTABLE[ItemName],OrderID=orderlinesTABLE[[#This Row],[OrderID]]))</f>
        <v>Veg Thali+Samosa+Paneer Butter Masala + Naan+Tea</v>
      </c>
      <c r="T735" s="54">
        <f>orderlinesTABLE[[#This Row],[Profit]]/orderlinesTABLE[[#This Row],[LineNetAmount]]</f>
        <v>0.55756229788057587</v>
      </c>
      <c r="U735" s="70">
        <f>(orderlinesTABLE[[#This Row],[Qty]]*orderlinesTABLE[[#This Row],[UnitCost]])</f>
        <v>148.13999999999999</v>
      </c>
    </row>
    <row r="736" spans="1:21" x14ac:dyDescent="0.3">
      <c r="A736" s="14" t="s">
        <v>320</v>
      </c>
      <c r="B736" s="14" t="s">
        <v>402</v>
      </c>
      <c r="C736" s="14">
        <v>1</v>
      </c>
      <c r="D736" s="37">
        <f>VLOOKUP($B736,Menu!$A$1:$F$20,MATCH($D$1,Menu!$A$1:$F$1,0),0)</f>
        <v>30.34</v>
      </c>
      <c r="E736" s="14" t="str">
        <f>VLOOKUP($B736,Menu!$A$1:$F$20,MATCH(OrderLines!E$1,Menu!$A$1:$F$1,0),0)</f>
        <v>Beverage</v>
      </c>
      <c r="F736" s="37">
        <f>VLOOKUP($B736,Menu!$A$1:$F$20,MATCH(OrderLines!F$1,Menu!$A$1:$F$1,0),0)</f>
        <v>14.18</v>
      </c>
      <c r="G736" s="28">
        <f>VLOOKUP($A736,Orders!$A$1:$H$361,MATCH($G$1,Orders!$A$1:$H$1,0),0)</f>
        <v>45890</v>
      </c>
      <c r="H736" s="14" t="str">
        <f>VLOOKUP($A736,Orders!$A$1:$H$361,MATCH(OrderLines!$H$1,Orders!$A$1:$H$1,0),0)</f>
        <v>Head Office Café</v>
      </c>
      <c r="I736" s="14">
        <f>VLOOKUP($A736,Orders!$A$1:$H$361,MATCH(OrderLines!$I$1,Orders!$A$1:$H$1,0),0)</f>
        <v>0.02</v>
      </c>
      <c r="J736" s="14">
        <f t="shared" si="34"/>
        <v>29.7332</v>
      </c>
      <c r="K736" s="28" t="str">
        <f t="shared" si="35"/>
        <v>August</v>
      </c>
      <c r="L736" s="14" t="str">
        <f>VLOOKUP(OrderLines!$A736,Orders!$A$1:$H$361,MATCH(OrderLines!$L$1,Orders!$A$1:$H$1,0),0)</f>
        <v>Dinner</v>
      </c>
      <c r="M736" t="str">
        <f>VLOOKUP($A736,Orders!$A$1:$H$361,MATCH(OrderLines!$M$1,Orders!$A$1:$H$1,0),0)</f>
        <v>Card</v>
      </c>
      <c r="N736" t="str">
        <f t="shared" si="33"/>
        <v>Combo</v>
      </c>
      <c r="O736" t="str" cm="1">
        <f t="array" ref="O736">IF((SUMPRODUCT((OrderID=OrderLines!$A736)*Qty*UnitPrice*DiscountPct))&gt;40,"HighDisc","OK")</f>
        <v>OK</v>
      </c>
      <c r="P736">
        <f>(orderlinesTABLE[[#This Row],[UnitCost]]*orderlinesTABLE[[#This Row],[Qty]])</f>
        <v>14.18</v>
      </c>
      <c r="Q736">
        <f>(orderlinesTABLE[[#This Row],[LineNetAmount]]-orderlinesTABLE[[#This Row],[totalCOST]])</f>
        <v>15.5532</v>
      </c>
      <c r="R736" t="str">
        <f>VLOOKUP($B736,Menu!$A$1:$F$20,MATCH(OrderLines!R$1,Menu!$A$1:$F$1,0),0)</f>
        <v>Tea</v>
      </c>
      <c r="S736" t="str" cm="1">
        <f t="array" ref="S736">_xlfn.TEXTJOIN("+",TRUE,_xlfn._xlws.FILTER(orderlinesTABLE[ItemName],OrderID=orderlinesTABLE[[#This Row],[OrderID]]))</f>
        <v>Veg Thali+Samosa+Paneer Butter Masala + Naan+Tea</v>
      </c>
      <c r="T736" s="54">
        <f>orderlinesTABLE[[#This Row],[Profit]]/orderlinesTABLE[[#This Row],[LineNetAmount]]</f>
        <v>0.52309203180283326</v>
      </c>
      <c r="U736" s="70">
        <f>(orderlinesTABLE[[#This Row],[Qty]]*orderlinesTABLE[[#This Row],[UnitCost]])</f>
        <v>14.18</v>
      </c>
    </row>
    <row r="737" spans="1:21" x14ac:dyDescent="0.3">
      <c r="A737" s="15" t="s">
        <v>321</v>
      </c>
      <c r="B737" s="15" t="s">
        <v>403</v>
      </c>
      <c r="C737" s="15">
        <v>1</v>
      </c>
      <c r="D737" s="36">
        <f>VLOOKUP($B737,Menu!$A$1:$F$20,MATCH($D$1,Menu!$A$1:$F$1,0),0)</f>
        <v>76.55</v>
      </c>
      <c r="E737" s="15" t="str">
        <f>VLOOKUP($B737,Menu!$A$1:$F$20,MATCH(OrderLines!E$1,Menu!$A$1:$F$1,0),0)</f>
        <v>Dessert</v>
      </c>
      <c r="F737" s="36">
        <f>VLOOKUP($B737,Menu!$A$1:$F$20,MATCH(OrderLines!F$1,Menu!$A$1:$F$1,0),0)</f>
        <v>38.229999999999997</v>
      </c>
      <c r="G737" s="27">
        <f>VLOOKUP($A737,Orders!$A$1:$H$361,MATCH($G$1,Orders!$A$1:$H$1,0),0)</f>
        <v>45853</v>
      </c>
      <c r="H737" s="15" t="str">
        <f>VLOOKUP($A737,Orders!$A$1:$H$361,MATCH(OrderLines!$H$1,Orders!$A$1:$H$1,0),0)</f>
        <v>Plant 1 Canteen</v>
      </c>
      <c r="I737" s="15">
        <f>VLOOKUP($A737,Orders!$A$1:$H$361,MATCH(OrderLines!$I$1,Orders!$A$1:$H$1,0),0)</f>
        <v>0.01</v>
      </c>
      <c r="J737" s="15">
        <f t="shared" si="34"/>
        <v>75.784499999999994</v>
      </c>
      <c r="K737" s="27" t="str">
        <f t="shared" si="35"/>
        <v>July</v>
      </c>
      <c r="L737" s="15" t="str">
        <f>VLOOKUP(OrderLines!$A737,Orders!$A$1:$H$361,MATCH(OrderLines!$L$1,Orders!$A$1:$H$1,0),0)</f>
        <v>Lunch</v>
      </c>
      <c r="M737" t="str">
        <f>VLOOKUP($A737,Orders!$A$1:$H$361,MATCH(OrderLines!$M$1,Orders!$A$1:$H$1,0),0)</f>
        <v>Cash</v>
      </c>
      <c r="N737" t="str">
        <f t="shared" si="33"/>
        <v>Single</v>
      </c>
      <c r="O737" t="str" cm="1">
        <f t="array" ref="O737">IF((SUMPRODUCT((OrderID=OrderLines!$A737)*Qty*UnitPrice*DiscountPct))&gt;40,"HighDisc","OK")</f>
        <v>OK</v>
      </c>
      <c r="P737">
        <f>(orderlinesTABLE[[#This Row],[UnitCost]]*orderlinesTABLE[[#This Row],[Qty]])</f>
        <v>38.229999999999997</v>
      </c>
      <c r="Q737">
        <f>(orderlinesTABLE[[#This Row],[LineNetAmount]]-orderlinesTABLE[[#This Row],[totalCOST]])</f>
        <v>37.554499999999997</v>
      </c>
      <c r="R737" t="str">
        <f>VLOOKUP($B737,Menu!$A$1:$F$20,MATCH(OrderLines!R$1,Menu!$A$1:$F$1,0),0)</f>
        <v>Gulab Jamun (2 pc)</v>
      </c>
      <c r="S737" t="str" cm="1">
        <f t="array" ref="S737">_xlfn.TEXTJOIN("+",TRUE,_xlfn._xlws.FILTER(orderlinesTABLE[ItemName],OrderID=orderlinesTABLE[[#This Row],[OrderID]]))</f>
        <v>Gulab Jamun (2 pc)+Masala Puff+Poha</v>
      </c>
      <c r="T737" s="54">
        <f>orderlinesTABLE[[#This Row],[Profit]]/orderlinesTABLE[[#This Row],[LineNetAmount]]</f>
        <v>0.49554328391689595</v>
      </c>
      <c r="U737" s="70">
        <f>(orderlinesTABLE[[#This Row],[Qty]]*orderlinesTABLE[[#This Row],[UnitCost]])</f>
        <v>38.229999999999997</v>
      </c>
    </row>
    <row r="738" spans="1:21" x14ac:dyDescent="0.3">
      <c r="A738" s="14" t="s">
        <v>321</v>
      </c>
      <c r="B738" s="14" t="s">
        <v>419</v>
      </c>
      <c r="C738" s="14">
        <v>3</v>
      </c>
      <c r="D738" s="37">
        <f>VLOOKUP($B738,Menu!$A$1:$F$20,MATCH($D$1,Menu!$A$1:$F$1,0),0)</f>
        <v>50.19</v>
      </c>
      <c r="E738" s="14" t="str">
        <f>VLOOKUP($B738,Menu!$A$1:$F$20,MATCH(OrderLines!E$1,Menu!$A$1:$F$1,0),0)</f>
        <v>Snack</v>
      </c>
      <c r="F738" s="37">
        <f>VLOOKUP($B738,Menu!$A$1:$F$20,MATCH(OrderLines!F$1,Menu!$A$1:$F$1,0),0)</f>
        <v>22.61</v>
      </c>
      <c r="G738" s="28">
        <f>VLOOKUP($A738,Orders!$A$1:$H$361,MATCH($G$1,Orders!$A$1:$H$1,0),0)</f>
        <v>45853</v>
      </c>
      <c r="H738" s="14" t="str">
        <f>VLOOKUP($A738,Orders!$A$1:$H$361,MATCH(OrderLines!$H$1,Orders!$A$1:$H$1,0),0)</f>
        <v>Plant 1 Canteen</v>
      </c>
      <c r="I738" s="14">
        <f>VLOOKUP($A738,Orders!$A$1:$H$361,MATCH(OrderLines!$I$1,Orders!$A$1:$H$1,0),0)</f>
        <v>0.01</v>
      </c>
      <c r="J738" s="14">
        <f t="shared" si="34"/>
        <v>149.0643</v>
      </c>
      <c r="K738" s="28" t="str">
        <f t="shared" si="35"/>
        <v>July</v>
      </c>
      <c r="L738" s="14" t="str">
        <f>VLOOKUP(OrderLines!$A738,Orders!$A$1:$H$361,MATCH(OrderLines!$L$1,Orders!$A$1:$H$1,0),0)</f>
        <v>Lunch</v>
      </c>
      <c r="M738" t="str">
        <f>VLOOKUP($A738,Orders!$A$1:$H$361,MATCH(OrderLines!$M$1,Orders!$A$1:$H$1,0),0)</f>
        <v>Cash</v>
      </c>
      <c r="N738" t="str">
        <f t="shared" si="33"/>
        <v>Single</v>
      </c>
      <c r="O738" t="str" cm="1">
        <f t="array" ref="O738">IF((SUMPRODUCT((OrderID=OrderLines!$A738)*Qty*UnitPrice*DiscountPct))&gt;40,"HighDisc","OK")</f>
        <v>OK</v>
      </c>
      <c r="P738">
        <f>(orderlinesTABLE[[#This Row],[UnitCost]]*orderlinesTABLE[[#This Row],[Qty]])</f>
        <v>67.83</v>
      </c>
      <c r="Q738">
        <f>(orderlinesTABLE[[#This Row],[LineNetAmount]]-orderlinesTABLE[[#This Row],[totalCOST]])</f>
        <v>81.234300000000005</v>
      </c>
      <c r="R738" t="str">
        <f>VLOOKUP($B738,Menu!$A$1:$F$20,MATCH(OrderLines!R$1,Menu!$A$1:$F$1,0),0)</f>
        <v>Masala Puff</v>
      </c>
      <c r="S738" t="str" cm="1">
        <f t="array" ref="S738">_xlfn.TEXTJOIN("+",TRUE,_xlfn._xlws.FILTER(orderlinesTABLE[ItemName],OrderID=orderlinesTABLE[[#This Row],[OrderID]]))</f>
        <v>Gulab Jamun (2 pc)+Masala Puff+Poha</v>
      </c>
      <c r="T738" s="54">
        <f>orderlinesTABLE[[#This Row],[Profit]]/orderlinesTABLE[[#This Row],[LineNetAmount]]</f>
        <v>0.54496146964766212</v>
      </c>
      <c r="U738" s="70">
        <f>(orderlinesTABLE[[#This Row],[Qty]]*orderlinesTABLE[[#This Row],[UnitCost]])</f>
        <v>67.83</v>
      </c>
    </row>
    <row r="739" spans="1:21" x14ac:dyDescent="0.3">
      <c r="A739" s="15" t="s">
        <v>321</v>
      </c>
      <c r="B739" s="15" t="s">
        <v>401</v>
      </c>
      <c r="C739" s="15">
        <v>2</v>
      </c>
      <c r="D739" s="36">
        <f>VLOOKUP($B739,Menu!$A$1:$F$20,MATCH($D$1,Menu!$A$1:$F$1,0),0)</f>
        <v>52.45</v>
      </c>
      <c r="E739" s="15" t="str">
        <f>VLOOKUP($B739,Menu!$A$1:$F$20,MATCH(OrderLines!E$1,Menu!$A$1:$F$1,0),0)</f>
        <v>Snack</v>
      </c>
      <c r="F739" s="36">
        <f>VLOOKUP($B739,Menu!$A$1:$F$20,MATCH(OrderLines!F$1,Menu!$A$1:$F$1,0),0)</f>
        <v>25.8</v>
      </c>
      <c r="G739" s="27">
        <f>VLOOKUP($A739,Orders!$A$1:$H$361,MATCH($G$1,Orders!$A$1:$H$1,0),0)</f>
        <v>45853</v>
      </c>
      <c r="H739" s="15" t="str">
        <f>VLOOKUP($A739,Orders!$A$1:$H$361,MATCH(OrderLines!$H$1,Orders!$A$1:$H$1,0),0)</f>
        <v>Plant 1 Canteen</v>
      </c>
      <c r="I739" s="15">
        <f>VLOOKUP($A739,Orders!$A$1:$H$361,MATCH(OrderLines!$I$1,Orders!$A$1:$H$1,0),0)</f>
        <v>0.01</v>
      </c>
      <c r="J739" s="15">
        <f t="shared" si="34"/>
        <v>103.851</v>
      </c>
      <c r="K739" s="27" t="str">
        <f t="shared" si="35"/>
        <v>July</v>
      </c>
      <c r="L739" s="15" t="str">
        <f>VLOOKUP(OrderLines!$A739,Orders!$A$1:$H$361,MATCH(OrderLines!$L$1,Orders!$A$1:$H$1,0),0)</f>
        <v>Lunch</v>
      </c>
      <c r="M739" t="str">
        <f>VLOOKUP($A739,Orders!$A$1:$H$361,MATCH(OrderLines!$M$1,Orders!$A$1:$H$1,0),0)</f>
        <v>Cash</v>
      </c>
      <c r="N739" t="str">
        <f t="shared" si="33"/>
        <v>Single</v>
      </c>
      <c r="O739" t="str" cm="1">
        <f t="array" ref="O739">IF((SUMPRODUCT((OrderID=OrderLines!$A739)*Qty*UnitPrice*DiscountPct))&gt;40,"HighDisc","OK")</f>
        <v>OK</v>
      </c>
      <c r="P739">
        <f>(orderlinesTABLE[[#This Row],[UnitCost]]*orderlinesTABLE[[#This Row],[Qty]])</f>
        <v>51.6</v>
      </c>
      <c r="Q739">
        <f>(orderlinesTABLE[[#This Row],[LineNetAmount]]-orderlinesTABLE[[#This Row],[totalCOST]])</f>
        <v>52.250999999999998</v>
      </c>
      <c r="R739" t="str">
        <f>VLOOKUP($B739,Menu!$A$1:$F$20,MATCH(OrderLines!R$1,Menu!$A$1:$F$1,0),0)</f>
        <v>Poha</v>
      </c>
      <c r="S739" t="str" cm="1">
        <f t="array" ref="S739">_xlfn.TEXTJOIN("+",TRUE,_xlfn._xlws.FILTER(orderlinesTABLE[ItemName],OrderID=orderlinesTABLE[[#This Row],[OrderID]]))</f>
        <v>Gulab Jamun (2 pc)+Masala Puff+Poha</v>
      </c>
      <c r="T739" s="54">
        <f>orderlinesTABLE[[#This Row],[Profit]]/orderlinesTABLE[[#This Row],[LineNetAmount]]</f>
        <v>0.50313429817719613</v>
      </c>
      <c r="U739" s="70">
        <f>(orderlinesTABLE[[#This Row],[Qty]]*orderlinesTABLE[[#This Row],[UnitCost]])</f>
        <v>51.6</v>
      </c>
    </row>
    <row r="740" spans="1:21" x14ac:dyDescent="0.3">
      <c r="A740" s="14" t="s">
        <v>322</v>
      </c>
      <c r="B740" s="14" t="s">
        <v>413</v>
      </c>
      <c r="C740" s="14">
        <v>1</v>
      </c>
      <c r="D740" s="37">
        <f>VLOOKUP($B740,Menu!$A$1:$F$20,MATCH($D$1,Menu!$A$1:$F$1,0),0)</f>
        <v>54.2</v>
      </c>
      <c r="E740" s="14" t="str">
        <f>VLOOKUP($B740,Menu!$A$1:$F$20,MATCH(OrderLines!E$1,Menu!$A$1:$F$1,0),0)</f>
        <v>Dessert</v>
      </c>
      <c r="F740" s="37">
        <f>VLOOKUP($B740,Menu!$A$1:$F$20,MATCH(OrderLines!F$1,Menu!$A$1:$F$1,0),0)</f>
        <v>21.95</v>
      </c>
      <c r="G740" s="28">
        <f>VLOOKUP($A740,Orders!$A$1:$H$361,MATCH($G$1,Orders!$A$1:$H$1,0),0)</f>
        <v>45858</v>
      </c>
      <c r="H740" s="14" t="str">
        <f>VLOOKUP($A740,Orders!$A$1:$H$361,MATCH(OrderLines!$H$1,Orders!$A$1:$H$1,0),0)</f>
        <v>Plant 1 Canteen</v>
      </c>
      <c r="I740" s="14">
        <f>VLOOKUP($A740,Orders!$A$1:$H$361,MATCH(OrderLines!$I$1,Orders!$A$1:$H$1,0),0)</f>
        <v>0.11</v>
      </c>
      <c r="J740" s="14">
        <f t="shared" si="34"/>
        <v>48.238000000000007</v>
      </c>
      <c r="K740" s="28" t="str">
        <f t="shared" si="35"/>
        <v>July</v>
      </c>
      <c r="L740" s="14" t="str">
        <f>VLOOKUP(OrderLines!$A740,Orders!$A$1:$H$361,MATCH(OrderLines!$L$1,Orders!$A$1:$H$1,0),0)</f>
        <v>Breakfast</v>
      </c>
      <c r="M740" t="str">
        <f>VLOOKUP($A740,Orders!$A$1:$H$361,MATCH(OrderLines!$M$1,Orders!$A$1:$H$1,0),0)</f>
        <v>Cash</v>
      </c>
      <c r="N740" t="str">
        <f t="shared" si="33"/>
        <v>Single</v>
      </c>
      <c r="O740" t="str" cm="1">
        <f t="array" ref="O740">IF((SUMPRODUCT((OrderID=OrderLines!$A740)*Qty*UnitPrice*DiscountPct))&gt;40,"HighDisc","OK")</f>
        <v>HighDisc</v>
      </c>
      <c r="P740">
        <f>(orderlinesTABLE[[#This Row],[UnitCost]]*orderlinesTABLE[[#This Row],[Qty]])</f>
        <v>21.95</v>
      </c>
      <c r="Q740">
        <f>(orderlinesTABLE[[#This Row],[LineNetAmount]]-orderlinesTABLE[[#This Row],[totalCOST]])</f>
        <v>26.288000000000007</v>
      </c>
      <c r="R740" t="str">
        <f>VLOOKUP($B740,Menu!$A$1:$F$20,MATCH(OrderLines!R$1,Menu!$A$1:$F$1,0),0)</f>
        <v>Kheer Cup</v>
      </c>
      <c r="S740" t="str" cm="1">
        <f t="array" ref="S740">_xlfn.TEXTJOIN("+",TRUE,_xlfn._xlws.FILTER(orderlinesTABLE[ItemName],OrderID=orderlinesTABLE[[#This Row],[OrderID]]))</f>
        <v>Kheer Cup+Poha+Paneer Butter Masala + Naan+Masala Puff</v>
      </c>
      <c r="T740" s="54">
        <f>orderlinesTABLE[[#This Row],[Profit]]/orderlinesTABLE[[#This Row],[LineNetAmount]]</f>
        <v>0.54496455076910333</v>
      </c>
      <c r="U740" s="70">
        <f>(orderlinesTABLE[[#This Row],[Qty]]*orderlinesTABLE[[#This Row],[UnitCost]])</f>
        <v>21.95</v>
      </c>
    </row>
    <row r="741" spans="1:21" x14ac:dyDescent="0.3">
      <c r="A741" s="15" t="s">
        <v>322</v>
      </c>
      <c r="B741" s="15" t="s">
        <v>401</v>
      </c>
      <c r="C741" s="15">
        <v>1</v>
      </c>
      <c r="D741" s="36">
        <f>VLOOKUP($B741,Menu!$A$1:$F$20,MATCH($D$1,Menu!$A$1:$F$1,0),0)</f>
        <v>52.45</v>
      </c>
      <c r="E741" s="15" t="str">
        <f>VLOOKUP($B741,Menu!$A$1:$F$20,MATCH(OrderLines!E$1,Menu!$A$1:$F$1,0),0)</f>
        <v>Snack</v>
      </c>
      <c r="F741" s="36">
        <f>VLOOKUP($B741,Menu!$A$1:$F$20,MATCH(OrderLines!F$1,Menu!$A$1:$F$1,0),0)</f>
        <v>25.8</v>
      </c>
      <c r="G741" s="27">
        <f>VLOOKUP($A741,Orders!$A$1:$H$361,MATCH($G$1,Orders!$A$1:$H$1,0),0)</f>
        <v>45858</v>
      </c>
      <c r="H741" s="15" t="str">
        <f>VLOOKUP($A741,Orders!$A$1:$H$361,MATCH(OrderLines!$H$1,Orders!$A$1:$H$1,0),0)</f>
        <v>Plant 1 Canteen</v>
      </c>
      <c r="I741" s="15">
        <f>VLOOKUP($A741,Orders!$A$1:$H$361,MATCH(OrderLines!$I$1,Orders!$A$1:$H$1,0),0)</f>
        <v>0.11</v>
      </c>
      <c r="J741" s="15">
        <f t="shared" si="34"/>
        <v>46.680500000000002</v>
      </c>
      <c r="K741" s="27" t="str">
        <f t="shared" si="35"/>
        <v>July</v>
      </c>
      <c r="L741" s="15" t="str">
        <f>VLOOKUP(OrderLines!$A741,Orders!$A$1:$H$361,MATCH(OrderLines!$L$1,Orders!$A$1:$H$1,0),0)</f>
        <v>Breakfast</v>
      </c>
      <c r="M741" t="str">
        <f>VLOOKUP($A741,Orders!$A$1:$H$361,MATCH(OrderLines!$M$1,Orders!$A$1:$H$1,0),0)</f>
        <v>Cash</v>
      </c>
      <c r="N741" t="str">
        <f t="shared" si="33"/>
        <v>Single</v>
      </c>
      <c r="O741" t="str" cm="1">
        <f t="array" ref="O741">IF((SUMPRODUCT((OrderID=OrderLines!$A741)*Qty*UnitPrice*DiscountPct))&gt;40,"HighDisc","OK")</f>
        <v>HighDisc</v>
      </c>
      <c r="P741">
        <f>(orderlinesTABLE[[#This Row],[UnitCost]]*orderlinesTABLE[[#This Row],[Qty]])</f>
        <v>25.8</v>
      </c>
      <c r="Q741">
        <f>(orderlinesTABLE[[#This Row],[LineNetAmount]]-orderlinesTABLE[[#This Row],[totalCOST]])</f>
        <v>20.880500000000001</v>
      </c>
      <c r="R741" t="str">
        <f>VLOOKUP($B741,Menu!$A$1:$F$20,MATCH(OrderLines!R$1,Menu!$A$1:$F$1,0),0)</f>
        <v>Poha</v>
      </c>
      <c r="S741" t="str" cm="1">
        <f t="array" ref="S741">_xlfn.TEXTJOIN("+",TRUE,_xlfn._xlws.FILTER(orderlinesTABLE[ItemName],OrderID=orderlinesTABLE[[#This Row],[OrderID]]))</f>
        <v>Kheer Cup+Poha+Paneer Butter Masala + Naan+Masala Puff</v>
      </c>
      <c r="T741" s="54">
        <f>orderlinesTABLE[[#This Row],[Profit]]/orderlinesTABLE[[#This Row],[LineNetAmount]]</f>
        <v>0.44730669123081374</v>
      </c>
      <c r="U741" s="70">
        <f>(orderlinesTABLE[[#This Row],[Qty]]*orderlinesTABLE[[#This Row],[UnitCost]])</f>
        <v>25.8</v>
      </c>
    </row>
    <row r="742" spans="1:21" x14ac:dyDescent="0.3">
      <c r="A742" s="14" t="s">
        <v>322</v>
      </c>
      <c r="B742" s="14" t="s">
        <v>405</v>
      </c>
      <c r="C742" s="14">
        <v>1</v>
      </c>
      <c r="D742" s="37">
        <f>VLOOKUP($B742,Menu!$A$1:$F$20,MATCH($D$1,Menu!$A$1:$F$1,0),0)</f>
        <v>170.83</v>
      </c>
      <c r="E742" s="14" t="str">
        <f>VLOOKUP($B742,Menu!$A$1:$F$20,MATCH(OrderLines!E$1,Menu!$A$1:$F$1,0),0)</f>
        <v>Hot Meal</v>
      </c>
      <c r="F742" s="37">
        <f>VLOOKUP($B742,Menu!$A$1:$F$20,MATCH(OrderLines!F$1,Menu!$A$1:$F$1,0),0)</f>
        <v>74.069999999999993</v>
      </c>
      <c r="G742" s="28">
        <f>VLOOKUP($A742,Orders!$A$1:$H$361,MATCH($G$1,Orders!$A$1:$H$1,0),0)</f>
        <v>45858</v>
      </c>
      <c r="H742" s="14" t="str">
        <f>VLOOKUP($A742,Orders!$A$1:$H$361,MATCH(OrderLines!$H$1,Orders!$A$1:$H$1,0),0)</f>
        <v>Plant 1 Canteen</v>
      </c>
      <c r="I742" s="14">
        <f>VLOOKUP($A742,Orders!$A$1:$H$361,MATCH(OrderLines!$I$1,Orders!$A$1:$H$1,0),0)</f>
        <v>0.11</v>
      </c>
      <c r="J742" s="14">
        <f t="shared" si="34"/>
        <v>152.03870000000001</v>
      </c>
      <c r="K742" s="28" t="str">
        <f t="shared" si="35"/>
        <v>July</v>
      </c>
      <c r="L742" s="14" t="str">
        <f>VLOOKUP(OrderLines!$A742,Orders!$A$1:$H$361,MATCH(OrderLines!$L$1,Orders!$A$1:$H$1,0),0)</f>
        <v>Breakfast</v>
      </c>
      <c r="M742" t="str">
        <f>VLOOKUP($A742,Orders!$A$1:$H$361,MATCH(OrderLines!$M$1,Orders!$A$1:$H$1,0),0)</f>
        <v>Cash</v>
      </c>
      <c r="N742" t="str">
        <f t="shared" si="33"/>
        <v>Single</v>
      </c>
      <c r="O742" t="str" cm="1">
        <f t="array" ref="O742">IF((SUMPRODUCT((OrderID=OrderLines!$A742)*Qty*UnitPrice*DiscountPct))&gt;40,"HighDisc","OK")</f>
        <v>HighDisc</v>
      </c>
      <c r="P742">
        <f>(orderlinesTABLE[[#This Row],[UnitCost]]*orderlinesTABLE[[#This Row],[Qty]])</f>
        <v>74.069999999999993</v>
      </c>
      <c r="Q742">
        <f>(orderlinesTABLE[[#This Row],[LineNetAmount]]-orderlinesTABLE[[#This Row],[totalCOST]])</f>
        <v>77.968700000000013</v>
      </c>
      <c r="R742" t="str">
        <f>VLOOKUP($B742,Menu!$A$1:$F$20,MATCH(OrderLines!R$1,Menu!$A$1:$F$1,0),0)</f>
        <v>Paneer Butter Masala + Naan</v>
      </c>
      <c r="S742" t="str" cm="1">
        <f t="array" ref="S742">_xlfn.TEXTJOIN("+",TRUE,_xlfn._xlws.FILTER(orderlinesTABLE[ItemName],OrderID=orderlinesTABLE[[#This Row],[OrderID]]))</f>
        <v>Kheer Cup+Poha+Paneer Butter Masala + Naan+Masala Puff</v>
      </c>
      <c r="T742" s="54">
        <f>orderlinesTABLE[[#This Row],[Profit]]/orderlinesTABLE[[#This Row],[LineNetAmount]]</f>
        <v>0.51282140665501619</v>
      </c>
      <c r="U742" s="70">
        <f>(orderlinesTABLE[[#This Row],[Qty]]*orderlinesTABLE[[#This Row],[UnitCost]])</f>
        <v>74.069999999999993</v>
      </c>
    </row>
    <row r="743" spans="1:21" x14ac:dyDescent="0.3">
      <c r="A743" s="15" t="s">
        <v>322</v>
      </c>
      <c r="B743" s="15" t="s">
        <v>419</v>
      </c>
      <c r="C743" s="15">
        <v>3</v>
      </c>
      <c r="D743" s="36">
        <f>VLOOKUP($B743,Menu!$A$1:$F$20,MATCH($D$1,Menu!$A$1:$F$1,0),0)</f>
        <v>50.19</v>
      </c>
      <c r="E743" s="15" t="str">
        <f>VLOOKUP($B743,Menu!$A$1:$F$20,MATCH(OrderLines!E$1,Menu!$A$1:$F$1,0),0)</f>
        <v>Snack</v>
      </c>
      <c r="F743" s="36">
        <f>VLOOKUP($B743,Menu!$A$1:$F$20,MATCH(OrderLines!F$1,Menu!$A$1:$F$1,0),0)</f>
        <v>22.61</v>
      </c>
      <c r="G743" s="27">
        <f>VLOOKUP($A743,Orders!$A$1:$H$361,MATCH($G$1,Orders!$A$1:$H$1,0),0)</f>
        <v>45858</v>
      </c>
      <c r="H743" s="15" t="str">
        <f>VLOOKUP($A743,Orders!$A$1:$H$361,MATCH(OrderLines!$H$1,Orders!$A$1:$H$1,0),0)</f>
        <v>Plant 1 Canteen</v>
      </c>
      <c r="I743" s="15">
        <f>VLOOKUP($A743,Orders!$A$1:$H$361,MATCH(OrderLines!$I$1,Orders!$A$1:$H$1,0),0)</f>
        <v>0.11</v>
      </c>
      <c r="J743" s="15">
        <f t="shared" si="34"/>
        <v>134.00729999999999</v>
      </c>
      <c r="K743" s="27" t="str">
        <f t="shared" si="35"/>
        <v>July</v>
      </c>
      <c r="L743" s="15" t="str">
        <f>VLOOKUP(OrderLines!$A743,Orders!$A$1:$H$361,MATCH(OrderLines!$L$1,Orders!$A$1:$H$1,0),0)</f>
        <v>Breakfast</v>
      </c>
      <c r="M743" t="str">
        <f>VLOOKUP($A743,Orders!$A$1:$H$361,MATCH(OrderLines!$M$1,Orders!$A$1:$H$1,0),0)</f>
        <v>Cash</v>
      </c>
      <c r="N743" t="str">
        <f t="shared" si="33"/>
        <v>Single</v>
      </c>
      <c r="O743" t="str" cm="1">
        <f t="array" ref="O743">IF((SUMPRODUCT((OrderID=OrderLines!$A743)*Qty*UnitPrice*DiscountPct))&gt;40,"HighDisc","OK")</f>
        <v>HighDisc</v>
      </c>
      <c r="P743">
        <f>(orderlinesTABLE[[#This Row],[UnitCost]]*orderlinesTABLE[[#This Row],[Qty]])</f>
        <v>67.83</v>
      </c>
      <c r="Q743">
        <f>(orderlinesTABLE[[#This Row],[LineNetAmount]]-orderlinesTABLE[[#This Row],[totalCOST]])</f>
        <v>66.177299999999988</v>
      </c>
      <c r="R743" t="str">
        <f>VLOOKUP($B743,Menu!$A$1:$F$20,MATCH(OrderLines!R$1,Menu!$A$1:$F$1,0),0)</f>
        <v>Masala Puff</v>
      </c>
      <c r="S743" t="str" cm="1">
        <f t="array" ref="S743">_xlfn.TEXTJOIN("+",TRUE,_xlfn._xlws.FILTER(orderlinesTABLE[ItemName],OrderID=orderlinesTABLE[[#This Row],[OrderID]]))</f>
        <v>Kheer Cup+Poha+Paneer Butter Masala + Naan+Masala Puff</v>
      </c>
      <c r="T743" s="54">
        <f>orderlinesTABLE[[#This Row],[Profit]]/orderlinesTABLE[[#This Row],[LineNetAmount]]</f>
        <v>0.49383354488897241</v>
      </c>
      <c r="U743" s="70">
        <f>(orderlinesTABLE[[#This Row],[Qty]]*orderlinesTABLE[[#This Row],[UnitCost]])</f>
        <v>67.83</v>
      </c>
    </row>
    <row r="744" spans="1:21" x14ac:dyDescent="0.3">
      <c r="A744" s="14" t="s">
        <v>323</v>
      </c>
      <c r="B744" s="14" t="s">
        <v>403</v>
      </c>
      <c r="C744" s="14">
        <v>2</v>
      </c>
      <c r="D744" s="37">
        <f>VLOOKUP($B744,Menu!$A$1:$F$20,MATCH($D$1,Menu!$A$1:$F$1,0),0)</f>
        <v>76.55</v>
      </c>
      <c r="E744" s="14" t="str">
        <f>VLOOKUP($B744,Menu!$A$1:$F$20,MATCH(OrderLines!E$1,Menu!$A$1:$F$1,0),0)</f>
        <v>Dessert</v>
      </c>
      <c r="F744" s="37">
        <f>VLOOKUP($B744,Menu!$A$1:$F$20,MATCH(OrderLines!F$1,Menu!$A$1:$F$1,0),0)</f>
        <v>38.229999999999997</v>
      </c>
      <c r="G744" s="28">
        <f>VLOOKUP($A744,Orders!$A$1:$H$361,MATCH($G$1,Orders!$A$1:$H$1,0),0)</f>
        <v>45856</v>
      </c>
      <c r="H744" s="14" t="str">
        <f>VLOOKUP($A744,Orders!$A$1:$H$361,MATCH(OrderLines!$H$1,Orders!$A$1:$H$1,0),0)</f>
        <v>Head Office Café</v>
      </c>
      <c r="I744" s="14">
        <f>VLOOKUP($A744,Orders!$A$1:$H$361,MATCH(OrderLines!$I$1,Orders!$A$1:$H$1,0),0)</f>
        <v>0.09</v>
      </c>
      <c r="J744" s="14">
        <f t="shared" si="34"/>
        <v>139.321</v>
      </c>
      <c r="K744" s="28" t="str">
        <f t="shared" si="35"/>
        <v>July</v>
      </c>
      <c r="L744" s="14" t="str">
        <f>VLOOKUP(OrderLines!$A744,Orders!$A$1:$H$361,MATCH(OrderLines!$L$1,Orders!$A$1:$H$1,0),0)</f>
        <v>Breakfast</v>
      </c>
      <c r="M744" t="str">
        <f>VLOOKUP($A744,Orders!$A$1:$H$361,MATCH(OrderLines!$M$1,Orders!$A$1:$H$1,0),0)</f>
        <v>Card</v>
      </c>
      <c r="N744" t="str">
        <f t="shared" si="33"/>
        <v>Single</v>
      </c>
      <c r="O744" t="str" cm="1">
        <f t="array" ref="O744">IF((SUMPRODUCT((OrderID=OrderLines!$A744)*Qty*UnitPrice*DiscountPct))&gt;40,"HighDisc","OK")</f>
        <v>OK</v>
      </c>
      <c r="P744">
        <f>(orderlinesTABLE[[#This Row],[UnitCost]]*orderlinesTABLE[[#This Row],[Qty]])</f>
        <v>76.459999999999994</v>
      </c>
      <c r="Q744">
        <f>(orderlinesTABLE[[#This Row],[LineNetAmount]]-orderlinesTABLE[[#This Row],[totalCOST]])</f>
        <v>62.861000000000004</v>
      </c>
      <c r="R744" t="str">
        <f>VLOOKUP($B744,Menu!$A$1:$F$20,MATCH(OrderLines!R$1,Menu!$A$1:$F$1,0),0)</f>
        <v>Gulab Jamun (2 pc)</v>
      </c>
      <c r="S744" t="str" cm="1">
        <f t="array" ref="S744">_xlfn.TEXTJOIN("+",TRUE,_xlfn._xlws.FILTER(orderlinesTABLE[ItemName],OrderID=orderlinesTABLE[[#This Row],[OrderID]]))</f>
        <v>Gulab Jamun (2 pc)+Paneer Butter Masala + Naan</v>
      </c>
      <c r="T744" s="54">
        <f>orderlinesTABLE[[#This Row],[Profit]]/orderlinesTABLE[[#This Row],[LineNetAmount]]</f>
        <v>0.45119544074475493</v>
      </c>
      <c r="U744" s="70">
        <f>(orderlinesTABLE[[#This Row],[Qty]]*orderlinesTABLE[[#This Row],[UnitCost]])</f>
        <v>76.459999999999994</v>
      </c>
    </row>
    <row r="745" spans="1:21" x14ac:dyDescent="0.3">
      <c r="A745" s="15" t="s">
        <v>323</v>
      </c>
      <c r="B745" s="15" t="s">
        <v>405</v>
      </c>
      <c r="C745" s="15">
        <v>1</v>
      </c>
      <c r="D745" s="36">
        <f>VLOOKUP($B745,Menu!$A$1:$F$20,MATCH($D$1,Menu!$A$1:$F$1,0),0)</f>
        <v>170.83</v>
      </c>
      <c r="E745" s="15" t="str">
        <f>VLOOKUP($B745,Menu!$A$1:$F$20,MATCH(OrderLines!E$1,Menu!$A$1:$F$1,0),0)</f>
        <v>Hot Meal</v>
      </c>
      <c r="F745" s="36">
        <f>VLOOKUP($B745,Menu!$A$1:$F$20,MATCH(OrderLines!F$1,Menu!$A$1:$F$1,0),0)</f>
        <v>74.069999999999993</v>
      </c>
      <c r="G745" s="27">
        <f>VLOOKUP($A745,Orders!$A$1:$H$361,MATCH($G$1,Orders!$A$1:$H$1,0),0)</f>
        <v>45856</v>
      </c>
      <c r="H745" s="15" t="str">
        <f>VLOOKUP($A745,Orders!$A$1:$H$361,MATCH(OrderLines!$H$1,Orders!$A$1:$H$1,0),0)</f>
        <v>Head Office Café</v>
      </c>
      <c r="I745" s="15">
        <f>VLOOKUP($A745,Orders!$A$1:$H$361,MATCH(OrderLines!$I$1,Orders!$A$1:$H$1,0),0)</f>
        <v>0.09</v>
      </c>
      <c r="J745" s="15">
        <f t="shared" si="34"/>
        <v>155.45530000000002</v>
      </c>
      <c r="K745" s="27" t="str">
        <f t="shared" si="35"/>
        <v>July</v>
      </c>
      <c r="L745" s="15" t="str">
        <f>VLOOKUP(OrderLines!$A745,Orders!$A$1:$H$361,MATCH(OrderLines!$L$1,Orders!$A$1:$H$1,0),0)</f>
        <v>Breakfast</v>
      </c>
      <c r="M745" t="str">
        <f>VLOOKUP($A745,Orders!$A$1:$H$361,MATCH(OrderLines!$M$1,Orders!$A$1:$H$1,0),0)</f>
        <v>Card</v>
      </c>
      <c r="N745" t="str">
        <f t="shared" si="33"/>
        <v>Single</v>
      </c>
      <c r="O745" t="str" cm="1">
        <f t="array" ref="O745">IF((SUMPRODUCT((OrderID=OrderLines!$A745)*Qty*UnitPrice*DiscountPct))&gt;40,"HighDisc","OK")</f>
        <v>OK</v>
      </c>
      <c r="P745">
        <f>(orderlinesTABLE[[#This Row],[UnitCost]]*orderlinesTABLE[[#This Row],[Qty]])</f>
        <v>74.069999999999993</v>
      </c>
      <c r="Q745">
        <f>(orderlinesTABLE[[#This Row],[LineNetAmount]]-orderlinesTABLE[[#This Row],[totalCOST]])</f>
        <v>81.385300000000029</v>
      </c>
      <c r="R745" t="str">
        <f>VLOOKUP($B745,Menu!$A$1:$F$20,MATCH(OrderLines!R$1,Menu!$A$1:$F$1,0),0)</f>
        <v>Paneer Butter Masala + Naan</v>
      </c>
      <c r="S745" t="str" cm="1">
        <f t="array" ref="S745">_xlfn.TEXTJOIN("+",TRUE,_xlfn._xlws.FILTER(orderlinesTABLE[ItemName],OrderID=orderlinesTABLE[[#This Row],[OrderID]]))</f>
        <v>Gulab Jamun (2 pc)+Paneer Butter Masala + Naan</v>
      </c>
      <c r="T745" s="54">
        <f>orderlinesTABLE[[#This Row],[Profit]]/orderlinesTABLE[[#This Row],[LineNetAmount]]</f>
        <v>0.52352862848677417</v>
      </c>
      <c r="U745" s="70">
        <f>(orderlinesTABLE[[#This Row],[Qty]]*orderlinesTABLE[[#This Row],[UnitCost]])</f>
        <v>74.069999999999993</v>
      </c>
    </row>
    <row r="746" spans="1:21" x14ac:dyDescent="0.3">
      <c r="A746" s="14" t="s">
        <v>324</v>
      </c>
      <c r="B746" s="14" t="s">
        <v>417</v>
      </c>
      <c r="C746" s="14">
        <v>1</v>
      </c>
      <c r="D746" s="37">
        <f>VLOOKUP($B746,Menu!$A$1:$F$20,MATCH($D$1,Menu!$A$1:$F$1,0),0)</f>
        <v>146.4</v>
      </c>
      <c r="E746" s="14" t="str">
        <f>VLOOKUP($B746,Menu!$A$1:$F$20,MATCH(OrderLines!E$1,Menu!$A$1:$F$1,0),0)</f>
        <v>Hot Meal</v>
      </c>
      <c r="F746" s="37">
        <f>VLOOKUP($B746,Menu!$A$1:$F$20,MATCH(OrderLines!F$1,Menu!$A$1:$F$1,0),0)</f>
        <v>80.92</v>
      </c>
      <c r="G746" s="28">
        <f>VLOOKUP($A746,Orders!$A$1:$H$361,MATCH($G$1,Orders!$A$1:$H$1,0),0)</f>
        <v>45894</v>
      </c>
      <c r="H746" s="14" t="str">
        <f>VLOOKUP($A746,Orders!$A$1:$H$361,MATCH(OrderLines!$H$1,Orders!$A$1:$H$1,0),0)</f>
        <v>Head Office Café</v>
      </c>
      <c r="I746" s="14">
        <f>VLOOKUP($A746,Orders!$A$1:$H$361,MATCH(OrderLines!$I$1,Orders!$A$1:$H$1,0),0)</f>
        <v>0.08</v>
      </c>
      <c r="J746" s="14">
        <f t="shared" si="34"/>
        <v>134.68800000000002</v>
      </c>
      <c r="K746" s="28" t="str">
        <f t="shared" si="35"/>
        <v>August</v>
      </c>
      <c r="L746" s="14" t="str">
        <f>VLOOKUP(OrderLines!$A746,Orders!$A$1:$H$361,MATCH(OrderLines!$L$1,Orders!$A$1:$H$1,0),0)</f>
        <v>Breakfast</v>
      </c>
      <c r="M746" t="str">
        <f>VLOOKUP($A746,Orders!$A$1:$H$361,MATCH(OrderLines!$M$1,Orders!$A$1:$H$1,0),0)</f>
        <v>UPI</v>
      </c>
      <c r="N746" t="str">
        <f t="shared" si="33"/>
        <v>Single</v>
      </c>
      <c r="O746" t="str" cm="1">
        <f t="array" ref="O746">IF((SUMPRODUCT((OrderID=OrderLines!$A746)*Qty*UnitPrice*DiscountPct))&gt;40,"HighDisc","OK")</f>
        <v>OK</v>
      </c>
      <c r="P746">
        <f>(orderlinesTABLE[[#This Row],[UnitCost]]*orderlinesTABLE[[#This Row],[Qty]])</f>
        <v>80.92</v>
      </c>
      <c r="Q746">
        <f>(orderlinesTABLE[[#This Row],[LineNetAmount]]-orderlinesTABLE[[#This Row],[totalCOST]])</f>
        <v>53.768000000000015</v>
      </c>
      <c r="R746" t="str">
        <f>VLOOKUP($B746,Menu!$A$1:$F$20,MATCH(OrderLines!R$1,Menu!$A$1:$F$1,0),0)</f>
        <v>Rajma Chawal</v>
      </c>
      <c r="S746" t="str" cm="1">
        <f t="array" ref="S746">_xlfn.TEXTJOIN("+",TRUE,_xlfn._xlws.FILTER(orderlinesTABLE[ItemName],OrderID=orderlinesTABLE[[#This Row],[OrderID]]))</f>
        <v>Rajma Chawal+Chicken Thali</v>
      </c>
      <c r="T746" s="54">
        <f>orderlinesTABLE[[#This Row],[Profit]]/orderlinesTABLE[[#This Row],[LineNetAmount]]</f>
        <v>0.39920408648134953</v>
      </c>
      <c r="U746" s="70">
        <f>(orderlinesTABLE[[#This Row],[Qty]]*orderlinesTABLE[[#This Row],[UnitCost]])</f>
        <v>80.92</v>
      </c>
    </row>
    <row r="747" spans="1:21" x14ac:dyDescent="0.3">
      <c r="A747" s="15" t="s">
        <v>324</v>
      </c>
      <c r="B747" s="15" t="s">
        <v>415</v>
      </c>
      <c r="C747" s="15">
        <v>1</v>
      </c>
      <c r="D747" s="36">
        <f>VLOOKUP($B747,Menu!$A$1:$F$20,MATCH($D$1,Menu!$A$1:$F$1,0),0)</f>
        <v>256.91000000000003</v>
      </c>
      <c r="E747" s="15" t="str">
        <f>VLOOKUP($B747,Menu!$A$1:$F$20,MATCH(OrderLines!E$1,Menu!$A$1:$F$1,0),0)</f>
        <v>Hot Meal</v>
      </c>
      <c r="F747" s="36">
        <f>VLOOKUP($B747,Menu!$A$1:$F$20,MATCH(OrderLines!F$1,Menu!$A$1:$F$1,0),0)</f>
        <v>121.24</v>
      </c>
      <c r="G747" s="27">
        <f>VLOOKUP($A747,Orders!$A$1:$H$361,MATCH($G$1,Orders!$A$1:$H$1,0),0)</f>
        <v>45894</v>
      </c>
      <c r="H747" s="15" t="str">
        <f>VLOOKUP($A747,Orders!$A$1:$H$361,MATCH(OrderLines!$H$1,Orders!$A$1:$H$1,0),0)</f>
        <v>Head Office Café</v>
      </c>
      <c r="I747" s="15">
        <f>VLOOKUP($A747,Orders!$A$1:$H$361,MATCH(OrderLines!$I$1,Orders!$A$1:$H$1,0),0)</f>
        <v>0.08</v>
      </c>
      <c r="J747" s="15">
        <f t="shared" si="34"/>
        <v>236.35720000000003</v>
      </c>
      <c r="K747" s="27" t="str">
        <f t="shared" si="35"/>
        <v>August</v>
      </c>
      <c r="L747" s="15" t="str">
        <f>VLOOKUP(OrderLines!$A747,Orders!$A$1:$H$361,MATCH(OrderLines!$L$1,Orders!$A$1:$H$1,0),0)</f>
        <v>Breakfast</v>
      </c>
      <c r="M747" t="str">
        <f>VLOOKUP($A747,Orders!$A$1:$H$361,MATCH(OrderLines!$M$1,Orders!$A$1:$H$1,0),0)</f>
        <v>UPI</v>
      </c>
      <c r="N747" t="str">
        <f t="shared" si="33"/>
        <v>Single</v>
      </c>
      <c r="O747" t="str" cm="1">
        <f t="array" ref="O747">IF((SUMPRODUCT((OrderID=OrderLines!$A747)*Qty*UnitPrice*DiscountPct))&gt;40,"HighDisc","OK")</f>
        <v>OK</v>
      </c>
      <c r="P747">
        <f>(orderlinesTABLE[[#This Row],[UnitCost]]*orderlinesTABLE[[#This Row],[Qty]])</f>
        <v>121.24</v>
      </c>
      <c r="Q747">
        <f>(orderlinesTABLE[[#This Row],[LineNetAmount]]-orderlinesTABLE[[#This Row],[totalCOST]])</f>
        <v>115.11720000000004</v>
      </c>
      <c r="R747" t="str">
        <f>VLOOKUP($B747,Menu!$A$1:$F$20,MATCH(OrderLines!R$1,Menu!$A$1:$F$1,0),0)</f>
        <v>Chicken Thali</v>
      </c>
      <c r="S747" t="str" cm="1">
        <f t="array" ref="S747">_xlfn.TEXTJOIN("+",TRUE,_xlfn._xlws.FILTER(orderlinesTABLE[ItemName],OrderID=orderlinesTABLE[[#This Row],[OrderID]]))</f>
        <v>Rajma Chawal+Chicken Thali</v>
      </c>
      <c r="T747" s="54">
        <f>orderlinesTABLE[[#This Row],[Profit]]/orderlinesTABLE[[#This Row],[LineNetAmount]]</f>
        <v>0.48704757037230101</v>
      </c>
      <c r="U747" s="70">
        <f>(orderlinesTABLE[[#This Row],[Qty]]*orderlinesTABLE[[#This Row],[UnitCost]])</f>
        <v>121.24</v>
      </c>
    </row>
    <row r="748" spans="1:21" x14ac:dyDescent="0.3">
      <c r="A748" s="14" t="s">
        <v>325</v>
      </c>
      <c r="B748" s="14" t="s">
        <v>405</v>
      </c>
      <c r="C748" s="14">
        <v>1</v>
      </c>
      <c r="D748" s="37">
        <f>VLOOKUP($B748,Menu!$A$1:$F$20,MATCH($D$1,Menu!$A$1:$F$1,0),0)</f>
        <v>170.83</v>
      </c>
      <c r="E748" s="14" t="str">
        <f>VLOOKUP($B748,Menu!$A$1:$F$20,MATCH(OrderLines!E$1,Menu!$A$1:$F$1,0),0)</f>
        <v>Hot Meal</v>
      </c>
      <c r="F748" s="37">
        <f>VLOOKUP($B748,Menu!$A$1:$F$20,MATCH(OrderLines!F$1,Menu!$A$1:$F$1,0),0)</f>
        <v>74.069999999999993</v>
      </c>
      <c r="G748" s="28">
        <f>VLOOKUP($A748,Orders!$A$1:$H$361,MATCH($G$1,Orders!$A$1:$H$1,0),0)</f>
        <v>45869</v>
      </c>
      <c r="H748" s="14" t="str">
        <f>VLOOKUP($A748,Orders!$A$1:$H$361,MATCH(OrderLines!$H$1,Orders!$A$1:$H$1,0),0)</f>
        <v>Plant 1 Canteen</v>
      </c>
      <c r="I748" s="14">
        <f>VLOOKUP($A748,Orders!$A$1:$H$361,MATCH(OrderLines!$I$1,Orders!$A$1:$H$1,0),0)</f>
        <v>0.09</v>
      </c>
      <c r="J748" s="14">
        <f t="shared" si="34"/>
        <v>155.45530000000002</v>
      </c>
      <c r="K748" s="28" t="str">
        <f t="shared" si="35"/>
        <v>July</v>
      </c>
      <c r="L748" s="14" t="str">
        <f>VLOOKUP(OrderLines!$A748,Orders!$A$1:$H$361,MATCH(OrderLines!$L$1,Orders!$A$1:$H$1,0),0)</f>
        <v>Dinner</v>
      </c>
      <c r="M748" t="str">
        <f>VLOOKUP($A748,Orders!$A$1:$H$361,MATCH(OrderLines!$M$1,Orders!$A$1:$H$1,0),0)</f>
        <v>Cash</v>
      </c>
      <c r="N748" t="str">
        <f t="shared" si="33"/>
        <v>Combo</v>
      </c>
      <c r="O748" t="str" cm="1">
        <f t="array" ref="O748">IF((SUMPRODUCT((OrderID=OrderLines!$A748)*Qty*UnitPrice*DiscountPct))&gt;40,"HighDisc","OK")</f>
        <v>OK</v>
      </c>
      <c r="P748">
        <f>(orderlinesTABLE[[#This Row],[UnitCost]]*orderlinesTABLE[[#This Row],[Qty]])</f>
        <v>74.069999999999993</v>
      </c>
      <c r="Q748">
        <f>(orderlinesTABLE[[#This Row],[LineNetAmount]]-orderlinesTABLE[[#This Row],[totalCOST]])</f>
        <v>81.385300000000029</v>
      </c>
      <c r="R748" t="str">
        <f>VLOOKUP($B748,Menu!$A$1:$F$20,MATCH(OrderLines!R$1,Menu!$A$1:$F$1,0),0)</f>
        <v>Paneer Butter Masala + Naan</v>
      </c>
      <c r="S748" t="str" cm="1">
        <f t="array" ref="S748">_xlfn.TEXTJOIN("+",TRUE,_xlfn._xlws.FILTER(orderlinesTABLE[ItemName],OrderID=orderlinesTABLE[[#This Row],[OrderID]]))</f>
        <v>Paneer Butter Masala + Naan+Poha+Coffee</v>
      </c>
      <c r="T748" s="54">
        <f>orderlinesTABLE[[#This Row],[Profit]]/orderlinesTABLE[[#This Row],[LineNetAmount]]</f>
        <v>0.52352862848677417</v>
      </c>
      <c r="U748" s="70">
        <f>(orderlinesTABLE[[#This Row],[Qty]]*orderlinesTABLE[[#This Row],[UnitCost]])</f>
        <v>74.069999999999993</v>
      </c>
    </row>
    <row r="749" spans="1:21" x14ac:dyDescent="0.3">
      <c r="A749" s="15" t="s">
        <v>325</v>
      </c>
      <c r="B749" s="15" t="s">
        <v>401</v>
      </c>
      <c r="C749" s="15">
        <v>2</v>
      </c>
      <c r="D749" s="36">
        <f>VLOOKUP($B749,Menu!$A$1:$F$20,MATCH($D$1,Menu!$A$1:$F$1,0),0)</f>
        <v>52.45</v>
      </c>
      <c r="E749" s="15" t="str">
        <f>VLOOKUP($B749,Menu!$A$1:$F$20,MATCH(OrderLines!E$1,Menu!$A$1:$F$1,0),0)</f>
        <v>Snack</v>
      </c>
      <c r="F749" s="36">
        <f>VLOOKUP($B749,Menu!$A$1:$F$20,MATCH(OrderLines!F$1,Menu!$A$1:$F$1,0),0)</f>
        <v>25.8</v>
      </c>
      <c r="G749" s="27">
        <f>VLOOKUP($A749,Orders!$A$1:$H$361,MATCH($G$1,Orders!$A$1:$H$1,0),0)</f>
        <v>45869</v>
      </c>
      <c r="H749" s="15" t="str">
        <f>VLOOKUP($A749,Orders!$A$1:$H$361,MATCH(OrderLines!$H$1,Orders!$A$1:$H$1,0),0)</f>
        <v>Plant 1 Canteen</v>
      </c>
      <c r="I749" s="15">
        <f>VLOOKUP($A749,Orders!$A$1:$H$361,MATCH(OrderLines!$I$1,Orders!$A$1:$H$1,0),0)</f>
        <v>0.09</v>
      </c>
      <c r="J749" s="15">
        <f t="shared" si="34"/>
        <v>95.459000000000003</v>
      </c>
      <c r="K749" s="27" t="str">
        <f t="shared" si="35"/>
        <v>July</v>
      </c>
      <c r="L749" s="15" t="str">
        <f>VLOOKUP(OrderLines!$A749,Orders!$A$1:$H$361,MATCH(OrderLines!$L$1,Orders!$A$1:$H$1,0),0)</f>
        <v>Dinner</v>
      </c>
      <c r="M749" t="str">
        <f>VLOOKUP($A749,Orders!$A$1:$H$361,MATCH(OrderLines!$M$1,Orders!$A$1:$H$1,0),0)</f>
        <v>Cash</v>
      </c>
      <c r="N749" t="str">
        <f t="shared" si="33"/>
        <v>Combo</v>
      </c>
      <c r="O749" t="str" cm="1">
        <f t="array" ref="O749">IF((SUMPRODUCT((OrderID=OrderLines!$A749)*Qty*UnitPrice*DiscountPct))&gt;40,"HighDisc","OK")</f>
        <v>OK</v>
      </c>
      <c r="P749">
        <f>(orderlinesTABLE[[#This Row],[UnitCost]]*orderlinesTABLE[[#This Row],[Qty]])</f>
        <v>51.6</v>
      </c>
      <c r="Q749">
        <f>(orderlinesTABLE[[#This Row],[LineNetAmount]]-orderlinesTABLE[[#This Row],[totalCOST]])</f>
        <v>43.859000000000002</v>
      </c>
      <c r="R749" t="str">
        <f>VLOOKUP($B749,Menu!$A$1:$F$20,MATCH(OrderLines!R$1,Menu!$A$1:$F$1,0),0)</f>
        <v>Poha</v>
      </c>
      <c r="S749" t="str" cm="1">
        <f t="array" ref="S749">_xlfn.TEXTJOIN("+",TRUE,_xlfn._xlws.FILTER(orderlinesTABLE[ItemName],OrderID=orderlinesTABLE[[#This Row],[OrderID]]))</f>
        <v>Paneer Butter Masala + Naan+Poha+Coffee</v>
      </c>
      <c r="T749" s="54">
        <f>orderlinesTABLE[[#This Row],[Profit]]/orderlinesTABLE[[#This Row],[LineNetAmount]]</f>
        <v>0.45945379691804861</v>
      </c>
      <c r="U749" s="70">
        <f>(orderlinesTABLE[[#This Row],[Qty]]*orderlinesTABLE[[#This Row],[UnitCost]])</f>
        <v>51.6</v>
      </c>
    </row>
    <row r="750" spans="1:21" x14ac:dyDescent="0.3">
      <c r="A750" s="14" t="s">
        <v>325</v>
      </c>
      <c r="B750" s="14" t="s">
        <v>411</v>
      </c>
      <c r="C750" s="14">
        <v>2</v>
      </c>
      <c r="D750" s="37">
        <f>VLOOKUP($B750,Menu!$A$1:$F$20,MATCH($D$1,Menu!$A$1:$F$1,0),0)</f>
        <v>22.2</v>
      </c>
      <c r="E750" s="14" t="str">
        <f>VLOOKUP($B750,Menu!$A$1:$F$20,MATCH(OrderLines!E$1,Menu!$A$1:$F$1,0),0)</f>
        <v>Beverage</v>
      </c>
      <c r="F750" s="37">
        <f>VLOOKUP($B750,Menu!$A$1:$F$20,MATCH(OrderLines!F$1,Menu!$A$1:$F$1,0),0)</f>
        <v>9.3800000000000008</v>
      </c>
      <c r="G750" s="28">
        <f>VLOOKUP($A750,Orders!$A$1:$H$361,MATCH($G$1,Orders!$A$1:$H$1,0),0)</f>
        <v>45869</v>
      </c>
      <c r="H750" s="14" t="str">
        <f>VLOOKUP($A750,Orders!$A$1:$H$361,MATCH(OrderLines!$H$1,Orders!$A$1:$H$1,0),0)</f>
        <v>Plant 1 Canteen</v>
      </c>
      <c r="I750" s="14">
        <f>VLOOKUP($A750,Orders!$A$1:$H$361,MATCH(OrderLines!$I$1,Orders!$A$1:$H$1,0),0)</f>
        <v>0.09</v>
      </c>
      <c r="J750" s="14">
        <f t="shared" si="34"/>
        <v>40.404000000000003</v>
      </c>
      <c r="K750" s="28" t="str">
        <f t="shared" si="35"/>
        <v>July</v>
      </c>
      <c r="L750" s="14" t="str">
        <f>VLOOKUP(OrderLines!$A750,Orders!$A$1:$H$361,MATCH(OrderLines!$L$1,Orders!$A$1:$H$1,0),0)</f>
        <v>Dinner</v>
      </c>
      <c r="M750" t="str">
        <f>VLOOKUP($A750,Orders!$A$1:$H$361,MATCH(OrderLines!$M$1,Orders!$A$1:$H$1,0),0)</f>
        <v>Cash</v>
      </c>
      <c r="N750" t="str">
        <f t="shared" si="33"/>
        <v>Combo</v>
      </c>
      <c r="O750" t="str" cm="1">
        <f t="array" ref="O750">IF((SUMPRODUCT((OrderID=OrderLines!$A750)*Qty*UnitPrice*DiscountPct))&gt;40,"HighDisc","OK")</f>
        <v>OK</v>
      </c>
      <c r="P750">
        <f>(orderlinesTABLE[[#This Row],[UnitCost]]*orderlinesTABLE[[#This Row],[Qty]])</f>
        <v>18.760000000000002</v>
      </c>
      <c r="Q750">
        <f>(orderlinesTABLE[[#This Row],[LineNetAmount]]-orderlinesTABLE[[#This Row],[totalCOST]])</f>
        <v>21.644000000000002</v>
      </c>
      <c r="R750" t="str">
        <f>VLOOKUP($B750,Menu!$A$1:$F$20,MATCH(OrderLines!R$1,Menu!$A$1:$F$1,0),0)</f>
        <v>Coffee</v>
      </c>
      <c r="S750" t="str" cm="1">
        <f t="array" ref="S750">_xlfn.TEXTJOIN("+",TRUE,_xlfn._xlws.FILTER(orderlinesTABLE[ItemName],OrderID=orderlinesTABLE[[#This Row],[OrderID]]))</f>
        <v>Paneer Butter Masala + Naan+Poha+Coffee</v>
      </c>
      <c r="T750" s="54">
        <f>orderlinesTABLE[[#This Row],[Profit]]/orderlinesTABLE[[#This Row],[LineNetAmount]]</f>
        <v>0.5356895356895357</v>
      </c>
      <c r="U750" s="70">
        <f>(orderlinesTABLE[[#This Row],[Qty]]*orderlinesTABLE[[#This Row],[UnitCost]])</f>
        <v>18.760000000000002</v>
      </c>
    </row>
    <row r="751" spans="1:21" x14ac:dyDescent="0.3">
      <c r="A751" s="15" t="s">
        <v>326</v>
      </c>
      <c r="B751" s="15" t="s">
        <v>408</v>
      </c>
      <c r="C751" s="15">
        <v>3</v>
      </c>
      <c r="D751" s="36">
        <f>VLOOKUP($B751,Menu!$A$1:$F$20,MATCH($D$1,Menu!$A$1:$F$1,0),0)</f>
        <v>70.540000000000006</v>
      </c>
      <c r="E751" s="15" t="str">
        <f>VLOOKUP($B751,Menu!$A$1:$F$20,MATCH(OrderLines!E$1,Menu!$A$1:$F$1,0),0)</f>
        <v>Snack</v>
      </c>
      <c r="F751" s="36">
        <f>VLOOKUP($B751,Menu!$A$1:$F$20,MATCH(OrderLines!F$1,Menu!$A$1:$F$1,0),0)</f>
        <v>35.81</v>
      </c>
      <c r="G751" s="27">
        <f>VLOOKUP($A751,Orders!$A$1:$H$361,MATCH($G$1,Orders!$A$1:$H$1,0),0)</f>
        <v>45882</v>
      </c>
      <c r="H751" s="15" t="str">
        <f>VLOOKUP($A751,Orders!$A$1:$H$361,MATCH(OrderLines!$H$1,Orders!$A$1:$H$1,0),0)</f>
        <v>Head Office Café</v>
      </c>
      <c r="I751" s="15">
        <f>VLOOKUP($A751,Orders!$A$1:$H$361,MATCH(OrderLines!$I$1,Orders!$A$1:$H$1,0),0)</f>
        <v>0.06</v>
      </c>
      <c r="J751" s="15">
        <f t="shared" si="34"/>
        <v>198.9228</v>
      </c>
      <c r="K751" s="27" t="str">
        <f t="shared" si="35"/>
        <v>August</v>
      </c>
      <c r="L751" s="15" t="str">
        <f>VLOOKUP(OrderLines!$A751,Orders!$A$1:$H$361,MATCH(OrderLines!$L$1,Orders!$A$1:$H$1,0),0)</f>
        <v>Breakfast</v>
      </c>
      <c r="M751" t="str">
        <f>VLOOKUP($A751,Orders!$A$1:$H$361,MATCH(OrderLines!$M$1,Orders!$A$1:$H$1,0),0)</f>
        <v>Card</v>
      </c>
      <c r="N751" t="str">
        <f t="shared" si="33"/>
        <v>Single</v>
      </c>
      <c r="O751" t="str" cm="1">
        <f t="array" ref="O751">IF((SUMPRODUCT((OrderID=OrderLines!$A751)*Qty*UnitPrice*DiscountPct))&gt;40,"HighDisc","OK")</f>
        <v>OK</v>
      </c>
      <c r="P751">
        <f>(orderlinesTABLE[[#This Row],[UnitCost]]*orderlinesTABLE[[#This Row],[Qty]])</f>
        <v>107.43</v>
      </c>
      <c r="Q751">
        <f>(orderlinesTABLE[[#This Row],[LineNetAmount]]-orderlinesTABLE[[#This Row],[totalCOST]])</f>
        <v>91.492799999999988</v>
      </c>
      <c r="R751" t="str">
        <f>VLOOKUP($B751,Menu!$A$1:$F$20,MATCH(OrderLines!R$1,Menu!$A$1:$F$1,0),0)</f>
        <v>Veg Sandwich</v>
      </c>
      <c r="S751" t="str" cm="1">
        <f t="array" ref="S751">_xlfn.TEXTJOIN("+",TRUE,_xlfn._xlws.FILTER(orderlinesTABLE[ItemName],OrderID=orderlinesTABLE[[#This Row],[OrderID]]))</f>
        <v>Veg Sandwich+Nimbu Pani+Gulab Jamun (2 pc)</v>
      </c>
      <c r="T751" s="54">
        <f>orderlinesTABLE[[#This Row],[Profit]]/orderlinesTABLE[[#This Row],[LineNetAmount]]</f>
        <v>0.459941243537694</v>
      </c>
      <c r="U751" s="70">
        <f>(orderlinesTABLE[[#This Row],[Qty]]*orderlinesTABLE[[#This Row],[UnitCost]])</f>
        <v>107.43</v>
      </c>
    </row>
    <row r="752" spans="1:21" x14ac:dyDescent="0.3">
      <c r="A752" s="14" t="s">
        <v>326</v>
      </c>
      <c r="B752" s="14" t="s">
        <v>410</v>
      </c>
      <c r="C752" s="14">
        <v>1</v>
      </c>
      <c r="D752" s="37">
        <f>VLOOKUP($B752,Menu!$A$1:$F$20,MATCH($D$1,Menu!$A$1:$F$1,0),0)</f>
        <v>20.11</v>
      </c>
      <c r="E752" s="14" t="str">
        <f>VLOOKUP($B752,Menu!$A$1:$F$20,MATCH(OrderLines!E$1,Menu!$A$1:$F$1,0),0)</f>
        <v>Beverage</v>
      </c>
      <c r="F752" s="37">
        <f>VLOOKUP($B752,Menu!$A$1:$F$20,MATCH(OrderLines!F$1,Menu!$A$1:$F$1,0),0)</f>
        <v>8</v>
      </c>
      <c r="G752" s="28">
        <f>VLOOKUP($A752,Orders!$A$1:$H$361,MATCH($G$1,Orders!$A$1:$H$1,0),0)</f>
        <v>45882</v>
      </c>
      <c r="H752" s="14" t="str">
        <f>VLOOKUP($A752,Orders!$A$1:$H$361,MATCH(OrderLines!$H$1,Orders!$A$1:$H$1,0),0)</f>
        <v>Head Office Café</v>
      </c>
      <c r="I752" s="14">
        <f>VLOOKUP($A752,Orders!$A$1:$H$361,MATCH(OrderLines!$I$1,Orders!$A$1:$H$1,0),0)</f>
        <v>0.06</v>
      </c>
      <c r="J752" s="14">
        <f t="shared" si="34"/>
        <v>18.903399999999998</v>
      </c>
      <c r="K752" s="28" t="str">
        <f t="shared" si="35"/>
        <v>August</v>
      </c>
      <c r="L752" s="14" t="str">
        <f>VLOOKUP(OrderLines!$A752,Orders!$A$1:$H$361,MATCH(OrderLines!$L$1,Orders!$A$1:$H$1,0),0)</f>
        <v>Breakfast</v>
      </c>
      <c r="M752" t="str">
        <f>VLOOKUP($A752,Orders!$A$1:$H$361,MATCH(OrderLines!$M$1,Orders!$A$1:$H$1,0),0)</f>
        <v>Card</v>
      </c>
      <c r="N752" t="str">
        <f t="shared" si="33"/>
        <v>Single</v>
      </c>
      <c r="O752" t="str" cm="1">
        <f t="array" ref="O752">IF((SUMPRODUCT((OrderID=OrderLines!$A752)*Qty*UnitPrice*DiscountPct))&gt;40,"HighDisc","OK")</f>
        <v>OK</v>
      </c>
      <c r="P752">
        <f>(orderlinesTABLE[[#This Row],[UnitCost]]*orderlinesTABLE[[#This Row],[Qty]])</f>
        <v>8</v>
      </c>
      <c r="Q752">
        <f>(orderlinesTABLE[[#This Row],[LineNetAmount]]-orderlinesTABLE[[#This Row],[totalCOST]])</f>
        <v>10.903399999999998</v>
      </c>
      <c r="R752" t="str">
        <f>VLOOKUP($B752,Menu!$A$1:$F$20,MATCH(OrderLines!R$1,Menu!$A$1:$F$1,0),0)</f>
        <v>Nimbu Pani</v>
      </c>
      <c r="S752" t="str" cm="1">
        <f t="array" ref="S752">_xlfn.TEXTJOIN("+",TRUE,_xlfn._xlws.FILTER(orderlinesTABLE[ItemName],OrderID=orderlinesTABLE[[#This Row],[OrderID]]))</f>
        <v>Veg Sandwich+Nimbu Pani+Gulab Jamun (2 pc)</v>
      </c>
      <c r="T752" s="54">
        <f>orderlinesTABLE[[#This Row],[Profit]]/orderlinesTABLE[[#This Row],[LineNetAmount]]</f>
        <v>0.57679570870848629</v>
      </c>
      <c r="U752" s="70">
        <f>(orderlinesTABLE[[#This Row],[Qty]]*orderlinesTABLE[[#This Row],[UnitCost]])</f>
        <v>8</v>
      </c>
    </row>
    <row r="753" spans="1:21" x14ac:dyDescent="0.3">
      <c r="A753" s="15" t="s">
        <v>326</v>
      </c>
      <c r="B753" s="15" t="s">
        <v>403</v>
      </c>
      <c r="C753" s="15">
        <v>1</v>
      </c>
      <c r="D753" s="36">
        <f>VLOOKUP($B753,Menu!$A$1:$F$20,MATCH($D$1,Menu!$A$1:$F$1,0),0)</f>
        <v>76.55</v>
      </c>
      <c r="E753" s="15" t="str">
        <f>VLOOKUP($B753,Menu!$A$1:$F$20,MATCH(OrderLines!E$1,Menu!$A$1:$F$1,0),0)</f>
        <v>Dessert</v>
      </c>
      <c r="F753" s="36">
        <f>VLOOKUP($B753,Menu!$A$1:$F$20,MATCH(OrderLines!F$1,Menu!$A$1:$F$1,0),0)</f>
        <v>38.229999999999997</v>
      </c>
      <c r="G753" s="27">
        <f>VLOOKUP($A753,Orders!$A$1:$H$361,MATCH($G$1,Orders!$A$1:$H$1,0),0)</f>
        <v>45882</v>
      </c>
      <c r="H753" s="15" t="str">
        <f>VLOOKUP($A753,Orders!$A$1:$H$361,MATCH(OrderLines!$H$1,Orders!$A$1:$H$1,0),0)</f>
        <v>Head Office Café</v>
      </c>
      <c r="I753" s="15">
        <f>VLOOKUP($A753,Orders!$A$1:$H$361,MATCH(OrderLines!$I$1,Orders!$A$1:$H$1,0),0)</f>
        <v>0.06</v>
      </c>
      <c r="J753" s="15">
        <f t="shared" si="34"/>
        <v>71.956999999999994</v>
      </c>
      <c r="K753" s="27" t="str">
        <f t="shared" si="35"/>
        <v>August</v>
      </c>
      <c r="L753" s="15" t="str">
        <f>VLOOKUP(OrderLines!$A753,Orders!$A$1:$H$361,MATCH(OrderLines!$L$1,Orders!$A$1:$H$1,0),0)</f>
        <v>Breakfast</v>
      </c>
      <c r="M753" t="str">
        <f>VLOOKUP($A753,Orders!$A$1:$H$361,MATCH(OrderLines!$M$1,Orders!$A$1:$H$1,0),0)</f>
        <v>Card</v>
      </c>
      <c r="N753" t="str">
        <f t="shared" si="33"/>
        <v>Single</v>
      </c>
      <c r="O753" t="str" cm="1">
        <f t="array" ref="O753">IF((SUMPRODUCT((OrderID=OrderLines!$A753)*Qty*UnitPrice*DiscountPct))&gt;40,"HighDisc","OK")</f>
        <v>OK</v>
      </c>
      <c r="P753">
        <f>(orderlinesTABLE[[#This Row],[UnitCost]]*orderlinesTABLE[[#This Row],[Qty]])</f>
        <v>38.229999999999997</v>
      </c>
      <c r="Q753">
        <f>(orderlinesTABLE[[#This Row],[LineNetAmount]]-orderlinesTABLE[[#This Row],[totalCOST]])</f>
        <v>33.726999999999997</v>
      </c>
      <c r="R753" t="str">
        <f>VLOOKUP($B753,Menu!$A$1:$F$20,MATCH(OrderLines!R$1,Menu!$A$1:$F$1,0),0)</f>
        <v>Gulab Jamun (2 pc)</v>
      </c>
      <c r="S753" t="str" cm="1">
        <f t="array" ref="S753">_xlfn.TEXTJOIN("+",TRUE,_xlfn._xlws.FILTER(orderlinesTABLE[ItemName],OrderID=orderlinesTABLE[[#This Row],[OrderID]]))</f>
        <v>Veg Sandwich+Nimbu Pani+Gulab Jamun (2 pc)</v>
      </c>
      <c r="T753" s="54">
        <f>orderlinesTABLE[[#This Row],[Profit]]/orderlinesTABLE[[#This Row],[LineNetAmount]]</f>
        <v>0.46871047986992231</v>
      </c>
      <c r="U753" s="70">
        <f>(orderlinesTABLE[[#This Row],[Qty]]*orderlinesTABLE[[#This Row],[UnitCost]])</f>
        <v>38.229999999999997</v>
      </c>
    </row>
    <row r="754" spans="1:21" x14ac:dyDescent="0.3">
      <c r="A754" s="14" t="s">
        <v>327</v>
      </c>
      <c r="B754" s="14" t="s">
        <v>404</v>
      </c>
      <c r="C754" s="14">
        <v>1</v>
      </c>
      <c r="D754" s="37">
        <f>VLOOKUP($B754,Menu!$A$1:$F$20,MATCH($D$1,Menu!$A$1:$F$1,0),0)</f>
        <v>32.979999999999997</v>
      </c>
      <c r="E754" s="14" t="str">
        <f>VLOOKUP($B754,Menu!$A$1:$F$20,MATCH(OrderLines!E$1,Menu!$A$1:$F$1,0),0)</f>
        <v>Beverage</v>
      </c>
      <c r="F754" s="37">
        <f>VLOOKUP($B754,Menu!$A$1:$F$20,MATCH(OrderLines!F$1,Menu!$A$1:$F$1,0),0)</f>
        <v>11.84</v>
      </c>
      <c r="G754" s="28">
        <f>VLOOKUP($A754,Orders!$A$1:$H$361,MATCH($G$1,Orders!$A$1:$H$1,0),0)</f>
        <v>45873</v>
      </c>
      <c r="H754" s="14" t="str">
        <f>VLOOKUP($A754,Orders!$A$1:$H$361,MATCH(OrderLines!$H$1,Orders!$A$1:$H$1,0),0)</f>
        <v>Head Office Café</v>
      </c>
      <c r="I754" s="14">
        <f>VLOOKUP($A754,Orders!$A$1:$H$361,MATCH(OrderLines!$I$1,Orders!$A$1:$H$1,0),0)</f>
        <v>0.02</v>
      </c>
      <c r="J754" s="14">
        <f t="shared" si="34"/>
        <v>32.320399999999999</v>
      </c>
      <c r="K754" s="28" t="str">
        <f t="shared" si="35"/>
        <v>August</v>
      </c>
      <c r="L754" s="14" t="str">
        <f>VLOOKUP(OrderLines!$A754,Orders!$A$1:$H$361,MATCH(OrderLines!$L$1,Orders!$A$1:$H$1,0),0)</f>
        <v>Breakfast</v>
      </c>
      <c r="M754" t="str">
        <f>VLOOKUP($A754,Orders!$A$1:$H$361,MATCH(OrderLines!$M$1,Orders!$A$1:$H$1,0),0)</f>
        <v>Card</v>
      </c>
      <c r="N754" t="str">
        <f t="shared" si="33"/>
        <v>Single</v>
      </c>
      <c r="O754" t="str" cm="1">
        <f t="array" ref="O754">IF((SUMPRODUCT((OrderID=OrderLines!$A754)*Qty*UnitPrice*DiscountPct))&gt;40,"HighDisc","OK")</f>
        <v>OK</v>
      </c>
      <c r="P754">
        <f>(orderlinesTABLE[[#This Row],[UnitCost]]*orderlinesTABLE[[#This Row],[Qty]])</f>
        <v>11.84</v>
      </c>
      <c r="Q754">
        <f>(orderlinesTABLE[[#This Row],[LineNetAmount]]-orderlinesTABLE[[#This Row],[totalCOST]])</f>
        <v>20.480399999999999</v>
      </c>
      <c r="R754" t="str">
        <f>VLOOKUP($B754,Menu!$A$1:$F$20,MATCH(OrderLines!R$1,Menu!$A$1:$F$1,0),0)</f>
        <v>Masala Chaas</v>
      </c>
      <c r="S754" t="str" cm="1">
        <f t="array" ref="S754">_xlfn.TEXTJOIN("+",TRUE,_xlfn._xlws.FILTER(orderlinesTABLE[ItemName],OrderID=orderlinesTABLE[[#This Row],[OrderID]]))</f>
        <v>Masala Chaas+Nimbu Pani</v>
      </c>
      <c r="T754" s="54">
        <f>orderlinesTABLE[[#This Row],[Profit]]/orderlinesTABLE[[#This Row],[LineNetAmount]]</f>
        <v>0.63366790014975061</v>
      </c>
      <c r="U754" s="70">
        <f>(orderlinesTABLE[[#This Row],[Qty]]*orderlinesTABLE[[#This Row],[UnitCost]])</f>
        <v>11.84</v>
      </c>
    </row>
    <row r="755" spans="1:21" x14ac:dyDescent="0.3">
      <c r="A755" s="15" t="s">
        <v>327</v>
      </c>
      <c r="B755" s="15" t="s">
        <v>410</v>
      </c>
      <c r="C755" s="15">
        <v>1</v>
      </c>
      <c r="D755" s="36">
        <f>VLOOKUP($B755,Menu!$A$1:$F$20,MATCH($D$1,Menu!$A$1:$F$1,0),0)</f>
        <v>20.11</v>
      </c>
      <c r="E755" s="15" t="str">
        <f>VLOOKUP($B755,Menu!$A$1:$F$20,MATCH(OrderLines!E$1,Menu!$A$1:$F$1,0),0)</f>
        <v>Beverage</v>
      </c>
      <c r="F755" s="36">
        <f>VLOOKUP($B755,Menu!$A$1:$F$20,MATCH(OrderLines!F$1,Menu!$A$1:$F$1,0),0)</f>
        <v>8</v>
      </c>
      <c r="G755" s="27">
        <f>VLOOKUP($A755,Orders!$A$1:$H$361,MATCH($G$1,Orders!$A$1:$H$1,0),0)</f>
        <v>45873</v>
      </c>
      <c r="H755" s="15" t="str">
        <f>VLOOKUP($A755,Orders!$A$1:$H$361,MATCH(OrderLines!$H$1,Orders!$A$1:$H$1,0),0)</f>
        <v>Head Office Café</v>
      </c>
      <c r="I755" s="15">
        <f>VLOOKUP($A755,Orders!$A$1:$H$361,MATCH(OrderLines!$I$1,Orders!$A$1:$H$1,0),0)</f>
        <v>0.02</v>
      </c>
      <c r="J755" s="15">
        <f t="shared" si="34"/>
        <v>19.707799999999999</v>
      </c>
      <c r="K755" s="27" t="str">
        <f t="shared" si="35"/>
        <v>August</v>
      </c>
      <c r="L755" s="15" t="str">
        <f>VLOOKUP(OrderLines!$A755,Orders!$A$1:$H$361,MATCH(OrderLines!$L$1,Orders!$A$1:$H$1,0),0)</f>
        <v>Breakfast</v>
      </c>
      <c r="M755" t="str">
        <f>VLOOKUP($A755,Orders!$A$1:$H$361,MATCH(OrderLines!$M$1,Orders!$A$1:$H$1,0),0)</f>
        <v>Card</v>
      </c>
      <c r="N755" t="str">
        <f t="shared" si="33"/>
        <v>Single</v>
      </c>
      <c r="O755" t="str" cm="1">
        <f t="array" ref="O755">IF((SUMPRODUCT((OrderID=OrderLines!$A755)*Qty*UnitPrice*DiscountPct))&gt;40,"HighDisc","OK")</f>
        <v>OK</v>
      </c>
      <c r="P755">
        <f>(orderlinesTABLE[[#This Row],[UnitCost]]*orderlinesTABLE[[#This Row],[Qty]])</f>
        <v>8</v>
      </c>
      <c r="Q755">
        <f>(orderlinesTABLE[[#This Row],[LineNetAmount]]-orderlinesTABLE[[#This Row],[totalCOST]])</f>
        <v>11.707799999999999</v>
      </c>
      <c r="R755" t="str">
        <f>VLOOKUP($B755,Menu!$A$1:$F$20,MATCH(OrderLines!R$1,Menu!$A$1:$F$1,0),0)</f>
        <v>Nimbu Pani</v>
      </c>
      <c r="S755" t="str" cm="1">
        <f t="array" ref="S755">_xlfn.TEXTJOIN("+",TRUE,_xlfn._xlws.FILTER(orderlinesTABLE[ItemName],OrderID=orderlinesTABLE[[#This Row],[OrderID]]))</f>
        <v>Masala Chaas+Nimbu Pani</v>
      </c>
      <c r="T755" s="54">
        <f>orderlinesTABLE[[#This Row],[Profit]]/orderlinesTABLE[[#This Row],[LineNetAmount]]</f>
        <v>0.59406935325099708</v>
      </c>
      <c r="U755" s="70">
        <f>(orderlinesTABLE[[#This Row],[Qty]]*orderlinesTABLE[[#This Row],[UnitCost]])</f>
        <v>8</v>
      </c>
    </row>
    <row r="756" spans="1:21" x14ac:dyDescent="0.3">
      <c r="A756" s="14" t="s">
        <v>328</v>
      </c>
      <c r="B756" s="14" t="s">
        <v>415</v>
      </c>
      <c r="C756" s="14">
        <v>2</v>
      </c>
      <c r="D756" s="37">
        <f>VLOOKUP($B756,Menu!$A$1:$F$20,MATCH($D$1,Menu!$A$1:$F$1,0),0)</f>
        <v>256.91000000000003</v>
      </c>
      <c r="E756" s="14" t="str">
        <f>VLOOKUP($B756,Menu!$A$1:$F$20,MATCH(OrderLines!E$1,Menu!$A$1:$F$1,0),0)</f>
        <v>Hot Meal</v>
      </c>
      <c r="F756" s="37">
        <f>VLOOKUP($B756,Menu!$A$1:$F$20,MATCH(OrderLines!F$1,Menu!$A$1:$F$1,0),0)</f>
        <v>121.24</v>
      </c>
      <c r="G756" s="28">
        <f>VLOOKUP($A756,Orders!$A$1:$H$361,MATCH($G$1,Orders!$A$1:$H$1,0),0)</f>
        <v>45883</v>
      </c>
      <c r="H756" s="14" t="str">
        <f>VLOOKUP($A756,Orders!$A$1:$H$361,MATCH(OrderLines!$H$1,Orders!$A$1:$H$1,0),0)</f>
        <v>Plant 1 Canteen</v>
      </c>
      <c r="I756" s="14">
        <f>VLOOKUP($A756,Orders!$A$1:$H$361,MATCH(OrderLines!$I$1,Orders!$A$1:$H$1,0),0)</f>
        <v>0.06</v>
      </c>
      <c r="J756" s="14">
        <f t="shared" si="34"/>
        <v>482.99080000000004</v>
      </c>
      <c r="K756" s="28" t="str">
        <f t="shared" si="35"/>
        <v>August</v>
      </c>
      <c r="L756" s="14" t="str">
        <f>VLOOKUP(OrderLines!$A756,Orders!$A$1:$H$361,MATCH(OrderLines!$L$1,Orders!$A$1:$H$1,0),0)</f>
        <v>Breakfast</v>
      </c>
      <c r="M756" t="str">
        <f>VLOOKUP($A756,Orders!$A$1:$H$361,MATCH(OrderLines!$M$1,Orders!$A$1:$H$1,0),0)</f>
        <v>Card</v>
      </c>
      <c r="N756" t="str">
        <f t="shared" si="33"/>
        <v>Single</v>
      </c>
      <c r="O756" t="str" cm="1">
        <f t="array" ref="O756">IF((SUMPRODUCT((OrderID=OrderLines!$A756)*Qty*UnitPrice*DiscountPct))&gt;40,"HighDisc","OK")</f>
        <v>OK</v>
      </c>
      <c r="P756">
        <f>(orderlinesTABLE[[#This Row],[UnitCost]]*orderlinesTABLE[[#This Row],[Qty]])</f>
        <v>242.48</v>
      </c>
      <c r="Q756">
        <f>(orderlinesTABLE[[#This Row],[LineNetAmount]]-orderlinesTABLE[[#This Row],[totalCOST]])</f>
        <v>240.51080000000005</v>
      </c>
      <c r="R756" t="str">
        <f>VLOOKUP($B756,Menu!$A$1:$F$20,MATCH(OrderLines!R$1,Menu!$A$1:$F$1,0),0)</f>
        <v>Chicken Thali</v>
      </c>
      <c r="S756" t="str" cm="1">
        <f t="array" ref="S756">_xlfn.TEXTJOIN("+",TRUE,_xlfn._xlws.FILTER(orderlinesTABLE[ItemName],OrderID=orderlinesTABLE[[#This Row],[OrderID]]))</f>
        <v>Chicken Thali</v>
      </c>
      <c r="T756" s="54">
        <f>orderlinesTABLE[[#This Row],[Profit]]/orderlinesTABLE[[#This Row],[LineNetAmount]]</f>
        <v>0.49796145185374135</v>
      </c>
      <c r="U756" s="70">
        <f>(orderlinesTABLE[[#This Row],[Qty]]*orderlinesTABLE[[#This Row],[UnitCost]])</f>
        <v>242.48</v>
      </c>
    </row>
    <row r="757" spans="1:21" x14ac:dyDescent="0.3">
      <c r="A757" s="15" t="s">
        <v>329</v>
      </c>
      <c r="B757" s="15" t="s">
        <v>410</v>
      </c>
      <c r="C757" s="15">
        <v>1</v>
      </c>
      <c r="D757" s="36">
        <f>VLOOKUP($B757,Menu!$A$1:$F$20,MATCH($D$1,Menu!$A$1:$F$1,0),0)</f>
        <v>20.11</v>
      </c>
      <c r="E757" s="15" t="str">
        <f>VLOOKUP($B757,Menu!$A$1:$F$20,MATCH(OrderLines!E$1,Menu!$A$1:$F$1,0),0)</f>
        <v>Beverage</v>
      </c>
      <c r="F757" s="36">
        <f>VLOOKUP($B757,Menu!$A$1:$F$20,MATCH(OrderLines!F$1,Menu!$A$1:$F$1,0),0)</f>
        <v>8</v>
      </c>
      <c r="G757" s="27">
        <f>VLOOKUP($A757,Orders!$A$1:$H$361,MATCH($G$1,Orders!$A$1:$H$1,0),0)</f>
        <v>45846</v>
      </c>
      <c r="H757" s="15" t="str">
        <f>VLOOKUP($A757,Orders!$A$1:$H$361,MATCH(OrderLines!$H$1,Orders!$A$1:$H$1,0),0)</f>
        <v>Head Office Café</v>
      </c>
      <c r="I757" s="15">
        <f>VLOOKUP($A757,Orders!$A$1:$H$361,MATCH(OrderLines!$I$1,Orders!$A$1:$H$1,0),0)</f>
        <v>0.03</v>
      </c>
      <c r="J757" s="15">
        <f t="shared" si="34"/>
        <v>19.506699999999999</v>
      </c>
      <c r="K757" s="27" t="str">
        <f t="shared" si="35"/>
        <v>July</v>
      </c>
      <c r="L757" s="15" t="str">
        <f>VLOOKUP(OrderLines!$A757,Orders!$A$1:$H$361,MATCH(OrderLines!$L$1,Orders!$A$1:$H$1,0),0)</f>
        <v>Dinner</v>
      </c>
      <c r="M757" t="str">
        <f>VLOOKUP($A757,Orders!$A$1:$H$361,MATCH(OrderLines!$M$1,Orders!$A$1:$H$1,0),0)</f>
        <v>UPI</v>
      </c>
      <c r="N757" t="str">
        <f t="shared" si="33"/>
        <v>Single</v>
      </c>
      <c r="O757" t="str" cm="1">
        <f t="array" ref="O757">IF((SUMPRODUCT((OrderID=OrderLines!$A757)*Qty*UnitPrice*DiscountPct))&gt;40,"HighDisc","OK")</f>
        <v>OK</v>
      </c>
      <c r="P757">
        <f>(orderlinesTABLE[[#This Row],[UnitCost]]*orderlinesTABLE[[#This Row],[Qty]])</f>
        <v>8</v>
      </c>
      <c r="Q757">
        <f>(orderlinesTABLE[[#This Row],[LineNetAmount]]-orderlinesTABLE[[#This Row],[totalCOST]])</f>
        <v>11.506699999999999</v>
      </c>
      <c r="R757" t="str">
        <f>VLOOKUP($B757,Menu!$A$1:$F$20,MATCH(OrderLines!R$1,Menu!$A$1:$F$1,0),0)</f>
        <v>Nimbu Pani</v>
      </c>
      <c r="S757" t="str" cm="1">
        <f t="array" ref="S757">_xlfn.TEXTJOIN("+",TRUE,_xlfn._xlws.FILTER(orderlinesTABLE[ItemName],OrderID=orderlinesTABLE[[#This Row],[OrderID]]))</f>
        <v>Nimbu Pani+Tea</v>
      </c>
      <c r="T757" s="54">
        <f>orderlinesTABLE[[#This Row],[Profit]]/orderlinesTABLE[[#This Row],[LineNetAmount]]</f>
        <v>0.58988450122265679</v>
      </c>
      <c r="U757" s="70">
        <f>(orderlinesTABLE[[#This Row],[Qty]]*orderlinesTABLE[[#This Row],[UnitCost]])</f>
        <v>8</v>
      </c>
    </row>
    <row r="758" spans="1:21" x14ac:dyDescent="0.3">
      <c r="A758" s="14" t="s">
        <v>329</v>
      </c>
      <c r="B758" s="14" t="s">
        <v>402</v>
      </c>
      <c r="C758" s="14">
        <v>2</v>
      </c>
      <c r="D758" s="37">
        <f>VLOOKUP($B758,Menu!$A$1:$F$20,MATCH($D$1,Menu!$A$1:$F$1,0),0)</f>
        <v>30.34</v>
      </c>
      <c r="E758" s="14" t="str">
        <f>VLOOKUP($B758,Menu!$A$1:$F$20,MATCH(OrderLines!E$1,Menu!$A$1:$F$1,0),0)</f>
        <v>Beverage</v>
      </c>
      <c r="F758" s="37">
        <f>VLOOKUP($B758,Menu!$A$1:$F$20,MATCH(OrderLines!F$1,Menu!$A$1:$F$1,0),0)</f>
        <v>14.18</v>
      </c>
      <c r="G758" s="28">
        <f>VLOOKUP($A758,Orders!$A$1:$H$361,MATCH($G$1,Orders!$A$1:$H$1,0),0)</f>
        <v>45846</v>
      </c>
      <c r="H758" s="14" t="str">
        <f>VLOOKUP($A758,Orders!$A$1:$H$361,MATCH(OrderLines!$H$1,Orders!$A$1:$H$1,0),0)</f>
        <v>Head Office Café</v>
      </c>
      <c r="I758" s="14">
        <f>VLOOKUP($A758,Orders!$A$1:$H$361,MATCH(OrderLines!$I$1,Orders!$A$1:$H$1,0),0)</f>
        <v>0.03</v>
      </c>
      <c r="J758" s="14">
        <f t="shared" si="34"/>
        <v>58.8596</v>
      </c>
      <c r="K758" s="28" t="str">
        <f t="shared" si="35"/>
        <v>July</v>
      </c>
      <c r="L758" s="14" t="str">
        <f>VLOOKUP(OrderLines!$A758,Orders!$A$1:$H$361,MATCH(OrderLines!$L$1,Orders!$A$1:$H$1,0),0)</f>
        <v>Dinner</v>
      </c>
      <c r="M758" t="str">
        <f>VLOOKUP($A758,Orders!$A$1:$H$361,MATCH(OrderLines!$M$1,Orders!$A$1:$H$1,0),0)</f>
        <v>UPI</v>
      </c>
      <c r="N758" t="str">
        <f t="shared" si="33"/>
        <v>Single</v>
      </c>
      <c r="O758" t="str" cm="1">
        <f t="array" ref="O758">IF((SUMPRODUCT((OrderID=OrderLines!$A758)*Qty*UnitPrice*DiscountPct))&gt;40,"HighDisc","OK")</f>
        <v>OK</v>
      </c>
      <c r="P758">
        <f>(orderlinesTABLE[[#This Row],[UnitCost]]*orderlinesTABLE[[#This Row],[Qty]])</f>
        <v>28.36</v>
      </c>
      <c r="Q758">
        <f>(orderlinesTABLE[[#This Row],[LineNetAmount]]-orderlinesTABLE[[#This Row],[totalCOST]])</f>
        <v>30.499600000000001</v>
      </c>
      <c r="R758" t="str">
        <f>VLOOKUP($B758,Menu!$A$1:$F$20,MATCH(OrderLines!R$1,Menu!$A$1:$F$1,0),0)</f>
        <v>Tea</v>
      </c>
      <c r="S758" t="str" cm="1">
        <f t="array" ref="S758">_xlfn.TEXTJOIN("+",TRUE,_xlfn._xlws.FILTER(orderlinesTABLE[ItemName],OrderID=orderlinesTABLE[[#This Row],[OrderID]]))</f>
        <v>Nimbu Pani+Tea</v>
      </c>
      <c r="T758" s="54">
        <f>orderlinesTABLE[[#This Row],[Profit]]/orderlinesTABLE[[#This Row],[LineNetAmount]]</f>
        <v>0.51817545481110983</v>
      </c>
      <c r="U758" s="70">
        <f>(orderlinesTABLE[[#This Row],[Qty]]*orderlinesTABLE[[#This Row],[UnitCost]])</f>
        <v>28.36</v>
      </c>
    </row>
    <row r="759" spans="1:21" x14ac:dyDescent="0.3">
      <c r="A759" s="15" t="s">
        <v>330</v>
      </c>
      <c r="B759" s="15" t="s">
        <v>416</v>
      </c>
      <c r="C759" s="15">
        <v>2</v>
      </c>
      <c r="D759" s="36">
        <f>VLOOKUP($B759,Menu!$A$1:$F$20,MATCH($D$1,Menu!$A$1:$F$1,0),0)</f>
        <v>227.61</v>
      </c>
      <c r="E759" s="15" t="str">
        <f>VLOOKUP($B759,Menu!$A$1:$F$20,MATCH(OrderLines!E$1,Menu!$A$1:$F$1,0),0)</f>
        <v>Hot Meal</v>
      </c>
      <c r="F759" s="36">
        <f>VLOOKUP($B759,Menu!$A$1:$F$20,MATCH(OrderLines!F$1,Menu!$A$1:$F$1,0),0)</f>
        <v>96.22</v>
      </c>
      <c r="G759" s="27">
        <f>VLOOKUP($A759,Orders!$A$1:$H$361,MATCH($G$1,Orders!$A$1:$H$1,0),0)</f>
        <v>45876</v>
      </c>
      <c r="H759" s="15" t="str">
        <f>VLOOKUP($A759,Orders!$A$1:$H$361,MATCH(OrderLines!$H$1,Orders!$A$1:$H$1,0),0)</f>
        <v>Plant 2 Canteen</v>
      </c>
      <c r="I759" s="15">
        <f>VLOOKUP($A759,Orders!$A$1:$H$361,MATCH(OrderLines!$I$1,Orders!$A$1:$H$1,0),0)</f>
        <v>0.1</v>
      </c>
      <c r="J759" s="15">
        <f t="shared" si="34"/>
        <v>409.69800000000004</v>
      </c>
      <c r="K759" s="27" t="str">
        <f t="shared" si="35"/>
        <v>August</v>
      </c>
      <c r="L759" s="15" t="str">
        <f>VLOOKUP(OrderLines!$A759,Orders!$A$1:$H$361,MATCH(OrderLines!$L$1,Orders!$A$1:$H$1,0),0)</f>
        <v>Lunch</v>
      </c>
      <c r="M759" t="str">
        <f>VLOOKUP($A759,Orders!$A$1:$H$361,MATCH(OrderLines!$M$1,Orders!$A$1:$H$1,0),0)</f>
        <v>UPI</v>
      </c>
      <c r="N759" t="str">
        <f t="shared" si="33"/>
        <v>Combo</v>
      </c>
      <c r="O759" t="str" cm="1">
        <f t="array" ref="O759">IF((SUMPRODUCT((OrderID=OrderLines!$A759)*Qty*UnitPrice*DiscountPct))&gt;40,"HighDisc","OK")</f>
        <v>HighDisc</v>
      </c>
      <c r="P759">
        <f>(orderlinesTABLE[[#This Row],[UnitCost]]*orderlinesTABLE[[#This Row],[Qty]])</f>
        <v>192.44</v>
      </c>
      <c r="Q759">
        <f>(orderlinesTABLE[[#This Row],[LineNetAmount]]-orderlinesTABLE[[#This Row],[totalCOST]])</f>
        <v>217.25800000000004</v>
      </c>
      <c r="R759" t="str">
        <f>VLOOKUP($B759,Menu!$A$1:$F$20,MATCH(OrderLines!R$1,Menu!$A$1:$F$1,0),0)</f>
        <v>Veg Thali</v>
      </c>
      <c r="S759" t="str" cm="1">
        <f t="array" ref="S759">_xlfn.TEXTJOIN("+",TRUE,_xlfn._xlws.FILTER(orderlinesTABLE[ItemName],OrderID=orderlinesTABLE[[#This Row],[OrderID]]))</f>
        <v>Veg Thali+Tea</v>
      </c>
      <c r="T759" s="54">
        <f>orderlinesTABLE[[#This Row],[Profit]]/orderlinesTABLE[[#This Row],[LineNetAmount]]</f>
        <v>0.53028816347651198</v>
      </c>
      <c r="U759" s="70">
        <f>(orderlinesTABLE[[#This Row],[Qty]]*orderlinesTABLE[[#This Row],[UnitCost]])</f>
        <v>192.44</v>
      </c>
    </row>
    <row r="760" spans="1:21" x14ac:dyDescent="0.3">
      <c r="A760" s="14" t="s">
        <v>330</v>
      </c>
      <c r="B760" s="14" t="s">
        <v>402</v>
      </c>
      <c r="C760" s="14">
        <v>2</v>
      </c>
      <c r="D760" s="37">
        <f>VLOOKUP($B760,Menu!$A$1:$F$20,MATCH($D$1,Menu!$A$1:$F$1,0),0)</f>
        <v>30.34</v>
      </c>
      <c r="E760" s="14" t="str">
        <f>VLOOKUP($B760,Menu!$A$1:$F$20,MATCH(OrderLines!E$1,Menu!$A$1:$F$1,0),0)</f>
        <v>Beverage</v>
      </c>
      <c r="F760" s="37">
        <f>VLOOKUP($B760,Menu!$A$1:$F$20,MATCH(OrderLines!F$1,Menu!$A$1:$F$1,0),0)</f>
        <v>14.18</v>
      </c>
      <c r="G760" s="28">
        <f>VLOOKUP($A760,Orders!$A$1:$H$361,MATCH($G$1,Orders!$A$1:$H$1,0),0)</f>
        <v>45876</v>
      </c>
      <c r="H760" s="14" t="str">
        <f>VLOOKUP($A760,Orders!$A$1:$H$361,MATCH(OrderLines!$H$1,Orders!$A$1:$H$1,0),0)</f>
        <v>Plant 2 Canteen</v>
      </c>
      <c r="I760" s="14">
        <f>VLOOKUP($A760,Orders!$A$1:$H$361,MATCH(OrderLines!$I$1,Orders!$A$1:$H$1,0),0)</f>
        <v>0.1</v>
      </c>
      <c r="J760" s="14">
        <f t="shared" si="34"/>
        <v>54.612000000000002</v>
      </c>
      <c r="K760" s="28" t="str">
        <f t="shared" si="35"/>
        <v>August</v>
      </c>
      <c r="L760" s="14" t="str">
        <f>VLOOKUP(OrderLines!$A760,Orders!$A$1:$H$361,MATCH(OrderLines!$L$1,Orders!$A$1:$H$1,0),0)</f>
        <v>Lunch</v>
      </c>
      <c r="M760" t="str">
        <f>VLOOKUP($A760,Orders!$A$1:$H$361,MATCH(OrderLines!$M$1,Orders!$A$1:$H$1,0),0)</f>
        <v>UPI</v>
      </c>
      <c r="N760" t="str">
        <f t="shared" si="33"/>
        <v>Combo</v>
      </c>
      <c r="O760" t="str" cm="1">
        <f t="array" ref="O760">IF((SUMPRODUCT((OrderID=OrderLines!$A760)*Qty*UnitPrice*DiscountPct))&gt;40,"HighDisc","OK")</f>
        <v>HighDisc</v>
      </c>
      <c r="P760">
        <f>(orderlinesTABLE[[#This Row],[UnitCost]]*orderlinesTABLE[[#This Row],[Qty]])</f>
        <v>28.36</v>
      </c>
      <c r="Q760">
        <f>(orderlinesTABLE[[#This Row],[LineNetAmount]]-orderlinesTABLE[[#This Row],[totalCOST]])</f>
        <v>26.252000000000002</v>
      </c>
      <c r="R760" t="str">
        <f>VLOOKUP($B760,Menu!$A$1:$F$20,MATCH(OrderLines!R$1,Menu!$A$1:$F$1,0),0)</f>
        <v>Tea</v>
      </c>
      <c r="S760" t="str" cm="1">
        <f t="array" ref="S760">_xlfn.TEXTJOIN("+",TRUE,_xlfn._xlws.FILTER(orderlinesTABLE[ItemName],OrderID=orderlinesTABLE[[#This Row],[OrderID]]))</f>
        <v>Veg Thali+Tea</v>
      </c>
      <c r="T760" s="54">
        <f>orderlinesTABLE[[#This Row],[Profit]]/orderlinesTABLE[[#This Row],[LineNetAmount]]</f>
        <v>0.48070021240752953</v>
      </c>
      <c r="U760" s="70">
        <f>(orderlinesTABLE[[#This Row],[Qty]]*orderlinesTABLE[[#This Row],[UnitCost]])</f>
        <v>28.36</v>
      </c>
    </row>
    <row r="761" spans="1:21" x14ac:dyDescent="0.3">
      <c r="A761" s="15" t="s">
        <v>331</v>
      </c>
      <c r="B761" s="15" t="s">
        <v>409</v>
      </c>
      <c r="C761" s="15">
        <v>2</v>
      </c>
      <c r="D761" s="36">
        <f>VLOOKUP($B761,Menu!$A$1:$F$20,MATCH($D$1,Menu!$A$1:$F$1,0),0)</f>
        <v>28.43</v>
      </c>
      <c r="E761" s="15" t="str">
        <f>VLOOKUP($B761,Menu!$A$1:$F$20,MATCH(OrderLines!E$1,Menu!$A$1:$F$1,0),0)</f>
        <v>Beverage</v>
      </c>
      <c r="F761" s="36">
        <f>VLOOKUP($B761,Menu!$A$1:$F$20,MATCH(OrderLines!F$1,Menu!$A$1:$F$1,0),0)</f>
        <v>13.89</v>
      </c>
      <c r="G761" s="27">
        <f>VLOOKUP($A761,Orders!$A$1:$H$361,MATCH($G$1,Orders!$A$1:$H$1,0),0)</f>
        <v>45882</v>
      </c>
      <c r="H761" s="15" t="str">
        <f>VLOOKUP($A761,Orders!$A$1:$H$361,MATCH(OrderLines!$H$1,Orders!$A$1:$H$1,0),0)</f>
        <v>Head Office Café</v>
      </c>
      <c r="I761" s="15">
        <f>VLOOKUP($A761,Orders!$A$1:$H$361,MATCH(OrderLines!$I$1,Orders!$A$1:$H$1,0),0)</f>
        <v>0.05</v>
      </c>
      <c r="J761" s="15">
        <f t="shared" si="34"/>
        <v>54.016999999999996</v>
      </c>
      <c r="K761" s="27" t="str">
        <f t="shared" si="35"/>
        <v>August</v>
      </c>
      <c r="L761" s="15" t="str">
        <f>VLOOKUP(OrderLines!$A761,Orders!$A$1:$H$361,MATCH(OrderLines!$L$1,Orders!$A$1:$H$1,0),0)</f>
        <v>Dinner</v>
      </c>
      <c r="M761" t="str">
        <f>VLOOKUP($A761,Orders!$A$1:$H$361,MATCH(OrderLines!$M$1,Orders!$A$1:$H$1,0),0)</f>
        <v>Cash</v>
      </c>
      <c r="N761" t="str">
        <f t="shared" si="33"/>
        <v>Single</v>
      </c>
      <c r="O761" t="str" cm="1">
        <f t="array" ref="O761">IF((SUMPRODUCT((OrderID=OrderLines!$A761)*Qty*UnitPrice*DiscountPct))&gt;40,"HighDisc","OK")</f>
        <v>OK</v>
      </c>
      <c r="P761">
        <f>(orderlinesTABLE[[#This Row],[UnitCost]]*orderlinesTABLE[[#This Row],[Qty]])</f>
        <v>27.78</v>
      </c>
      <c r="Q761">
        <f>(orderlinesTABLE[[#This Row],[LineNetAmount]]-orderlinesTABLE[[#This Row],[totalCOST]])</f>
        <v>26.236999999999995</v>
      </c>
      <c r="R761" t="str">
        <f>VLOOKUP($B761,Menu!$A$1:$F$20,MATCH(OrderLines!R$1,Menu!$A$1:$F$1,0),0)</f>
        <v>Bottled Water</v>
      </c>
      <c r="S761" t="str" cm="1">
        <f t="array" ref="S761">_xlfn.TEXTJOIN("+",TRUE,_xlfn._xlws.FILTER(orderlinesTABLE[ItemName],OrderID=orderlinesTABLE[[#This Row],[OrderID]]))</f>
        <v>Bottled Water</v>
      </c>
      <c r="T761" s="54">
        <f>orderlinesTABLE[[#This Row],[Profit]]/orderlinesTABLE[[#This Row],[LineNetAmount]]</f>
        <v>0.48571745931836269</v>
      </c>
      <c r="U761" s="70">
        <f>(orderlinesTABLE[[#This Row],[Qty]]*orderlinesTABLE[[#This Row],[UnitCost]])</f>
        <v>27.78</v>
      </c>
    </row>
    <row r="762" spans="1:21" x14ac:dyDescent="0.3">
      <c r="A762" s="14" t="s">
        <v>332</v>
      </c>
      <c r="B762" s="14" t="s">
        <v>412</v>
      </c>
      <c r="C762" s="14">
        <v>1</v>
      </c>
      <c r="D762" s="37">
        <f>VLOOKUP($B762,Menu!$A$1:$F$20,MATCH($D$1,Menu!$A$1:$F$1,0),0)</f>
        <v>57.07</v>
      </c>
      <c r="E762" s="14" t="str">
        <f>VLOOKUP($B762,Menu!$A$1:$F$20,MATCH(OrderLines!E$1,Menu!$A$1:$F$1,0),0)</f>
        <v>Dessert</v>
      </c>
      <c r="F762" s="37">
        <f>VLOOKUP($B762,Menu!$A$1:$F$20,MATCH(OrderLines!F$1,Menu!$A$1:$F$1,0),0)</f>
        <v>29.14</v>
      </c>
      <c r="G762" s="28">
        <f>VLOOKUP($A762,Orders!$A$1:$H$361,MATCH($G$1,Orders!$A$1:$H$1,0),0)</f>
        <v>45897</v>
      </c>
      <c r="H762" s="14" t="str">
        <f>VLOOKUP($A762,Orders!$A$1:$H$361,MATCH(OrderLines!$H$1,Orders!$A$1:$H$1,0),0)</f>
        <v>Plant 2 Canteen</v>
      </c>
      <c r="I762" s="14">
        <f>VLOOKUP($A762,Orders!$A$1:$H$361,MATCH(OrderLines!$I$1,Orders!$A$1:$H$1,0),0)</f>
        <v>0.03</v>
      </c>
      <c r="J762" s="14">
        <f t="shared" si="34"/>
        <v>55.357900000000001</v>
      </c>
      <c r="K762" s="28" t="str">
        <f t="shared" si="35"/>
        <v>August</v>
      </c>
      <c r="L762" s="14" t="str">
        <f>VLOOKUP(OrderLines!$A762,Orders!$A$1:$H$361,MATCH(OrderLines!$L$1,Orders!$A$1:$H$1,0),0)</f>
        <v>Dinner</v>
      </c>
      <c r="M762" t="str">
        <f>VLOOKUP($A762,Orders!$A$1:$H$361,MATCH(OrderLines!$M$1,Orders!$A$1:$H$1,0),0)</f>
        <v>Cash</v>
      </c>
      <c r="N762" t="str">
        <f t="shared" si="33"/>
        <v>Single</v>
      </c>
      <c r="O762" t="str" cm="1">
        <f t="array" ref="O762">IF((SUMPRODUCT((OrderID=OrderLines!$A762)*Qty*UnitPrice*DiscountPct))&gt;40,"HighDisc","OK")</f>
        <v>OK</v>
      </c>
      <c r="P762">
        <f>(orderlinesTABLE[[#This Row],[UnitCost]]*orderlinesTABLE[[#This Row],[Qty]])</f>
        <v>29.14</v>
      </c>
      <c r="Q762">
        <f>(orderlinesTABLE[[#This Row],[LineNetAmount]]-orderlinesTABLE[[#This Row],[totalCOST]])</f>
        <v>26.2179</v>
      </c>
      <c r="R762" t="str">
        <f>VLOOKUP($B762,Menu!$A$1:$F$20,MATCH(OrderLines!R$1,Menu!$A$1:$F$1,0),0)</f>
        <v>Fruit Cup</v>
      </c>
      <c r="S762" t="str" cm="1">
        <f t="array" ref="S762">_xlfn.TEXTJOIN("+",TRUE,_xlfn._xlws.FILTER(orderlinesTABLE[ItemName],OrderID=orderlinesTABLE[[#This Row],[OrderID]]))</f>
        <v>Fruit Cup+Coffee</v>
      </c>
      <c r="T762" s="54">
        <f>orderlinesTABLE[[#This Row],[Profit]]/orderlinesTABLE[[#This Row],[LineNetAmount]]</f>
        <v>0.47360719969507514</v>
      </c>
      <c r="U762" s="70">
        <f>(orderlinesTABLE[[#This Row],[Qty]]*orderlinesTABLE[[#This Row],[UnitCost]])</f>
        <v>29.14</v>
      </c>
    </row>
    <row r="763" spans="1:21" x14ac:dyDescent="0.3">
      <c r="A763" s="15" t="s">
        <v>332</v>
      </c>
      <c r="B763" s="15" t="s">
        <v>411</v>
      </c>
      <c r="C763" s="15">
        <v>1</v>
      </c>
      <c r="D763" s="36">
        <f>VLOOKUP($B763,Menu!$A$1:$F$20,MATCH($D$1,Menu!$A$1:$F$1,0),0)</f>
        <v>22.2</v>
      </c>
      <c r="E763" s="15" t="str">
        <f>VLOOKUP($B763,Menu!$A$1:$F$20,MATCH(OrderLines!E$1,Menu!$A$1:$F$1,0),0)</f>
        <v>Beverage</v>
      </c>
      <c r="F763" s="36">
        <f>VLOOKUP($B763,Menu!$A$1:$F$20,MATCH(OrderLines!F$1,Menu!$A$1:$F$1,0),0)</f>
        <v>9.3800000000000008</v>
      </c>
      <c r="G763" s="27">
        <f>VLOOKUP($A763,Orders!$A$1:$H$361,MATCH($G$1,Orders!$A$1:$H$1,0),0)</f>
        <v>45897</v>
      </c>
      <c r="H763" s="15" t="str">
        <f>VLOOKUP($A763,Orders!$A$1:$H$361,MATCH(OrderLines!$H$1,Orders!$A$1:$H$1,0),0)</f>
        <v>Plant 2 Canteen</v>
      </c>
      <c r="I763" s="15">
        <f>VLOOKUP($A763,Orders!$A$1:$H$361,MATCH(OrderLines!$I$1,Orders!$A$1:$H$1,0),0)</f>
        <v>0.03</v>
      </c>
      <c r="J763" s="15">
        <f t="shared" si="34"/>
        <v>21.533999999999999</v>
      </c>
      <c r="K763" s="27" t="str">
        <f t="shared" si="35"/>
        <v>August</v>
      </c>
      <c r="L763" s="15" t="str">
        <f>VLOOKUP(OrderLines!$A763,Orders!$A$1:$H$361,MATCH(OrderLines!$L$1,Orders!$A$1:$H$1,0),0)</f>
        <v>Dinner</v>
      </c>
      <c r="M763" t="str">
        <f>VLOOKUP($A763,Orders!$A$1:$H$361,MATCH(OrderLines!$M$1,Orders!$A$1:$H$1,0),0)</f>
        <v>Cash</v>
      </c>
      <c r="N763" t="str">
        <f t="shared" si="33"/>
        <v>Single</v>
      </c>
      <c r="O763" t="str" cm="1">
        <f t="array" ref="O763">IF((SUMPRODUCT((OrderID=OrderLines!$A763)*Qty*UnitPrice*DiscountPct))&gt;40,"HighDisc","OK")</f>
        <v>OK</v>
      </c>
      <c r="P763">
        <f>(orderlinesTABLE[[#This Row],[UnitCost]]*orderlinesTABLE[[#This Row],[Qty]])</f>
        <v>9.3800000000000008</v>
      </c>
      <c r="Q763">
        <f>(orderlinesTABLE[[#This Row],[LineNetAmount]]-orderlinesTABLE[[#This Row],[totalCOST]])</f>
        <v>12.153999999999998</v>
      </c>
      <c r="R763" t="str">
        <f>VLOOKUP($B763,Menu!$A$1:$F$20,MATCH(OrderLines!R$1,Menu!$A$1:$F$1,0),0)</f>
        <v>Coffee</v>
      </c>
      <c r="S763" t="str" cm="1">
        <f t="array" ref="S763">_xlfn.TEXTJOIN("+",TRUE,_xlfn._xlws.FILTER(orderlinesTABLE[ItemName],OrderID=orderlinesTABLE[[#This Row],[OrderID]]))</f>
        <v>Fruit Cup+Coffee</v>
      </c>
      <c r="T763" s="54">
        <f>orderlinesTABLE[[#This Row],[Profit]]/orderlinesTABLE[[#This Row],[LineNetAmount]]</f>
        <v>0.56440977059533759</v>
      </c>
      <c r="U763" s="70">
        <f>(orderlinesTABLE[[#This Row],[Qty]]*orderlinesTABLE[[#This Row],[UnitCost]])</f>
        <v>9.3800000000000008</v>
      </c>
    </row>
    <row r="764" spans="1:21" x14ac:dyDescent="0.3">
      <c r="A764" s="14" t="s">
        <v>333</v>
      </c>
      <c r="B764" s="14" t="s">
        <v>419</v>
      </c>
      <c r="C764" s="14">
        <v>1</v>
      </c>
      <c r="D764" s="37">
        <f>VLOOKUP($B764,Menu!$A$1:$F$20,MATCH($D$1,Menu!$A$1:$F$1,0),0)</f>
        <v>50.19</v>
      </c>
      <c r="E764" s="14" t="str">
        <f>VLOOKUP($B764,Menu!$A$1:$F$20,MATCH(OrderLines!E$1,Menu!$A$1:$F$1,0),0)</f>
        <v>Snack</v>
      </c>
      <c r="F764" s="37">
        <f>VLOOKUP($B764,Menu!$A$1:$F$20,MATCH(OrderLines!F$1,Menu!$A$1:$F$1,0),0)</f>
        <v>22.61</v>
      </c>
      <c r="G764" s="28">
        <f>VLOOKUP($A764,Orders!$A$1:$H$361,MATCH($G$1,Orders!$A$1:$H$1,0),0)</f>
        <v>45882</v>
      </c>
      <c r="H764" s="14" t="str">
        <f>VLOOKUP($A764,Orders!$A$1:$H$361,MATCH(OrderLines!$H$1,Orders!$A$1:$H$1,0),0)</f>
        <v>Plant 1 Canteen</v>
      </c>
      <c r="I764" s="14">
        <f>VLOOKUP($A764,Orders!$A$1:$H$361,MATCH(OrderLines!$I$1,Orders!$A$1:$H$1,0),0)</f>
        <v>0.05</v>
      </c>
      <c r="J764" s="14">
        <f t="shared" si="34"/>
        <v>47.680499999999995</v>
      </c>
      <c r="K764" s="28" t="str">
        <f t="shared" si="35"/>
        <v>August</v>
      </c>
      <c r="L764" s="14" t="str">
        <f>VLOOKUP(OrderLines!$A764,Orders!$A$1:$H$361,MATCH(OrderLines!$L$1,Orders!$A$1:$H$1,0),0)</f>
        <v>Dinner</v>
      </c>
      <c r="M764" t="str">
        <f>VLOOKUP($A764,Orders!$A$1:$H$361,MATCH(OrderLines!$M$1,Orders!$A$1:$H$1,0),0)</f>
        <v>UPI</v>
      </c>
      <c r="N764" t="str">
        <f t="shared" si="33"/>
        <v>Single</v>
      </c>
      <c r="O764" t="str" cm="1">
        <f t="array" ref="O764">IF((SUMPRODUCT((OrderID=OrderLines!$A764)*Qty*UnitPrice*DiscountPct))&gt;40,"HighDisc","OK")</f>
        <v>OK</v>
      </c>
      <c r="P764">
        <f>(orderlinesTABLE[[#This Row],[UnitCost]]*orderlinesTABLE[[#This Row],[Qty]])</f>
        <v>22.61</v>
      </c>
      <c r="Q764">
        <f>(orderlinesTABLE[[#This Row],[LineNetAmount]]-orderlinesTABLE[[#This Row],[totalCOST]])</f>
        <v>25.070499999999996</v>
      </c>
      <c r="R764" t="str">
        <f>VLOOKUP($B764,Menu!$A$1:$F$20,MATCH(OrderLines!R$1,Menu!$A$1:$F$1,0),0)</f>
        <v>Masala Puff</v>
      </c>
      <c r="S764" t="str" cm="1">
        <f t="array" ref="S764">_xlfn.TEXTJOIN("+",TRUE,_xlfn._xlws.FILTER(orderlinesTABLE[ItemName],OrderID=orderlinesTABLE[[#This Row],[OrderID]]))</f>
        <v>Masala Puff+Samosa</v>
      </c>
      <c r="T764" s="54">
        <f>orderlinesTABLE[[#This Row],[Profit]]/orderlinesTABLE[[#This Row],[LineNetAmount]]</f>
        <v>0.52580195258019524</v>
      </c>
      <c r="U764" s="70">
        <f>(orderlinesTABLE[[#This Row],[Qty]]*orderlinesTABLE[[#This Row],[UnitCost]])</f>
        <v>22.61</v>
      </c>
    </row>
    <row r="765" spans="1:21" x14ac:dyDescent="0.3">
      <c r="A765" s="15" t="s">
        <v>333</v>
      </c>
      <c r="B765" s="15" t="s">
        <v>418</v>
      </c>
      <c r="C765" s="15">
        <v>3</v>
      </c>
      <c r="D765" s="36">
        <f>VLOOKUP($B765,Menu!$A$1:$F$20,MATCH($D$1,Menu!$A$1:$F$1,0),0)</f>
        <v>39.950000000000003</v>
      </c>
      <c r="E765" s="15" t="str">
        <f>VLOOKUP($B765,Menu!$A$1:$F$20,MATCH(OrderLines!E$1,Menu!$A$1:$F$1,0),0)</f>
        <v>Snack</v>
      </c>
      <c r="F765" s="36">
        <f>VLOOKUP($B765,Menu!$A$1:$F$20,MATCH(OrderLines!F$1,Menu!$A$1:$F$1,0),0)</f>
        <v>15.51</v>
      </c>
      <c r="G765" s="27">
        <f>VLOOKUP($A765,Orders!$A$1:$H$361,MATCH($G$1,Orders!$A$1:$H$1,0),0)</f>
        <v>45882</v>
      </c>
      <c r="H765" s="15" t="str">
        <f>VLOOKUP($A765,Orders!$A$1:$H$361,MATCH(OrderLines!$H$1,Orders!$A$1:$H$1,0),0)</f>
        <v>Plant 1 Canteen</v>
      </c>
      <c r="I765" s="15">
        <f>VLOOKUP($A765,Orders!$A$1:$H$361,MATCH(OrderLines!$I$1,Orders!$A$1:$H$1,0),0)</f>
        <v>0.05</v>
      </c>
      <c r="J765" s="15">
        <f t="shared" si="34"/>
        <v>113.8575</v>
      </c>
      <c r="K765" s="27" t="str">
        <f t="shared" si="35"/>
        <v>August</v>
      </c>
      <c r="L765" s="15" t="str">
        <f>VLOOKUP(OrderLines!$A765,Orders!$A$1:$H$361,MATCH(OrderLines!$L$1,Orders!$A$1:$H$1,0),0)</f>
        <v>Dinner</v>
      </c>
      <c r="M765" t="str">
        <f>VLOOKUP($A765,Orders!$A$1:$H$361,MATCH(OrderLines!$M$1,Orders!$A$1:$H$1,0),0)</f>
        <v>UPI</v>
      </c>
      <c r="N765" t="str">
        <f t="shared" si="33"/>
        <v>Single</v>
      </c>
      <c r="O765" t="str" cm="1">
        <f t="array" ref="O765">IF((SUMPRODUCT((OrderID=OrderLines!$A765)*Qty*UnitPrice*DiscountPct))&gt;40,"HighDisc","OK")</f>
        <v>OK</v>
      </c>
      <c r="P765">
        <f>(orderlinesTABLE[[#This Row],[UnitCost]]*orderlinesTABLE[[#This Row],[Qty]])</f>
        <v>46.53</v>
      </c>
      <c r="Q765">
        <f>(orderlinesTABLE[[#This Row],[LineNetAmount]]-orderlinesTABLE[[#This Row],[totalCOST]])</f>
        <v>67.327500000000001</v>
      </c>
      <c r="R765" t="str">
        <f>VLOOKUP($B765,Menu!$A$1:$F$20,MATCH(OrderLines!R$1,Menu!$A$1:$F$1,0),0)</f>
        <v>Samosa</v>
      </c>
      <c r="S765" t="str" cm="1">
        <f t="array" ref="S765">_xlfn.TEXTJOIN("+",TRUE,_xlfn._xlws.FILTER(orderlinesTABLE[ItemName],OrderID=orderlinesTABLE[[#This Row],[OrderID]]))</f>
        <v>Masala Puff+Samosa</v>
      </c>
      <c r="T765" s="54">
        <f>orderlinesTABLE[[#This Row],[Profit]]/orderlinesTABLE[[#This Row],[LineNetAmount]]</f>
        <v>0.59133126934984515</v>
      </c>
      <c r="U765" s="70">
        <f>(orderlinesTABLE[[#This Row],[Qty]]*orderlinesTABLE[[#This Row],[UnitCost]])</f>
        <v>46.53</v>
      </c>
    </row>
    <row r="766" spans="1:21" x14ac:dyDescent="0.3">
      <c r="A766" s="14" t="s">
        <v>334</v>
      </c>
      <c r="B766" s="14" t="s">
        <v>408</v>
      </c>
      <c r="C766" s="14">
        <v>3</v>
      </c>
      <c r="D766" s="37">
        <f>VLOOKUP($B766,Menu!$A$1:$F$20,MATCH($D$1,Menu!$A$1:$F$1,0),0)</f>
        <v>70.540000000000006</v>
      </c>
      <c r="E766" s="14" t="str">
        <f>VLOOKUP($B766,Menu!$A$1:$F$20,MATCH(OrderLines!E$1,Menu!$A$1:$F$1,0),0)</f>
        <v>Snack</v>
      </c>
      <c r="F766" s="37">
        <f>VLOOKUP($B766,Menu!$A$1:$F$20,MATCH(OrderLines!F$1,Menu!$A$1:$F$1,0),0)</f>
        <v>35.81</v>
      </c>
      <c r="G766" s="28">
        <f>VLOOKUP($A766,Orders!$A$1:$H$361,MATCH($G$1,Orders!$A$1:$H$1,0),0)</f>
        <v>45888</v>
      </c>
      <c r="H766" s="14" t="str">
        <f>VLOOKUP($A766,Orders!$A$1:$H$361,MATCH(OrderLines!$H$1,Orders!$A$1:$H$1,0),0)</f>
        <v>Head Office Café</v>
      </c>
      <c r="I766" s="14">
        <f>VLOOKUP($A766,Orders!$A$1:$H$361,MATCH(OrderLines!$I$1,Orders!$A$1:$H$1,0),0)</f>
        <v>0.08</v>
      </c>
      <c r="J766" s="14">
        <f t="shared" si="34"/>
        <v>194.69040000000001</v>
      </c>
      <c r="K766" s="28" t="str">
        <f t="shared" si="35"/>
        <v>August</v>
      </c>
      <c r="L766" s="14" t="str">
        <f>VLOOKUP(OrderLines!$A766,Orders!$A$1:$H$361,MATCH(OrderLines!$L$1,Orders!$A$1:$H$1,0),0)</f>
        <v>Breakfast</v>
      </c>
      <c r="M766" t="str">
        <f>VLOOKUP($A766,Orders!$A$1:$H$361,MATCH(OrderLines!$M$1,Orders!$A$1:$H$1,0),0)</f>
        <v>Cash</v>
      </c>
      <c r="N766" t="str">
        <f t="shared" si="33"/>
        <v>Single</v>
      </c>
      <c r="O766" t="str" cm="1">
        <f t="array" ref="O766">IF((SUMPRODUCT((OrderID=OrderLines!$A766)*Qty*UnitPrice*DiscountPct))&gt;40,"HighDisc","OK")</f>
        <v>OK</v>
      </c>
      <c r="P766">
        <f>(orderlinesTABLE[[#This Row],[UnitCost]]*orderlinesTABLE[[#This Row],[Qty]])</f>
        <v>107.43</v>
      </c>
      <c r="Q766">
        <f>(orderlinesTABLE[[#This Row],[LineNetAmount]]-orderlinesTABLE[[#This Row],[totalCOST]])</f>
        <v>87.260400000000004</v>
      </c>
      <c r="R766" t="str">
        <f>VLOOKUP($B766,Menu!$A$1:$F$20,MATCH(OrderLines!R$1,Menu!$A$1:$F$1,0),0)</f>
        <v>Veg Sandwich</v>
      </c>
      <c r="S766" t="str" cm="1">
        <f t="array" ref="S766">_xlfn.TEXTJOIN("+",TRUE,_xlfn._xlws.FILTER(orderlinesTABLE[ItemName],OrderID=orderlinesTABLE[[#This Row],[OrderID]]))</f>
        <v>Veg Sandwich</v>
      </c>
      <c r="T766" s="54">
        <f>orderlinesTABLE[[#This Row],[Profit]]/orderlinesTABLE[[#This Row],[LineNetAmount]]</f>
        <v>0.44820083578851344</v>
      </c>
      <c r="U766" s="70">
        <f>(orderlinesTABLE[[#This Row],[Qty]]*orderlinesTABLE[[#This Row],[UnitCost]])</f>
        <v>107.43</v>
      </c>
    </row>
    <row r="767" spans="1:21" x14ac:dyDescent="0.3">
      <c r="A767" s="15" t="s">
        <v>335</v>
      </c>
      <c r="B767" s="15" t="s">
        <v>415</v>
      </c>
      <c r="C767" s="15">
        <v>1</v>
      </c>
      <c r="D767" s="36">
        <f>VLOOKUP($B767,Menu!$A$1:$F$20,MATCH($D$1,Menu!$A$1:$F$1,0),0)</f>
        <v>256.91000000000003</v>
      </c>
      <c r="E767" s="15" t="str">
        <f>VLOOKUP($B767,Menu!$A$1:$F$20,MATCH(OrderLines!E$1,Menu!$A$1:$F$1,0),0)</f>
        <v>Hot Meal</v>
      </c>
      <c r="F767" s="36">
        <f>VLOOKUP($B767,Menu!$A$1:$F$20,MATCH(OrderLines!F$1,Menu!$A$1:$F$1,0),0)</f>
        <v>121.24</v>
      </c>
      <c r="G767" s="27">
        <f>VLOOKUP($A767,Orders!$A$1:$H$361,MATCH($G$1,Orders!$A$1:$H$1,0),0)</f>
        <v>45881</v>
      </c>
      <c r="H767" s="15" t="str">
        <f>VLOOKUP($A767,Orders!$A$1:$H$361,MATCH(OrderLines!$H$1,Orders!$A$1:$H$1,0),0)</f>
        <v>Plant 2 Canteen</v>
      </c>
      <c r="I767" s="15">
        <f>VLOOKUP($A767,Orders!$A$1:$H$361,MATCH(OrderLines!$I$1,Orders!$A$1:$H$1,0),0)</f>
        <v>0.04</v>
      </c>
      <c r="J767" s="15">
        <f t="shared" si="34"/>
        <v>246.6336</v>
      </c>
      <c r="K767" s="27" t="str">
        <f t="shared" si="35"/>
        <v>August</v>
      </c>
      <c r="L767" s="15" t="str">
        <f>VLOOKUP(OrderLines!$A767,Orders!$A$1:$H$361,MATCH(OrderLines!$L$1,Orders!$A$1:$H$1,0),0)</f>
        <v>Dinner</v>
      </c>
      <c r="M767" t="str">
        <f>VLOOKUP($A767,Orders!$A$1:$H$361,MATCH(OrderLines!$M$1,Orders!$A$1:$H$1,0),0)</f>
        <v>UPI</v>
      </c>
      <c r="N767" t="str">
        <f t="shared" si="33"/>
        <v>Single</v>
      </c>
      <c r="O767" t="str" cm="1">
        <f t="array" ref="O767">IF((SUMPRODUCT((OrderID=OrderLines!$A767)*Qty*UnitPrice*DiscountPct))&gt;40,"HighDisc","OK")</f>
        <v>OK</v>
      </c>
      <c r="P767">
        <f>(orderlinesTABLE[[#This Row],[UnitCost]]*orderlinesTABLE[[#This Row],[Qty]])</f>
        <v>121.24</v>
      </c>
      <c r="Q767">
        <f>(orderlinesTABLE[[#This Row],[LineNetAmount]]-orderlinesTABLE[[#This Row],[totalCOST]])</f>
        <v>125.39360000000001</v>
      </c>
      <c r="R767" t="str">
        <f>VLOOKUP($B767,Menu!$A$1:$F$20,MATCH(OrderLines!R$1,Menu!$A$1:$F$1,0),0)</f>
        <v>Chicken Thali</v>
      </c>
      <c r="S767" t="str" cm="1">
        <f t="array" ref="S767">_xlfn.TEXTJOIN("+",TRUE,_xlfn._xlws.FILTER(orderlinesTABLE[ItemName],OrderID=orderlinesTABLE[[#This Row],[OrderID]]))</f>
        <v>Chicken Thali</v>
      </c>
      <c r="T767" s="54">
        <f>orderlinesTABLE[[#This Row],[Profit]]/orderlinesTABLE[[#This Row],[LineNetAmount]]</f>
        <v>0.50842058827345504</v>
      </c>
      <c r="U767" s="70">
        <f>(orderlinesTABLE[[#This Row],[Qty]]*orderlinesTABLE[[#This Row],[UnitCost]])</f>
        <v>121.24</v>
      </c>
    </row>
    <row r="768" spans="1:21" x14ac:dyDescent="0.3">
      <c r="A768" s="14" t="s">
        <v>336</v>
      </c>
      <c r="B768" s="14" t="s">
        <v>406</v>
      </c>
      <c r="C768" s="14">
        <v>1</v>
      </c>
      <c r="D768" s="37">
        <f>VLOOKUP($B768,Menu!$A$1:$F$20,MATCH($D$1,Menu!$A$1:$F$1,0),0)</f>
        <v>38.06</v>
      </c>
      <c r="E768" s="14" t="str">
        <f>VLOOKUP($B768,Menu!$A$1:$F$20,MATCH(OrderLines!E$1,Menu!$A$1:$F$1,0),0)</f>
        <v>Snack</v>
      </c>
      <c r="F768" s="37">
        <f>VLOOKUP($B768,Menu!$A$1:$F$20,MATCH(OrderLines!F$1,Menu!$A$1:$F$1,0),0)</f>
        <v>19.55</v>
      </c>
      <c r="G768" s="28">
        <f>VLOOKUP($A768,Orders!$A$1:$H$361,MATCH($G$1,Orders!$A$1:$H$1,0),0)</f>
        <v>45874</v>
      </c>
      <c r="H768" s="14" t="str">
        <f>VLOOKUP($A768,Orders!$A$1:$H$361,MATCH(OrderLines!$H$1,Orders!$A$1:$H$1,0),0)</f>
        <v>Plant 2 Canteen</v>
      </c>
      <c r="I768" s="14">
        <f>VLOOKUP($A768,Orders!$A$1:$H$361,MATCH(OrderLines!$I$1,Orders!$A$1:$H$1,0),0)</f>
        <v>0.03</v>
      </c>
      <c r="J768" s="14">
        <f t="shared" si="34"/>
        <v>36.918199999999999</v>
      </c>
      <c r="K768" s="28" t="str">
        <f t="shared" si="35"/>
        <v>August</v>
      </c>
      <c r="L768" s="14" t="str">
        <f>VLOOKUP(OrderLines!$A768,Orders!$A$1:$H$361,MATCH(OrderLines!$L$1,Orders!$A$1:$H$1,0),0)</f>
        <v>Lunch</v>
      </c>
      <c r="M768" t="str">
        <f>VLOOKUP($A768,Orders!$A$1:$H$361,MATCH(OrderLines!$M$1,Orders!$A$1:$H$1,0),0)</f>
        <v>Card</v>
      </c>
      <c r="N768" t="str">
        <f t="shared" si="33"/>
        <v>Combo</v>
      </c>
      <c r="O768" t="str" cm="1">
        <f t="array" ref="O768">IF((SUMPRODUCT((OrderID=OrderLines!$A768)*Qty*UnitPrice*DiscountPct))&gt;40,"HighDisc","OK")</f>
        <v>OK</v>
      </c>
      <c r="P768">
        <f>(orderlinesTABLE[[#This Row],[UnitCost]]*orderlinesTABLE[[#This Row],[Qty]])</f>
        <v>19.55</v>
      </c>
      <c r="Q768">
        <f>(orderlinesTABLE[[#This Row],[LineNetAmount]]-orderlinesTABLE[[#This Row],[totalCOST]])</f>
        <v>17.368199999999998</v>
      </c>
      <c r="R768" t="str">
        <f>VLOOKUP($B768,Menu!$A$1:$F$20,MATCH(OrderLines!R$1,Menu!$A$1:$F$1,0),0)</f>
        <v>Paneer Roll</v>
      </c>
      <c r="S768" t="str" cm="1">
        <f t="array" ref="S768">_xlfn.TEXTJOIN("+",TRUE,_xlfn._xlws.FILTER(orderlinesTABLE[ItemName],OrderID=orderlinesTABLE[[#This Row],[OrderID]]))</f>
        <v>Paneer Roll+Brownie+Rajma Chawal+Nimbu Pani</v>
      </c>
      <c r="T768" s="54">
        <f>orderlinesTABLE[[#This Row],[Profit]]/orderlinesTABLE[[#This Row],[LineNetAmount]]</f>
        <v>0.47045088872155194</v>
      </c>
      <c r="U768" s="70">
        <f>(orderlinesTABLE[[#This Row],[Qty]]*orderlinesTABLE[[#This Row],[UnitCost]])</f>
        <v>19.55</v>
      </c>
    </row>
    <row r="769" spans="1:21" x14ac:dyDescent="0.3">
      <c r="A769" s="15" t="s">
        <v>336</v>
      </c>
      <c r="B769" s="15" t="s">
        <v>414</v>
      </c>
      <c r="C769" s="15">
        <v>1</v>
      </c>
      <c r="D769" s="36">
        <f>VLOOKUP($B769,Menu!$A$1:$F$20,MATCH($D$1,Menu!$A$1:$F$1,0),0)</f>
        <v>116.8</v>
      </c>
      <c r="E769" s="15" t="str">
        <f>VLOOKUP($B769,Menu!$A$1:$F$20,MATCH(OrderLines!E$1,Menu!$A$1:$F$1,0),0)</f>
        <v>Dessert</v>
      </c>
      <c r="F769" s="36">
        <f>VLOOKUP($B769,Menu!$A$1:$F$20,MATCH(OrderLines!F$1,Menu!$A$1:$F$1,0),0)</f>
        <v>48.97</v>
      </c>
      <c r="G769" s="27">
        <f>VLOOKUP($A769,Orders!$A$1:$H$361,MATCH($G$1,Orders!$A$1:$H$1,0),0)</f>
        <v>45874</v>
      </c>
      <c r="H769" s="15" t="str">
        <f>VLOOKUP($A769,Orders!$A$1:$H$361,MATCH(OrderLines!$H$1,Orders!$A$1:$H$1,0),0)</f>
        <v>Plant 2 Canteen</v>
      </c>
      <c r="I769" s="15">
        <f>VLOOKUP($A769,Orders!$A$1:$H$361,MATCH(OrderLines!$I$1,Orders!$A$1:$H$1,0),0)</f>
        <v>0.03</v>
      </c>
      <c r="J769" s="15">
        <f t="shared" si="34"/>
        <v>113.29599999999999</v>
      </c>
      <c r="K769" s="27" t="str">
        <f t="shared" si="35"/>
        <v>August</v>
      </c>
      <c r="L769" s="15" t="str">
        <f>VLOOKUP(OrderLines!$A769,Orders!$A$1:$H$361,MATCH(OrderLines!$L$1,Orders!$A$1:$H$1,0),0)</f>
        <v>Lunch</v>
      </c>
      <c r="M769" t="str">
        <f>VLOOKUP($A769,Orders!$A$1:$H$361,MATCH(OrderLines!$M$1,Orders!$A$1:$H$1,0),0)</f>
        <v>Card</v>
      </c>
      <c r="N769" t="str">
        <f t="shared" si="33"/>
        <v>Combo</v>
      </c>
      <c r="O769" t="str" cm="1">
        <f t="array" ref="O769">IF((SUMPRODUCT((OrderID=OrderLines!$A769)*Qty*UnitPrice*DiscountPct))&gt;40,"HighDisc","OK")</f>
        <v>OK</v>
      </c>
      <c r="P769">
        <f>(orderlinesTABLE[[#This Row],[UnitCost]]*orderlinesTABLE[[#This Row],[Qty]])</f>
        <v>48.97</v>
      </c>
      <c r="Q769">
        <f>(orderlinesTABLE[[#This Row],[LineNetAmount]]-orderlinesTABLE[[#This Row],[totalCOST]])</f>
        <v>64.325999999999993</v>
      </c>
      <c r="R769" t="str">
        <f>VLOOKUP($B769,Menu!$A$1:$F$20,MATCH(OrderLines!R$1,Menu!$A$1:$F$1,0),0)</f>
        <v>Brownie</v>
      </c>
      <c r="S769" t="str" cm="1">
        <f t="array" ref="S769">_xlfn.TEXTJOIN("+",TRUE,_xlfn._xlws.FILTER(orderlinesTABLE[ItemName],OrderID=orderlinesTABLE[[#This Row],[OrderID]]))</f>
        <v>Paneer Roll+Brownie+Rajma Chawal+Nimbu Pani</v>
      </c>
      <c r="T769" s="54">
        <f>orderlinesTABLE[[#This Row],[Profit]]/orderlinesTABLE[[#This Row],[LineNetAmount]]</f>
        <v>0.56776938285552891</v>
      </c>
      <c r="U769" s="70">
        <f>(orderlinesTABLE[[#This Row],[Qty]]*orderlinesTABLE[[#This Row],[UnitCost]])</f>
        <v>48.97</v>
      </c>
    </row>
    <row r="770" spans="1:21" x14ac:dyDescent="0.3">
      <c r="A770" s="14" t="s">
        <v>336</v>
      </c>
      <c r="B770" s="14" t="s">
        <v>417</v>
      </c>
      <c r="C770" s="14">
        <v>2</v>
      </c>
      <c r="D770" s="37">
        <f>VLOOKUP($B770,Menu!$A$1:$F$20,MATCH($D$1,Menu!$A$1:$F$1,0),0)</f>
        <v>146.4</v>
      </c>
      <c r="E770" s="14" t="str">
        <f>VLOOKUP($B770,Menu!$A$1:$F$20,MATCH(OrderLines!E$1,Menu!$A$1:$F$1,0),0)</f>
        <v>Hot Meal</v>
      </c>
      <c r="F770" s="37">
        <f>VLOOKUP($B770,Menu!$A$1:$F$20,MATCH(OrderLines!F$1,Menu!$A$1:$F$1,0),0)</f>
        <v>80.92</v>
      </c>
      <c r="G770" s="28">
        <f>VLOOKUP($A770,Orders!$A$1:$H$361,MATCH($G$1,Orders!$A$1:$H$1,0),0)</f>
        <v>45874</v>
      </c>
      <c r="H770" s="14" t="str">
        <f>VLOOKUP($A770,Orders!$A$1:$H$361,MATCH(OrderLines!$H$1,Orders!$A$1:$H$1,0),0)</f>
        <v>Plant 2 Canteen</v>
      </c>
      <c r="I770" s="14">
        <f>VLOOKUP($A770,Orders!$A$1:$H$361,MATCH(OrderLines!$I$1,Orders!$A$1:$H$1,0),0)</f>
        <v>0.03</v>
      </c>
      <c r="J770" s="14">
        <f t="shared" si="34"/>
        <v>284.01600000000002</v>
      </c>
      <c r="K770" s="28" t="str">
        <f t="shared" si="35"/>
        <v>August</v>
      </c>
      <c r="L770" s="14" t="str">
        <f>VLOOKUP(OrderLines!$A770,Orders!$A$1:$H$361,MATCH(OrderLines!$L$1,Orders!$A$1:$H$1,0),0)</f>
        <v>Lunch</v>
      </c>
      <c r="M770" t="str">
        <f>VLOOKUP($A770,Orders!$A$1:$H$361,MATCH(OrderLines!$M$1,Orders!$A$1:$H$1,0),0)</f>
        <v>Card</v>
      </c>
      <c r="N770" t="str">
        <f t="shared" ref="N770:N833" si="36">IF(AND(COUNTIFS(OrderID,$A770,Category,"hot meal")&gt;=1,COUNTIFS(OrderID,$A770,Category,"beverage")&gt;=1),"Combo","Single")</f>
        <v>Combo</v>
      </c>
      <c r="O770" t="str" cm="1">
        <f t="array" ref="O770">IF((SUMPRODUCT((OrderID=OrderLines!$A770)*Qty*UnitPrice*DiscountPct))&gt;40,"HighDisc","OK")</f>
        <v>OK</v>
      </c>
      <c r="P770">
        <f>(orderlinesTABLE[[#This Row],[UnitCost]]*orderlinesTABLE[[#This Row],[Qty]])</f>
        <v>161.84</v>
      </c>
      <c r="Q770">
        <f>(orderlinesTABLE[[#This Row],[LineNetAmount]]-orderlinesTABLE[[#This Row],[totalCOST]])</f>
        <v>122.17600000000002</v>
      </c>
      <c r="R770" t="str">
        <f>VLOOKUP($B770,Menu!$A$1:$F$20,MATCH(OrderLines!R$1,Menu!$A$1:$F$1,0),0)</f>
        <v>Rajma Chawal</v>
      </c>
      <c r="S770" t="str" cm="1">
        <f t="array" ref="S770">_xlfn.TEXTJOIN("+",TRUE,_xlfn._xlws.FILTER(orderlinesTABLE[ItemName],OrderID=orderlinesTABLE[[#This Row],[OrderID]]))</f>
        <v>Paneer Roll+Brownie+Rajma Chawal+Nimbu Pani</v>
      </c>
      <c r="T770" s="54">
        <f>orderlinesTABLE[[#This Row],[Profit]]/orderlinesTABLE[[#This Row],[LineNetAmount]]</f>
        <v>0.43017294800292943</v>
      </c>
      <c r="U770" s="70">
        <f>(orderlinesTABLE[[#This Row],[Qty]]*orderlinesTABLE[[#This Row],[UnitCost]])</f>
        <v>161.84</v>
      </c>
    </row>
    <row r="771" spans="1:21" x14ac:dyDescent="0.3">
      <c r="A771" s="15" t="s">
        <v>336</v>
      </c>
      <c r="B771" s="15" t="s">
        <v>410</v>
      </c>
      <c r="C771" s="15">
        <v>1</v>
      </c>
      <c r="D771" s="36">
        <f>VLOOKUP($B771,Menu!$A$1:$F$20,MATCH($D$1,Menu!$A$1:$F$1,0),0)</f>
        <v>20.11</v>
      </c>
      <c r="E771" s="15" t="str">
        <f>VLOOKUP($B771,Menu!$A$1:$F$20,MATCH(OrderLines!E$1,Menu!$A$1:$F$1,0),0)</f>
        <v>Beverage</v>
      </c>
      <c r="F771" s="36">
        <f>VLOOKUP($B771,Menu!$A$1:$F$20,MATCH(OrderLines!F$1,Menu!$A$1:$F$1,0),0)</f>
        <v>8</v>
      </c>
      <c r="G771" s="27">
        <f>VLOOKUP($A771,Orders!$A$1:$H$361,MATCH($G$1,Orders!$A$1:$H$1,0),0)</f>
        <v>45874</v>
      </c>
      <c r="H771" s="15" t="str">
        <f>VLOOKUP($A771,Orders!$A$1:$H$361,MATCH(OrderLines!$H$1,Orders!$A$1:$H$1,0),0)</f>
        <v>Plant 2 Canteen</v>
      </c>
      <c r="I771" s="15">
        <f>VLOOKUP($A771,Orders!$A$1:$H$361,MATCH(OrderLines!$I$1,Orders!$A$1:$H$1,0),0)</f>
        <v>0.03</v>
      </c>
      <c r="J771" s="15">
        <f t="shared" ref="J771:J834" si="37">$C771*$D771*(1-$I771)</f>
        <v>19.506699999999999</v>
      </c>
      <c r="K771" s="27" t="str">
        <f t="shared" ref="K771:K834" si="38">TEXT($G771,"mmmm")</f>
        <v>August</v>
      </c>
      <c r="L771" s="15" t="str">
        <f>VLOOKUP(OrderLines!$A771,Orders!$A$1:$H$361,MATCH(OrderLines!$L$1,Orders!$A$1:$H$1,0),0)</f>
        <v>Lunch</v>
      </c>
      <c r="M771" t="str">
        <f>VLOOKUP($A771,Orders!$A$1:$H$361,MATCH(OrderLines!$M$1,Orders!$A$1:$H$1,0),0)</f>
        <v>Card</v>
      </c>
      <c r="N771" t="str">
        <f t="shared" si="36"/>
        <v>Combo</v>
      </c>
      <c r="O771" t="str" cm="1">
        <f t="array" ref="O771">IF((SUMPRODUCT((OrderID=OrderLines!$A771)*Qty*UnitPrice*DiscountPct))&gt;40,"HighDisc","OK")</f>
        <v>OK</v>
      </c>
      <c r="P771">
        <f>(orderlinesTABLE[[#This Row],[UnitCost]]*orderlinesTABLE[[#This Row],[Qty]])</f>
        <v>8</v>
      </c>
      <c r="Q771">
        <f>(orderlinesTABLE[[#This Row],[LineNetAmount]]-orderlinesTABLE[[#This Row],[totalCOST]])</f>
        <v>11.506699999999999</v>
      </c>
      <c r="R771" t="str">
        <f>VLOOKUP($B771,Menu!$A$1:$F$20,MATCH(OrderLines!R$1,Menu!$A$1:$F$1,0),0)</f>
        <v>Nimbu Pani</v>
      </c>
      <c r="S771" t="str" cm="1">
        <f t="array" ref="S771">_xlfn.TEXTJOIN("+",TRUE,_xlfn._xlws.FILTER(orderlinesTABLE[ItemName],OrderID=orderlinesTABLE[[#This Row],[OrderID]]))</f>
        <v>Paneer Roll+Brownie+Rajma Chawal+Nimbu Pani</v>
      </c>
      <c r="T771" s="54">
        <f>orderlinesTABLE[[#This Row],[Profit]]/orderlinesTABLE[[#This Row],[LineNetAmount]]</f>
        <v>0.58988450122265679</v>
      </c>
      <c r="U771" s="70">
        <f>(orderlinesTABLE[[#This Row],[Qty]]*orderlinesTABLE[[#This Row],[UnitCost]])</f>
        <v>8</v>
      </c>
    </row>
    <row r="772" spans="1:21" x14ac:dyDescent="0.3">
      <c r="A772" s="14" t="s">
        <v>337</v>
      </c>
      <c r="B772" s="14" t="s">
        <v>413</v>
      </c>
      <c r="C772" s="14">
        <v>1</v>
      </c>
      <c r="D772" s="37">
        <f>VLOOKUP($B772,Menu!$A$1:$F$20,MATCH($D$1,Menu!$A$1:$F$1,0),0)</f>
        <v>54.2</v>
      </c>
      <c r="E772" s="14" t="str">
        <f>VLOOKUP($B772,Menu!$A$1:$F$20,MATCH(OrderLines!E$1,Menu!$A$1:$F$1,0),0)</f>
        <v>Dessert</v>
      </c>
      <c r="F772" s="37">
        <f>VLOOKUP($B772,Menu!$A$1:$F$20,MATCH(OrderLines!F$1,Menu!$A$1:$F$1,0),0)</f>
        <v>21.95</v>
      </c>
      <c r="G772" s="28">
        <f>VLOOKUP($A772,Orders!$A$1:$H$361,MATCH($G$1,Orders!$A$1:$H$1,0),0)</f>
        <v>45872</v>
      </c>
      <c r="H772" s="14" t="str">
        <f>VLOOKUP($A772,Orders!$A$1:$H$361,MATCH(OrderLines!$H$1,Orders!$A$1:$H$1,0),0)</f>
        <v>Head Office Café</v>
      </c>
      <c r="I772" s="14">
        <f>VLOOKUP($A772,Orders!$A$1:$H$361,MATCH(OrderLines!$I$1,Orders!$A$1:$H$1,0),0)</f>
        <v>7.0000000000000007E-2</v>
      </c>
      <c r="J772" s="14">
        <f t="shared" si="37"/>
        <v>50.405999999999999</v>
      </c>
      <c r="K772" s="28" t="str">
        <f t="shared" si="38"/>
        <v>August</v>
      </c>
      <c r="L772" s="14" t="str">
        <f>VLOOKUP(OrderLines!$A772,Orders!$A$1:$H$361,MATCH(OrderLines!$L$1,Orders!$A$1:$H$1,0),0)</f>
        <v>Breakfast</v>
      </c>
      <c r="M772" t="str">
        <f>VLOOKUP($A772,Orders!$A$1:$H$361,MATCH(OrderLines!$M$1,Orders!$A$1:$H$1,0),0)</f>
        <v>Cash</v>
      </c>
      <c r="N772" t="str">
        <f t="shared" si="36"/>
        <v>Single</v>
      </c>
      <c r="O772" t="str" cm="1">
        <f t="array" ref="O772">IF((SUMPRODUCT((OrderID=OrderLines!$A772)*Qty*UnitPrice*DiscountPct))&gt;40,"HighDisc","OK")</f>
        <v>OK</v>
      </c>
      <c r="P772">
        <f>(orderlinesTABLE[[#This Row],[UnitCost]]*orderlinesTABLE[[#This Row],[Qty]])</f>
        <v>21.95</v>
      </c>
      <c r="Q772">
        <f>(orderlinesTABLE[[#This Row],[LineNetAmount]]-orderlinesTABLE[[#This Row],[totalCOST]])</f>
        <v>28.456</v>
      </c>
      <c r="R772" t="str">
        <f>VLOOKUP($B772,Menu!$A$1:$F$20,MATCH(OrderLines!R$1,Menu!$A$1:$F$1,0),0)</f>
        <v>Kheer Cup</v>
      </c>
      <c r="S772" t="str" cm="1">
        <f t="array" ref="S772">_xlfn.TEXTJOIN("+",TRUE,_xlfn._xlws.FILTER(orderlinesTABLE[ItemName],OrderID=orderlinesTABLE[[#This Row],[OrderID]]))</f>
        <v>Kheer Cup+Egg Curry + Rice+Poha</v>
      </c>
      <c r="T772" s="54">
        <f>orderlinesTABLE[[#This Row],[Profit]]/orderlinesTABLE[[#This Row],[LineNetAmount]]</f>
        <v>0.56453596794032457</v>
      </c>
      <c r="U772" s="70">
        <f>(orderlinesTABLE[[#This Row],[Qty]]*orderlinesTABLE[[#This Row],[UnitCost]])</f>
        <v>21.95</v>
      </c>
    </row>
    <row r="773" spans="1:21" x14ac:dyDescent="0.3">
      <c r="A773" s="15" t="s">
        <v>337</v>
      </c>
      <c r="B773" s="15" t="s">
        <v>407</v>
      </c>
      <c r="C773" s="15">
        <v>1</v>
      </c>
      <c r="D773" s="36">
        <f>VLOOKUP($B773,Menu!$A$1:$F$20,MATCH($D$1,Menu!$A$1:$F$1,0),0)</f>
        <v>246.09</v>
      </c>
      <c r="E773" s="15" t="str">
        <f>VLOOKUP($B773,Menu!$A$1:$F$20,MATCH(OrderLines!E$1,Menu!$A$1:$F$1,0),0)</f>
        <v>Hot Meal</v>
      </c>
      <c r="F773" s="36">
        <f>VLOOKUP($B773,Menu!$A$1:$F$20,MATCH(OrderLines!F$1,Menu!$A$1:$F$1,0),0)</f>
        <v>112.08</v>
      </c>
      <c r="G773" s="27">
        <f>VLOOKUP($A773,Orders!$A$1:$H$361,MATCH($G$1,Orders!$A$1:$H$1,0),0)</f>
        <v>45872</v>
      </c>
      <c r="H773" s="15" t="str">
        <f>VLOOKUP($A773,Orders!$A$1:$H$361,MATCH(OrderLines!$H$1,Orders!$A$1:$H$1,0),0)</f>
        <v>Head Office Café</v>
      </c>
      <c r="I773" s="15">
        <f>VLOOKUP($A773,Orders!$A$1:$H$361,MATCH(OrderLines!$I$1,Orders!$A$1:$H$1,0),0)</f>
        <v>7.0000000000000007E-2</v>
      </c>
      <c r="J773" s="15">
        <f t="shared" si="37"/>
        <v>228.86369999999999</v>
      </c>
      <c r="K773" s="27" t="str">
        <f t="shared" si="38"/>
        <v>August</v>
      </c>
      <c r="L773" s="15" t="str">
        <f>VLOOKUP(OrderLines!$A773,Orders!$A$1:$H$361,MATCH(OrderLines!$L$1,Orders!$A$1:$H$1,0),0)</f>
        <v>Breakfast</v>
      </c>
      <c r="M773" t="str">
        <f>VLOOKUP($A773,Orders!$A$1:$H$361,MATCH(OrderLines!$M$1,Orders!$A$1:$H$1,0),0)</f>
        <v>Cash</v>
      </c>
      <c r="N773" t="str">
        <f t="shared" si="36"/>
        <v>Single</v>
      </c>
      <c r="O773" t="str" cm="1">
        <f t="array" ref="O773">IF((SUMPRODUCT((OrderID=OrderLines!$A773)*Qty*UnitPrice*DiscountPct))&gt;40,"HighDisc","OK")</f>
        <v>OK</v>
      </c>
      <c r="P773">
        <f>(orderlinesTABLE[[#This Row],[UnitCost]]*orderlinesTABLE[[#This Row],[Qty]])</f>
        <v>112.08</v>
      </c>
      <c r="Q773">
        <f>(orderlinesTABLE[[#This Row],[LineNetAmount]]-orderlinesTABLE[[#This Row],[totalCOST]])</f>
        <v>116.7837</v>
      </c>
      <c r="R773" t="str">
        <f>VLOOKUP($B773,Menu!$A$1:$F$20,MATCH(OrderLines!R$1,Menu!$A$1:$F$1,0),0)</f>
        <v>Egg Curry + Rice</v>
      </c>
      <c r="S773" t="str" cm="1">
        <f t="array" ref="S773">_xlfn.TEXTJOIN("+",TRUE,_xlfn._xlws.FILTER(orderlinesTABLE[ItemName],OrderID=orderlinesTABLE[[#This Row],[OrderID]]))</f>
        <v>Kheer Cup+Egg Curry + Rice+Poha</v>
      </c>
      <c r="T773" s="54">
        <f>orderlinesTABLE[[#This Row],[Profit]]/orderlinesTABLE[[#This Row],[LineNetAmount]]</f>
        <v>0.5102762036967855</v>
      </c>
      <c r="U773" s="70">
        <f>(orderlinesTABLE[[#This Row],[Qty]]*orderlinesTABLE[[#This Row],[UnitCost]])</f>
        <v>112.08</v>
      </c>
    </row>
    <row r="774" spans="1:21" x14ac:dyDescent="0.3">
      <c r="A774" s="14" t="s">
        <v>337</v>
      </c>
      <c r="B774" s="14" t="s">
        <v>401</v>
      </c>
      <c r="C774" s="14">
        <v>2</v>
      </c>
      <c r="D774" s="37">
        <f>VLOOKUP($B774,Menu!$A$1:$F$20,MATCH($D$1,Menu!$A$1:$F$1,0),0)</f>
        <v>52.45</v>
      </c>
      <c r="E774" s="14" t="str">
        <f>VLOOKUP($B774,Menu!$A$1:$F$20,MATCH(OrderLines!E$1,Menu!$A$1:$F$1,0),0)</f>
        <v>Snack</v>
      </c>
      <c r="F774" s="37">
        <f>VLOOKUP($B774,Menu!$A$1:$F$20,MATCH(OrderLines!F$1,Menu!$A$1:$F$1,0),0)</f>
        <v>25.8</v>
      </c>
      <c r="G774" s="28">
        <f>VLOOKUP($A774,Orders!$A$1:$H$361,MATCH($G$1,Orders!$A$1:$H$1,0),0)</f>
        <v>45872</v>
      </c>
      <c r="H774" s="14" t="str">
        <f>VLOOKUP($A774,Orders!$A$1:$H$361,MATCH(OrderLines!$H$1,Orders!$A$1:$H$1,0),0)</f>
        <v>Head Office Café</v>
      </c>
      <c r="I774" s="14">
        <f>VLOOKUP($A774,Orders!$A$1:$H$361,MATCH(OrderLines!$I$1,Orders!$A$1:$H$1,0),0)</f>
        <v>7.0000000000000007E-2</v>
      </c>
      <c r="J774" s="14">
        <f t="shared" si="37"/>
        <v>97.557000000000002</v>
      </c>
      <c r="K774" s="28" t="str">
        <f t="shared" si="38"/>
        <v>August</v>
      </c>
      <c r="L774" s="14" t="str">
        <f>VLOOKUP(OrderLines!$A774,Orders!$A$1:$H$361,MATCH(OrderLines!$L$1,Orders!$A$1:$H$1,0),0)</f>
        <v>Breakfast</v>
      </c>
      <c r="M774" t="str">
        <f>VLOOKUP($A774,Orders!$A$1:$H$361,MATCH(OrderLines!$M$1,Orders!$A$1:$H$1,0),0)</f>
        <v>Cash</v>
      </c>
      <c r="N774" t="str">
        <f t="shared" si="36"/>
        <v>Single</v>
      </c>
      <c r="O774" t="str" cm="1">
        <f t="array" ref="O774">IF((SUMPRODUCT((OrderID=OrderLines!$A774)*Qty*UnitPrice*DiscountPct))&gt;40,"HighDisc","OK")</f>
        <v>OK</v>
      </c>
      <c r="P774">
        <f>(orderlinesTABLE[[#This Row],[UnitCost]]*orderlinesTABLE[[#This Row],[Qty]])</f>
        <v>51.6</v>
      </c>
      <c r="Q774">
        <f>(orderlinesTABLE[[#This Row],[LineNetAmount]]-orderlinesTABLE[[#This Row],[totalCOST]])</f>
        <v>45.957000000000001</v>
      </c>
      <c r="R774" t="str">
        <f>VLOOKUP($B774,Menu!$A$1:$F$20,MATCH(OrderLines!R$1,Menu!$A$1:$F$1,0),0)</f>
        <v>Poha</v>
      </c>
      <c r="S774" t="str" cm="1">
        <f t="array" ref="S774">_xlfn.TEXTJOIN("+",TRUE,_xlfn._xlws.FILTER(orderlinesTABLE[ItemName],OrderID=orderlinesTABLE[[#This Row],[OrderID]]))</f>
        <v>Kheer Cup+Egg Curry + Rice+Poha</v>
      </c>
      <c r="T774" s="54">
        <f>orderlinesTABLE[[#This Row],[Profit]]/orderlinesTABLE[[#This Row],[LineNetAmount]]</f>
        <v>0.47107844644669272</v>
      </c>
      <c r="U774" s="70">
        <f>(orderlinesTABLE[[#This Row],[Qty]]*orderlinesTABLE[[#This Row],[UnitCost]])</f>
        <v>51.6</v>
      </c>
    </row>
    <row r="775" spans="1:21" x14ac:dyDescent="0.3">
      <c r="A775" s="15" t="s">
        <v>338</v>
      </c>
      <c r="B775" s="15" t="s">
        <v>418</v>
      </c>
      <c r="C775" s="15">
        <v>3</v>
      </c>
      <c r="D775" s="36">
        <f>VLOOKUP($B775,Menu!$A$1:$F$20,MATCH($D$1,Menu!$A$1:$F$1,0),0)</f>
        <v>39.950000000000003</v>
      </c>
      <c r="E775" s="15" t="str">
        <f>VLOOKUP($B775,Menu!$A$1:$F$20,MATCH(OrderLines!E$1,Menu!$A$1:$F$1,0),0)</f>
        <v>Snack</v>
      </c>
      <c r="F775" s="36">
        <f>VLOOKUP($B775,Menu!$A$1:$F$20,MATCH(OrderLines!F$1,Menu!$A$1:$F$1,0),0)</f>
        <v>15.51</v>
      </c>
      <c r="G775" s="27">
        <f>VLOOKUP($A775,Orders!$A$1:$H$361,MATCH($G$1,Orders!$A$1:$H$1,0),0)</f>
        <v>45845</v>
      </c>
      <c r="H775" s="15" t="str">
        <f>VLOOKUP($A775,Orders!$A$1:$H$361,MATCH(OrderLines!$H$1,Orders!$A$1:$H$1,0),0)</f>
        <v>Plant 2 Canteen</v>
      </c>
      <c r="I775" s="15">
        <f>VLOOKUP($A775,Orders!$A$1:$H$361,MATCH(OrderLines!$I$1,Orders!$A$1:$H$1,0),0)</f>
        <v>7.0000000000000007E-2</v>
      </c>
      <c r="J775" s="15">
        <f t="shared" si="37"/>
        <v>111.4605</v>
      </c>
      <c r="K775" s="27" t="str">
        <f t="shared" si="38"/>
        <v>July</v>
      </c>
      <c r="L775" s="15" t="str">
        <f>VLOOKUP(OrderLines!$A775,Orders!$A$1:$H$361,MATCH(OrderLines!$L$1,Orders!$A$1:$H$1,0),0)</f>
        <v>Lunch</v>
      </c>
      <c r="M775" t="str">
        <f>VLOOKUP($A775,Orders!$A$1:$H$361,MATCH(OrderLines!$M$1,Orders!$A$1:$H$1,0),0)</f>
        <v>UPI</v>
      </c>
      <c r="N775" t="str">
        <f t="shared" si="36"/>
        <v>Single</v>
      </c>
      <c r="O775" t="str" cm="1">
        <f t="array" ref="O775">IF((SUMPRODUCT((OrderID=OrderLines!$A775)*Qty*UnitPrice*DiscountPct))&gt;40,"HighDisc","OK")</f>
        <v>OK</v>
      </c>
      <c r="P775">
        <f>(orderlinesTABLE[[#This Row],[UnitCost]]*orderlinesTABLE[[#This Row],[Qty]])</f>
        <v>46.53</v>
      </c>
      <c r="Q775">
        <f>(orderlinesTABLE[[#This Row],[LineNetAmount]]-orderlinesTABLE[[#This Row],[totalCOST]])</f>
        <v>64.930499999999995</v>
      </c>
      <c r="R775" t="str">
        <f>VLOOKUP($B775,Menu!$A$1:$F$20,MATCH(OrderLines!R$1,Menu!$A$1:$F$1,0),0)</f>
        <v>Samosa</v>
      </c>
      <c r="S775" t="str" cm="1">
        <f t="array" ref="S775">_xlfn.TEXTJOIN("+",TRUE,_xlfn._xlws.FILTER(orderlinesTABLE[ItemName],OrderID=orderlinesTABLE[[#This Row],[OrderID]]))</f>
        <v>Samosa+Gulab Jamun (2 pc)+Kheer Cup+Veg Sandwich</v>
      </c>
      <c r="T775" s="54">
        <f>orderlinesTABLE[[#This Row],[Profit]]/orderlinesTABLE[[#This Row],[LineNetAmount]]</f>
        <v>0.58254269449715368</v>
      </c>
      <c r="U775" s="70">
        <f>(orderlinesTABLE[[#This Row],[Qty]]*orderlinesTABLE[[#This Row],[UnitCost]])</f>
        <v>46.53</v>
      </c>
    </row>
    <row r="776" spans="1:21" x14ac:dyDescent="0.3">
      <c r="A776" s="14" t="s">
        <v>338</v>
      </c>
      <c r="B776" s="14" t="s">
        <v>403</v>
      </c>
      <c r="C776" s="14">
        <v>1</v>
      </c>
      <c r="D776" s="37">
        <f>VLOOKUP($B776,Menu!$A$1:$F$20,MATCH($D$1,Menu!$A$1:$F$1,0),0)</f>
        <v>76.55</v>
      </c>
      <c r="E776" s="14" t="str">
        <f>VLOOKUP($B776,Menu!$A$1:$F$20,MATCH(OrderLines!E$1,Menu!$A$1:$F$1,0),0)</f>
        <v>Dessert</v>
      </c>
      <c r="F776" s="37">
        <f>VLOOKUP($B776,Menu!$A$1:$F$20,MATCH(OrderLines!F$1,Menu!$A$1:$F$1,0),0)</f>
        <v>38.229999999999997</v>
      </c>
      <c r="G776" s="28">
        <f>VLOOKUP($A776,Orders!$A$1:$H$361,MATCH($G$1,Orders!$A$1:$H$1,0),0)</f>
        <v>45845</v>
      </c>
      <c r="H776" s="14" t="str">
        <f>VLOOKUP($A776,Orders!$A$1:$H$361,MATCH(OrderLines!$H$1,Orders!$A$1:$H$1,0),0)</f>
        <v>Plant 2 Canteen</v>
      </c>
      <c r="I776" s="14">
        <f>VLOOKUP($A776,Orders!$A$1:$H$361,MATCH(OrderLines!$I$1,Orders!$A$1:$H$1,0),0)</f>
        <v>7.0000000000000007E-2</v>
      </c>
      <c r="J776" s="14">
        <f t="shared" si="37"/>
        <v>71.191499999999991</v>
      </c>
      <c r="K776" s="28" t="str">
        <f t="shared" si="38"/>
        <v>July</v>
      </c>
      <c r="L776" s="14" t="str">
        <f>VLOOKUP(OrderLines!$A776,Orders!$A$1:$H$361,MATCH(OrderLines!$L$1,Orders!$A$1:$H$1,0),0)</f>
        <v>Lunch</v>
      </c>
      <c r="M776" t="str">
        <f>VLOOKUP($A776,Orders!$A$1:$H$361,MATCH(OrderLines!$M$1,Orders!$A$1:$H$1,0),0)</f>
        <v>UPI</v>
      </c>
      <c r="N776" t="str">
        <f t="shared" si="36"/>
        <v>Single</v>
      </c>
      <c r="O776" t="str" cm="1">
        <f t="array" ref="O776">IF((SUMPRODUCT((OrderID=OrderLines!$A776)*Qty*UnitPrice*DiscountPct))&gt;40,"HighDisc","OK")</f>
        <v>OK</v>
      </c>
      <c r="P776">
        <f>(orderlinesTABLE[[#This Row],[UnitCost]]*orderlinesTABLE[[#This Row],[Qty]])</f>
        <v>38.229999999999997</v>
      </c>
      <c r="Q776">
        <f>(orderlinesTABLE[[#This Row],[LineNetAmount]]-orderlinesTABLE[[#This Row],[totalCOST]])</f>
        <v>32.961499999999994</v>
      </c>
      <c r="R776" t="str">
        <f>VLOOKUP($B776,Menu!$A$1:$F$20,MATCH(OrderLines!R$1,Menu!$A$1:$F$1,0),0)</f>
        <v>Gulab Jamun (2 pc)</v>
      </c>
      <c r="S776" t="str" cm="1">
        <f t="array" ref="S776">_xlfn.TEXTJOIN("+",TRUE,_xlfn._xlws.FILTER(orderlinesTABLE[ItemName],OrderID=orderlinesTABLE[[#This Row],[OrderID]]))</f>
        <v>Samosa+Gulab Jamun (2 pc)+Kheer Cup+Veg Sandwich</v>
      </c>
      <c r="T776" s="54">
        <f>orderlinesTABLE[[#This Row],[Profit]]/orderlinesTABLE[[#This Row],[LineNetAmount]]</f>
        <v>0.46299768933088919</v>
      </c>
      <c r="U776" s="70">
        <f>(orderlinesTABLE[[#This Row],[Qty]]*orderlinesTABLE[[#This Row],[UnitCost]])</f>
        <v>38.229999999999997</v>
      </c>
    </row>
    <row r="777" spans="1:21" x14ac:dyDescent="0.3">
      <c r="A777" s="15" t="s">
        <v>338</v>
      </c>
      <c r="B777" s="15" t="s">
        <v>413</v>
      </c>
      <c r="C777" s="15">
        <v>2</v>
      </c>
      <c r="D777" s="36">
        <f>VLOOKUP($B777,Menu!$A$1:$F$20,MATCH($D$1,Menu!$A$1:$F$1,0),0)</f>
        <v>54.2</v>
      </c>
      <c r="E777" s="15" t="str">
        <f>VLOOKUP($B777,Menu!$A$1:$F$20,MATCH(OrderLines!E$1,Menu!$A$1:$F$1,0),0)</f>
        <v>Dessert</v>
      </c>
      <c r="F777" s="36">
        <f>VLOOKUP($B777,Menu!$A$1:$F$20,MATCH(OrderLines!F$1,Menu!$A$1:$F$1,0),0)</f>
        <v>21.95</v>
      </c>
      <c r="G777" s="27">
        <f>VLOOKUP($A777,Orders!$A$1:$H$361,MATCH($G$1,Orders!$A$1:$H$1,0),0)</f>
        <v>45845</v>
      </c>
      <c r="H777" s="15" t="str">
        <f>VLOOKUP($A777,Orders!$A$1:$H$361,MATCH(OrderLines!$H$1,Orders!$A$1:$H$1,0),0)</f>
        <v>Plant 2 Canteen</v>
      </c>
      <c r="I777" s="15">
        <f>VLOOKUP($A777,Orders!$A$1:$H$361,MATCH(OrderLines!$I$1,Orders!$A$1:$H$1,0),0)</f>
        <v>7.0000000000000007E-2</v>
      </c>
      <c r="J777" s="15">
        <f t="shared" si="37"/>
        <v>100.812</v>
      </c>
      <c r="K777" s="27" t="str">
        <f t="shared" si="38"/>
        <v>July</v>
      </c>
      <c r="L777" s="15" t="str">
        <f>VLOOKUP(OrderLines!$A777,Orders!$A$1:$H$361,MATCH(OrderLines!$L$1,Orders!$A$1:$H$1,0),0)</f>
        <v>Lunch</v>
      </c>
      <c r="M777" t="str">
        <f>VLOOKUP($A777,Orders!$A$1:$H$361,MATCH(OrderLines!$M$1,Orders!$A$1:$H$1,0),0)</f>
        <v>UPI</v>
      </c>
      <c r="N777" t="str">
        <f t="shared" si="36"/>
        <v>Single</v>
      </c>
      <c r="O777" t="str" cm="1">
        <f t="array" ref="O777">IF((SUMPRODUCT((OrderID=OrderLines!$A777)*Qty*UnitPrice*DiscountPct))&gt;40,"HighDisc","OK")</f>
        <v>OK</v>
      </c>
      <c r="P777">
        <f>(orderlinesTABLE[[#This Row],[UnitCost]]*orderlinesTABLE[[#This Row],[Qty]])</f>
        <v>43.9</v>
      </c>
      <c r="Q777">
        <f>(orderlinesTABLE[[#This Row],[LineNetAmount]]-orderlinesTABLE[[#This Row],[totalCOST]])</f>
        <v>56.911999999999999</v>
      </c>
      <c r="R777" t="str">
        <f>VLOOKUP($B777,Menu!$A$1:$F$20,MATCH(OrderLines!R$1,Menu!$A$1:$F$1,0),0)</f>
        <v>Kheer Cup</v>
      </c>
      <c r="S777" t="str" cm="1">
        <f t="array" ref="S777">_xlfn.TEXTJOIN("+",TRUE,_xlfn._xlws.FILTER(orderlinesTABLE[ItemName],OrderID=orderlinesTABLE[[#This Row],[OrderID]]))</f>
        <v>Samosa+Gulab Jamun (2 pc)+Kheer Cup+Veg Sandwich</v>
      </c>
      <c r="T777" s="54">
        <f>orderlinesTABLE[[#This Row],[Profit]]/orderlinesTABLE[[#This Row],[LineNetAmount]]</f>
        <v>0.56453596794032457</v>
      </c>
      <c r="U777" s="70">
        <f>(orderlinesTABLE[[#This Row],[Qty]]*orderlinesTABLE[[#This Row],[UnitCost]])</f>
        <v>43.9</v>
      </c>
    </row>
    <row r="778" spans="1:21" x14ac:dyDescent="0.3">
      <c r="A778" s="14" t="s">
        <v>338</v>
      </c>
      <c r="B778" s="14" t="s">
        <v>408</v>
      </c>
      <c r="C778" s="14">
        <v>1</v>
      </c>
      <c r="D778" s="37">
        <f>VLOOKUP($B778,Menu!$A$1:$F$20,MATCH($D$1,Menu!$A$1:$F$1,0),0)</f>
        <v>70.540000000000006</v>
      </c>
      <c r="E778" s="14" t="str">
        <f>VLOOKUP($B778,Menu!$A$1:$F$20,MATCH(OrderLines!E$1,Menu!$A$1:$F$1,0),0)</f>
        <v>Snack</v>
      </c>
      <c r="F778" s="37">
        <f>VLOOKUP($B778,Menu!$A$1:$F$20,MATCH(OrderLines!F$1,Menu!$A$1:$F$1,0),0)</f>
        <v>35.81</v>
      </c>
      <c r="G778" s="28">
        <f>VLOOKUP($A778,Orders!$A$1:$H$361,MATCH($G$1,Orders!$A$1:$H$1,0),0)</f>
        <v>45845</v>
      </c>
      <c r="H778" s="14" t="str">
        <f>VLOOKUP($A778,Orders!$A$1:$H$361,MATCH(OrderLines!$H$1,Orders!$A$1:$H$1,0),0)</f>
        <v>Plant 2 Canteen</v>
      </c>
      <c r="I778" s="14">
        <f>VLOOKUP($A778,Orders!$A$1:$H$361,MATCH(OrderLines!$I$1,Orders!$A$1:$H$1,0),0)</f>
        <v>7.0000000000000007E-2</v>
      </c>
      <c r="J778" s="14">
        <f t="shared" si="37"/>
        <v>65.602199999999996</v>
      </c>
      <c r="K778" s="28" t="str">
        <f t="shared" si="38"/>
        <v>July</v>
      </c>
      <c r="L778" s="14" t="str">
        <f>VLOOKUP(OrderLines!$A778,Orders!$A$1:$H$361,MATCH(OrderLines!$L$1,Orders!$A$1:$H$1,0),0)</f>
        <v>Lunch</v>
      </c>
      <c r="M778" t="str">
        <f>VLOOKUP($A778,Orders!$A$1:$H$361,MATCH(OrderLines!$M$1,Orders!$A$1:$H$1,0),0)</f>
        <v>UPI</v>
      </c>
      <c r="N778" t="str">
        <f t="shared" si="36"/>
        <v>Single</v>
      </c>
      <c r="O778" t="str" cm="1">
        <f t="array" ref="O778">IF((SUMPRODUCT((OrderID=OrderLines!$A778)*Qty*UnitPrice*DiscountPct))&gt;40,"HighDisc","OK")</f>
        <v>OK</v>
      </c>
      <c r="P778">
        <f>(orderlinesTABLE[[#This Row],[UnitCost]]*orderlinesTABLE[[#This Row],[Qty]])</f>
        <v>35.81</v>
      </c>
      <c r="Q778">
        <f>(orderlinesTABLE[[#This Row],[LineNetAmount]]-orderlinesTABLE[[#This Row],[totalCOST]])</f>
        <v>29.792199999999994</v>
      </c>
      <c r="R778" t="str">
        <f>VLOOKUP($B778,Menu!$A$1:$F$20,MATCH(OrderLines!R$1,Menu!$A$1:$F$1,0),0)</f>
        <v>Veg Sandwich</v>
      </c>
      <c r="S778" t="str" cm="1">
        <f t="array" ref="S778">_xlfn.TEXTJOIN("+",TRUE,_xlfn._xlws.FILTER(orderlinesTABLE[ItemName],OrderID=orderlinesTABLE[[#This Row],[OrderID]]))</f>
        <v>Samosa+Gulab Jamun (2 pc)+Kheer Cup+Veg Sandwich</v>
      </c>
      <c r="T778" s="54">
        <f>orderlinesTABLE[[#This Row],[Profit]]/orderlinesTABLE[[#This Row],[LineNetAmount]]</f>
        <v>0.45413416013487345</v>
      </c>
      <c r="U778" s="70">
        <f>(orderlinesTABLE[[#This Row],[Qty]]*orderlinesTABLE[[#This Row],[UnitCost]])</f>
        <v>35.81</v>
      </c>
    </row>
    <row r="779" spans="1:21" x14ac:dyDescent="0.3">
      <c r="A779" s="15" t="s">
        <v>339</v>
      </c>
      <c r="B779" s="15" t="s">
        <v>411</v>
      </c>
      <c r="C779" s="15">
        <v>3</v>
      </c>
      <c r="D779" s="36">
        <f>VLOOKUP($B779,Menu!$A$1:$F$20,MATCH($D$1,Menu!$A$1:$F$1,0),0)</f>
        <v>22.2</v>
      </c>
      <c r="E779" s="15" t="str">
        <f>VLOOKUP($B779,Menu!$A$1:$F$20,MATCH(OrderLines!E$1,Menu!$A$1:$F$1,0),0)</f>
        <v>Beverage</v>
      </c>
      <c r="F779" s="36">
        <f>VLOOKUP($B779,Menu!$A$1:$F$20,MATCH(OrderLines!F$1,Menu!$A$1:$F$1,0),0)</f>
        <v>9.3800000000000008</v>
      </c>
      <c r="G779" s="27">
        <f>VLOOKUP($A779,Orders!$A$1:$H$361,MATCH($G$1,Orders!$A$1:$H$1,0),0)</f>
        <v>45866</v>
      </c>
      <c r="H779" s="15" t="str">
        <f>VLOOKUP($A779,Orders!$A$1:$H$361,MATCH(OrderLines!$H$1,Orders!$A$1:$H$1,0),0)</f>
        <v>Plant 2 Canteen</v>
      </c>
      <c r="I779" s="15">
        <f>VLOOKUP($A779,Orders!$A$1:$H$361,MATCH(OrderLines!$I$1,Orders!$A$1:$H$1,0),0)</f>
        <v>0.04</v>
      </c>
      <c r="J779" s="15">
        <f t="shared" si="37"/>
        <v>63.935999999999993</v>
      </c>
      <c r="K779" s="27" t="str">
        <f t="shared" si="38"/>
        <v>July</v>
      </c>
      <c r="L779" s="15" t="str">
        <f>VLOOKUP(OrderLines!$A779,Orders!$A$1:$H$361,MATCH(OrderLines!$L$1,Orders!$A$1:$H$1,0),0)</f>
        <v>Dinner</v>
      </c>
      <c r="M779" t="str">
        <f>VLOOKUP($A779,Orders!$A$1:$H$361,MATCH(OrderLines!$M$1,Orders!$A$1:$H$1,0),0)</f>
        <v>UPI</v>
      </c>
      <c r="N779" t="str">
        <f t="shared" si="36"/>
        <v>Single</v>
      </c>
      <c r="O779" t="str" cm="1">
        <f t="array" ref="O779">IF((SUMPRODUCT((OrderID=OrderLines!$A779)*Qty*UnitPrice*DiscountPct))&gt;40,"HighDisc","OK")</f>
        <v>OK</v>
      </c>
      <c r="P779">
        <f>(orderlinesTABLE[[#This Row],[UnitCost]]*orderlinesTABLE[[#This Row],[Qty]])</f>
        <v>28.14</v>
      </c>
      <c r="Q779">
        <f>(orderlinesTABLE[[#This Row],[LineNetAmount]]-orderlinesTABLE[[#This Row],[totalCOST]])</f>
        <v>35.795999999999992</v>
      </c>
      <c r="R779" t="str">
        <f>VLOOKUP($B779,Menu!$A$1:$F$20,MATCH(OrderLines!R$1,Menu!$A$1:$F$1,0),0)</f>
        <v>Coffee</v>
      </c>
      <c r="S779" t="str" cm="1">
        <f t="array" ref="S779">_xlfn.TEXTJOIN("+",TRUE,_xlfn._xlws.FILTER(orderlinesTABLE[ItemName],OrderID=orderlinesTABLE[[#This Row],[OrderID]]))</f>
        <v>Coffee</v>
      </c>
      <c r="T779" s="54">
        <f>orderlinesTABLE[[#This Row],[Profit]]/orderlinesTABLE[[#This Row],[LineNetAmount]]</f>
        <v>0.55987237237237231</v>
      </c>
      <c r="U779" s="70">
        <f>(orderlinesTABLE[[#This Row],[Qty]]*orderlinesTABLE[[#This Row],[UnitCost]])</f>
        <v>28.14</v>
      </c>
    </row>
    <row r="780" spans="1:21" x14ac:dyDescent="0.3">
      <c r="A780" s="14" t="s">
        <v>340</v>
      </c>
      <c r="B780" s="14" t="s">
        <v>418</v>
      </c>
      <c r="C780" s="14">
        <v>2</v>
      </c>
      <c r="D780" s="37">
        <f>VLOOKUP($B780,Menu!$A$1:$F$20,MATCH($D$1,Menu!$A$1:$F$1,0),0)</f>
        <v>39.950000000000003</v>
      </c>
      <c r="E780" s="14" t="str">
        <f>VLOOKUP($B780,Menu!$A$1:$F$20,MATCH(OrderLines!E$1,Menu!$A$1:$F$1,0),0)</f>
        <v>Snack</v>
      </c>
      <c r="F780" s="37">
        <f>VLOOKUP($B780,Menu!$A$1:$F$20,MATCH(OrderLines!F$1,Menu!$A$1:$F$1,0),0)</f>
        <v>15.51</v>
      </c>
      <c r="G780" s="28">
        <f>VLOOKUP($A780,Orders!$A$1:$H$361,MATCH($G$1,Orders!$A$1:$H$1,0),0)</f>
        <v>45871</v>
      </c>
      <c r="H780" s="14" t="str">
        <f>VLOOKUP($A780,Orders!$A$1:$H$361,MATCH(OrderLines!$H$1,Orders!$A$1:$H$1,0),0)</f>
        <v>Plant 1 Canteen</v>
      </c>
      <c r="I780" s="14">
        <f>VLOOKUP($A780,Orders!$A$1:$H$361,MATCH(OrderLines!$I$1,Orders!$A$1:$H$1,0),0)</f>
        <v>0.04</v>
      </c>
      <c r="J780" s="14">
        <f t="shared" si="37"/>
        <v>76.704000000000008</v>
      </c>
      <c r="K780" s="28" t="str">
        <f t="shared" si="38"/>
        <v>August</v>
      </c>
      <c r="L780" s="14" t="str">
        <f>VLOOKUP(OrderLines!$A780,Orders!$A$1:$H$361,MATCH(OrderLines!$L$1,Orders!$A$1:$H$1,0),0)</f>
        <v>Lunch</v>
      </c>
      <c r="M780" t="str">
        <f>VLOOKUP($A780,Orders!$A$1:$H$361,MATCH(OrderLines!$M$1,Orders!$A$1:$H$1,0),0)</f>
        <v>UPI</v>
      </c>
      <c r="N780" t="str">
        <f t="shared" si="36"/>
        <v>Single</v>
      </c>
      <c r="O780" t="str" cm="1">
        <f t="array" ref="O780">IF((SUMPRODUCT((OrderID=OrderLines!$A780)*Qty*UnitPrice*DiscountPct))&gt;40,"HighDisc","OK")</f>
        <v>OK</v>
      </c>
      <c r="P780">
        <f>(orderlinesTABLE[[#This Row],[UnitCost]]*orderlinesTABLE[[#This Row],[Qty]])</f>
        <v>31.02</v>
      </c>
      <c r="Q780">
        <f>(orderlinesTABLE[[#This Row],[LineNetAmount]]-orderlinesTABLE[[#This Row],[totalCOST]])</f>
        <v>45.684000000000012</v>
      </c>
      <c r="R780" t="str">
        <f>VLOOKUP($B780,Menu!$A$1:$F$20,MATCH(OrderLines!R$1,Menu!$A$1:$F$1,0),0)</f>
        <v>Samosa</v>
      </c>
      <c r="S780" t="str" cm="1">
        <f t="array" ref="S780">_xlfn.TEXTJOIN("+",TRUE,_xlfn._xlws.FILTER(orderlinesTABLE[ItemName],OrderID=orderlinesTABLE[[#This Row],[OrderID]]))</f>
        <v>Samosa+Paneer Roll</v>
      </c>
      <c r="T780" s="54">
        <f>orderlinesTABLE[[#This Row],[Profit]]/orderlinesTABLE[[#This Row],[LineNetAmount]]</f>
        <v>0.59558823529411775</v>
      </c>
      <c r="U780" s="70">
        <f>(orderlinesTABLE[[#This Row],[Qty]]*orderlinesTABLE[[#This Row],[UnitCost]])</f>
        <v>31.02</v>
      </c>
    </row>
    <row r="781" spans="1:21" x14ac:dyDescent="0.3">
      <c r="A781" s="15" t="s">
        <v>340</v>
      </c>
      <c r="B781" s="15" t="s">
        <v>406</v>
      </c>
      <c r="C781" s="15">
        <v>2</v>
      </c>
      <c r="D781" s="36">
        <f>VLOOKUP($B781,Menu!$A$1:$F$20,MATCH($D$1,Menu!$A$1:$F$1,0),0)</f>
        <v>38.06</v>
      </c>
      <c r="E781" s="15" t="str">
        <f>VLOOKUP($B781,Menu!$A$1:$F$20,MATCH(OrderLines!E$1,Menu!$A$1:$F$1,0),0)</f>
        <v>Snack</v>
      </c>
      <c r="F781" s="36">
        <f>VLOOKUP($B781,Menu!$A$1:$F$20,MATCH(OrderLines!F$1,Menu!$A$1:$F$1,0),0)</f>
        <v>19.55</v>
      </c>
      <c r="G781" s="27">
        <f>VLOOKUP($A781,Orders!$A$1:$H$361,MATCH($G$1,Orders!$A$1:$H$1,0),0)</f>
        <v>45871</v>
      </c>
      <c r="H781" s="15" t="str">
        <f>VLOOKUP($A781,Orders!$A$1:$H$361,MATCH(OrderLines!$H$1,Orders!$A$1:$H$1,0),0)</f>
        <v>Plant 1 Canteen</v>
      </c>
      <c r="I781" s="15">
        <f>VLOOKUP($A781,Orders!$A$1:$H$361,MATCH(OrderLines!$I$1,Orders!$A$1:$H$1,0),0)</f>
        <v>0.04</v>
      </c>
      <c r="J781" s="15">
        <f t="shared" si="37"/>
        <v>73.075199999999995</v>
      </c>
      <c r="K781" s="27" t="str">
        <f t="shared" si="38"/>
        <v>August</v>
      </c>
      <c r="L781" s="15" t="str">
        <f>VLOOKUP(OrderLines!$A781,Orders!$A$1:$H$361,MATCH(OrderLines!$L$1,Orders!$A$1:$H$1,0),0)</f>
        <v>Lunch</v>
      </c>
      <c r="M781" t="str">
        <f>VLOOKUP($A781,Orders!$A$1:$H$361,MATCH(OrderLines!$M$1,Orders!$A$1:$H$1,0),0)</f>
        <v>UPI</v>
      </c>
      <c r="N781" t="str">
        <f t="shared" si="36"/>
        <v>Single</v>
      </c>
      <c r="O781" t="str" cm="1">
        <f t="array" ref="O781">IF((SUMPRODUCT((OrderID=OrderLines!$A781)*Qty*UnitPrice*DiscountPct))&gt;40,"HighDisc","OK")</f>
        <v>OK</v>
      </c>
      <c r="P781">
        <f>(orderlinesTABLE[[#This Row],[UnitCost]]*orderlinesTABLE[[#This Row],[Qty]])</f>
        <v>39.1</v>
      </c>
      <c r="Q781">
        <f>(orderlinesTABLE[[#This Row],[LineNetAmount]]-orderlinesTABLE[[#This Row],[totalCOST]])</f>
        <v>33.975199999999994</v>
      </c>
      <c r="R781" t="str">
        <f>VLOOKUP($B781,Menu!$A$1:$F$20,MATCH(OrderLines!R$1,Menu!$A$1:$F$1,0),0)</f>
        <v>Paneer Roll</v>
      </c>
      <c r="S781" t="str" cm="1">
        <f t="array" ref="S781">_xlfn.TEXTJOIN("+",TRUE,_xlfn._xlws.FILTER(orderlinesTABLE[ItemName],OrderID=orderlinesTABLE[[#This Row],[OrderID]]))</f>
        <v>Samosa+Paneer Roll</v>
      </c>
      <c r="T781" s="54">
        <f>orderlinesTABLE[[#This Row],[Profit]]/orderlinesTABLE[[#This Row],[LineNetAmount]]</f>
        <v>0.46493475214573476</v>
      </c>
      <c r="U781" s="70">
        <f>(orderlinesTABLE[[#This Row],[Qty]]*orderlinesTABLE[[#This Row],[UnitCost]])</f>
        <v>39.1</v>
      </c>
    </row>
    <row r="782" spans="1:21" x14ac:dyDescent="0.3">
      <c r="A782" s="14" t="s">
        <v>341</v>
      </c>
      <c r="B782" s="14" t="s">
        <v>404</v>
      </c>
      <c r="C782" s="14">
        <v>1</v>
      </c>
      <c r="D782" s="37">
        <f>VLOOKUP($B782,Menu!$A$1:$F$20,MATCH($D$1,Menu!$A$1:$F$1,0),0)</f>
        <v>32.979999999999997</v>
      </c>
      <c r="E782" s="14" t="str">
        <f>VLOOKUP($B782,Menu!$A$1:$F$20,MATCH(OrderLines!E$1,Menu!$A$1:$F$1,0),0)</f>
        <v>Beverage</v>
      </c>
      <c r="F782" s="37">
        <f>VLOOKUP($B782,Menu!$A$1:$F$20,MATCH(OrderLines!F$1,Menu!$A$1:$F$1,0),0)</f>
        <v>11.84</v>
      </c>
      <c r="G782" s="28">
        <f>VLOOKUP($A782,Orders!$A$1:$H$361,MATCH($G$1,Orders!$A$1:$H$1,0),0)</f>
        <v>45873</v>
      </c>
      <c r="H782" s="14" t="str">
        <f>VLOOKUP($A782,Orders!$A$1:$H$361,MATCH(OrderLines!$H$1,Orders!$A$1:$H$1,0),0)</f>
        <v>Plant 2 Canteen</v>
      </c>
      <c r="I782" s="14">
        <f>VLOOKUP($A782,Orders!$A$1:$H$361,MATCH(OrderLines!$I$1,Orders!$A$1:$H$1,0),0)</f>
        <v>7.0000000000000007E-2</v>
      </c>
      <c r="J782" s="14">
        <f t="shared" si="37"/>
        <v>30.671399999999995</v>
      </c>
      <c r="K782" s="28" t="str">
        <f t="shared" si="38"/>
        <v>August</v>
      </c>
      <c r="L782" s="14" t="str">
        <f>VLOOKUP(OrderLines!$A782,Orders!$A$1:$H$361,MATCH(OrderLines!$L$1,Orders!$A$1:$H$1,0),0)</f>
        <v>Breakfast</v>
      </c>
      <c r="M782" t="str">
        <f>VLOOKUP($A782,Orders!$A$1:$H$361,MATCH(OrderLines!$M$1,Orders!$A$1:$H$1,0),0)</f>
        <v>UPI</v>
      </c>
      <c r="N782" t="str">
        <f t="shared" si="36"/>
        <v>Single</v>
      </c>
      <c r="O782" t="str" cm="1">
        <f t="array" ref="O782">IF((SUMPRODUCT((OrderID=OrderLines!$A782)*Qty*UnitPrice*DiscountPct))&gt;40,"HighDisc","OK")</f>
        <v>OK</v>
      </c>
      <c r="P782">
        <f>(orderlinesTABLE[[#This Row],[UnitCost]]*orderlinesTABLE[[#This Row],[Qty]])</f>
        <v>11.84</v>
      </c>
      <c r="Q782">
        <f>(orderlinesTABLE[[#This Row],[LineNetAmount]]-orderlinesTABLE[[#This Row],[totalCOST]])</f>
        <v>18.831399999999995</v>
      </c>
      <c r="R782" t="str">
        <f>VLOOKUP($B782,Menu!$A$1:$F$20,MATCH(OrderLines!R$1,Menu!$A$1:$F$1,0),0)</f>
        <v>Masala Chaas</v>
      </c>
      <c r="S782" t="str" cm="1">
        <f t="array" ref="S782">_xlfn.TEXTJOIN("+",TRUE,_xlfn._xlws.FILTER(orderlinesTABLE[ItemName],OrderID=orderlinesTABLE[[#This Row],[OrderID]]))</f>
        <v>Masala Chaas</v>
      </c>
      <c r="T782" s="54">
        <f>orderlinesTABLE[[#This Row],[Profit]]/orderlinesTABLE[[#This Row],[LineNetAmount]]</f>
        <v>0.61397262596425328</v>
      </c>
      <c r="U782" s="70">
        <f>(orderlinesTABLE[[#This Row],[Qty]]*orderlinesTABLE[[#This Row],[UnitCost]])</f>
        <v>11.84</v>
      </c>
    </row>
    <row r="783" spans="1:21" x14ac:dyDescent="0.3">
      <c r="A783" s="15" t="s">
        <v>342</v>
      </c>
      <c r="B783" s="15" t="s">
        <v>418</v>
      </c>
      <c r="C783" s="15">
        <v>2</v>
      </c>
      <c r="D783" s="36">
        <f>VLOOKUP($B783,Menu!$A$1:$F$20,MATCH($D$1,Menu!$A$1:$F$1,0),0)</f>
        <v>39.950000000000003</v>
      </c>
      <c r="E783" s="15" t="str">
        <f>VLOOKUP($B783,Menu!$A$1:$F$20,MATCH(OrderLines!E$1,Menu!$A$1:$F$1,0),0)</f>
        <v>Snack</v>
      </c>
      <c r="F783" s="36">
        <f>VLOOKUP($B783,Menu!$A$1:$F$20,MATCH(OrderLines!F$1,Menu!$A$1:$F$1,0),0)</f>
        <v>15.51</v>
      </c>
      <c r="G783" s="27">
        <f>VLOOKUP($A783,Orders!$A$1:$H$361,MATCH($G$1,Orders!$A$1:$H$1,0),0)</f>
        <v>45851</v>
      </c>
      <c r="H783" s="15" t="str">
        <f>VLOOKUP($A783,Orders!$A$1:$H$361,MATCH(OrderLines!$H$1,Orders!$A$1:$H$1,0),0)</f>
        <v>Head Office Café</v>
      </c>
      <c r="I783" s="15">
        <f>VLOOKUP($A783,Orders!$A$1:$H$361,MATCH(OrderLines!$I$1,Orders!$A$1:$H$1,0),0)</f>
        <v>0</v>
      </c>
      <c r="J783" s="15">
        <f t="shared" si="37"/>
        <v>79.900000000000006</v>
      </c>
      <c r="K783" s="27" t="str">
        <f t="shared" si="38"/>
        <v>July</v>
      </c>
      <c r="L783" s="15" t="str">
        <f>VLOOKUP(OrderLines!$A783,Orders!$A$1:$H$361,MATCH(OrderLines!$L$1,Orders!$A$1:$H$1,0),0)</f>
        <v>Dinner</v>
      </c>
      <c r="M783" t="str">
        <f>VLOOKUP($A783,Orders!$A$1:$H$361,MATCH(OrderLines!$M$1,Orders!$A$1:$H$1,0),0)</f>
        <v>Cash</v>
      </c>
      <c r="N783" t="str">
        <f t="shared" si="36"/>
        <v>Single</v>
      </c>
      <c r="O783" t="str" cm="1">
        <f t="array" ref="O783">IF((SUMPRODUCT((OrderID=OrderLines!$A783)*Qty*UnitPrice*DiscountPct))&gt;40,"HighDisc","OK")</f>
        <v>OK</v>
      </c>
      <c r="P783">
        <f>(orderlinesTABLE[[#This Row],[UnitCost]]*orderlinesTABLE[[#This Row],[Qty]])</f>
        <v>31.02</v>
      </c>
      <c r="Q783">
        <f>(orderlinesTABLE[[#This Row],[LineNetAmount]]-orderlinesTABLE[[#This Row],[totalCOST]])</f>
        <v>48.88000000000001</v>
      </c>
      <c r="R783" t="str">
        <f>VLOOKUP($B783,Menu!$A$1:$F$20,MATCH(OrderLines!R$1,Menu!$A$1:$F$1,0),0)</f>
        <v>Samosa</v>
      </c>
      <c r="S783" t="str" cm="1">
        <f t="array" ref="S783">_xlfn.TEXTJOIN("+",TRUE,_xlfn._xlws.FILTER(orderlinesTABLE[ItemName],OrderID=orderlinesTABLE[[#This Row],[OrderID]]))</f>
        <v>Samosa+Egg Curry + Rice</v>
      </c>
      <c r="T783" s="54">
        <f>orderlinesTABLE[[#This Row],[Profit]]/orderlinesTABLE[[#This Row],[LineNetAmount]]</f>
        <v>0.61176470588235299</v>
      </c>
      <c r="U783" s="70">
        <f>(orderlinesTABLE[[#This Row],[Qty]]*orderlinesTABLE[[#This Row],[UnitCost]])</f>
        <v>31.02</v>
      </c>
    </row>
    <row r="784" spans="1:21" x14ac:dyDescent="0.3">
      <c r="A784" s="14" t="s">
        <v>342</v>
      </c>
      <c r="B784" s="14" t="s">
        <v>407</v>
      </c>
      <c r="C784" s="14">
        <v>2</v>
      </c>
      <c r="D784" s="37">
        <f>VLOOKUP($B784,Menu!$A$1:$F$20,MATCH($D$1,Menu!$A$1:$F$1,0),0)</f>
        <v>246.09</v>
      </c>
      <c r="E784" s="14" t="str">
        <f>VLOOKUP($B784,Menu!$A$1:$F$20,MATCH(OrderLines!E$1,Menu!$A$1:$F$1,0),0)</f>
        <v>Hot Meal</v>
      </c>
      <c r="F784" s="37">
        <f>VLOOKUP($B784,Menu!$A$1:$F$20,MATCH(OrderLines!F$1,Menu!$A$1:$F$1,0),0)</f>
        <v>112.08</v>
      </c>
      <c r="G784" s="28">
        <f>VLOOKUP($A784,Orders!$A$1:$H$361,MATCH($G$1,Orders!$A$1:$H$1,0),0)</f>
        <v>45851</v>
      </c>
      <c r="H784" s="14" t="str">
        <f>VLOOKUP($A784,Orders!$A$1:$H$361,MATCH(OrderLines!$H$1,Orders!$A$1:$H$1,0),0)</f>
        <v>Head Office Café</v>
      </c>
      <c r="I784" s="14">
        <f>VLOOKUP($A784,Orders!$A$1:$H$361,MATCH(OrderLines!$I$1,Orders!$A$1:$H$1,0),0)</f>
        <v>0</v>
      </c>
      <c r="J784" s="14">
        <f t="shared" si="37"/>
        <v>492.18</v>
      </c>
      <c r="K784" s="28" t="str">
        <f t="shared" si="38"/>
        <v>July</v>
      </c>
      <c r="L784" s="14" t="str">
        <f>VLOOKUP(OrderLines!$A784,Orders!$A$1:$H$361,MATCH(OrderLines!$L$1,Orders!$A$1:$H$1,0),0)</f>
        <v>Dinner</v>
      </c>
      <c r="M784" t="str">
        <f>VLOOKUP($A784,Orders!$A$1:$H$361,MATCH(OrderLines!$M$1,Orders!$A$1:$H$1,0),0)</f>
        <v>Cash</v>
      </c>
      <c r="N784" t="str">
        <f t="shared" si="36"/>
        <v>Single</v>
      </c>
      <c r="O784" t="str" cm="1">
        <f t="array" ref="O784">IF((SUMPRODUCT((OrderID=OrderLines!$A784)*Qty*UnitPrice*DiscountPct))&gt;40,"HighDisc","OK")</f>
        <v>OK</v>
      </c>
      <c r="P784">
        <f>(orderlinesTABLE[[#This Row],[UnitCost]]*orderlinesTABLE[[#This Row],[Qty]])</f>
        <v>224.16</v>
      </c>
      <c r="Q784">
        <f>(orderlinesTABLE[[#This Row],[LineNetAmount]]-orderlinesTABLE[[#This Row],[totalCOST]])</f>
        <v>268.02</v>
      </c>
      <c r="R784" t="str">
        <f>VLOOKUP($B784,Menu!$A$1:$F$20,MATCH(OrderLines!R$1,Menu!$A$1:$F$1,0),0)</f>
        <v>Egg Curry + Rice</v>
      </c>
      <c r="S784" t="str" cm="1">
        <f t="array" ref="S784">_xlfn.TEXTJOIN("+",TRUE,_xlfn._xlws.FILTER(orderlinesTABLE[ItemName],OrderID=orderlinesTABLE[[#This Row],[OrderID]]))</f>
        <v>Samosa+Egg Curry + Rice</v>
      </c>
      <c r="T784" s="54">
        <f>orderlinesTABLE[[#This Row],[Profit]]/orderlinesTABLE[[#This Row],[LineNetAmount]]</f>
        <v>0.5445568694380104</v>
      </c>
      <c r="U784" s="70">
        <f>(orderlinesTABLE[[#This Row],[Qty]]*orderlinesTABLE[[#This Row],[UnitCost]])</f>
        <v>224.16</v>
      </c>
    </row>
    <row r="785" spans="1:21" x14ac:dyDescent="0.3">
      <c r="A785" s="15" t="s">
        <v>343</v>
      </c>
      <c r="B785" s="15" t="s">
        <v>419</v>
      </c>
      <c r="C785" s="15">
        <v>1</v>
      </c>
      <c r="D785" s="36">
        <f>VLOOKUP($B785,Menu!$A$1:$F$20,MATCH($D$1,Menu!$A$1:$F$1,0),0)</f>
        <v>50.19</v>
      </c>
      <c r="E785" s="15" t="str">
        <f>VLOOKUP($B785,Menu!$A$1:$F$20,MATCH(OrderLines!E$1,Menu!$A$1:$F$1,0),0)</f>
        <v>Snack</v>
      </c>
      <c r="F785" s="36">
        <f>VLOOKUP($B785,Menu!$A$1:$F$20,MATCH(OrderLines!F$1,Menu!$A$1:$F$1,0),0)</f>
        <v>22.61</v>
      </c>
      <c r="G785" s="27">
        <f>VLOOKUP($A785,Orders!$A$1:$H$361,MATCH($G$1,Orders!$A$1:$H$1,0),0)</f>
        <v>45893</v>
      </c>
      <c r="H785" s="15" t="str">
        <f>VLOOKUP($A785,Orders!$A$1:$H$361,MATCH(OrderLines!$H$1,Orders!$A$1:$H$1,0),0)</f>
        <v>Plant 2 Canteen</v>
      </c>
      <c r="I785" s="15">
        <f>VLOOKUP($A785,Orders!$A$1:$H$361,MATCH(OrderLines!$I$1,Orders!$A$1:$H$1,0),0)</f>
        <v>0</v>
      </c>
      <c r="J785" s="15">
        <f t="shared" si="37"/>
        <v>50.19</v>
      </c>
      <c r="K785" s="27" t="str">
        <f t="shared" si="38"/>
        <v>August</v>
      </c>
      <c r="L785" s="15" t="str">
        <f>VLOOKUP(OrderLines!$A785,Orders!$A$1:$H$361,MATCH(OrderLines!$L$1,Orders!$A$1:$H$1,0),0)</f>
        <v>Lunch</v>
      </c>
      <c r="M785" t="str">
        <f>VLOOKUP($A785,Orders!$A$1:$H$361,MATCH(OrderLines!$M$1,Orders!$A$1:$H$1,0),0)</f>
        <v>Card</v>
      </c>
      <c r="N785" t="str">
        <f t="shared" si="36"/>
        <v>Combo</v>
      </c>
      <c r="O785" t="str" cm="1">
        <f t="array" ref="O785">IF((SUMPRODUCT((OrderID=OrderLines!$A785)*Qty*UnitPrice*DiscountPct))&gt;40,"HighDisc","OK")</f>
        <v>OK</v>
      </c>
      <c r="P785">
        <f>(orderlinesTABLE[[#This Row],[UnitCost]]*orderlinesTABLE[[#This Row],[Qty]])</f>
        <v>22.61</v>
      </c>
      <c r="Q785">
        <f>(orderlinesTABLE[[#This Row],[LineNetAmount]]-orderlinesTABLE[[#This Row],[totalCOST]])</f>
        <v>27.58</v>
      </c>
      <c r="R785" t="str">
        <f>VLOOKUP($B785,Menu!$A$1:$F$20,MATCH(OrderLines!R$1,Menu!$A$1:$F$1,0),0)</f>
        <v>Masala Puff</v>
      </c>
      <c r="S785" t="str" cm="1">
        <f t="array" ref="S785">_xlfn.TEXTJOIN("+",TRUE,_xlfn._xlws.FILTER(orderlinesTABLE[ItemName],OrderID=orderlinesTABLE[[#This Row],[OrderID]]))</f>
        <v>Masala Puff+Nimbu Pani+Paneer Butter Masala + Naan+Rajma Chawal</v>
      </c>
      <c r="T785" s="54">
        <f>orderlinesTABLE[[#This Row],[Profit]]/orderlinesTABLE[[#This Row],[LineNetAmount]]</f>
        <v>0.54951185495118549</v>
      </c>
      <c r="U785" s="70">
        <f>(orderlinesTABLE[[#This Row],[Qty]]*orderlinesTABLE[[#This Row],[UnitCost]])</f>
        <v>22.61</v>
      </c>
    </row>
    <row r="786" spans="1:21" x14ac:dyDescent="0.3">
      <c r="A786" s="14" t="s">
        <v>343</v>
      </c>
      <c r="B786" s="14" t="s">
        <v>410</v>
      </c>
      <c r="C786" s="14">
        <v>1</v>
      </c>
      <c r="D786" s="37">
        <f>VLOOKUP($B786,Menu!$A$1:$F$20,MATCH($D$1,Menu!$A$1:$F$1,0),0)</f>
        <v>20.11</v>
      </c>
      <c r="E786" s="14" t="str">
        <f>VLOOKUP($B786,Menu!$A$1:$F$20,MATCH(OrderLines!E$1,Menu!$A$1:$F$1,0),0)</f>
        <v>Beverage</v>
      </c>
      <c r="F786" s="37">
        <f>VLOOKUP($B786,Menu!$A$1:$F$20,MATCH(OrderLines!F$1,Menu!$A$1:$F$1,0),0)</f>
        <v>8</v>
      </c>
      <c r="G786" s="28">
        <f>VLOOKUP($A786,Orders!$A$1:$H$361,MATCH($G$1,Orders!$A$1:$H$1,0),0)</f>
        <v>45893</v>
      </c>
      <c r="H786" s="14" t="str">
        <f>VLOOKUP($A786,Orders!$A$1:$H$361,MATCH(OrderLines!$H$1,Orders!$A$1:$H$1,0),0)</f>
        <v>Plant 2 Canteen</v>
      </c>
      <c r="I786" s="14">
        <f>VLOOKUP($A786,Orders!$A$1:$H$361,MATCH(OrderLines!$I$1,Orders!$A$1:$H$1,0),0)</f>
        <v>0</v>
      </c>
      <c r="J786" s="14">
        <f t="shared" si="37"/>
        <v>20.11</v>
      </c>
      <c r="K786" s="28" t="str">
        <f t="shared" si="38"/>
        <v>August</v>
      </c>
      <c r="L786" s="14" t="str">
        <f>VLOOKUP(OrderLines!$A786,Orders!$A$1:$H$361,MATCH(OrderLines!$L$1,Orders!$A$1:$H$1,0),0)</f>
        <v>Lunch</v>
      </c>
      <c r="M786" t="str">
        <f>VLOOKUP($A786,Orders!$A$1:$H$361,MATCH(OrderLines!$M$1,Orders!$A$1:$H$1,0),0)</f>
        <v>Card</v>
      </c>
      <c r="N786" t="str">
        <f t="shared" si="36"/>
        <v>Combo</v>
      </c>
      <c r="O786" t="str" cm="1">
        <f t="array" ref="O786">IF((SUMPRODUCT((OrderID=OrderLines!$A786)*Qty*UnitPrice*DiscountPct))&gt;40,"HighDisc","OK")</f>
        <v>OK</v>
      </c>
      <c r="P786">
        <f>(orderlinesTABLE[[#This Row],[UnitCost]]*orderlinesTABLE[[#This Row],[Qty]])</f>
        <v>8</v>
      </c>
      <c r="Q786">
        <f>(orderlinesTABLE[[#This Row],[LineNetAmount]]-orderlinesTABLE[[#This Row],[totalCOST]])</f>
        <v>12.11</v>
      </c>
      <c r="R786" t="str">
        <f>VLOOKUP($B786,Menu!$A$1:$F$20,MATCH(OrderLines!R$1,Menu!$A$1:$F$1,0),0)</f>
        <v>Nimbu Pani</v>
      </c>
      <c r="S786" t="str" cm="1">
        <f t="array" ref="S786">_xlfn.TEXTJOIN("+",TRUE,_xlfn._xlws.FILTER(orderlinesTABLE[ItemName],OrderID=orderlinesTABLE[[#This Row],[OrderID]]))</f>
        <v>Masala Puff+Nimbu Pani+Paneer Butter Masala + Naan+Rajma Chawal</v>
      </c>
      <c r="T786" s="54">
        <f>orderlinesTABLE[[#This Row],[Profit]]/orderlinesTABLE[[#This Row],[LineNetAmount]]</f>
        <v>0.60218796618597714</v>
      </c>
      <c r="U786" s="70">
        <f>(orderlinesTABLE[[#This Row],[Qty]]*orderlinesTABLE[[#This Row],[UnitCost]])</f>
        <v>8</v>
      </c>
    </row>
    <row r="787" spans="1:21" x14ac:dyDescent="0.3">
      <c r="A787" s="15" t="s">
        <v>343</v>
      </c>
      <c r="B787" s="15" t="s">
        <v>405</v>
      </c>
      <c r="C787" s="15">
        <v>1</v>
      </c>
      <c r="D787" s="36">
        <f>VLOOKUP($B787,Menu!$A$1:$F$20,MATCH($D$1,Menu!$A$1:$F$1,0),0)</f>
        <v>170.83</v>
      </c>
      <c r="E787" s="15" t="str">
        <f>VLOOKUP($B787,Menu!$A$1:$F$20,MATCH(OrderLines!E$1,Menu!$A$1:$F$1,0),0)</f>
        <v>Hot Meal</v>
      </c>
      <c r="F787" s="36">
        <f>VLOOKUP($B787,Menu!$A$1:$F$20,MATCH(OrderLines!F$1,Menu!$A$1:$F$1,0),0)</f>
        <v>74.069999999999993</v>
      </c>
      <c r="G787" s="27">
        <f>VLOOKUP($A787,Orders!$A$1:$H$361,MATCH($G$1,Orders!$A$1:$H$1,0),0)</f>
        <v>45893</v>
      </c>
      <c r="H787" s="15" t="str">
        <f>VLOOKUP($A787,Orders!$A$1:$H$361,MATCH(OrderLines!$H$1,Orders!$A$1:$H$1,0),0)</f>
        <v>Plant 2 Canteen</v>
      </c>
      <c r="I787" s="15">
        <f>VLOOKUP($A787,Orders!$A$1:$H$361,MATCH(OrderLines!$I$1,Orders!$A$1:$H$1,0),0)</f>
        <v>0</v>
      </c>
      <c r="J787" s="15">
        <f t="shared" si="37"/>
        <v>170.83</v>
      </c>
      <c r="K787" s="27" t="str">
        <f t="shared" si="38"/>
        <v>August</v>
      </c>
      <c r="L787" s="15" t="str">
        <f>VLOOKUP(OrderLines!$A787,Orders!$A$1:$H$361,MATCH(OrderLines!$L$1,Orders!$A$1:$H$1,0),0)</f>
        <v>Lunch</v>
      </c>
      <c r="M787" t="str">
        <f>VLOOKUP($A787,Orders!$A$1:$H$361,MATCH(OrderLines!$M$1,Orders!$A$1:$H$1,0),0)</f>
        <v>Card</v>
      </c>
      <c r="N787" t="str">
        <f t="shared" si="36"/>
        <v>Combo</v>
      </c>
      <c r="O787" t="str" cm="1">
        <f t="array" ref="O787">IF((SUMPRODUCT((OrderID=OrderLines!$A787)*Qty*UnitPrice*DiscountPct))&gt;40,"HighDisc","OK")</f>
        <v>OK</v>
      </c>
      <c r="P787">
        <f>(orderlinesTABLE[[#This Row],[UnitCost]]*orderlinesTABLE[[#This Row],[Qty]])</f>
        <v>74.069999999999993</v>
      </c>
      <c r="Q787">
        <f>(orderlinesTABLE[[#This Row],[LineNetAmount]]-orderlinesTABLE[[#This Row],[totalCOST]])</f>
        <v>96.760000000000019</v>
      </c>
      <c r="R787" t="str">
        <f>VLOOKUP($B787,Menu!$A$1:$F$20,MATCH(OrderLines!R$1,Menu!$A$1:$F$1,0),0)</f>
        <v>Paneer Butter Masala + Naan</v>
      </c>
      <c r="S787" t="str" cm="1">
        <f t="array" ref="S787">_xlfn.TEXTJOIN("+",TRUE,_xlfn._xlws.FILTER(orderlinesTABLE[ItemName],OrderID=orderlinesTABLE[[#This Row],[OrderID]]))</f>
        <v>Masala Puff+Nimbu Pani+Paneer Butter Masala + Naan+Rajma Chawal</v>
      </c>
      <c r="T787" s="54">
        <f>orderlinesTABLE[[#This Row],[Profit]]/orderlinesTABLE[[#This Row],[LineNetAmount]]</f>
        <v>0.56641105192296437</v>
      </c>
      <c r="U787" s="70">
        <f>(orderlinesTABLE[[#This Row],[Qty]]*orderlinesTABLE[[#This Row],[UnitCost]])</f>
        <v>74.069999999999993</v>
      </c>
    </row>
    <row r="788" spans="1:21" x14ac:dyDescent="0.3">
      <c r="A788" s="14" t="s">
        <v>343</v>
      </c>
      <c r="B788" s="14" t="s">
        <v>417</v>
      </c>
      <c r="C788" s="14">
        <v>3</v>
      </c>
      <c r="D788" s="37">
        <f>VLOOKUP($B788,Menu!$A$1:$F$20,MATCH($D$1,Menu!$A$1:$F$1,0),0)</f>
        <v>146.4</v>
      </c>
      <c r="E788" s="14" t="str">
        <f>VLOOKUP($B788,Menu!$A$1:$F$20,MATCH(OrderLines!E$1,Menu!$A$1:$F$1,0),0)</f>
        <v>Hot Meal</v>
      </c>
      <c r="F788" s="37">
        <f>VLOOKUP($B788,Menu!$A$1:$F$20,MATCH(OrderLines!F$1,Menu!$A$1:$F$1,0),0)</f>
        <v>80.92</v>
      </c>
      <c r="G788" s="28">
        <f>VLOOKUP($A788,Orders!$A$1:$H$361,MATCH($G$1,Orders!$A$1:$H$1,0),0)</f>
        <v>45893</v>
      </c>
      <c r="H788" s="14" t="str">
        <f>VLOOKUP($A788,Orders!$A$1:$H$361,MATCH(OrderLines!$H$1,Orders!$A$1:$H$1,0),0)</f>
        <v>Plant 2 Canteen</v>
      </c>
      <c r="I788" s="14">
        <f>VLOOKUP($A788,Orders!$A$1:$H$361,MATCH(OrderLines!$I$1,Orders!$A$1:$H$1,0),0)</f>
        <v>0</v>
      </c>
      <c r="J788" s="14">
        <f t="shared" si="37"/>
        <v>439.20000000000005</v>
      </c>
      <c r="K788" s="28" t="str">
        <f t="shared" si="38"/>
        <v>August</v>
      </c>
      <c r="L788" s="14" t="str">
        <f>VLOOKUP(OrderLines!$A788,Orders!$A$1:$H$361,MATCH(OrderLines!$L$1,Orders!$A$1:$H$1,0),0)</f>
        <v>Lunch</v>
      </c>
      <c r="M788" t="str">
        <f>VLOOKUP($A788,Orders!$A$1:$H$361,MATCH(OrderLines!$M$1,Orders!$A$1:$H$1,0),0)</f>
        <v>Card</v>
      </c>
      <c r="N788" t="str">
        <f t="shared" si="36"/>
        <v>Combo</v>
      </c>
      <c r="O788" t="str" cm="1">
        <f t="array" ref="O788">IF((SUMPRODUCT((OrderID=OrderLines!$A788)*Qty*UnitPrice*DiscountPct))&gt;40,"HighDisc","OK")</f>
        <v>OK</v>
      </c>
      <c r="P788">
        <f>(orderlinesTABLE[[#This Row],[UnitCost]]*orderlinesTABLE[[#This Row],[Qty]])</f>
        <v>242.76</v>
      </c>
      <c r="Q788">
        <f>(orderlinesTABLE[[#This Row],[LineNetAmount]]-orderlinesTABLE[[#This Row],[totalCOST]])</f>
        <v>196.44000000000005</v>
      </c>
      <c r="R788" t="str">
        <f>VLOOKUP($B788,Menu!$A$1:$F$20,MATCH(OrderLines!R$1,Menu!$A$1:$F$1,0),0)</f>
        <v>Rajma Chawal</v>
      </c>
      <c r="S788" t="str" cm="1">
        <f t="array" ref="S788">_xlfn.TEXTJOIN("+",TRUE,_xlfn._xlws.FILTER(orderlinesTABLE[ItemName],OrderID=orderlinesTABLE[[#This Row],[OrderID]]))</f>
        <v>Masala Puff+Nimbu Pani+Paneer Butter Masala + Naan+Rajma Chawal</v>
      </c>
      <c r="T788" s="54">
        <f>orderlinesTABLE[[#This Row],[Profit]]/orderlinesTABLE[[#This Row],[LineNetAmount]]</f>
        <v>0.44726775956284159</v>
      </c>
      <c r="U788" s="70">
        <f>(orderlinesTABLE[[#This Row],[Qty]]*orderlinesTABLE[[#This Row],[UnitCost]])</f>
        <v>242.76</v>
      </c>
    </row>
    <row r="789" spans="1:21" x14ac:dyDescent="0.3">
      <c r="A789" s="15" t="s">
        <v>344</v>
      </c>
      <c r="B789" s="15" t="s">
        <v>403</v>
      </c>
      <c r="C789" s="15">
        <v>1</v>
      </c>
      <c r="D789" s="36">
        <f>VLOOKUP($B789,Menu!$A$1:$F$20,MATCH($D$1,Menu!$A$1:$F$1,0),0)</f>
        <v>76.55</v>
      </c>
      <c r="E789" s="15" t="str">
        <f>VLOOKUP($B789,Menu!$A$1:$F$20,MATCH(OrderLines!E$1,Menu!$A$1:$F$1,0),0)</f>
        <v>Dessert</v>
      </c>
      <c r="F789" s="36">
        <f>VLOOKUP($B789,Menu!$A$1:$F$20,MATCH(OrderLines!F$1,Menu!$A$1:$F$1,0),0)</f>
        <v>38.229999999999997</v>
      </c>
      <c r="G789" s="27">
        <f>VLOOKUP($A789,Orders!$A$1:$H$361,MATCH($G$1,Orders!$A$1:$H$1,0),0)</f>
        <v>45890</v>
      </c>
      <c r="H789" s="15" t="str">
        <f>VLOOKUP($A789,Orders!$A$1:$H$361,MATCH(OrderLines!$H$1,Orders!$A$1:$H$1,0),0)</f>
        <v>Plant 1 Canteen</v>
      </c>
      <c r="I789" s="15">
        <f>VLOOKUP($A789,Orders!$A$1:$H$361,MATCH(OrderLines!$I$1,Orders!$A$1:$H$1,0),0)</f>
        <v>0.03</v>
      </c>
      <c r="J789" s="15">
        <f t="shared" si="37"/>
        <v>74.253499999999988</v>
      </c>
      <c r="K789" s="27" t="str">
        <f t="shared" si="38"/>
        <v>August</v>
      </c>
      <c r="L789" s="15" t="str">
        <f>VLOOKUP(OrderLines!$A789,Orders!$A$1:$H$361,MATCH(OrderLines!$L$1,Orders!$A$1:$H$1,0),0)</f>
        <v>Breakfast</v>
      </c>
      <c r="M789" t="str">
        <f>VLOOKUP($A789,Orders!$A$1:$H$361,MATCH(OrderLines!$M$1,Orders!$A$1:$H$1,0),0)</f>
        <v>UPI</v>
      </c>
      <c r="N789" t="str">
        <f t="shared" si="36"/>
        <v>Combo</v>
      </c>
      <c r="O789" t="str" cm="1">
        <f t="array" ref="O789">IF((SUMPRODUCT((OrderID=OrderLines!$A789)*Qty*UnitPrice*DiscountPct))&gt;40,"HighDisc","OK")</f>
        <v>OK</v>
      </c>
      <c r="P789">
        <f>(orderlinesTABLE[[#This Row],[UnitCost]]*orderlinesTABLE[[#This Row],[Qty]])</f>
        <v>38.229999999999997</v>
      </c>
      <c r="Q789">
        <f>(orderlinesTABLE[[#This Row],[LineNetAmount]]-orderlinesTABLE[[#This Row],[totalCOST]])</f>
        <v>36.023499999999991</v>
      </c>
      <c r="R789" t="str">
        <f>VLOOKUP($B789,Menu!$A$1:$F$20,MATCH(OrderLines!R$1,Menu!$A$1:$F$1,0),0)</f>
        <v>Gulab Jamun (2 pc)</v>
      </c>
      <c r="S789" t="str" cm="1">
        <f t="array" ref="S789">_xlfn.TEXTJOIN("+",TRUE,_xlfn._xlws.FILTER(orderlinesTABLE[ItemName],OrderID=orderlinesTABLE[[#This Row],[OrderID]]))</f>
        <v>Gulab Jamun (2 pc)+Egg Curry + Rice+Coffee+Tea</v>
      </c>
      <c r="T789" s="54">
        <f>orderlinesTABLE[[#This Row],[Profit]]/orderlinesTABLE[[#This Row],[LineNetAmount]]</f>
        <v>0.48514211451312056</v>
      </c>
      <c r="U789" s="70">
        <f>(orderlinesTABLE[[#This Row],[Qty]]*orderlinesTABLE[[#This Row],[UnitCost]])</f>
        <v>38.229999999999997</v>
      </c>
    </row>
    <row r="790" spans="1:21" x14ac:dyDescent="0.3">
      <c r="A790" s="14" t="s">
        <v>344</v>
      </c>
      <c r="B790" s="14" t="s">
        <v>407</v>
      </c>
      <c r="C790" s="14">
        <v>1</v>
      </c>
      <c r="D790" s="37">
        <f>VLOOKUP($B790,Menu!$A$1:$F$20,MATCH($D$1,Menu!$A$1:$F$1,0),0)</f>
        <v>246.09</v>
      </c>
      <c r="E790" s="14" t="str">
        <f>VLOOKUP($B790,Menu!$A$1:$F$20,MATCH(OrderLines!E$1,Menu!$A$1:$F$1,0),0)</f>
        <v>Hot Meal</v>
      </c>
      <c r="F790" s="37">
        <f>VLOOKUP($B790,Menu!$A$1:$F$20,MATCH(OrderLines!F$1,Menu!$A$1:$F$1,0),0)</f>
        <v>112.08</v>
      </c>
      <c r="G790" s="28">
        <f>VLOOKUP($A790,Orders!$A$1:$H$361,MATCH($G$1,Orders!$A$1:$H$1,0),0)</f>
        <v>45890</v>
      </c>
      <c r="H790" s="14" t="str">
        <f>VLOOKUP($A790,Orders!$A$1:$H$361,MATCH(OrderLines!$H$1,Orders!$A$1:$H$1,0),0)</f>
        <v>Plant 1 Canteen</v>
      </c>
      <c r="I790" s="14">
        <f>VLOOKUP($A790,Orders!$A$1:$H$361,MATCH(OrderLines!$I$1,Orders!$A$1:$H$1,0),0)</f>
        <v>0.03</v>
      </c>
      <c r="J790" s="14">
        <f t="shared" si="37"/>
        <v>238.7073</v>
      </c>
      <c r="K790" s="28" t="str">
        <f t="shared" si="38"/>
        <v>August</v>
      </c>
      <c r="L790" s="14" t="str">
        <f>VLOOKUP(OrderLines!$A790,Orders!$A$1:$H$361,MATCH(OrderLines!$L$1,Orders!$A$1:$H$1,0),0)</f>
        <v>Breakfast</v>
      </c>
      <c r="M790" t="str">
        <f>VLOOKUP($A790,Orders!$A$1:$H$361,MATCH(OrderLines!$M$1,Orders!$A$1:$H$1,0),0)</f>
        <v>UPI</v>
      </c>
      <c r="N790" t="str">
        <f t="shared" si="36"/>
        <v>Combo</v>
      </c>
      <c r="O790" t="str" cm="1">
        <f t="array" ref="O790">IF((SUMPRODUCT((OrderID=OrderLines!$A790)*Qty*UnitPrice*DiscountPct))&gt;40,"HighDisc","OK")</f>
        <v>OK</v>
      </c>
      <c r="P790">
        <f>(orderlinesTABLE[[#This Row],[UnitCost]]*orderlinesTABLE[[#This Row],[Qty]])</f>
        <v>112.08</v>
      </c>
      <c r="Q790">
        <f>(orderlinesTABLE[[#This Row],[LineNetAmount]]-orderlinesTABLE[[#This Row],[totalCOST]])</f>
        <v>126.62730000000001</v>
      </c>
      <c r="R790" t="str">
        <f>VLOOKUP($B790,Menu!$A$1:$F$20,MATCH(OrderLines!R$1,Menu!$A$1:$F$1,0),0)</f>
        <v>Egg Curry + Rice</v>
      </c>
      <c r="S790" t="str" cm="1">
        <f t="array" ref="S790">_xlfn.TEXTJOIN("+",TRUE,_xlfn._xlws.FILTER(orderlinesTABLE[ItemName],OrderID=orderlinesTABLE[[#This Row],[OrderID]]))</f>
        <v>Gulab Jamun (2 pc)+Egg Curry + Rice+Coffee+Tea</v>
      </c>
      <c r="T790" s="54">
        <f>orderlinesTABLE[[#This Row],[Profit]]/orderlinesTABLE[[#This Row],[LineNetAmount]]</f>
        <v>0.53047099942062936</v>
      </c>
      <c r="U790" s="70">
        <f>(orderlinesTABLE[[#This Row],[Qty]]*orderlinesTABLE[[#This Row],[UnitCost]])</f>
        <v>112.08</v>
      </c>
    </row>
    <row r="791" spans="1:21" x14ac:dyDescent="0.3">
      <c r="A791" s="15" t="s">
        <v>344</v>
      </c>
      <c r="B791" s="15" t="s">
        <v>411</v>
      </c>
      <c r="C791" s="15">
        <v>2</v>
      </c>
      <c r="D791" s="36">
        <f>VLOOKUP($B791,Menu!$A$1:$F$20,MATCH($D$1,Menu!$A$1:$F$1,0),0)</f>
        <v>22.2</v>
      </c>
      <c r="E791" s="15" t="str">
        <f>VLOOKUP($B791,Menu!$A$1:$F$20,MATCH(OrderLines!E$1,Menu!$A$1:$F$1,0),0)</f>
        <v>Beverage</v>
      </c>
      <c r="F791" s="36">
        <f>VLOOKUP($B791,Menu!$A$1:$F$20,MATCH(OrderLines!F$1,Menu!$A$1:$F$1,0),0)</f>
        <v>9.3800000000000008</v>
      </c>
      <c r="G791" s="27">
        <f>VLOOKUP($A791,Orders!$A$1:$H$361,MATCH($G$1,Orders!$A$1:$H$1,0),0)</f>
        <v>45890</v>
      </c>
      <c r="H791" s="15" t="str">
        <f>VLOOKUP($A791,Orders!$A$1:$H$361,MATCH(OrderLines!$H$1,Orders!$A$1:$H$1,0),0)</f>
        <v>Plant 1 Canteen</v>
      </c>
      <c r="I791" s="15">
        <f>VLOOKUP($A791,Orders!$A$1:$H$361,MATCH(OrderLines!$I$1,Orders!$A$1:$H$1,0),0)</f>
        <v>0.03</v>
      </c>
      <c r="J791" s="15">
        <f t="shared" si="37"/>
        <v>43.067999999999998</v>
      </c>
      <c r="K791" s="27" t="str">
        <f t="shared" si="38"/>
        <v>August</v>
      </c>
      <c r="L791" s="15" t="str">
        <f>VLOOKUP(OrderLines!$A791,Orders!$A$1:$H$361,MATCH(OrderLines!$L$1,Orders!$A$1:$H$1,0),0)</f>
        <v>Breakfast</v>
      </c>
      <c r="M791" t="str">
        <f>VLOOKUP($A791,Orders!$A$1:$H$361,MATCH(OrderLines!$M$1,Orders!$A$1:$H$1,0),0)</f>
        <v>UPI</v>
      </c>
      <c r="N791" t="str">
        <f t="shared" si="36"/>
        <v>Combo</v>
      </c>
      <c r="O791" t="str" cm="1">
        <f t="array" ref="O791">IF((SUMPRODUCT((OrderID=OrderLines!$A791)*Qty*UnitPrice*DiscountPct))&gt;40,"HighDisc","OK")</f>
        <v>OK</v>
      </c>
      <c r="P791">
        <f>(orderlinesTABLE[[#This Row],[UnitCost]]*orderlinesTABLE[[#This Row],[Qty]])</f>
        <v>18.760000000000002</v>
      </c>
      <c r="Q791">
        <f>(orderlinesTABLE[[#This Row],[LineNetAmount]]-orderlinesTABLE[[#This Row],[totalCOST]])</f>
        <v>24.307999999999996</v>
      </c>
      <c r="R791" t="str">
        <f>VLOOKUP($B791,Menu!$A$1:$F$20,MATCH(OrderLines!R$1,Menu!$A$1:$F$1,0),0)</f>
        <v>Coffee</v>
      </c>
      <c r="S791" t="str" cm="1">
        <f t="array" ref="S791">_xlfn.TEXTJOIN("+",TRUE,_xlfn._xlws.FILTER(orderlinesTABLE[ItemName],OrderID=orderlinesTABLE[[#This Row],[OrderID]]))</f>
        <v>Gulab Jamun (2 pc)+Egg Curry + Rice+Coffee+Tea</v>
      </c>
      <c r="T791" s="54">
        <f>orderlinesTABLE[[#This Row],[Profit]]/orderlinesTABLE[[#This Row],[LineNetAmount]]</f>
        <v>0.56440977059533759</v>
      </c>
      <c r="U791" s="70">
        <f>(orderlinesTABLE[[#This Row],[Qty]]*orderlinesTABLE[[#This Row],[UnitCost]])</f>
        <v>18.760000000000002</v>
      </c>
    </row>
    <row r="792" spans="1:21" x14ac:dyDescent="0.3">
      <c r="A792" s="14" t="s">
        <v>344</v>
      </c>
      <c r="B792" s="14" t="s">
        <v>402</v>
      </c>
      <c r="C792" s="14">
        <v>2</v>
      </c>
      <c r="D792" s="37">
        <f>VLOOKUP($B792,Menu!$A$1:$F$20,MATCH($D$1,Menu!$A$1:$F$1,0),0)</f>
        <v>30.34</v>
      </c>
      <c r="E792" s="14" t="str">
        <f>VLOOKUP($B792,Menu!$A$1:$F$20,MATCH(OrderLines!E$1,Menu!$A$1:$F$1,0),0)</f>
        <v>Beverage</v>
      </c>
      <c r="F792" s="37">
        <f>VLOOKUP($B792,Menu!$A$1:$F$20,MATCH(OrderLines!F$1,Menu!$A$1:$F$1,0),0)</f>
        <v>14.18</v>
      </c>
      <c r="G792" s="28">
        <f>VLOOKUP($A792,Orders!$A$1:$H$361,MATCH($G$1,Orders!$A$1:$H$1,0),0)</f>
        <v>45890</v>
      </c>
      <c r="H792" s="14" t="str">
        <f>VLOOKUP($A792,Orders!$A$1:$H$361,MATCH(OrderLines!$H$1,Orders!$A$1:$H$1,0),0)</f>
        <v>Plant 1 Canteen</v>
      </c>
      <c r="I792" s="14">
        <f>VLOOKUP($A792,Orders!$A$1:$H$361,MATCH(OrderLines!$I$1,Orders!$A$1:$H$1,0),0)</f>
        <v>0.03</v>
      </c>
      <c r="J792" s="14">
        <f t="shared" si="37"/>
        <v>58.8596</v>
      </c>
      <c r="K792" s="28" t="str">
        <f t="shared" si="38"/>
        <v>August</v>
      </c>
      <c r="L792" s="14" t="str">
        <f>VLOOKUP(OrderLines!$A792,Orders!$A$1:$H$361,MATCH(OrderLines!$L$1,Orders!$A$1:$H$1,0),0)</f>
        <v>Breakfast</v>
      </c>
      <c r="M792" t="str">
        <f>VLOOKUP($A792,Orders!$A$1:$H$361,MATCH(OrderLines!$M$1,Orders!$A$1:$H$1,0),0)</f>
        <v>UPI</v>
      </c>
      <c r="N792" t="str">
        <f t="shared" si="36"/>
        <v>Combo</v>
      </c>
      <c r="O792" t="str" cm="1">
        <f t="array" ref="O792">IF((SUMPRODUCT((OrderID=OrderLines!$A792)*Qty*UnitPrice*DiscountPct))&gt;40,"HighDisc","OK")</f>
        <v>OK</v>
      </c>
      <c r="P792">
        <f>(orderlinesTABLE[[#This Row],[UnitCost]]*orderlinesTABLE[[#This Row],[Qty]])</f>
        <v>28.36</v>
      </c>
      <c r="Q792">
        <f>(orderlinesTABLE[[#This Row],[LineNetAmount]]-orderlinesTABLE[[#This Row],[totalCOST]])</f>
        <v>30.499600000000001</v>
      </c>
      <c r="R792" t="str">
        <f>VLOOKUP($B792,Menu!$A$1:$F$20,MATCH(OrderLines!R$1,Menu!$A$1:$F$1,0),0)</f>
        <v>Tea</v>
      </c>
      <c r="S792" t="str" cm="1">
        <f t="array" ref="S792">_xlfn.TEXTJOIN("+",TRUE,_xlfn._xlws.FILTER(orderlinesTABLE[ItemName],OrderID=orderlinesTABLE[[#This Row],[OrderID]]))</f>
        <v>Gulab Jamun (2 pc)+Egg Curry + Rice+Coffee+Tea</v>
      </c>
      <c r="T792" s="54">
        <f>orderlinesTABLE[[#This Row],[Profit]]/orderlinesTABLE[[#This Row],[LineNetAmount]]</f>
        <v>0.51817545481110983</v>
      </c>
      <c r="U792" s="70">
        <f>(orderlinesTABLE[[#This Row],[Qty]]*orderlinesTABLE[[#This Row],[UnitCost]])</f>
        <v>28.36</v>
      </c>
    </row>
    <row r="793" spans="1:21" x14ac:dyDescent="0.3">
      <c r="A793" s="15" t="s">
        <v>345</v>
      </c>
      <c r="B793" s="15" t="s">
        <v>415</v>
      </c>
      <c r="C793" s="15">
        <v>1</v>
      </c>
      <c r="D793" s="36">
        <f>VLOOKUP($B793,Menu!$A$1:$F$20,MATCH($D$1,Menu!$A$1:$F$1,0),0)</f>
        <v>256.91000000000003</v>
      </c>
      <c r="E793" s="15" t="str">
        <f>VLOOKUP($B793,Menu!$A$1:$F$20,MATCH(OrderLines!E$1,Menu!$A$1:$F$1,0),0)</f>
        <v>Hot Meal</v>
      </c>
      <c r="F793" s="36">
        <f>VLOOKUP($B793,Menu!$A$1:$F$20,MATCH(OrderLines!F$1,Menu!$A$1:$F$1,0),0)</f>
        <v>121.24</v>
      </c>
      <c r="G793" s="27">
        <f>VLOOKUP($A793,Orders!$A$1:$H$361,MATCH($G$1,Orders!$A$1:$H$1,0),0)</f>
        <v>45888</v>
      </c>
      <c r="H793" s="15" t="str">
        <f>VLOOKUP($A793,Orders!$A$1:$H$361,MATCH(OrderLines!$H$1,Orders!$A$1:$H$1,0),0)</f>
        <v>Plant 2 Canteen</v>
      </c>
      <c r="I793" s="15">
        <f>VLOOKUP($A793,Orders!$A$1:$H$361,MATCH(OrderLines!$I$1,Orders!$A$1:$H$1,0),0)</f>
        <v>0.05</v>
      </c>
      <c r="J793" s="15">
        <f t="shared" si="37"/>
        <v>244.06450000000001</v>
      </c>
      <c r="K793" s="27" t="str">
        <f t="shared" si="38"/>
        <v>August</v>
      </c>
      <c r="L793" s="15" t="str">
        <f>VLOOKUP(OrderLines!$A793,Orders!$A$1:$H$361,MATCH(OrderLines!$L$1,Orders!$A$1:$H$1,0),0)</f>
        <v>Lunch</v>
      </c>
      <c r="M793" t="str">
        <f>VLOOKUP($A793,Orders!$A$1:$H$361,MATCH(OrderLines!$M$1,Orders!$A$1:$H$1,0),0)</f>
        <v>Card</v>
      </c>
      <c r="N793" t="str">
        <f t="shared" si="36"/>
        <v>Single</v>
      </c>
      <c r="O793" t="str" cm="1">
        <f t="array" ref="O793">IF((SUMPRODUCT((OrderID=OrderLines!$A793)*Qty*UnitPrice*DiscountPct))&gt;40,"HighDisc","OK")</f>
        <v>HighDisc</v>
      </c>
      <c r="P793">
        <f>(orderlinesTABLE[[#This Row],[UnitCost]]*orderlinesTABLE[[#This Row],[Qty]])</f>
        <v>121.24</v>
      </c>
      <c r="Q793">
        <f>(orderlinesTABLE[[#This Row],[LineNetAmount]]-orderlinesTABLE[[#This Row],[totalCOST]])</f>
        <v>122.82450000000001</v>
      </c>
      <c r="R793" t="str">
        <f>VLOOKUP($B793,Menu!$A$1:$F$20,MATCH(OrderLines!R$1,Menu!$A$1:$F$1,0),0)</f>
        <v>Chicken Thali</v>
      </c>
      <c r="S793" t="str" cm="1">
        <f t="array" ref="S793">_xlfn.TEXTJOIN("+",TRUE,_xlfn._xlws.FILTER(orderlinesTABLE[ItemName],OrderID=orderlinesTABLE[[#This Row],[OrderID]]))</f>
        <v>Chicken Thali+Kheer Cup+Brownie+Egg Curry + Rice</v>
      </c>
      <c r="T793" s="54">
        <f>orderlinesTABLE[[#This Row],[Profit]]/orderlinesTABLE[[#This Row],[LineNetAmount]]</f>
        <v>0.50324606815001771</v>
      </c>
      <c r="U793" s="70">
        <f>(orderlinesTABLE[[#This Row],[Qty]]*orderlinesTABLE[[#This Row],[UnitCost]])</f>
        <v>121.24</v>
      </c>
    </row>
    <row r="794" spans="1:21" x14ac:dyDescent="0.3">
      <c r="A794" s="14" t="s">
        <v>345</v>
      </c>
      <c r="B794" s="14" t="s">
        <v>413</v>
      </c>
      <c r="C794" s="14">
        <v>3</v>
      </c>
      <c r="D794" s="37">
        <f>VLOOKUP($B794,Menu!$A$1:$F$20,MATCH($D$1,Menu!$A$1:$F$1,0),0)</f>
        <v>54.2</v>
      </c>
      <c r="E794" s="14" t="str">
        <f>VLOOKUP($B794,Menu!$A$1:$F$20,MATCH(OrderLines!E$1,Menu!$A$1:$F$1,0),0)</f>
        <v>Dessert</v>
      </c>
      <c r="F794" s="37">
        <f>VLOOKUP($B794,Menu!$A$1:$F$20,MATCH(OrderLines!F$1,Menu!$A$1:$F$1,0),0)</f>
        <v>21.95</v>
      </c>
      <c r="G794" s="28">
        <f>VLOOKUP($A794,Orders!$A$1:$H$361,MATCH($G$1,Orders!$A$1:$H$1,0),0)</f>
        <v>45888</v>
      </c>
      <c r="H794" s="14" t="str">
        <f>VLOOKUP($A794,Orders!$A$1:$H$361,MATCH(OrderLines!$H$1,Orders!$A$1:$H$1,0),0)</f>
        <v>Plant 2 Canteen</v>
      </c>
      <c r="I794" s="14">
        <f>VLOOKUP($A794,Orders!$A$1:$H$361,MATCH(OrderLines!$I$1,Orders!$A$1:$H$1,0),0)</f>
        <v>0.05</v>
      </c>
      <c r="J794" s="14">
        <f t="shared" si="37"/>
        <v>154.47000000000003</v>
      </c>
      <c r="K794" s="28" t="str">
        <f t="shared" si="38"/>
        <v>August</v>
      </c>
      <c r="L794" s="14" t="str">
        <f>VLOOKUP(OrderLines!$A794,Orders!$A$1:$H$361,MATCH(OrderLines!$L$1,Orders!$A$1:$H$1,0),0)</f>
        <v>Lunch</v>
      </c>
      <c r="M794" t="str">
        <f>VLOOKUP($A794,Orders!$A$1:$H$361,MATCH(OrderLines!$M$1,Orders!$A$1:$H$1,0),0)</f>
        <v>Card</v>
      </c>
      <c r="N794" t="str">
        <f t="shared" si="36"/>
        <v>Single</v>
      </c>
      <c r="O794" t="str" cm="1">
        <f t="array" ref="O794">IF((SUMPRODUCT((OrderID=OrderLines!$A794)*Qty*UnitPrice*DiscountPct))&gt;40,"HighDisc","OK")</f>
        <v>HighDisc</v>
      </c>
      <c r="P794">
        <f>(orderlinesTABLE[[#This Row],[UnitCost]]*orderlinesTABLE[[#This Row],[Qty]])</f>
        <v>65.849999999999994</v>
      </c>
      <c r="Q794">
        <f>(orderlinesTABLE[[#This Row],[LineNetAmount]]-orderlinesTABLE[[#This Row],[totalCOST]])</f>
        <v>88.620000000000033</v>
      </c>
      <c r="R794" t="str">
        <f>VLOOKUP($B794,Menu!$A$1:$F$20,MATCH(OrderLines!R$1,Menu!$A$1:$F$1,0),0)</f>
        <v>Kheer Cup</v>
      </c>
      <c r="S794" t="str" cm="1">
        <f t="array" ref="S794">_xlfn.TEXTJOIN("+",TRUE,_xlfn._xlws.FILTER(orderlinesTABLE[ItemName],OrderID=orderlinesTABLE[[#This Row],[OrderID]]))</f>
        <v>Chicken Thali+Kheer Cup+Brownie+Egg Curry + Rice</v>
      </c>
      <c r="T794" s="54">
        <f>orderlinesTABLE[[#This Row],[Profit]]/orderlinesTABLE[[#This Row],[LineNetAmount]]</f>
        <v>0.57370363177315997</v>
      </c>
      <c r="U794" s="70">
        <f>(orderlinesTABLE[[#This Row],[Qty]]*orderlinesTABLE[[#This Row],[UnitCost]])</f>
        <v>65.849999999999994</v>
      </c>
    </row>
    <row r="795" spans="1:21" x14ac:dyDescent="0.3">
      <c r="A795" s="15" t="s">
        <v>345</v>
      </c>
      <c r="B795" s="15" t="s">
        <v>414</v>
      </c>
      <c r="C795" s="15">
        <v>1</v>
      </c>
      <c r="D795" s="36">
        <f>VLOOKUP($B795,Menu!$A$1:$F$20,MATCH($D$1,Menu!$A$1:$F$1,0),0)</f>
        <v>116.8</v>
      </c>
      <c r="E795" s="15" t="str">
        <f>VLOOKUP($B795,Menu!$A$1:$F$20,MATCH(OrderLines!E$1,Menu!$A$1:$F$1,0),0)</f>
        <v>Dessert</v>
      </c>
      <c r="F795" s="36">
        <f>VLOOKUP($B795,Menu!$A$1:$F$20,MATCH(OrderLines!F$1,Menu!$A$1:$F$1,0),0)</f>
        <v>48.97</v>
      </c>
      <c r="G795" s="27">
        <f>VLOOKUP($A795,Orders!$A$1:$H$361,MATCH($G$1,Orders!$A$1:$H$1,0),0)</f>
        <v>45888</v>
      </c>
      <c r="H795" s="15" t="str">
        <f>VLOOKUP($A795,Orders!$A$1:$H$361,MATCH(OrderLines!$H$1,Orders!$A$1:$H$1,0),0)</f>
        <v>Plant 2 Canteen</v>
      </c>
      <c r="I795" s="15">
        <f>VLOOKUP($A795,Orders!$A$1:$H$361,MATCH(OrderLines!$I$1,Orders!$A$1:$H$1,0),0)</f>
        <v>0.05</v>
      </c>
      <c r="J795" s="15">
        <f t="shared" si="37"/>
        <v>110.96</v>
      </c>
      <c r="K795" s="27" t="str">
        <f t="shared" si="38"/>
        <v>August</v>
      </c>
      <c r="L795" s="15" t="str">
        <f>VLOOKUP(OrderLines!$A795,Orders!$A$1:$H$361,MATCH(OrderLines!$L$1,Orders!$A$1:$H$1,0),0)</f>
        <v>Lunch</v>
      </c>
      <c r="M795" t="str">
        <f>VLOOKUP($A795,Orders!$A$1:$H$361,MATCH(OrderLines!$M$1,Orders!$A$1:$H$1,0),0)</f>
        <v>Card</v>
      </c>
      <c r="N795" t="str">
        <f t="shared" si="36"/>
        <v>Single</v>
      </c>
      <c r="O795" t="str" cm="1">
        <f t="array" ref="O795">IF((SUMPRODUCT((OrderID=OrderLines!$A795)*Qty*UnitPrice*DiscountPct))&gt;40,"HighDisc","OK")</f>
        <v>HighDisc</v>
      </c>
      <c r="P795">
        <f>(orderlinesTABLE[[#This Row],[UnitCost]]*orderlinesTABLE[[#This Row],[Qty]])</f>
        <v>48.97</v>
      </c>
      <c r="Q795">
        <f>(orderlinesTABLE[[#This Row],[LineNetAmount]]-orderlinesTABLE[[#This Row],[totalCOST]])</f>
        <v>61.989999999999995</v>
      </c>
      <c r="R795" t="str">
        <f>VLOOKUP($B795,Menu!$A$1:$F$20,MATCH(OrderLines!R$1,Menu!$A$1:$F$1,0),0)</f>
        <v>Brownie</v>
      </c>
      <c r="S795" t="str" cm="1">
        <f t="array" ref="S795">_xlfn.TEXTJOIN("+",TRUE,_xlfn._xlws.FILTER(orderlinesTABLE[ItemName],OrderID=orderlinesTABLE[[#This Row],[OrderID]]))</f>
        <v>Chicken Thali+Kheer Cup+Brownie+Egg Curry + Rice</v>
      </c>
      <c r="T795" s="54">
        <f>orderlinesTABLE[[#This Row],[Profit]]/orderlinesTABLE[[#This Row],[LineNetAmount]]</f>
        <v>0.55866979091564528</v>
      </c>
      <c r="U795" s="70">
        <f>(orderlinesTABLE[[#This Row],[Qty]]*orderlinesTABLE[[#This Row],[UnitCost]])</f>
        <v>48.97</v>
      </c>
    </row>
    <row r="796" spans="1:21" x14ac:dyDescent="0.3">
      <c r="A796" s="14" t="s">
        <v>345</v>
      </c>
      <c r="B796" s="14" t="s">
        <v>407</v>
      </c>
      <c r="C796" s="14">
        <v>2</v>
      </c>
      <c r="D796" s="37">
        <f>VLOOKUP($B796,Menu!$A$1:$F$20,MATCH($D$1,Menu!$A$1:$F$1,0),0)</f>
        <v>246.09</v>
      </c>
      <c r="E796" s="14" t="str">
        <f>VLOOKUP($B796,Menu!$A$1:$F$20,MATCH(OrderLines!E$1,Menu!$A$1:$F$1,0),0)</f>
        <v>Hot Meal</v>
      </c>
      <c r="F796" s="37">
        <f>VLOOKUP($B796,Menu!$A$1:$F$20,MATCH(OrderLines!F$1,Menu!$A$1:$F$1,0),0)</f>
        <v>112.08</v>
      </c>
      <c r="G796" s="28">
        <f>VLOOKUP($A796,Orders!$A$1:$H$361,MATCH($G$1,Orders!$A$1:$H$1,0),0)</f>
        <v>45888</v>
      </c>
      <c r="H796" s="14" t="str">
        <f>VLOOKUP($A796,Orders!$A$1:$H$361,MATCH(OrderLines!$H$1,Orders!$A$1:$H$1,0),0)</f>
        <v>Plant 2 Canteen</v>
      </c>
      <c r="I796" s="14">
        <f>VLOOKUP($A796,Orders!$A$1:$H$361,MATCH(OrderLines!$I$1,Orders!$A$1:$H$1,0),0)</f>
        <v>0.05</v>
      </c>
      <c r="J796" s="14">
        <f t="shared" si="37"/>
        <v>467.57099999999997</v>
      </c>
      <c r="K796" s="28" t="str">
        <f t="shared" si="38"/>
        <v>August</v>
      </c>
      <c r="L796" s="14" t="str">
        <f>VLOOKUP(OrderLines!$A796,Orders!$A$1:$H$361,MATCH(OrderLines!$L$1,Orders!$A$1:$H$1,0),0)</f>
        <v>Lunch</v>
      </c>
      <c r="M796" t="str">
        <f>VLOOKUP($A796,Orders!$A$1:$H$361,MATCH(OrderLines!$M$1,Orders!$A$1:$H$1,0),0)</f>
        <v>Card</v>
      </c>
      <c r="N796" t="str">
        <f t="shared" si="36"/>
        <v>Single</v>
      </c>
      <c r="O796" t="str" cm="1">
        <f t="array" ref="O796">IF((SUMPRODUCT((OrderID=OrderLines!$A796)*Qty*UnitPrice*DiscountPct))&gt;40,"HighDisc","OK")</f>
        <v>HighDisc</v>
      </c>
      <c r="P796">
        <f>(orderlinesTABLE[[#This Row],[UnitCost]]*orderlinesTABLE[[#This Row],[Qty]])</f>
        <v>224.16</v>
      </c>
      <c r="Q796">
        <f>(orderlinesTABLE[[#This Row],[LineNetAmount]]-orderlinesTABLE[[#This Row],[totalCOST]])</f>
        <v>243.41099999999997</v>
      </c>
      <c r="R796" t="str">
        <f>VLOOKUP($B796,Menu!$A$1:$F$20,MATCH(OrderLines!R$1,Menu!$A$1:$F$1,0),0)</f>
        <v>Egg Curry + Rice</v>
      </c>
      <c r="S796" t="str" cm="1">
        <f t="array" ref="S796">_xlfn.TEXTJOIN("+",TRUE,_xlfn._xlws.FILTER(orderlinesTABLE[ItemName],OrderID=orderlinesTABLE[[#This Row],[OrderID]]))</f>
        <v>Chicken Thali+Kheer Cup+Brownie+Egg Curry + Rice</v>
      </c>
      <c r="T796" s="54">
        <f>orderlinesTABLE[[#This Row],[Profit]]/orderlinesTABLE[[#This Row],[LineNetAmount]]</f>
        <v>0.52058617835580046</v>
      </c>
      <c r="U796" s="70">
        <f>(orderlinesTABLE[[#This Row],[Qty]]*orderlinesTABLE[[#This Row],[UnitCost]])</f>
        <v>224.16</v>
      </c>
    </row>
    <row r="797" spans="1:21" x14ac:dyDescent="0.3">
      <c r="A797" s="15" t="s">
        <v>346</v>
      </c>
      <c r="B797" s="15" t="s">
        <v>404</v>
      </c>
      <c r="C797" s="15">
        <v>1</v>
      </c>
      <c r="D797" s="36">
        <f>VLOOKUP($B797,Menu!$A$1:$F$20,MATCH($D$1,Menu!$A$1:$F$1,0),0)</f>
        <v>32.979999999999997</v>
      </c>
      <c r="E797" s="15" t="str">
        <f>VLOOKUP($B797,Menu!$A$1:$F$20,MATCH(OrderLines!E$1,Menu!$A$1:$F$1,0),0)</f>
        <v>Beverage</v>
      </c>
      <c r="F797" s="36">
        <f>VLOOKUP($B797,Menu!$A$1:$F$20,MATCH(OrderLines!F$1,Menu!$A$1:$F$1,0),0)</f>
        <v>11.84</v>
      </c>
      <c r="G797" s="27">
        <f>VLOOKUP($A797,Orders!$A$1:$H$361,MATCH($G$1,Orders!$A$1:$H$1,0),0)</f>
        <v>45856</v>
      </c>
      <c r="H797" s="15" t="str">
        <f>VLOOKUP($A797,Orders!$A$1:$H$361,MATCH(OrderLines!$H$1,Orders!$A$1:$H$1,0),0)</f>
        <v>Plant 1 Canteen</v>
      </c>
      <c r="I797" s="15">
        <f>VLOOKUP($A797,Orders!$A$1:$H$361,MATCH(OrderLines!$I$1,Orders!$A$1:$H$1,0),0)</f>
        <v>7.0000000000000007E-2</v>
      </c>
      <c r="J797" s="15">
        <f t="shared" si="37"/>
        <v>30.671399999999995</v>
      </c>
      <c r="K797" s="27" t="str">
        <f t="shared" si="38"/>
        <v>July</v>
      </c>
      <c r="L797" s="15" t="str">
        <f>VLOOKUP(OrderLines!$A797,Orders!$A$1:$H$361,MATCH(OrderLines!$L$1,Orders!$A$1:$H$1,0),0)</f>
        <v>Dinner</v>
      </c>
      <c r="M797" t="str">
        <f>VLOOKUP($A797,Orders!$A$1:$H$361,MATCH(OrderLines!$M$1,Orders!$A$1:$H$1,0),0)</f>
        <v>Card</v>
      </c>
      <c r="N797" t="str">
        <f t="shared" si="36"/>
        <v>Single</v>
      </c>
      <c r="O797" t="str" cm="1">
        <f t="array" ref="O797">IF((SUMPRODUCT((OrderID=OrderLines!$A797)*Qty*UnitPrice*DiscountPct))&gt;40,"HighDisc","OK")</f>
        <v>OK</v>
      </c>
      <c r="P797">
        <f>(orderlinesTABLE[[#This Row],[UnitCost]]*orderlinesTABLE[[#This Row],[Qty]])</f>
        <v>11.84</v>
      </c>
      <c r="Q797">
        <f>(orderlinesTABLE[[#This Row],[LineNetAmount]]-orderlinesTABLE[[#This Row],[totalCOST]])</f>
        <v>18.831399999999995</v>
      </c>
      <c r="R797" t="str">
        <f>VLOOKUP($B797,Menu!$A$1:$F$20,MATCH(OrderLines!R$1,Menu!$A$1:$F$1,0),0)</f>
        <v>Masala Chaas</v>
      </c>
      <c r="S797" t="str" cm="1">
        <f t="array" ref="S797">_xlfn.TEXTJOIN("+",TRUE,_xlfn._xlws.FILTER(orderlinesTABLE[ItemName],OrderID=orderlinesTABLE[[#This Row],[OrderID]]))</f>
        <v>Masala Chaas+Paneer Roll</v>
      </c>
      <c r="T797" s="54">
        <f>orderlinesTABLE[[#This Row],[Profit]]/orderlinesTABLE[[#This Row],[LineNetAmount]]</f>
        <v>0.61397262596425328</v>
      </c>
      <c r="U797" s="70">
        <f>(orderlinesTABLE[[#This Row],[Qty]]*orderlinesTABLE[[#This Row],[UnitCost]])</f>
        <v>11.84</v>
      </c>
    </row>
    <row r="798" spans="1:21" x14ac:dyDescent="0.3">
      <c r="A798" s="14" t="s">
        <v>346</v>
      </c>
      <c r="B798" s="14" t="s">
        <v>406</v>
      </c>
      <c r="C798" s="14">
        <v>2</v>
      </c>
      <c r="D798" s="37">
        <f>VLOOKUP($B798,Menu!$A$1:$F$20,MATCH($D$1,Menu!$A$1:$F$1,0),0)</f>
        <v>38.06</v>
      </c>
      <c r="E798" s="14" t="str">
        <f>VLOOKUP($B798,Menu!$A$1:$F$20,MATCH(OrderLines!E$1,Menu!$A$1:$F$1,0),0)</f>
        <v>Snack</v>
      </c>
      <c r="F798" s="37">
        <f>VLOOKUP($B798,Menu!$A$1:$F$20,MATCH(OrderLines!F$1,Menu!$A$1:$F$1,0),0)</f>
        <v>19.55</v>
      </c>
      <c r="G798" s="28">
        <f>VLOOKUP($A798,Orders!$A$1:$H$361,MATCH($G$1,Orders!$A$1:$H$1,0),0)</f>
        <v>45856</v>
      </c>
      <c r="H798" s="14" t="str">
        <f>VLOOKUP($A798,Orders!$A$1:$H$361,MATCH(OrderLines!$H$1,Orders!$A$1:$H$1,0),0)</f>
        <v>Plant 1 Canteen</v>
      </c>
      <c r="I798" s="14">
        <f>VLOOKUP($A798,Orders!$A$1:$H$361,MATCH(OrderLines!$I$1,Orders!$A$1:$H$1,0),0)</f>
        <v>7.0000000000000007E-2</v>
      </c>
      <c r="J798" s="14">
        <f t="shared" si="37"/>
        <v>70.791600000000003</v>
      </c>
      <c r="K798" s="28" t="str">
        <f t="shared" si="38"/>
        <v>July</v>
      </c>
      <c r="L798" s="14" t="str">
        <f>VLOOKUP(OrderLines!$A798,Orders!$A$1:$H$361,MATCH(OrderLines!$L$1,Orders!$A$1:$H$1,0),0)</f>
        <v>Dinner</v>
      </c>
      <c r="M798" t="str">
        <f>VLOOKUP($A798,Orders!$A$1:$H$361,MATCH(OrderLines!$M$1,Orders!$A$1:$H$1,0),0)</f>
        <v>Card</v>
      </c>
      <c r="N798" t="str">
        <f t="shared" si="36"/>
        <v>Single</v>
      </c>
      <c r="O798" t="str" cm="1">
        <f t="array" ref="O798">IF((SUMPRODUCT((OrderID=OrderLines!$A798)*Qty*UnitPrice*DiscountPct))&gt;40,"HighDisc","OK")</f>
        <v>OK</v>
      </c>
      <c r="P798">
        <f>(orderlinesTABLE[[#This Row],[UnitCost]]*orderlinesTABLE[[#This Row],[Qty]])</f>
        <v>39.1</v>
      </c>
      <c r="Q798">
        <f>(orderlinesTABLE[[#This Row],[LineNetAmount]]-orderlinesTABLE[[#This Row],[totalCOST]])</f>
        <v>31.691600000000001</v>
      </c>
      <c r="R798" t="str">
        <f>VLOOKUP($B798,Menu!$A$1:$F$20,MATCH(OrderLines!R$1,Menu!$A$1:$F$1,0),0)</f>
        <v>Paneer Roll</v>
      </c>
      <c r="S798" t="str" cm="1">
        <f t="array" ref="S798">_xlfn.TEXTJOIN("+",TRUE,_xlfn._xlws.FILTER(orderlinesTABLE[ItemName],OrderID=orderlinesTABLE[[#This Row],[OrderID]]))</f>
        <v>Masala Chaas+Paneer Roll</v>
      </c>
      <c r="T798" s="54">
        <f>orderlinesTABLE[[#This Row],[Profit]]/orderlinesTABLE[[#This Row],[LineNetAmount]]</f>
        <v>0.44767458286011336</v>
      </c>
      <c r="U798" s="70">
        <f>(orderlinesTABLE[[#This Row],[Qty]]*orderlinesTABLE[[#This Row],[UnitCost]])</f>
        <v>39.1</v>
      </c>
    </row>
    <row r="799" spans="1:21" x14ac:dyDescent="0.3">
      <c r="A799" s="15" t="s">
        <v>347</v>
      </c>
      <c r="B799" s="15" t="s">
        <v>410</v>
      </c>
      <c r="C799" s="15">
        <v>1</v>
      </c>
      <c r="D799" s="36">
        <f>VLOOKUP($B799,Menu!$A$1:$F$20,MATCH($D$1,Menu!$A$1:$F$1,0),0)</f>
        <v>20.11</v>
      </c>
      <c r="E799" s="15" t="str">
        <f>VLOOKUP($B799,Menu!$A$1:$F$20,MATCH(OrderLines!E$1,Menu!$A$1:$F$1,0),0)</f>
        <v>Beverage</v>
      </c>
      <c r="F799" s="36">
        <f>VLOOKUP($B799,Menu!$A$1:$F$20,MATCH(OrderLines!F$1,Menu!$A$1:$F$1,0),0)</f>
        <v>8</v>
      </c>
      <c r="G799" s="27">
        <f>VLOOKUP($A799,Orders!$A$1:$H$361,MATCH($G$1,Orders!$A$1:$H$1,0),0)</f>
        <v>45861</v>
      </c>
      <c r="H799" s="15" t="str">
        <f>VLOOKUP($A799,Orders!$A$1:$H$361,MATCH(OrderLines!$H$1,Orders!$A$1:$H$1,0),0)</f>
        <v>Plant 1 Canteen</v>
      </c>
      <c r="I799" s="15">
        <f>VLOOKUP($A799,Orders!$A$1:$H$361,MATCH(OrderLines!$I$1,Orders!$A$1:$H$1,0),0)</f>
        <v>0.12</v>
      </c>
      <c r="J799" s="15">
        <f t="shared" si="37"/>
        <v>17.6968</v>
      </c>
      <c r="K799" s="27" t="str">
        <f t="shared" si="38"/>
        <v>July</v>
      </c>
      <c r="L799" s="15" t="str">
        <f>VLOOKUP(OrderLines!$A799,Orders!$A$1:$H$361,MATCH(OrderLines!$L$1,Orders!$A$1:$H$1,0),0)</f>
        <v>Breakfast</v>
      </c>
      <c r="M799" t="str">
        <f>VLOOKUP($A799,Orders!$A$1:$H$361,MATCH(OrderLines!$M$1,Orders!$A$1:$H$1,0),0)</f>
        <v>Cash</v>
      </c>
      <c r="N799" t="str">
        <f t="shared" si="36"/>
        <v>Single</v>
      </c>
      <c r="O799" t="str" cm="1">
        <f t="array" ref="O799">IF((SUMPRODUCT((OrderID=OrderLines!$A799)*Qty*UnitPrice*DiscountPct))&gt;40,"HighDisc","OK")</f>
        <v>OK</v>
      </c>
      <c r="P799">
        <f>(orderlinesTABLE[[#This Row],[UnitCost]]*orderlinesTABLE[[#This Row],[Qty]])</f>
        <v>8</v>
      </c>
      <c r="Q799">
        <f>(orderlinesTABLE[[#This Row],[LineNetAmount]]-orderlinesTABLE[[#This Row],[totalCOST]])</f>
        <v>9.6967999999999996</v>
      </c>
      <c r="R799" t="str">
        <f>VLOOKUP($B799,Menu!$A$1:$F$20,MATCH(OrderLines!R$1,Menu!$A$1:$F$1,0),0)</f>
        <v>Nimbu Pani</v>
      </c>
      <c r="S799" t="str" cm="1">
        <f t="array" ref="S799">_xlfn.TEXTJOIN("+",TRUE,_xlfn._xlws.FILTER(orderlinesTABLE[ItemName],OrderID=orderlinesTABLE[[#This Row],[OrderID]]))</f>
        <v>Nimbu Pani+Fruit Cup+Masala Puff</v>
      </c>
      <c r="T799" s="54">
        <f>orderlinesTABLE[[#This Row],[Profit]]/orderlinesTABLE[[#This Row],[LineNetAmount]]</f>
        <v>0.54794087066588304</v>
      </c>
      <c r="U799" s="70">
        <f>(orderlinesTABLE[[#This Row],[Qty]]*orderlinesTABLE[[#This Row],[UnitCost]])</f>
        <v>8</v>
      </c>
    </row>
    <row r="800" spans="1:21" x14ac:dyDescent="0.3">
      <c r="A800" s="14" t="s">
        <v>347</v>
      </c>
      <c r="B800" s="14" t="s">
        <v>412</v>
      </c>
      <c r="C800" s="14">
        <v>2</v>
      </c>
      <c r="D800" s="37">
        <f>VLOOKUP($B800,Menu!$A$1:$F$20,MATCH($D$1,Menu!$A$1:$F$1,0),0)</f>
        <v>57.07</v>
      </c>
      <c r="E800" s="14" t="str">
        <f>VLOOKUP($B800,Menu!$A$1:$F$20,MATCH(OrderLines!E$1,Menu!$A$1:$F$1,0),0)</f>
        <v>Dessert</v>
      </c>
      <c r="F800" s="37">
        <f>VLOOKUP($B800,Menu!$A$1:$F$20,MATCH(OrderLines!F$1,Menu!$A$1:$F$1,0),0)</f>
        <v>29.14</v>
      </c>
      <c r="G800" s="28">
        <f>VLOOKUP($A800,Orders!$A$1:$H$361,MATCH($G$1,Orders!$A$1:$H$1,0),0)</f>
        <v>45861</v>
      </c>
      <c r="H800" s="14" t="str">
        <f>VLOOKUP($A800,Orders!$A$1:$H$361,MATCH(OrderLines!$H$1,Orders!$A$1:$H$1,0),0)</f>
        <v>Plant 1 Canteen</v>
      </c>
      <c r="I800" s="14">
        <f>VLOOKUP($A800,Orders!$A$1:$H$361,MATCH(OrderLines!$I$1,Orders!$A$1:$H$1,0),0)</f>
        <v>0.12</v>
      </c>
      <c r="J800" s="14">
        <f t="shared" si="37"/>
        <v>100.4432</v>
      </c>
      <c r="K800" s="28" t="str">
        <f t="shared" si="38"/>
        <v>July</v>
      </c>
      <c r="L800" s="14" t="str">
        <f>VLOOKUP(OrderLines!$A800,Orders!$A$1:$H$361,MATCH(OrderLines!$L$1,Orders!$A$1:$H$1,0),0)</f>
        <v>Breakfast</v>
      </c>
      <c r="M800" t="str">
        <f>VLOOKUP($A800,Orders!$A$1:$H$361,MATCH(OrderLines!$M$1,Orders!$A$1:$H$1,0),0)</f>
        <v>Cash</v>
      </c>
      <c r="N800" t="str">
        <f t="shared" si="36"/>
        <v>Single</v>
      </c>
      <c r="O800" t="str" cm="1">
        <f t="array" ref="O800">IF((SUMPRODUCT((OrderID=OrderLines!$A800)*Qty*UnitPrice*DiscountPct))&gt;40,"HighDisc","OK")</f>
        <v>OK</v>
      </c>
      <c r="P800">
        <f>(orderlinesTABLE[[#This Row],[UnitCost]]*orderlinesTABLE[[#This Row],[Qty]])</f>
        <v>58.28</v>
      </c>
      <c r="Q800">
        <f>(orderlinesTABLE[[#This Row],[LineNetAmount]]-orderlinesTABLE[[#This Row],[totalCOST]])</f>
        <v>42.163200000000003</v>
      </c>
      <c r="R800" t="str">
        <f>VLOOKUP($B800,Menu!$A$1:$F$20,MATCH(OrderLines!R$1,Menu!$A$1:$F$1,0),0)</f>
        <v>Fruit Cup</v>
      </c>
      <c r="S800" t="str" cm="1">
        <f t="array" ref="S800">_xlfn.TEXTJOIN("+",TRUE,_xlfn._xlws.FILTER(orderlinesTABLE[ItemName],OrderID=orderlinesTABLE[[#This Row],[OrderID]]))</f>
        <v>Nimbu Pani+Fruit Cup+Masala Puff</v>
      </c>
      <c r="T800" s="54">
        <f>orderlinesTABLE[[#This Row],[Profit]]/orderlinesTABLE[[#This Row],[LineNetAmount]]</f>
        <v>0.41977157239116236</v>
      </c>
      <c r="U800" s="70">
        <f>(orderlinesTABLE[[#This Row],[Qty]]*orderlinesTABLE[[#This Row],[UnitCost]])</f>
        <v>58.28</v>
      </c>
    </row>
    <row r="801" spans="1:21" x14ac:dyDescent="0.3">
      <c r="A801" s="15" t="s">
        <v>347</v>
      </c>
      <c r="B801" s="15" t="s">
        <v>419</v>
      </c>
      <c r="C801" s="15">
        <v>1</v>
      </c>
      <c r="D801" s="36">
        <f>VLOOKUP($B801,Menu!$A$1:$F$20,MATCH($D$1,Menu!$A$1:$F$1,0),0)</f>
        <v>50.19</v>
      </c>
      <c r="E801" s="15" t="str">
        <f>VLOOKUP($B801,Menu!$A$1:$F$20,MATCH(OrderLines!E$1,Menu!$A$1:$F$1,0),0)</f>
        <v>Snack</v>
      </c>
      <c r="F801" s="36">
        <f>VLOOKUP($B801,Menu!$A$1:$F$20,MATCH(OrderLines!F$1,Menu!$A$1:$F$1,0),0)</f>
        <v>22.61</v>
      </c>
      <c r="G801" s="27">
        <f>VLOOKUP($A801,Orders!$A$1:$H$361,MATCH($G$1,Orders!$A$1:$H$1,0),0)</f>
        <v>45861</v>
      </c>
      <c r="H801" s="15" t="str">
        <f>VLOOKUP($A801,Orders!$A$1:$H$361,MATCH(OrderLines!$H$1,Orders!$A$1:$H$1,0),0)</f>
        <v>Plant 1 Canteen</v>
      </c>
      <c r="I801" s="15">
        <f>VLOOKUP($A801,Orders!$A$1:$H$361,MATCH(OrderLines!$I$1,Orders!$A$1:$H$1,0),0)</f>
        <v>0.12</v>
      </c>
      <c r="J801" s="15">
        <f t="shared" si="37"/>
        <v>44.167200000000001</v>
      </c>
      <c r="K801" s="27" t="str">
        <f t="shared" si="38"/>
        <v>July</v>
      </c>
      <c r="L801" s="15" t="str">
        <f>VLOOKUP(OrderLines!$A801,Orders!$A$1:$H$361,MATCH(OrderLines!$L$1,Orders!$A$1:$H$1,0),0)</f>
        <v>Breakfast</v>
      </c>
      <c r="M801" t="str">
        <f>VLOOKUP($A801,Orders!$A$1:$H$361,MATCH(OrderLines!$M$1,Orders!$A$1:$H$1,0),0)</f>
        <v>Cash</v>
      </c>
      <c r="N801" t="str">
        <f t="shared" si="36"/>
        <v>Single</v>
      </c>
      <c r="O801" t="str" cm="1">
        <f t="array" ref="O801">IF((SUMPRODUCT((OrderID=OrderLines!$A801)*Qty*UnitPrice*DiscountPct))&gt;40,"HighDisc","OK")</f>
        <v>OK</v>
      </c>
      <c r="P801">
        <f>(orderlinesTABLE[[#This Row],[UnitCost]]*orderlinesTABLE[[#This Row],[Qty]])</f>
        <v>22.61</v>
      </c>
      <c r="Q801">
        <f>(orderlinesTABLE[[#This Row],[LineNetAmount]]-orderlinesTABLE[[#This Row],[totalCOST]])</f>
        <v>21.557200000000002</v>
      </c>
      <c r="R801" t="str">
        <f>VLOOKUP($B801,Menu!$A$1:$F$20,MATCH(OrderLines!R$1,Menu!$A$1:$F$1,0),0)</f>
        <v>Masala Puff</v>
      </c>
      <c r="S801" t="str" cm="1">
        <f t="array" ref="S801">_xlfn.TEXTJOIN("+",TRUE,_xlfn._xlws.FILTER(orderlinesTABLE[ItemName],OrderID=orderlinesTABLE[[#This Row],[OrderID]]))</f>
        <v>Nimbu Pani+Fruit Cup+Masala Puff</v>
      </c>
      <c r="T801" s="54">
        <f>orderlinesTABLE[[#This Row],[Profit]]/orderlinesTABLE[[#This Row],[LineNetAmount]]</f>
        <v>0.48808165335361992</v>
      </c>
      <c r="U801" s="70">
        <f>(orderlinesTABLE[[#This Row],[Qty]]*orderlinesTABLE[[#This Row],[UnitCost]])</f>
        <v>22.61</v>
      </c>
    </row>
    <row r="802" spans="1:21" x14ac:dyDescent="0.3">
      <c r="A802" s="14" t="s">
        <v>348</v>
      </c>
      <c r="B802" s="14" t="s">
        <v>403</v>
      </c>
      <c r="C802" s="14">
        <v>2</v>
      </c>
      <c r="D802" s="37">
        <f>VLOOKUP($B802,Menu!$A$1:$F$20,MATCH($D$1,Menu!$A$1:$F$1,0),0)</f>
        <v>76.55</v>
      </c>
      <c r="E802" s="14" t="str">
        <f>VLOOKUP($B802,Menu!$A$1:$F$20,MATCH(OrderLines!E$1,Menu!$A$1:$F$1,0),0)</f>
        <v>Dessert</v>
      </c>
      <c r="F802" s="37">
        <f>VLOOKUP($B802,Menu!$A$1:$F$20,MATCH(OrderLines!F$1,Menu!$A$1:$F$1,0),0)</f>
        <v>38.229999999999997</v>
      </c>
      <c r="G802" s="28">
        <f>VLOOKUP($A802,Orders!$A$1:$H$361,MATCH($G$1,Orders!$A$1:$H$1,0),0)</f>
        <v>45849</v>
      </c>
      <c r="H802" s="14" t="str">
        <f>VLOOKUP($A802,Orders!$A$1:$H$361,MATCH(OrderLines!$H$1,Orders!$A$1:$H$1,0),0)</f>
        <v>Head Office Café</v>
      </c>
      <c r="I802" s="14">
        <f>VLOOKUP($A802,Orders!$A$1:$H$361,MATCH(OrderLines!$I$1,Orders!$A$1:$H$1,0),0)</f>
        <v>0.09</v>
      </c>
      <c r="J802" s="14">
        <f t="shared" si="37"/>
        <v>139.321</v>
      </c>
      <c r="K802" s="28" t="str">
        <f t="shared" si="38"/>
        <v>July</v>
      </c>
      <c r="L802" s="14" t="str">
        <f>VLOOKUP(OrderLines!$A802,Orders!$A$1:$H$361,MATCH(OrderLines!$L$1,Orders!$A$1:$H$1,0),0)</f>
        <v>Breakfast</v>
      </c>
      <c r="M802" t="str">
        <f>VLOOKUP($A802,Orders!$A$1:$H$361,MATCH(OrderLines!$M$1,Orders!$A$1:$H$1,0),0)</f>
        <v>UPI</v>
      </c>
      <c r="N802" t="str">
        <f t="shared" si="36"/>
        <v>Single</v>
      </c>
      <c r="O802" t="str" cm="1">
        <f t="array" ref="O802">IF((SUMPRODUCT((OrderID=OrderLines!$A802)*Qty*UnitPrice*DiscountPct))&gt;40,"HighDisc","OK")</f>
        <v>OK</v>
      </c>
      <c r="P802">
        <f>(orderlinesTABLE[[#This Row],[UnitCost]]*orderlinesTABLE[[#This Row],[Qty]])</f>
        <v>76.459999999999994</v>
      </c>
      <c r="Q802">
        <f>(orderlinesTABLE[[#This Row],[LineNetAmount]]-orderlinesTABLE[[#This Row],[totalCOST]])</f>
        <v>62.861000000000004</v>
      </c>
      <c r="R802" t="str">
        <f>VLOOKUP($B802,Menu!$A$1:$F$20,MATCH(OrderLines!R$1,Menu!$A$1:$F$1,0),0)</f>
        <v>Gulab Jamun (2 pc)</v>
      </c>
      <c r="S802" t="str" cm="1">
        <f t="array" ref="S802">_xlfn.TEXTJOIN("+",TRUE,_xlfn._xlws.FILTER(orderlinesTABLE[ItemName],OrderID=orderlinesTABLE[[#This Row],[OrderID]]))</f>
        <v>Gulab Jamun (2 pc)+Brownie+Paneer Roll</v>
      </c>
      <c r="T802" s="54">
        <f>orderlinesTABLE[[#This Row],[Profit]]/orderlinesTABLE[[#This Row],[LineNetAmount]]</f>
        <v>0.45119544074475493</v>
      </c>
      <c r="U802" s="70">
        <f>(orderlinesTABLE[[#This Row],[Qty]]*orderlinesTABLE[[#This Row],[UnitCost]])</f>
        <v>76.459999999999994</v>
      </c>
    </row>
    <row r="803" spans="1:21" x14ac:dyDescent="0.3">
      <c r="A803" s="15" t="s">
        <v>348</v>
      </c>
      <c r="B803" s="15" t="s">
        <v>414</v>
      </c>
      <c r="C803" s="15">
        <v>1</v>
      </c>
      <c r="D803" s="36">
        <f>VLOOKUP($B803,Menu!$A$1:$F$20,MATCH($D$1,Menu!$A$1:$F$1,0),0)</f>
        <v>116.8</v>
      </c>
      <c r="E803" s="15" t="str">
        <f>VLOOKUP($B803,Menu!$A$1:$F$20,MATCH(OrderLines!E$1,Menu!$A$1:$F$1,0),0)</f>
        <v>Dessert</v>
      </c>
      <c r="F803" s="36">
        <f>VLOOKUP($B803,Menu!$A$1:$F$20,MATCH(OrderLines!F$1,Menu!$A$1:$F$1,0),0)</f>
        <v>48.97</v>
      </c>
      <c r="G803" s="27">
        <f>VLOOKUP($A803,Orders!$A$1:$H$361,MATCH($G$1,Orders!$A$1:$H$1,0),0)</f>
        <v>45849</v>
      </c>
      <c r="H803" s="15" t="str">
        <f>VLOOKUP($A803,Orders!$A$1:$H$361,MATCH(OrderLines!$H$1,Orders!$A$1:$H$1,0),0)</f>
        <v>Head Office Café</v>
      </c>
      <c r="I803" s="15">
        <f>VLOOKUP($A803,Orders!$A$1:$H$361,MATCH(OrderLines!$I$1,Orders!$A$1:$H$1,0),0)</f>
        <v>0.09</v>
      </c>
      <c r="J803" s="15">
        <f t="shared" si="37"/>
        <v>106.288</v>
      </c>
      <c r="K803" s="27" t="str">
        <f t="shared" si="38"/>
        <v>July</v>
      </c>
      <c r="L803" s="15" t="str">
        <f>VLOOKUP(OrderLines!$A803,Orders!$A$1:$H$361,MATCH(OrderLines!$L$1,Orders!$A$1:$H$1,0),0)</f>
        <v>Breakfast</v>
      </c>
      <c r="M803" t="str">
        <f>VLOOKUP($A803,Orders!$A$1:$H$361,MATCH(OrderLines!$M$1,Orders!$A$1:$H$1,0),0)</f>
        <v>UPI</v>
      </c>
      <c r="N803" t="str">
        <f t="shared" si="36"/>
        <v>Single</v>
      </c>
      <c r="O803" t="str" cm="1">
        <f t="array" ref="O803">IF((SUMPRODUCT((OrderID=OrderLines!$A803)*Qty*UnitPrice*DiscountPct))&gt;40,"HighDisc","OK")</f>
        <v>OK</v>
      </c>
      <c r="P803">
        <f>(orderlinesTABLE[[#This Row],[UnitCost]]*orderlinesTABLE[[#This Row],[Qty]])</f>
        <v>48.97</v>
      </c>
      <c r="Q803">
        <f>(orderlinesTABLE[[#This Row],[LineNetAmount]]-orderlinesTABLE[[#This Row],[totalCOST]])</f>
        <v>57.317999999999998</v>
      </c>
      <c r="R803" t="str">
        <f>VLOOKUP($B803,Menu!$A$1:$F$20,MATCH(OrderLines!R$1,Menu!$A$1:$F$1,0),0)</f>
        <v>Brownie</v>
      </c>
      <c r="S803" t="str" cm="1">
        <f t="array" ref="S803">_xlfn.TEXTJOIN("+",TRUE,_xlfn._xlws.FILTER(orderlinesTABLE[ItemName],OrderID=orderlinesTABLE[[#This Row],[OrderID]]))</f>
        <v>Gulab Jamun (2 pc)+Brownie+Paneer Roll</v>
      </c>
      <c r="T803" s="54">
        <f>orderlinesTABLE[[#This Row],[Profit]]/orderlinesTABLE[[#This Row],[LineNetAmount]]</f>
        <v>0.53927066084600328</v>
      </c>
      <c r="U803" s="70">
        <f>(orderlinesTABLE[[#This Row],[Qty]]*orderlinesTABLE[[#This Row],[UnitCost]])</f>
        <v>48.97</v>
      </c>
    </row>
    <row r="804" spans="1:21" x14ac:dyDescent="0.3">
      <c r="A804" s="14" t="s">
        <v>348</v>
      </c>
      <c r="B804" s="14" t="s">
        <v>406</v>
      </c>
      <c r="C804" s="14">
        <v>2</v>
      </c>
      <c r="D804" s="37">
        <f>VLOOKUP($B804,Menu!$A$1:$F$20,MATCH($D$1,Menu!$A$1:$F$1,0),0)</f>
        <v>38.06</v>
      </c>
      <c r="E804" s="14" t="str">
        <f>VLOOKUP($B804,Menu!$A$1:$F$20,MATCH(OrderLines!E$1,Menu!$A$1:$F$1,0),0)</f>
        <v>Snack</v>
      </c>
      <c r="F804" s="37">
        <f>VLOOKUP($B804,Menu!$A$1:$F$20,MATCH(OrderLines!F$1,Menu!$A$1:$F$1,0),0)</f>
        <v>19.55</v>
      </c>
      <c r="G804" s="28">
        <f>VLOOKUP($A804,Orders!$A$1:$H$361,MATCH($G$1,Orders!$A$1:$H$1,0),0)</f>
        <v>45849</v>
      </c>
      <c r="H804" s="14" t="str">
        <f>VLOOKUP($A804,Orders!$A$1:$H$361,MATCH(OrderLines!$H$1,Orders!$A$1:$H$1,0),0)</f>
        <v>Head Office Café</v>
      </c>
      <c r="I804" s="14">
        <f>VLOOKUP($A804,Orders!$A$1:$H$361,MATCH(OrderLines!$I$1,Orders!$A$1:$H$1,0),0)</f>
        <v>0.09</v>
      </c>
      <c r="J804" s="14">
        <f t="shared" si="37"/>
        <v>69.269200000000012</v>
      </c>
      <c r="K804" s="28" t="str">
        <f t="shared" si="38"/>
        <v>July</v>
      </c>
      <c r="L804" s="14" t="str">
        <f>VLOOKUP(OrderLines!$A804,Orders!$A$1:$H$361,MATCH(OrderLines!$L$1,Orders!$A$1:$H$1,0),0)</f>
        <v>Breakfast</v>
      </c>
      <c r="M804" t="str">
        <f>VLOOKUP($A804,Orders!$A$1:$H$361,MATCH(OrderLines!$M$1,Orders!$A$1:$H$1,0),0)</f>
        <v>UPI</v>
      </c>
      <c r="N804" t="str">
        <f t="shared" si="36"/>
        <v>Single</v>
      </c>
      <c r="O804" t="str" cm="1">
        <f t="array" ref="O804">IF((SUMPRODUCT((OrderID=OrderLines!$A804)*Qty*UnitPrice*DiscountPct))&gt;40,"HighDisc","OK")</f>
        <v>OK</v>
      </c>
      <c r="P804">
        <f>(orderlinesTABLE[[#This Row],[UnitCost]]*orderlinesTABLE[[#This Row],[Qty]])</f>
        <v>39.1</v>
      </c>
      <c r="Q804">
        <f>(orderlinesTABLE[[#This Row],[LineNetAmount]]-orderlinesTABLE[[#This Row],[totalCOST]])</f>
        <v>30.169200000000011</v>
      </c>
      <c r="R804" t="str">
        <f>VLOOKUP($B804,Menu!$A$1:$F$20,MATCH(OrderLines!R$1,Menu!$A$1:$F$1,0),0)</f>
        <v>Paneer Roll</v>
      </c>
      <c r="S804" t="str" cm="1">
        <f t="array" ref="S804">_xlfn.TEXTJOIN("+",TRUE,_xlfn._xlws.FILTER(orderlinesTABLE[ItemName],OrderID=orderlinesTABLE[[#This Row],[OrderID]]))</f>
        <v>Gulab Jamun (2 pc)+Brownie+Paneer Roll</v>
      </c>
      <c r="T804" s="54">
        <f>orderlinesTABLE[[#This Row],[Profit]]/orderlinesTABLE[[#This Row],[LineNetAmount]]</f>
        <v>0.43553556270319282</v>
      </c>
      <c r="U804" s="70">
        <f>(orderlinesTABLE[[#This Row],[Qty]]*orderlinesTABLE[[#This Row],[UnitCost]])</f>
        <v>39.1</v>
      </c>
    </row>
    <row r="805" spans="1:21" x14ac:dyDescent="0.3">
      <c r="A805" s="15" t="s">
        <v>349</v>
      </c>
      <c r="B805" s="15" t="s">
        <v>408</v>
      </c>
      <c r="C805" s="15">
        <v>2</v>
      </c>
      <c r="D805" s="36">
        <f>VLOOKUP($B805,Menu!$A$1:$F$20,MATCH($D$1,Menu!$A$1:$F$1,0),0)</f>
        <v>70.540000000000006</v>
      </c>
      <c r="E805" s="15" t="str">
        <f>VLOOKUP($B805,Menu!$A$1:$F$20,MATCH(OrderLines!E$1,Menu!$A$1:$F$1,0),0)</f>
        <v>Snack</v>
      </c>
      <c r="F805" s="36">
        <f>VLOOKUP($B805,Menu!$A$1:$F$20,MATCH(OrderLines!F$1,Menu!$A$1:$F$1,0),0)</f>
        <v>35.81</v>
      </c>
      <c r="G805" s="27">
        <f>VLOOKUP($A805,Orders!$A$1:$H$361,MATCH($G$1,Orders!$A$1:$H$1,0),0)</f>
        <v>45842</v>
      </c>
      <c r="H805" s="15" t="str">
        <f>VLOOKUP($A805,Orders!$A$1:$H$361,MATCH(OrderLines!$H$1,Orders!$A$1:$H$1,0),0)</f>
        <v>Head Office Café</v>
      </c>
      <c r="I805" s="15">
        <f>VLOOKUP($A805,Orders!$A$1:$H$361,MATCH(OrderLines!$I$1,Orders!$A$1:$H$1,0),0)</f>
        <v>0.05</v>
      </c>
      <c r="J805" s="15">
        <f t="shared" si="37"/>
        <v>134.02600000000001</v>
      </c>
      <c r="K805" s="27" t="str">
        <f t="shared" si="38"/>
        <v>July</v>
      </c>
      <c r="L805" s="15" t="str">
        <f>VLOOKUP(OrderLines!$A805,Orders!$A$1:$H$361,MATCH(OrderLines!$L$1,Orders!$A$1:$H$1,0),0)</f>
        <v>Dinner</v>
      </c>
      <c r="M805" t="str">
        <f>VLOOKUP($A805,Orders!$A$1:$H$361,MATCH(OrderLines!$M$1,Orders!$A$1:$H$1,0),0)</f>
        <v>UPI</v>
      </c>
      <c r="N805" t="str">
        <f t="shared" si="36"/>
        <v>Single</v>
      </c>
      <c r="O805" t="str" cm="1">
        <f t="array" ref="O805">IF((SUMPRODUCT((OrderID=OrderLines!$A805)*Qty*UnitPrice*DiscountPct))&gt;40,"HighDisc","OK")</f>
        <v>OK</v>
      </c>
      <c r="P805">
        <f>(orderlinesTABLE[[#This Row],[UnitCost]]*orderlinesTABLE[[#This Row],[Qty]])</f>
        <v>71.62</v>
      </c>
      <c r="Q805">
        <f>(orderlinesTABLE[[#This Row],[LineNetAmount]]-orderlinesTABLE[[#This Row],[totalCOST]])</f>
        <v>62.406000000000006</v>
      </c>
      <c r="R805" t="str">
        <f>VLOOKUP($B805,Menu!$A$1:$F$20,MATCH(OrderLines!R$1,Menu!$A$1:$F$1,0),0)</f>
        <v>Veg Sandwich</v>
      </c>
      <c r="S805" t="str" cm="1">
        <f t="array" ref="S805">_xlfn.TEXTJOIN("+",TRUE,_xlfn._xlws.FILTER(orderlinesTABLE[ItemName],OrderID=orderlinesTABLE[[#This Row],[OrderID]]))</f>
        <v>Veg Sandwich+Gulab Jamun (2 pc)+Fruit Cup</v>
      </c>
      <c r="T805" s="54">
        <f>orderlinesTABLE[[#This Row],[Profit]]/orderlinesTABLE[[#This Row],[LineNetAmount]]</f>
        <v>0.46562607255308675</v>
      </c>
      <c r="U805" s="70">
        <f>(orderlinesTABLE[[#This Row],[Qty]]*orderlinesTABLE[[#This Row],[UnitCost]])</f>
        <v>71.62</v>
      </c>
    </row>
    <row r="806" spans="1:21" x14ac:dyDescent="0.3">
      <c r="A806" s="14" t="s">
        <v>349</v>
      </c>
      <c r="B806" s="14" t="s">
        <v>403</v>
      </c>
      <c r="C806" s="14">
        <v>1</v>
      </c>
      <c r="D806" s="37">
        <f>VLOOKUP($B806,Menu!$A$1:$F$20,MATCH($D$1,Menu!$A$1:$F$1,0),0)</f>
        <v>76.55</v>
      </c>
      <c r="E806" s="14" t="str">
        <f>VLOOKUP($B806,Menu!$A$1:$F$20,MATCH(OrderLines!E$1,Menu!$A$1:$F$1,0),0)</f>
        <v>Dessert</v>
      </c>
      <c r="F806" s="37">
        <f>VLOOKUP($B806,Menu!$A$1:$F$20,MATCH(OrderLines!F$1,Menu!$A$1:$F$1,0),0)</f>
        <v>38.229999999999997</v>
      </c>
      <c r="G806" s="28">
        <f>VLOOKUP($A806,Orders!$A$1:$H$361,MATCH($G$1,Orders!$A$1:$H$1,0),0)</f>
        <v>45842</v>
      </c>
      <c r="H806" s="14" t="str">
        <f>VLOOKUP($A806,Orders!$A$1:$H$361,MATCH(OrderLines!$H$1,Orders!$A$1:$H$1,0),0)</f>
        <v>Head Office Café</v>
      </c>
      <c r="I806" s="14">
        <f>VLOOKUP($A806,Orders!$A$1:$H$361,MATCH(OrderLines!$I$1,Orders!$A$1:$H$1,0),0)</f>
        <v>0.05</v>
      </c>
      <c r="J806" s="14">
        <f t="shared" si="37"/>
        <v>72.722499999999997</v>
      </c>
      <c r="K806" s="28" t="str">
        <f t="shared" si="38"/>
        <v>July</v>
      </c>
      <c r="L806" s="14" t="str">
        <f>VLOOKUP(OrderLines!$A806,Orders!$A$1:$H$361,MATCH(OrderLines!$L$1,Orders!$A$1:$H$1,0),0)</f>
        <v>Dinner</v>
      </c>
      <c r="M806" t="str">
        <f>VLOOKUP($A806,Orders!$A$1:$H$361,MATCH(OrderLines!$M$1,Orders!$A$1:$H$1,0),0)</f>
        <v>UPI</v>
      </c>
      <c r="N806" t="str">
        <f t="shared" si="36"/>
        <v>Single</v>
      </c>
      <c r="O806" t="str" cm="1">
        <f t="array" ref="O806">IF((SUMPRODUCT((OrderID=OrderLines!$A806)*Qty*UnitPrice*DiscountPct))&gt;40,"HighDisc","OK")</f>
        <v>OK</v>
      </c>
      <c r="P806">
        <f>(orderlinesTABLE[[#This Row],[UnitCost]]*orderlinesTABLE[[#This Row],[Qty]])</f>
        <v>38.229999999999997</v>
      </c>
      <c r="Q806">
        <f>(orderlinesTABLE[[#This Row],[LineNetAmount]]-orderlinesTABLE[[#This Row],[totalCOST]])</f>
        <v>34.4925</v>
      </c>
      <c r="R806" t="str">
        <f>VLOOKUP($B806,Menu!$A$1:$F$20,MATCH(OrderLines!R$1,Menu!$A$1:$F$1,0),0)</f>
        <v>Gulab Jamun (2 pc)</v>
      </c>
      <c r="S806" t="str" cm="1">
        <f t="array" ref="S806">_xlfn.TEXTJOIN("+",TRUE,_xlfn._xlws.FILTER(orderlinesTABLE[ItemName],OrderID=orderlinesTABLE[[#This Row],[OrderID]]))</f>
        <v>Veg Sandwich+Gulab Jamun (2 pc)+Fruit Cup</v>
      </c>
      <c r="T806" s="54">
        <f>orderlinesTABLE[[#This Row],[Profit]]/orderlinesTABLE[[#This Row],[LineNetAmount]]</f>
        <v>0.47430300113444945</v>
      </c>
      <c r="U806" s="70">
        <f>(orderlinesTABLE[[#This Row],[Qty]]*orderlinesTABLE[[#This Row],[UnitCost]])</f>
        <v>38.229999999999997</v>
      </c>
    </row>
    <row r="807" spans="1:21" x14ac:dyDescent="0.3">
      <c r="A807" s="15" t="s">
        <v>349</v>
      </c>
      <c r="B807" s="15" t="s">
        <v>412</v>
      </c>
      <c r="C807" s="15">
        <v>1</v>
      </c>
      <c r="D807" s="36">
        <f>VLOOKUP($B807,Menu!$A$1:$F$20,MATCH($D$1,Menu!$A$1:$F$1,0),0)</f>
        <v>57.07</v>
      </c>
      <c r="E807" s="15" t="str">
        <f>VLOOKUP($B807,Menu!$A$1:$F$20,MATCH(OrderLines!E$1,Menu!$A$1:$F$1,0),0)</f>
        <v>Dessert</v>
      </c>
      <c r="F807" s="36">
        <f>VLOOKUP($B807,Menu!$A$1:$F$20,MATCH(OrderLines!F$1,Menu!$A$1:$F$1,0),0)</f>
        <v>29.14</v>
      </c>
      <c r="G807" s="27">
        <f>VLOOKUP($A807,Orders!$A$1:$H$361,MATCH($G$1,Orders!$A$1:$H$1,0),0)</f>
        <v>45842</v>
      </c>
      <c r="H807" s="15" t="str">
        <f>VLOOKUP($A807,Orders!$A$1:$H$361,MATCH(OrderLines!$H$1,Orders!$A$1:$H$1,0),0)</f>
        <v>Head Office Café</v>
      </c>
      <c r="I807" s="15">
        <f>VLOOKUP($A807,Orders!$A$1:$H$361,MATCH(OrderLines!$I$1,Orders!$A$1:$H$1,0),0)</f>
        <v>0.05</v>
      </c>
      <c r="J807" s="15">
        <f t="shared" si="37"/>
        <v>54.216499999999996</v>
      </c>
      <c r="K807" s="27" t="str">
        <f t="shared" si="38"/>
        <v>July</v>
      </c>
      <c r="L807" s="15" t="str">
        <f>VLOOKUP(OrderLines!$A807,Orders!$A$1:$H$361,MATCH(OrderLines!$L$1,Orders!$A$1:$H$1,0),0)</f>
        <v>Dinner</v>
      </c>
      <c r="M807" t="str">
        <f>VLOOKUP($A807,Orders!$A$1:$H$361,MATCH(OrderLines!$M$1,Orders!$A$1:$H$1,0),0)</f>
        <v>UPI</v>
      </c>
      <c r="N807" t="str">
        <f t="shared" si="36"/>
        <v>Single</v>
      </c>
      <c r="O807" t="str" cm="1">
        <f t="array" ref="O807">IF((SUMPRODUCT((OrderID=OrderLines!$A807)*Qty*UnitPrice*DiscountPct))&gt;40,"HighDisc","OK")</f>
        <v>OK</v>
      </c>
      <c r="P807">
        <f>(orderlinesTABLE[[#This Row],[UnitCost]]*orderlinesTABLE[[#This Row],[Qty]])</f>
        <v>29.14</v>
      </c>
      <c r="Q807">
        <f>(orderlinesTABLE[[#This Row],[LineNetAmount]]-orderlinesTABLE[[#This Row],[totalCOST]])</f>
        <v>25.076499999999996</v>
      </c>
      <c r="R807" t="str">
        <f>VLOOKUP($B807,Menu!$A$1:$F$20,MATCH(OrderLines!R$1,Menu!$A$1:$F$1,0),0)</f>
        <v>Fruit Cup</v>
      </c>
      <c r="S807" t="str" cm="1">
        <f t="array" ref="S807">_xlfn.TEXTJOIN("+",TRUE,_xlfn._xlws.FILTER(orderlinesTABLE[ItemName],OrderID=orderlinesTABLE[[#This Row],[OrderID]]))</f>
        <v>Veg Sandwich+Gulab Jamun (2 pc)+Fruit Cup</v>
      </c>
      <c r="T807" s="54">
        <f>orderlinesTABLE[[#This Row],[Profit]]/orderlinesTABLE[[#This Row],[LineNetAmount]]</f>
        <v>0.46252524600444511</v>
      </c>
      <c r="U807" s="70">
        <f>(orderlinesTABLE[[#This Row],[Qty]]*orderlinesTABLE[[#This Row],[UnitCost]])</f>
        <v>29.14</v>
      </c>
    </row>
    <row r="808" spans="1:21" x14ac:dyDescent="0.3">
      <c r="A808" s="14" t="s">
        <v>350</v>
      </c>
      <c r="B808" s="14" t="s">
        <v>413</v>
      </c>
      <c r="C808" s="14">
        <v>1</v>
      </c>
      <c r="D808" s="37">
        <f>VLOOKUP($B808,Menu!$A$1:$F$20,MATCH($D$1,Menu!$A$1:$F$1,0),0)</f>
        <v>54.2</v>
      </c>
      <c r="E808" s="14" t="str">
        <f>VLOOKUP($B808,Menu!$A$1:$F$20,MATCH(OrderLines!E$1,Menu!$A$1:$F$1,0),0)</f>
        <v>Dessert</v>
      </c>
      <c r="F808" s="37">
        <f>VLOOKUP($B808,Menu!$A$1:$F$20,MATCH(OrderLines!F$1,Menu!$A$1:$F$1,0),0)</f>
        <v>21.95</v>
      </c>
      <c r="G808" s="28">
        <f>VLOOKUP($A808,Orders!$A$1:$H$361,MATCH($G$1,Orders!$A$1:$H$1,0),0)</f>
        <v>45897</v>
      </c>
      <c r="H808" s="14" t="str">
        <f>VLOOKUP($A808,Orders!$A$1:$H$361,MATCH(OrderLines!$H$1,Orders!$A$1:$H$1,0),0)</f>
        <v>Plant 2 Canteen</v>
      </c>
      <c r="I808" s="14">
        <f>VLOOKUP($A808,Orders!$A$1:$H$361,MATCH(OrderLines!$I$1,Orders!$A$1:$H$1,0),0)</f>
        <v>0.06</v>
      </c>
      <c r="J808" s="14">
        <f t="shared" si="37"/>
        <v>50.948</v>
      </c>
      <c r="K808" s="28" t="str">
        <f t="shared" si="38"/>
        <v>August</v>
      </c>
      <c r="L808" s="14" t="str">
        <f>VLOOKUP(OrderLines!$A808,Orders!$A$1:$H$361,MATCH(OrderLines!$L$1,Orders!$A$1:$H$1,0),0)</f>
        <v>Breakfast</v>
      </c>
      <c r="M808" t="str">
        <f>VLOOKUP($A808,Orders!$A$1:$H$361,MATCH(OrderLines!$M$1,Orders!$A$1:$H$1,0),0)</f>
        <v>Cash</v>
      </c>
      <c r="N808" t="str">
        <f t="shared" si="36"/>
        <v>Single</v>
      </c>
      <c r="O808" t="str" cm="1">
        <f t="array" ref="O808">IF((SUMPRODUCT((OrderID=OrderLines!$A808)*Qty*UnitPrice*DiscountPct))&gt;40,"HighDisc","OK")</f>
        <v>OK</v>
      </c>
      <c r="P808">
        <f>(orderlinesTABLE[[#This Row],[UnitCost]]*orderlinesTABLE[[#This Row],[Qty]])</f>
        <v>21.95</v>
      </c>
      <c r="Q808">
        <f>(orderlinesTABLE[[#This Row],[LineNetAmount]]-orderlinesTABLE[[#This Row],[totalCOST]])</f>
        <v>28.998000000000001</v>
      </c>
      <c r="R808" t="str">
        <f>VLOOKUP($B808,Menu!$A$1:$F$20,MATCH(OrderLines!R$1,Menu!$A$1:$F$1,0),0)</f>
        <v>Kheer Cup</v>
      </c>
      <c r="S808" t="str" cm="1">
        <f t="array" ref="S808">_xlfn.TEXTJOIN("+",TRUE,_xlfn._xlws.FILTER(orderlinesTABLE[ItemName],OrderID=orderlinesTABLE[[#This Row],[OrderID]]))</f>
        <v>Kheer Cup</v>
      </c>
      <c r="T808" s="54">
        <f>orderlinesTABLE[[#This Row],[Profit]]/orderlinesTABLE[[#This Row],[LineNetAmount]]</f>
        <v>0.56916856402606586</v>
      </c>
      <c r="U808" s="70">
        <f>(orderlinesTABLE[[#This Row],[Qty]]*orderlinesTABLE[[#This Row],[UnitCost]])</f>
        <v>21.95</v>
      </c>
    </row>
    <row r="809" spans="1:21" x14ac:dyDescent="0.3">
      <c r="A809" s="15" t="s">
        <v>351</v>
      </c>
      <c r="B809" s="15" t="s">
        <v>404</v>
      </c>
      <c r="C809" s="15">
        <v>1</v>
      </c>
      <c r="D809" s="36">
        <f>VLOOKUP($B809,Menu!$A$1:$F$20,MATCH($D$1,Menu!$A$1:$F$1,0),0)</f>
        <v>32.979999999999997</v>
      </c>
      <c r="E809" s="15" t="str">
        <f>VLOOKUP($B809,Menu!$A$1:$F$20,MATCH(OrderLines!E$1,Menu!$A$1:$F$1,0),0)</f>
        <v>Beverage</v>
      </c>
      <c r="F809" s="36">
        <f>VLOOKUP($B809,Menu!$A$1:$F$20,MATCH(OrderLines!F$1,Menu!$A$1:$F$1,0),0)</f>
        <v>11.84</v>
      </c>
      <c r="G809" s="27">
        <f>VLOOKUP($A809,Orders!$A$1:$H$361,MATCH($G$1,Orders!$A$1:$H$1,0),0)</f>
        <v>45855</v>
      </c>
      <c r="H809" s="15" t="str">
        <f>VLOOKUP($A809,Orders!$A$1:$H$361,MATCH(OrderLines!$H$1,Orders!$A$1:$H$1,0),0)</f>
        <v>Head Office Café</v>
      </c>
      <c r="I809" s="15">
        <f>VLOOKUP($A809,Orders!$A$1:$H$361,MATCH(OrderLines!$I$1,Orders!$A$1:$H$1,0),0)</f>
        <v>0.02</v>
      </c>
      <c r="J809" s="15">
        <f t="shared" si="37"/>
        <v>32.320399999999999</v>
      </c>
      <c r="K809" s="27" t="str">
        <f t="shared" si="38"/>
        <v>July</v>
      </c>
      <c r="L809" s="15" t="str">
        <f>VLOOKUP(OrderLines!$A809,Orders!$A$1:$H$361,MATCH(OrderLines!$L$1,Orders!$A$1:$H$1,0),0)</f>
        <v>Breakfast</v>
      </c>
      <c r="M809" t="str">
        <f>VLOOKUP($A809,Orders!$A$1:$H$361,MATCH(OrderLines!$M$1,Orders!$A$1:$H$1,0),0)</f>
        <v>Cash</v>
      </c>
      <c r="N809" t="str">
        <f t="shared" si="36"/>
        <v>Single</v>
      </c>
      <c r="O809" t="str" cm="1">
        <f t="array" ref="O809">IF((SUMPRODUCT((OrderID=OrderLines!$A809)*Qty*UnitPrice*DiscountPct))&gt;40,"HighDisc","OK")</f>
        <v>OK</v>
      </c>
      <c r="P809">
        <f>(orderlinesTABLE[[#This Row],[UnitCost]]*orderlinesTABLE[[#This Row],[Qty]])</f>
        <v>11.84</v>
      </c>
      <c r="Q809">
        <f>(orderlinesTABLE[[#This Row],[LineNetAmount]]-orderlinesTABLE[[#This Row],[totalCOST]])</f>
        <v>20.480399999999999</v>
      </c>
      <c r="R809" t="str">
        <f>VLOOKUP($B809,Menu!$A$1:$F$20,MATCH(OrderLines!R$1,Menu!$A$1:$F$1,0),0)</f>
        <v>Masala Chaas</v>
      </c>
      <c r="S809" t="str" cm="1">
        <f t="array" ref="S809">_xlfn.TEXTJOIN("+",TRUE,_xlfn._xlws.FILTER(orderlinesTABLE[ItemName],OrderID=orderlinesTABLE[[#This Row],[OrderID]]))</f>
        <v>Masala Chaas</v>
      </c>
      <c r="T809" s="54">
        <f>orderlinesTABLE[[#This Row],[Profit]]/orderlinesTABLE[[#This Row],[LineNetAmount]]</f>
        <v>0.63366790014975061</v>
      </c>
      <c r="U809" s="70">
        <f>(orderlinesTABLE[[#This Row],[Qty]]*orderlinesTABLE[[#This Row],[UnitCost]])</f>
        <v>11.84</v>
      </c>
    </row>
    <row r="810" spans="1:21" x14ac:dyDescent="0.3">
      <c r="A810" s="14" t="s">
        <v>352</v>
      </c>
      <c r="B810" s="14" t="s">
        <v>403</v>
      </c>
      <c r="C810" s="14">
        <v>3</v>
      </c>
      <c r="D810" s="37">
        <f>VLOOKUP($B810,Menu!$A$1:$F$20,MATCH($D$1,Menu!$A$1:$F$1,0),0)</f>
        <v>76.55</v>
      </c>
      <c r="E810" s="14" t="str">
        <f>VLOOKUP($B810,Menu!$A$1:$F$20,MATCH(OrderLines!E$1,Menu!$A$1:$F$1,0),0)</f>
        <v>Dessert</v>
      </c>
      <c r="F810" s="37">
        <f>VLOOKUP($B810,Menu!$A$1:$F$20,MATCH(OrderLines!F$1,Menu!$A$1:$F$1,0),0)</f>
        <v>38.229999999999997</v>
      </c>
      <c r="G810" s="28">
        <f>VLOOKUP($A810,Orders!$A$1:$H$361,MATCH($G$1,Orders!$A$1:$H$1,0),0)</f>
        <v>45874</v>
      </c>
      <c r="H810" s="14" t="str">
        <f>VLOOKUP($A810,Orders!$A$1:$H$361,MATCH(OrderLines!$H$1,Orders!$A$1:$H$1,0),0)</f>
        <v>Head Office Café</v>
      </c>
      <c r="I810" s="14">
        <f>VLOOKUP($A810,Orders!$A$1:$H$361,MATCH(OrderLines!$I$1,Orders!$A$1:$H$1,0),0)</f>
        <v>0.06</v>
      </c>
      <c r="J810" s="14">
        <f t="shared" si="37"/>
        <v>215.87099999999995</v>
      </c>
      <c r="K810" s="28" t="str">
        <f t="shared" si="38"/>
        <v>August</v>
      </c>
      <c r="L810" s="14" t="str">
        <f>VLOOKUP(OrderLines!$A810,Orders!$A$1:$H$361,MATCH(OrderLines!$L$1,Orders!$A$1:$H$1,0),0)</f>
        <v>Lunch</v>
      </c>
      <c r="M810" t="str">
        <f>VLOOKUP($A810,Orders!$A$1:$H$361,MATCH(OrderLines!$M$1,Orders!$A$1:$H$1,0),0)</f>
        <v>Cash</v>
      </c>
      <c r="N810" t="str">
        <f t="shared" si="36"/>
        <v>Single</v>
      </c>
      <c r="O810" t="str" cm="1">
        <f t="array" ref="O810">IF((SUMPRODUCT((OrderID=OrderLines!$A810)*Qty*UnitPrice*DiscountPct))&gt;40,"HighDisc","OK")</f>
        <v>OK</v>
      </c>
      <c r="P810">
        <f>(orderlinesTABLE[[#This Row],[UnitCost]]*orderlinesTABLE[[#This Row],[Qty]])</f>
        <v>114.69</v>
      </c>
      <c r="Q810">
        <f>(orderlinesTABLE[[#This Row],[LineNetAmount]]-orderlinesTABLE[[#This Row],[totalCOST]])</f>
        <v>101.18099999999995</v>
      </c>
      <c r="R810" t="str">
        <f>VLOOKUP($B810,Menu!$A$1:$F$20,MATCH(OrderLines!R$1,Menu!$A$1:$F$1,0),0)</f>
        <v>Gulab Jamun (2 pc)</v>
      </c>
      <c r="S810" t="str" cm="1">
        <f t="array" ref="S810">_xlfn.TEXTJOIN("+",TRUE,_xlfn._xlws.FILTER(orderlinesTABLE[ItemName],OrderID=orderlinesTABLE[[#This Row],[OrderID]]))</f>
        <v>Gulab Jamun (2 pc)+Brownie</v>
      </c>
      <c r="T810" s="54">
        <f>orderlinesTABLE[[#This Row],[Profit]]/orderlinesTABLE[[#This Row],[LineNetAmount]]</f>
        <v>0.4687104798699222</v>
      </c>
      <c r="U810" s="70">
        <f>(orderlinesTABLE[[#This Row],[Qty]]*orderlinesTABLE[[#This Row],[UnitCost]])</f>
        <v>114.69</v>
      </c>
    </row>
    <row r="811" spans="1:21" x14ac:dyDescent="0.3">
      <c r="A811" s="15" t="s">
        <v>352</v>
      </c>
      <c r="B811" s="15" t="s">
        <v>414</v>
      </c>
      <c r="C811" s="15">
        <v>1</v>
      </c>
      <c r="D811" s="36">
        <f>VLOOKUP($B811,Menu!$A$1:$F$20,MATCH($D$1,Menu!$A$1:$F$1,0),0)</f>
        <v>116.8</v>
      </c>
      <c r="E811" s="15" t="str">
        <f>VLOOKUP($B811,Menu!$A$1:$F$20,MATCH(OrderLines!E$1,Menu!$A$1:$F$1,0),0)</f>
        <v>Dessert</v>
      </c>
      <c r="F811" s="36">
        <f>VLOOKUP($B811,Menu!$A$1:$F$20,MATCH(OrderLines!F$1,Menu!$A$1:$F$1,0),0)</f>
        <v>48.97</v>
      </c>
      <c r="G811" s="27">
        <f>VLOOKUP($A811,Orders!$A$1:$H$361,MATCH($G$1,Orders!$A$1:$H$1,0),0)</f>
        <v>45874</v>
      </c>
      <c r="H811" s="15" t="str">
        <f>VLOOKUP($A811,Orders!$A$1:$H$361,MATCH(OrderLines!$H$1,Orders!$A$1:$H$1,0),0)</f>
        <v>Head Office Café</v>
      </c>
      <c r="I811" s="15">
        <f>VLOOKUP($A811,Orders!$A$1:$H$361,MATCH(OrderLines!$I$1,Orders!$A$1:$H$1,0),0)</f>
        <v>0.06</v>
      </c>
      <c r="J811" s="15">
        <f t="shared" si="37"/>
        <v>109.79199999999999</v>
      </c>
      <c r="K811" s="27" t="str">
        <f t="shared" si="38"/>
        <v>August</v>
      </c>
      <c r="L811" s="15" t="str">
        <f>VLOOKUP(OrderLines!$A811,Orders!$A$1:$H$361,MATCH(OrderLines!$L$1,Orders!$A$1:$H$1,0),0)</f>
        <v>Lunch</v>
      </c>
      <c r="M811" t="str">
        <f>VLOOKUP($A811,Orders!$A$1:$H$361,MATCH(OrderLines!$M$1,Orders!$A$1:$H$1,0),0)</f>
        <v>Cash</v>
      </c>
      <c r="N811" t="str">
        <f t="shared" si="36"/>
        <v>Single</v>
      </c>
      <c r="O811" t="str" cm="1">
        <f t="array" ref="O811">IF((SUMPRODUCT((OrderID=OrderLines!$A811)*Qty*UnitPrice*DiscountPct))&gt;40,"HighDisc","OK")</f>
        <v>OK</v>
      </c>
      <c r="P811">
        <f>(orderlinesTABLE[[#This Row],[UnitCost]]*orderlinesTABLE[[#This Row],[Qty]])</f>
        <v>48.97</v>
      </c>
      <c r="Q811">
        <f>(orderlinesTABLE[[#This Row],[LineNetAmount]]-orderlinesTABLE[[#This Row],[totalCOST]])</f>
        <v>60.821999999999989</v>
      </c>
      <c r="R811" t="str">
        <f>VLOOKUP($B811,Menu!$A$1:$F$20,MATCH(OrderLines!R$1,Menu!$A$1:$F$1,0),0)</f>
        <v>Brownie</v>
      </c>
      <c r="S811" t="str" cm="1">
        <f t="array" ref="S811">_xlfn.TEXTJOIN("+",TRUE,_xlfn._xlws.FILTER(orderlinesTABLE[ItemName],OrderID=orderlinesTABLE[[#This Row],[OrderID]]))</f>
        <v>Gulab Jamun (2 pc)+Brownie</v>
      </c>
      <c r="T811" s="54">
        <f>orderlinesTABLE[[#This Row],[Profit]]/orderlinesTABLE[[#This Row],[LineNetAmount]]</f>
        <v>0.55397478869134364</v>
      </c>
      <c r="U811" s="70">
        <f>(orderlinesTABLE[[#This Row],[Qty]]*orderlinesTABLE[[#This Row],[UnitCost]])</f>
        <v>48.97</v>
      </c>
    </row>
    <row r="812" spans="1:21" x14ac:dyDescent="0.3">
      <c r="A812" s="14" t="s">
        <v>353</v>
      </c>
      <c r="B812" s="14" t="s">
        <v>411</v>
      </c>
      <c r="C812" s="14">
        <v>3</v>
      </c>
      <c r="D812" s="37">
        <f>VLOOKUP($B812,Menu!$A$1:$F$20,MATCH($D$1,Menu!$A$1:$F$1,0),0)</f>
        <v>22.2</v>
      </c>
      <c r="E812" s="14" t="str">
        <f>VLOOKUP($B812,Menu!$A$1:$F$20,MATCH(OrderLines!E$1,Menu!$A$1:$F$1,0),0)</f>
        <v>Beverage</v>
      </c>
      <c r="F812" s="37">
        <f>VLOOKUP($B812,Menu!$A$1:$F$20,MATCH(OrderLines!F$1,Menu!$A$1:$F$1,0),0)</f>
        <v>9.3800000000000008</v>
      </c>
      <c r="G812" s="28">
        <f>VLOOKUP($A812,Orders!$A$1:$H$361,MATCH($G$1,Orders!$A$1:$H$1,0),0)</f>
        <v>45898</v>
      </c>
      <c r="H812" s="14" t="str">
        <f>VLOOKUP($A812,Orders!$A$1:$H$361,MATCH(OrderLines!$H$1,Orders!$A$1:$H$1,0),0)</f>
        <v>Plant 2 Canteen</v>
      </c>
      <c r="I812" s="14">
        <f>VLOOKUP($A812,Orders!$A$1:$H$361,MATCH(OrderLines!$I$1,Orders!$A$1:$H$1,0),0)</f>
        <v>0.05</v>
      </c>
      <c r="J812" s="14">
        <f t="shared" si="37"/>
        <v>63.269999999999989</v>
      </c>
      <c r="K812" s="28" t="str">
        <f t="shared" si="38"/>
        <v>August</v>
      </c>
      <c r="L812" s="14" t="str">
        <f>VLOOKUP(OrderLines!$A812,Orders!$A$1:$H$361,MATCH(OrderLines!$L$1,Orders!$A$1:$H$1,0),0)</f>
        <v>Lunch</v>
      </c>
      <c r="M812" t="str">
        <f>VLOOKUP($A812,Orders!$A$1:$H$361,MATCH(OrderLines!$M$1,Orders!$A$1:$H$1,0),0)</f>
        <v>Card</v>
      </c>
      <c r="N812" t="str">
        <f t="shared" si="36"/>
        <v>Single</v>
      </c>
      <c r="O812" t="str" cm="1">
        <f t="array" ref="O812">IF((SUMPRODUCT((OrderID=OrderLines!$A812)*Qty*UnitPrice*DiscountPct))&gt;40,"HighDisc","OK")</f>
        <v>OK</v>
      </c>
      <c r="P812">
        <f>(orderlinesTABLE[[#This Row],[UnitCost]]*orderlinesTABLE[[#This Row],[Qty]])</f>
        <v>28.14</v>
      </c>
      <c r="Q812">
        <f>(orderlinesTABLE[[#This Row],[LineNetAmount]]-orderlinesTABLE[[#This Row],[totalCOST]])</f>
        <v>35.129999999999988</v>
      </c>
      <c r="R812" t="str">
        <f>VLOOKUP($B812,Menu!$A$1:$F$20,MATCH(OrderLines!R$1,Menu!$A$1:$F$1,0),0)</f>
        <v>Coffee</v>
      </c>
      <c r="S812" t="str" cm="1">
        <f t="array" ref="S812">_xlfn.TEXTJOIN("+",TRUE,_xlfn._xlws.FILTER(orderlinesTABLE[ItemName],OrderID=orderlinesTABLE[[#This Row],[OrderID]]))</f>
        <v>Coffee</v>
      </c>
      <c r="T812" s="54">
        <f>orderlinesTABLE[[#This Row],[Profit]]/orderlinesTABLE[[#This Row],[LineNetAmount]]</f>
        <v>0.55523944997629204</v>
      </c>
      <c r="U812" s="70">
        <f>(orderlinesTABLE[[#This Row],[Qty]]*orderlinesTABLE[[#This Row],[UnitCost]])</f>
        <v>28.14</v>
      </c>
    </row>
    <row r="813" spans="1:21" x14ac:dyDescent="0.3">
      <c r="A813" s="15" t="s">
        <v>354</v>
      </c>
      <c r="B813" s="15" t="s">
        <v>401</v>
      </c>
      <c r="C813" s="15">
        <v>2</v>
      </c>
      <c r="D813" s="36">
        <f>VLOOKUP($B813,Menu!$A$1:$F$20,MATCH($D$1,Menu!$A$1:$F$1,0),0)</f>
        <v>52.45</v>
      </c>
      <c r="E813" s="15" t="str">
        <f>VLOOKUP($B813,Menu!$A$1:$F$20,MATCH(OrderLines!E$1,Menu!$A$1:$F$1,0),0)</f>
        <v>Snack</v>
      </c>
      <c r="F813" s="36">
        <f>VLOOKUP($B813,Menu!$A$1:$F$20,MATCH(OrderLines!F$1,Menu!$A$1:$F$1,0),0)</f>
        <v>25.8</v>
      </c>
      <c r="G813" s="27">
        <f>VLOOKUP($A813,Orders!$A$1:$H$361,MATCH($G$1,Orders!$A$1:$H$1,0),0)</f>
        <v>45891</v>
      </c>
      <c r="H813" s="15" t="str">
        <f>VLOOKUP($A813,Orders!$A$1:$H$361,MATCH(OrderLines!$H$1,Orders!$A$1:$H$1,0),0)</f>
        <v>Plant 1 Canteen</v>
      </c>
      <c r="I813" s="15">
        <f>VLOOKUP($A813,Orders!$A$1:$H$361,MATCH(OrderLines!$I$1,Orders!$A$1:$H$1,0),0)</f>
        <v>7.0000000000000007E-2</v>
      </c>
      <c r="J813" s="15">
        <f t="shared" si="37"/>
        <v>97.557000000000002</v>
      </c>
      <c r="K813" s="27" t="str">
        <f t="shared" si="38"/>
        <v>August</v>
      </c>
      <c r="L813" s="15" t="str">
        <f>VLOOKUP(OrderLines!$A813,Orders!$A$1:$H$361,MATCH(OrderLines!$L$1,Orders!$A$1:$H$1,0),0)</f>
        <v>Breakfast</v>
      </c>
      <c r="M813" t="str">
        <f>VLOOKUP($A813,Orders!$A$1:$H$361,MATCH(OrderLines!$M$1,Orders!$A$1:$H$1,0),0)</f>
        <v>Card</v>
      </c>
      <c r="N813" t="str">
        <f t="shared" si="36"/>
        <v>Single</v>
      </c>
      <c r="O813" t="str" cm="1">
        <f t="array" ref="O813">IF((SUMPRODUCT((OrderID=OrderLines!$A813)*Qty*UnitPrice*DiscountPct))&gt;40,"HighDisc","OK")</f>
        <v>OK</v>
      </c>
      <c r="P813">
        <f>(orderlinesTABLE[[#This Row],[UnitCost]]*orderlinesTABLE[[#This Row],[Qty]])</f>
        <v>51.6</v>
      </c>
      <c r="Q813">
        <f>(orderlinesTABLE[[#This Row],[LineNetAmount]]-orderlinesTABLE[[#This Row],[totalCOST]])</f>
        <v>45.957000000000001</v>
      </c>
      <c r="R813" t="str">
        <f>VLOOKUP($B813,Menu!$A$1:$F$20,MATCH(OrderLines!R$1,Menu!$A$1:$F$1,0),0)</f>
        <v>Poha</v>
      </c>
      <c r="S813" t="str" cm="1">
        <f t="array" ref="S813">_xlfn.TEXTJOIN("+",TRUE,_xlfn._xlws.FILTER(orderlinesTABLE[ItemName],OrderID=orderlinesTABLE[[#This Row],[OrderID]]))</f>
        <v>Poha+Rajma Chawal</v>
      </c>
      <c r="T813" s="54">
        <f>orderlinesTABLE[[#This Row],[Profit]]/orderlinesTABLE[[#This Row],[LineNetAmount]]</f>
        <v>0.47107844644669272</v>
      </c>
      <c r="U813" s="70">
        <f>(orderlinesTABLE[[#This Row],[Qty]]*orderlinesTABLE[[#This Row],[UnitCost]])</f>
        <v>51.6</v>
      </c>
    </row>
    <row r="814" spans="1:21" x14ac:dyDescent="0.3">
      <c r="A814" s="14" t="s">
        <v>354</v>
      </c>
      <c r="B814" s="14" t="s">
        <v>417</v>
      </c>
      <c r="C814" s="14">
        <v>1</v>
      </c>
      <c r="D814" s="37">
        <f>VLOOKUP($B814,Menu!$A$1:$F$20,MATCH($D$1,Menu!$A$1:$F$1,0),0)</f>
        <v>146.4</v>
      </c>
      <c r="E814" s="14" t="str">
        <f>VLOOKUP($B814,Menu!$A$1:$F$20,MATCH(OrderLines!E$1,Menu!$A$1:$F$1,0),0)</f>
        <v>Hot Meal</v>
      </c>
      <c r="F814" s="37">
        <f>VLOOKUP($B814,Menu!$A$1:$F$20,MATCH(OrderLines!F$1,Menu!$A$1:$F$1,0),0)</f>
        <v>80.92</v>
      </c>
      <c r="G814" s="28">
        <f>VLOOKUP($A814,Orders!$A$1:$H$361,MATCH($G$1,Orders!$A$1:$H$1,0),0)</f>
        <v>45891</v>
      </c>
      <c r="H814" s="14" t="str">
        <f>VLOOKUP($A814,Orders!$A$1:$H$361,MATCH(OrderLines!$H$1,Orders!$A$1:$H$1,0),0)</f>
        <v>Plant 1 Canteen</v>
      </c>
      <c r="I814" s="14">
        <f>VLOOKUP($A814,Orders!$A$1:$H$361,MATCH(OrderLines!$I$1,Orders!$A$1:$H$1,0),0)</f>
        <v>7.0000000000000007E-2</v>
      </c>
      <c r="J814" s="14">
        <f t="shared" si="37"/>
        <v>136.15199999999999</v>
      </c>
      <c r="K814" s="28" t="str">
        <f t="shared" si="38"/>
        <v>August</v>
      </c>
      <c r="L814" s="14" t="str">
        <f>VLOOKUP(OrderLines!$A814,Orders!$A$1:$H$361,MATCH(OrderLines!$L$1,Orders!$A$1:$H$1,0),0)</f>
        <v>Breakfast</v>
      </c>
      <c r="M814" t="str">
        <f>VLOOKUP($A814,Orders!$A$1:$H$361,MATCH(OrderLines!$M$1,Orders!$A$1:$H$1,0),0)</f>
        <v>Card</v>
      </c>
      <c r="N814" t="str">
        <f t="shared" si="36"/>
        <v>Single</v>
      </c>
      <c r="O814" t="str" cm="1">
        <f t="array" ref="O814">IF((SUMPRODUCT((OrderID=OrderLines!$A814)*Qty*UnitPrice*DiscountPct))&gt;40,"HighDisc","OK")</f>
        <v>OK</v>
      </c>
      <c r="P814">
        <f>(orderlinesTABLE[[#This Row],[UnitCost]]*orderlinesTABLE[[#This Row],[Qty]])</f>
        <v>80.92</v>
      </c>
      <c r="Q814">
        <f>(orderlinesTABLE[[#This Row],[LineNetAmount]]-orderlinesTABLE[[#This Row],[totalCOST]])</f>
        <v>55.231999999999985</v>
      </c>
      <c r="R814" t="str">
        <f>VLOOKUP($B814,Menu!$A$1:$F$20,MATCH(OrderLines!R$1,Menu!$A$1:$F$1,0),0)</f>
        <v>Rajma Chawal</v>
      </c>
      <c r="S814" t="str" cm="1">
        <f t="array" ref="S814">_xlfn.TEXTJOIN("+",TRUE,_xlfn._xlws.FILTER(orderlinesTABLE[ItemName],OrderID=orderlinesTABLE[[#This Row],[OrderID]]))</f>
        <v>Poha+Rajma Chawal</v>
      </c>
      <c r="T814" s="54">
        <f>orderlinesTABLE[[#This Row],[Profit]]/orderlinesTABLE[[#This Row],[LineNetAmount]]</f>
        <v>0.40566425759445318</v>
      </c>
      <c r="U814" s="70">
        <f>(orderlinesTABLE[[#This Row],[Qty]]*orderlinesTABLE[[#This Row],[UnitCost]])</f>
        <v>80.92</v>
      </c>
    </row>
    <row r="815" spans="1:21" x14ac:dyDescent="0.3">
      <c r="A815" s="15" t="s">
        <v>355</v>
      </c>
      <c r="B815" s="15" t="s">
        <v>404</v>
      </c>
      <c r="C815" s="15">
        <v>3</v>
      </c>
      <c r="D815" s="36">
        <f>VLOOKUP($B815,Menu!$A$1:$F$20,MATCH($D$1,Menu!$A$1:$F$1,0),0)</f>
        <v>32.979999999999997</v>
      </c>
      <c r="E815" s="15" t="str">
        <f>VLOOKUP($B815,Menu!$A$1:$F$20,MATCH(OrderLines!E$1,Menu!$A$1:$F$1,0),0)</f>
        <v>Beverage</v>
      </c>
      <c r="F815" s="36">
        <f>VLOOKUP($B815,Menu!$A$1:$F$20,MATCH(OrderLines!F$1,Menu!$A$1:$F$1,0),0)</f>
        <v>11.84</v>
      </c>
      <c r="G815" s="27">
        <f>VLOOKUP($A815,Orders!$A$1:$H$361,MATCH($G$1,Orders!$A$1:$H$1,0),0)</f>
        <v>45874</v>
      </c>
      <c r="H815" s="15" t="str">
        <f>VLOOKUP($A815,Orders!$A$1:$H$361,MATCH(OrderLines!$H$1,Orders!$A$1:$H$1,0),0)</f>
        <v>Head Office Café</v>
      </c>
      <c r="I815" s="15">
        <f>VLOOKUP($A815,Orders!$A$1:$H$361,MATCH(OrderLines!$I$1,Orders!$A$1:$H$1,0),0)</f>
        <v>0.03</v>
      </c>
      <c r="J815" s="15">
        <f t="shared" si="37"/>
        <v>95.971800000000002</v>
      </c>
      <c r="K815" s="27" t="str">
        <f t="shared" si="38"/>
        <v>August</v>
      </c>
      <c r="L815" s="15" t="str">
        <f>VLOOKUP(OrderLines!$A815,Orders!$A$1:$H$361,MATCH(OrderLines!$L$1,Orders!$A$1:$H$1,0),0)</f>
        <v>Dinner</v>
      </c>
      <c r="M815" t="str">
        <f>VLOOKUP($A815,Orders!$A$1:$H$361,MATCH(OrderLines!$M$1,Orders!$A$1:$H$1,0),0)</f>
        <v>Card</v>
      </c>
      <c r="N815" t="str">
        <f t="shared" si="36"/>
        <v>Combo</v>
      </c>
      <c r="O815" t="str" cm="1">
        <f t="array" ref="O815">IF((SUMPRODUCT((OrderID=OrderLines!$A815)*Qty*UnitPrice*DiscountPct))&gt;40,"HighDisc","OK")</f>
        <v>OK</v>
      </c>
      <c r="P815">
        <f>(orderlinesTABLE[[#This Row],[UnitCost]]*orderlinesTABLE[[#This Row],[Qty]])</f>
        <v>35.519999999999996</v>
      </c>
      <c r="Q815">
        <f>(orderlinesTABLE[[#This Row],[LineNetAmount]]-orderlinesTABLE[[#This Row],[totalCOST]])</f>
        <v>60.451800000000006</v>
      </c>
      <c r="R815" t="str">
        <f>VLOOKUP($B815,Menu!$A$1:$F$20,MATCH(OrderLines!R$1,Menu!$A$1:$F$1,0),0)</f>
        <v>Masala Chaas</v>
      </c>
      <c r="S815" t="str" cm="1">
        <f t="array" ref="S815">_xlfn.TEXTJOIN("+",TRUE,_xlfn._xlws.FILTER(orderlinesTABLE[ItemName],OrderID=orderlinesTABLE[[#This Row],[OrderID]]))</f>
        <v>Masala Chaas+Rajma Chawal+Kheer Cup+Coffee</v>
      </c>
      <c r="T815" s="54">
        <f>orderlinesTABLE[[#This Row],[Profit]]/orderlinesTABLE[[#This Row],[LineNetAmount]]</f>
        <v>0.62989128056366561</v>
      </c>
      <c r="U815" s="70">
        <f>(orderlinesTABLE[[#This Row],[Qty]]*orderlinesTABLE[[#This Row],[UnitCost]])</f>
        <v>35.519999999999996</v>
      </c>
    </row>
    <row r="816" spans="1:21" x14ac:dyDescent="0.3">
      <c r="A816" s="14" t="s">
        <v>355</v>
      </c>
      <c r="B816" s="14" t="s">
        <v>417</v>
      </c>
      <c r="C816" s="14">
        <v>1</v>
      </c>
      <c r="D816" s="37">
        <f>VLOOKUP($B816,Menu!$A$1:$F$20,MATCH($D$1,Menu!$A$1:$F$1,0),0)</f>
        <v>146.4</v>
      </c>
      <c r="E816" s="14" t="str">
        <f>VLOOKUP($B816,Menu!$A$1:$F$20,MATCH(OrderLines!E$1,Menu!$A$1:$F$1,0),0)</f>
        <v>Hot Meal</v>
      </c>
      <c r="F816" s="37">
        <f>VLOOKUP($B816,Menu!$A$1:$F$20,MATCH(OrderLines!F$1,Menu!$A$1:$F$1,0),0)</f>
        <v>80.92</v>
      </c>
      <c r="G816" s="28">
        <f>VLOOKUP($A816,Orders!$A$1:$H$361,MATCH($G$1,Orders!$A$1:$H$1,0),0)</f>
        <v>45874</v>
      </c>
      <c r="H816" s="14" t="str">
        <f>VLOOKUP($A816,Orders!$A$1:$H$361,MATCH(OrderLines!$H$1,Orders!$A$1:$H$1,0),0)</f>
        <v>Head Office Café</v>
      </c>
      <c r="I816" s="14">
        <f>VLOOKUP($A816,Orders!$A$1:$H$361,MATCH(OrderLines!$I$1,Orders!$A$1:$H$1,0),0)</f>
        <v>0.03</v>
      </c>
      <c r="J816" s="14">
        <f t="shared" si="37"/>
        <v>142.00800000000001</v>
      </c>
      <c r="K816" s="28" t="str">
        <f t="shared" si="38"/>
        <v>August</v>
      </c>
      <c r="L816" s="14" t="str">
        <f>VLOOKUP(OrderLines!$A816,Orders!$A$1:$H$361,MATCH(OrderLines!$L$1,Orders!$A$1:$H$1,0),0)</f>
        <v>Dinner</v>
      </c>
      <c r="M816" t="str">
        <f>VLOOKUP($A816,Orders!$A$1:$H$361,MATCH(OrderLines!$M$1,Orders!$A$1:$H$1,0),0)</f>
        <v>Card</v>
      </c>
      <c r="N816" t="str">
        <f t="shared" si="36"/>
        <v>Combo</v>
      </c>
      <c r="O816" t="str" cm="1">
        <f t="array" ref="O816">IF((SUMPRODUCT((OrderID=OrderLines!$A816)*Qty*UnitPrice*DiscountPct))&gt;40,"HighDisc","OK")</f>
        <v>OK</v>
      </c>
      <c r="P816">
        <f>(orderlinesTABLE[[#This Row],[UnitCost]]*orderlinesTABLE[[#This Row],[Qty]])</f>
        <v>80.92</v>
      </c>
      <c r="Q816">
        <f>(orderlinesTABLE[[#This Row],[LineNetAmount]]-orderlinesTABLE[[#This Row],[totalCOST]])</f>
        <v>61.088000000000008</v>
      </c>
      <c r="R816" t="str">
        <f>VLOOKUP($B816,Menu!$A$1:$F$20,MATCH(OrderLines!R$1,Menu!$A$1:$F$1,0),0)</f>
        <v>Rajma Chawal</v>
      </c>
      <c r="S816" t="str" cm="1">
        <f t="array" ref="S816">_xlfn.TEXTJOIN("+",TRUE,_xlfn._xlws.FILTER(orderlinesTABLE[ItemName],OrderID=orderlinesTABLE[[#This Row],[OrderID]]))</f>
        <v>Masala Chaas+Rajma Chawal+Kheer Cup+Coffee</v>
      </c>
      <c r="T816" s="54">
        <f>orderlinesTABLE[[#This Row],[Profit]]/orderlinesTABLE[[#This Row],[LineNetAmount]]</f>
        <v>0.43017294800292943</v>
      </c>
      <c r="U816" s="70">
        <f>(orderlinesTABLE[[#This Row],[Qty]]*orderlinesTABLE[[#This Row],[UnitCost]])</f>
        <v>80.92</v>
      </c>
    </row>
    <row r="817" spans="1:21" x14ac:dyDescent="0.3">
      <c r="A817" s="15" t="s">
        <v>355</v>
      </c>
      <c r="B817" s="15" t="s">
        <v>413</v>
      </c>
      <c r="C817" s="15">
        <v>2</v>
      </c>
      <c r="D817" s="36">
        <f>VLOOKUP($B817,Menu!$A$1:$F$20,MATCH($D$1,Menu!$A$1:$F$1,0),0)</f>
        <v>54.2</v>
      </c>
      <c r="E817" s="15" t="str">
        <f>VLOOKUP($B817,Menu!$A$1:$F$20,MATCH(OrderLines!E$1,Menu!$A$1:$F$1,0),0)</f>
        <v>Dessert</v>
      </c>
      <c r="F817" s="36">
        <f>VLOOKUP($B817,Menu!$A$1:$F$20,MATCH(OrderLines!F$1,Menu!$A$1:$F$1,0),0)</f>
        <v>21.95</v>
      </c>
      <c r="G817" s="27">
        <f>VLOOKUP($A817,Orders!$A$1:$H$361,MATCH($G$1,Orders!$A$1:$H$1,0),0)</f>
        <v>45874</v>
      </c>
      <c r="H817" s="15" t="str">
        <f>VLOOKUP($A817,Orders!$A$1:$H$361,MATCH(OrderLines!$H$1,Orders!$A$1:$H$1,0),0)</f>
        <v>Head Office Café</v>
      </c>
      <c r="I817" s="15">
        <f>VLOOKUP($A817,Orders!$A$1:$H$361,MATCH(OrderLines!$I$1,Orders!$A$1:$H$1,0),0)</f>
        <v>0.03</v>
      </c>
      <c r="J817" s="15">
        <f t="shared" si="37"/>
        <v>105.148</v>
      </c>
      <c r="K817" s="27" t="str">
        <f t="shared" si="38"/>
        <v>August</v>
      </c>
      <c r="L817" s="15" t="str">
        <f>VLOOKUP(OrderLines!$A817,Orders!$A$1:$H$361,MATCH(OrderLines!$L$1,Orders!$A$1:$H$1,0),0)</f>
        <v>Dinner</v>
      </c>
      <c r="M817" t="str">
        <f>VLOOKUP($A817,Orders!$A$1:$H$361,MATCH(OrderLines!$M$1,Orders!$A$1:$H$1,0),0)</f>
        <v>Card</v>
      </c>
      <c r="N817" t="str">
        <f t="shared" si="36"/>
        <v>Combo</v>
      </c>
      <c r="O817" t="str" cm="1">
        <f t="array" ref="O817">IF((SUMPRODUCT((OrderID=OrderLines!$A817)*Qty*UnitPrice*DiscountPct))&gt;40,"HighDisc","OK")</f>
        <v>OK</v>
      </c>
      <c r="P817">
        <f>(orderlinesTABLE[[#This Row],[UnitCost]]*orderlinesTABLE[[#This Row],[Qty]])</f>
        <v>43.9</v>
      </c>
      <c r="Q817">
        <f>(orderlinesTABLE[[#This Row],[LineNetAmount]]-orderlinesTABLE[[#This Row],[totalCOST]])</f>
        <v>61.247999999999998</v>
      </c>
      <c r="R817" t="str">
        <f>VLOOKUP($B817,Menu!$A$1:$F$20,MATCH(OrderLines!R$1,Menu!$A$1:$F$1,0),0)</f>
        <v>Kheer Cup</v>
      </c>
      <c r="S817" t="str" cm="1">
        <f t="array" ref="S817">_xlfn.TEXTJOIN("+",TRUE,_xlfn._xlws.FILTER(orderlinesTABLE[ItemName],OrderID=orderlinesTABLE[[#This Row],[OrderID]]))</f>
        <v>Masala Chaas+Rajma Chawal+Kheer Cup+Coffee</v>
      </c>
      <c r="T817" s="54">
        <f>orderlinesTABLE[[#This Row],[Profit]]/orderlinesTABLE[[#This Row],[LineNetAmount]]</f>
        <v>0.58249324761288845</v>
      </c>
      <c r="U817" s="70">
        <f>(orderlinesTABLE[[#This Row],[Qty]]*orderlinesTABLE[[#This Row],[UnitCost]])</f>
        <v>43.9</v>
      </c>
    </row>
    <row r="818" spans="1:21" x14ac:dyDescent="0.3">
      <c r="A818" s="14" t="s">
        <v>355</v>
      </c>
      <c r="B818" s="14" t="s">
        <v>411</v>
      </c>
      <c r="C818" s="14">
        <v>2</v>
      </c>
      <c r="D818" s="37">
        <f>VLOOKUP($B818,Menu!$A$1:$F$20,MATCH($D$1,Menu!$A$1:$F$1,0),0)</f>
        <v>22.2</v>
      </c>
      <c r="E818" s="14" t="str">
        <f>VLOOKUP($B818,Menu!$A$1:$F$20,MATCH(OrderLines!E$1,Menu!$A$1:$F$1,0),0)</f>
        <v>Beverage</v>
      </c>
      <c r="F818" s="37">
        <f>VLOOKUP($B818,Menu!$A$1:$F$20,MATCH(OrderLines!F$1,Menu!$A$1:$F$1,0),0)</f>
        <v>9.3800000000000008</v>
      </c>
      <c r="G818" s="28">
        <f>VLOOKUP($A818,Orders!$A$1:$H$361,MATCH($G$1,Orders!$A$1:$H$1,0),0)</f>
        <v>45874</v>
      </c>
      <c r="H818" s="14" t="str">
        <f>VLOOKUP($A818,Orders!$A$1:$H$361,MATCH(OrderLines!$H$1,Orders!$A$1:$H$1,0),0)</f>
        <v>Head Office Café</v>
      </c>
      <c r="I818" s="14">
        <f>VLOOKUP($A818,Orders!$A$1:$H$361,MATCH(OrderLines!$I$1,Orders!$A$1:$H$1,0),0)</f>
        <v>0.03</v>
      </c>
      <c r="J818" s="14">
        <f t="shared" si="37"/>
        <v>43.067999999999998</v>
      </c>
      <c r="K818" s="28" t="str">
        <f t="shared" si="38"/>
        <v>August</v>
      </c>
      <c r="L818" s="14" t="str">
        <f>VLOOKUP(OrderLines!$A818,Orders!$A$1:$H$361,MATCH(OrderLines!$L$1,Orders!$A$1:$H$1,0),0)</f>
        <v>Dinner</v>
      </c>
      <c r="M818" t="str">
        <f>VLOOKUP($A818,Orders!$A$1:$H$361,MATCH(OrderLines!$M$1,Orders!$A$1:$H$1,0),0)</f>
        <v>Card</v>
      </c>
      <c r="N818" t="str">
        <f t="shared" si="36"/>
        <v>Combo</v>
      </c>
      <c r="O818" t="str" cm="1">
        <f t="array" ref="O818">IF((SUMPRODUCT((OrderID=OrderLines!$A818)*Qty*UnitPrice*DiscountPct))&gt;40,"HighDisc","OK")</f>
        <v>OK</v>
      </c>
      <c r="P818">
        <f>(orderlinesTABLE[[#This Row],[UnitCost]]*orderlinesTABLE[[#This Row],[Qty]])</f>
        <v>18.760000000000002</v>
      </c>
      <c r="Q818">
        <f>(orderlinesTABLE[[#This Row],[LineNetAmount]]-orderlinesTABLE[[#This Row],[totalCOST]])</f>
        <v>24.307999999999996</v>
      </c>
      <c r="R818" t="str">
        <f>VLOOKUP($B818,Menu!$A$1:$F$20,MATCH(OrderLines!R$1,Menu!$A$1:$F$1,0),0)</f>
        <v>Coffee</v>
      </c>
      <c r="S818" t="str" cm="1">
        <f t="array" ref="S818">_xlfn.TEXTJOIN("+",TRUE,_xlfn._xlws.FILTER(orderlinesTABLE[ItemName],OrderID=orderlinesTABLE[[#This Row],[OrderID]]))</f>
        <v>Masala Chaas+Rajma Chawal+Kheer Cup+Coffee</v>
      </c>
      <c r="T818" s="54">
        <f>orderlinesTABLE[[#This Row],[Profit]]/orderlinesTABLE[[#This Row],[LineNetAmount]]</f>
        <v>0.56440977059533759</v>
      </c>
      <c r="U818" s="70">
        <f>(orderlinesTABLE[[#This Row],[Qty]]*orderlinesTABLE[[#This Row],[UnitCost]])</f>
        <v>18.760000000000002</v>
      </c>
    </row>
    <row r="819" spans="1:21" x14ac:dyDescent="0.3">
      <c r="A819" s="15" t="s">
        <v>356</v>
      </c>
      <c r="B819" s="15" t="s">
        <v>410</v>
      </c>
      <c r="C819" s="15">
        <v>2</v>
      </c>
      <c r="D819" s="36">
        <f>VLOOKUP($B819,Menu!$A$1:$F$20,MATCH($D$1,Menu!$A$1:$F$1,0),0)</f>
        <v>20.11</v>
      </c>
      <c r="E819" s="15" t="str">
        <f>VLOOKUP($B819,Menu!$A$1:$F$20,MATCH(OrderLines!E$1,Menu!$A$1:$F$1,0),0)</f>
        <v>Beverage</v>
      </c>
      <c r="F819" s="36">
        <f>VLOOKUP($B819,Menu!$A$1:$F$20,MATCH(OrderLines!F$1,Menu!$A$1:$F$1,0),0)</f>
        <v>8</v>
      </c>
      <c r="G819" s="27">
        <f>VLOOKUP($A819,Orders!$A$1:$H$361,MATCH($G$1,Orders!$A$1:$H$1,0),0)</f>
        <v>45866</v>
      </c>
      <c r="H819" s="15" t="str">
        <f>VLOOKUP($A819,Orders!$A$1:$H$361,MATCH(OrderLines!$H$1,Orders!$A$1:$H$1,0),0)</f>
        <v>Plant 2 Canteen</v>
      </c>
      <c r="I819" s="15">
        <f>VLOOKUP($A819,Orders!$A$1:$H$361,MATCH(OrderLines!$I$1,Orders!$A$1:$H$1,0),0)</f>
        <v>0.08</v>
      </c>
      <c r="J819" s="15">
        <f t="shared" si="37"/>
        <v>37.002400000000002</v>
      </c>
      <c r="K819" s="27" t="str">
        <f t="shared" si="38"/>
        <v>July</v>
      </c>
      <c r="L819" s="15" t="str">
        <f>VLOOKUP(OrderLines!$A819,Orders!$A$1:$H$361,MATCH(OrderLines!$L$1,Orders!$A$1:$H$1,0),0)</f>
        <v>Lunch</v>
      </c>
      <c r="M819" t="str">
        <f>VLOOKUP($A819,Orders!$A$1:$H$361,MATCH(OrderLines!$M$1,Orders!$A$1:$H$1,0),0)</f>
        <v>UPI</v>
      </c>
      <c r="N819" t="str">
        <f t="shared" si="36"/>
        <v>Single</v>
      </c>
      <c r="O819" t="str" cm="1">
        <f t="array" ref="O819">IF((SUMPRODUCT((OrderID=OrderLines!$A819)*Qty*UnitPrice*DiscountPct))&gt;40,"HighDisc","OK")</f>
        <v>OK</v>
      </c>
      <c r="P819">
        <f>(orderlinesTABLE[[#This Row],[UnitCost]]*orderlinesTABLE[[#This Row],[Qty]])</f>
        <v>16</v>
      </c>
      <c r="Q819">
        <f>(orderlinesTABLE[[#This Row],[LineNetAmount]]-orderlinesTABLE[[#This Row],[totalCOST]])</f>
        <v>21.002400000000002</v>
      </c>
      <c r="R819" t="str">
        <f>VLOOKUP($B819,Menu!$A$1:$F$20,MATCH(OrderLines!R$1,Menu!$A$1:$F$1,0),0)</f>
        <v>Nimbu Pani</v>
      </c>
      <c r="S819" t="str" cm="1">
        <f t="array" ref="S819">_xlfn.TEXTJOIN("+",TRUE,_xlfn._xlws.FILTER(orderlinesTABLE[ItemName],OrderID=orderlinesTABLE[[#This Row],[OrderID]]))</f>
        <v>Nimbu Pani+Fruit Cup</v>
      </c>
      <c r="T819" s="54">
        <f>orderlinesTABLE[[#This Row],[Profit]]/orderlinesTABLE[[#This Row],[LineNetAmount]]</f>
        <v>0.5675956154195404</v>
      </c>
      <c r="U819" s="70">
        <f>(orderlinesTABLE[[#This Row],[Qty]]*orderlinesTABLE[[#This Row],[UnitCost]])</f>
        <v>16</v>
      </c>
    </row>
    <row r="820" spans="1:21" x14ac:dyDescent="0.3">
      <c r="A820" s="14" t="s">
        <v>356</v>
      </c>
      <c r="B820" s="14" t="s">
        <v>412</v>
      </c>
      <c r="C820" s="14">
        <v>1</v>
      </c>
      <c r="D820" s="37">
        <f>VLOOKUP($B820,Menu!$A$1:$F$20,MATCH($D$1,Menu!$A$1:$F$1,0),0)</f>
        <v>57.07</v>
      </c>
      <c r="E820" s="14" t="str">
        <f>VLOOKUP($B820,Menu!$A$1:$F$20,MATCH(OrderLines!E$1,Menu!$A$1:$F$1,0),0)</f>
        <v>Dessert</v>
      </c>
      <c r="F820" s="37">
        <f>VLOOKUP($B820,Menu!$A$1:$F$20,MATCH(OrderLines!F$1,Menu!$A$1:$F$1,0),0)</f>
        <v>29.14</v>
      </c>
      <c r="G820" s="28">
        <f>VLOOKUP($A820,Orders!$A$1:$H$361,MATCH($G$1,Orders!$A$1:$H$1,0),0)</f>
        <v>45866</v>
      </c>
      <c r="H820" s="14" t="str">
        <f>VLOOKUP($A820,Orders!$A$1:$H$361,MATCH(OrderLines!$H$1,Orders!$A$1:$H$1,0),0)</f>
        <v>Plant 2 Canteen</v>
      </c>
      <c r="I820" s="14">
        <f>VLOOKUP($A820,Orders!$A$1:$H$361,MATCH(OrderLines!$I$1,Orders!$A$1:$H$1,0),0)</f>
        <v>0.08</v>
      </c>
      <c r="J820" s="14">
        <f t="shared" si="37"/>
        <v>52.504400000000004</v>
      </c>
      <c r="K820" s="28" t="str">
        <f t="shared" si="38"/>
        <v>July</v>
      </c>
      <c r="L820" s="14" t="str">
        <f>VLOOKUP(OrderLines!$A820,Orders!$A$1:$H$361,MATCH(OrderLines!$L$1,Orders!$A$1:$H$1,0),0)</f>
        <v>Lunch</v>
      </c>
      <c r="M820" t="str">
        <f>VLOOKUP($A820,Orders!$A$1:$H$361,MATCH(OrderLines!$M$1,Orders!$A$1:$H$1,0),0)</f>
        <v>UPI</v>
      </c>
      <c r="N820" t="str">
        <f t="shared" si="36"/>
        <v>Single</v>
      </c>
      <c r="O820" t="str" cm="1">
        <f t="array" ref="O820">IF((SUMPRODUCT((OrderID=OrderLines!$A820)*Qty*UnitPrice*DiscountPct))&gt;40,"HighDisc","OK")</f>
        <v>OK</v>
      </c>
      <c r="P820">
        <f>(orderlinesTABLE[[#This Row],[UnitCost]]*orderlinesTABLE[[#This Row],[Qty]])</f>
        <v>29.14</v>
      </c>
      <c r="Q820">
        <f>(orderlinesTABLE[[#This Row],[LineNetAmount]]-orderlinesTABLE[[#This Row],[totalCOST]])</f>
        <v>23.364400000000003</v>
      </c>
      <c r="R820" t="str">
        <f>VLOOKUP($B820,Menu!$A$1:$F$20,MATCH(OrderLines!R$1,Menu!$A$1:$F$1,0),0)</f>
        <v>Fruit Cup</v>
      </c>
      <c r="S820" t="str" cm="1">
        <f t="array" ref="S820">_xlfn.TEXTJOIN("+",TRUE,_xlfn._xlws.FILTER(orderlinesTABLE[ItemName],OrderID=orderlinesTABLE[[#This Row],[OrderID]]))</f>
        <v>Nimbu Pani+Fruit Cup</v>
      </c>
      <c r="T820" s="54">
        <f>orderlinesTABLE[[#This Row],[Profit]]/orderlinesTABLE[[#This Row],[LineNetAmount]]</f>
        <v>0.4449988953306771</v>
      </c>
      <c r="U820" s="70">
        <f>(orderlinesTABLE[[#This Row],[Qty]]*orderlinesTABLE[[#This Row],[UnitCost]])</f>
        <v>29.14</v>
      </c>
    </row>
    <row r="821" spans="1:21" x14ac:dyDescent="0.3">
      <c r="A821" s="15" t="s">
        <v>357</v>
      </c>
      <c r="B821" s="15" t="s">
        <v>405</v>
      </c>
      <c r="C821" s="15">
        <v>2</v>
      </c>
      <c r="D821" s="36">
        <f>VLOOKUP($B821,Menu!$A$1:$F$20,MATCH($D$1,Menu!$A$1:$F$1,0),0)</f>
        <v>170.83</v>
      </c>
      <c r="E821" s="15" t="str">
        <f>VLOOKUP($B821,Menu!$A$1:$F$20,MATCH(OrderLines!E$1,Menu!$A$1:$F$1,0),0)</f>
        <v>Hot Meal</v>
      </c>
      <c r="F821" s="36">
        <f>VLOOKUP($B821,Menu!$A$1:$F$20,MATCH(OrderLines!F$1,Menu!$A$1:$F$1,0),0)</f>
        <v>74.069999999999993</v>
      </c>
      <c r="G821" s="27">
        <f>VLOOKUP($A821,Orders!$A$1:$H$361,MATCH($G$1,Orders!$A$1:$H$1,0),0)</f>
        <v>45854</v>
      </c>
      <c r="H821" s="15" t="str">
        <f>VLOOKUP($A821,Orders!$A$1:$H$361,MATCH(OrderLines!$H$1,Orders!$A$1:$H$1,0),0)</f>
        <v>Plant 1 Canteen</v>
      </c>
      <c r="I821" s="15">
        <f>VLOOKUP($A821,Orders!$A$1:$H$361,MATCH(OrderLines!$I$1,Orders!$A$1:$H$1,0),0)</f>
        <v>0.12</v>
      </c>
      <c r="J821" s="15">
        <f t="shared" si="37"/>
        <v>300.66080000000005</v>
      </c>
      <c r="K821" s="27" t="str">
        <f t="shared" si="38"/>
        <v>July</v>
      </c>
      <c r="L821" s="15" t="str">
        <f>VLOOKUP(OrderLines!$A821,Orders!$A$1:$H$361,MATCH(OrderLines!$L$1,Orders!$A$1:$H$1,0),0)</f>
        <v>Dinner</v>
      </c>
      <c r="M821" t="str">
        <f>VLOOKUP($A821,Orders!$A$1:$H$361,MATCH(OrderLines!$M$1,Orders!$A$1:$H$1,0),0)</f>
        <v>Cash</v>
      </c>
      <c r="N821" t="str">
        <f t="shared" si="36"/>
        <v>Single</v>
      </c>
      <c r="O821" t="str" cm="1">
        <f t="array" ref="O821">IF((SUMPRODUCT((OrderID=OrderLines!$A821)*Qty*UnitPrice*DiscountPct))&gt;40,"HighDisc","OK")</f>
        <v>HighDisc</v>
      </c>
      <c r="P821">
        <f>(orderlinesTABLE[[#This Row],[UnitCost]]*orderlinesTABLE[[#This Row],[Qty]])</f>
        <v>148.13999999999999</v>
      </c>
      <c r="Q821">
        <f>(orderlinesTABLE[[#This Row],[LineNetAmount]]-orderlinesTABLE[[#This Row],[totalCOST]])</f>
        <v>152.52080000000007</v>
      </c>
      <c r="R821" t="str">
        <f>VLOOKUP($B821,Menu!$A$1:$F$20,MATCH(OrderLines!R$1,Menu!$A$1:$F$1,0),0)</f>
        <v>Paneer Butter Masala + Naan</v>
      </c>
      <c r="S821" t="str" cm="1">
        <f t="array" ref="S821">_xlfn.TEXTJOIN("+",TRUE,_xlfn._xlws.FILTER(orderlinesTABLE[ItemName],OrderID=orderlinesTABLE[[#This Row],[OrderID]]))</f>
        <v>Paneer Butter Masala + Naan</v>
      </c>
      <c r="T821" s="54">
        <f>orderlinesTABLE[[#This Row],[Profit]]/orderlinesTABLE[[#This Row],[LineNetAmount]]</f>
        <v>0.50728528627609604</v>
      </c>
      <c r="U821" s="70">
        <f>(orderlinesTABLE[[#This Row],[Qty]]*orderlinesTABLE[[#This Row],[UnitCost]])</f>
        <v>148.13999999999999</v>
      </c>
    </row>
    <row r="822" spans="1:21" x14ac:dyDescent="0.3">
      <c r="A822" s="14" t="s">
        <v>358</v>
      </c>
      <c r="B822" s="14" t="s">
        <v>401</v>
      </c>
      <c r="C822" s="14">
        <v>2</v>
      </c>
      <c r="D822" s="37">
        <f>VLOOKUP($B822,Menu!$A$1:$F$20,MATCH($D$1,Menu!$A$1:$F$1,0),0)</f>
        <v>52.45</v>
      </c>
      <c r="E822" s="14" t="str">
        <f>VLOOKUP($B822,Menu!$A$1:$F$20,MATCH(OrderLines!E$1,Menu!$A$1:$F$1,0),0)</f>
        <v>Snack</v>
      </c>
      <c r="F822" s="37">
        <f>VLOOKUP($B822,Menu!$A$1:$F$20,MATCH(OrderLines!F$1,Menu!$A$1:$F$1,0),0)</f>
        <v>25.8</v>
      </c>
      <c r="G822" s="28">
        <f>VLOOKUP($A822,Orders!$A$1:$H$361,MATCH($G$1,Orders!$A$1:$H$1,0),0)</f>
        <v>45844</v>
      </c>
      <c r="H822" s="14" t="str">
        <f>VLOOKUP($A822,Orders!$A$1:$H$361,MATCH(OrderLines!$H$1,Orders!$A$1:$H$1,0),0)</f>
        <v>Head Office Café</v>
      </c>
      <c r="I822" s="14">
        <f>VLOOKUP($A822,Orders!$A$1:$H$361,MATCH(OrderLines!$I$1,Orders!$A$1:$H$1,0),0)</f>
        <v>0.06</v>
      </c>
      <c r="J822" s="14">
        <f t="shared" si="37"/>
        <v>98.605999999999995</v>
      </c>
      <c r="K822" s="28" t="str">
        <f t="shared" si="38"/>
        <v>July</v>
      </c>
      <c r="L822" s="14" t="str">
        <f>VLOOKUP(OrderLines!$A822,Orders!$A$1:$H$361,MATCH(OrderLines!$L$1,Orders!$A$1:$H$1,0),0)</f>
        <v>Breakfast</v>
      </c>
      <c r="M822" t="str">
        <f>VLOOKUP($A822,Orders!$A$1:$H$361,MATCH(OrderLines!$M$1,Orders!$A$1:$H$1,0),0)</f>
        <v>Card</v>
      </c>
      <c r="N822" t="str">
        <f t="shared" si="36"/>
        <v>Combo</v>
      </c>
      <c r="O822" t="str" cm="1">
        <f t="array" ref="O822">IF((SUMPRODUCT((OrderID=OrderLines!$A822)*Qty*UnitPrice*DiscountPct))&gt;40,"HighDisc","OK")</f>
        <v>OK</v>
      </c>
      <c r="P822">
        <f>(orderlinesTABLE[[#This Row],[UnitCost]]*orderlinesTABLE[[#This Row],[Qty]])</f>
        <v>51.6</v>
      </c>
      <c r="Q822">
        <f>(orderlinesTABLE[[#This Row],[LineNetAmount]]-orderlinesTABLE[[#This Row],[totalCOST]])</f>
        <v>47.005999999999993</v>
      </c>
      <c r="R822" t="str">
        <f>VLOOKUP($B822,Menu!$A$1:$F$20,MATCH(OrderLines!R$1,Menu!$A$1:$F$1,0),0)</f>
        <v>Poha</v>
      </c>
      <c r="S822" t="str" cm="1">
        <f t="array" ref="S822">_xlfn.TEXTJOIN("+",TRUE,_xlfn._xlws.FILTER(orderlinesTABLE[ItemName],OrderID=orderlinesTABLE[[#This Row],[OrderID]]))</f>
        <v>Poha+Bottled Water+Brownie+Rajma Chawal</v>
      </c>
      <c r="T822" s="54">
        <f>orderlinesTABLE[[#This Row],[Profit]]/orderlinesTABLE[[#This Row],[LineNetAmount]]</f>
        <v>0.47670527148449382</v>
      </c>
      <c r="U822" s="70">
        <f>(orderlinesTABLE[[#This Row],[Qty]]*orderlinesTABLE[[#This Row],[UnitCost]])</f>
        <v>51.6</v>
      </c>
    </row>
    <row r="823" spans="1:21" x14ac:dyDescent="0.3">
      <c r="A823" s="15" t="s">
        <v>358</v>
      </c>
      <c r="B823" s="15" t="s">
        <v>409</v>
      </c>
      <c r="C823" s="15">
        <v>1</v>
      </c>
      <c r="D823" s="36">
        <f>VLOOKUP($B823,Menu!$A$1:$F$20,MATCH($D$1,Menu!$A$1:$F$1,0),0)</f>
        <v>28.43</v>
      </c>
      <c r="E823" s="15" t="str">
        <f>VLOOKUP($B823,Menu!$A$1:$F$20,MATCH(OrderLines!E$1,Menu!$A$1:$F$1,0),0)</f>
        <v>Beverage</v>
      </c>
      <c r="F823" s="36">
        <f>VLOOKUP($B823,Menu!$A$1:$F$20,MATCH(OrderLines!F$1,Menu!$A$1:$F$1,0),0)</f>
        <v>13.89</v>
      </c>
      <c r="G823" s="27">
        <f>VLOOKUP($A823,Orders!$A$1:$H$361,MATCH($G$1,Orders!$A$1:$H$1,0),0)</f>
        <v>45844</v>
      </c>
      <c r="H823" s="15" t="str">
        <f>VLOOKUP($A823,Orders!$A$1:$H$361,MATCH(OrderLines!$H$1,Orders!$A$1:$H$1,0),0)</f>
        <v>Head Office Café</v>
      </c>
      <c r="I823" s="15">
        <f>VLOOKUP($A823,Orders!$A$1:$H$361,MATCH(OrderLines!$I$1,Orders!$A$1:$H$1,0),0)</f>
        <v>0.06</v>
      </c>
      <c r="J823" s="15">
        <f t="shared" si="37"/>
        <v>26.7242</v>
      </c>
      <c r="K823" s="27" t="str">
        <f t="shared" si="38"/>
        <v>July</v>
      </c>
      <c r="L823" s="15" t="str">
        <f>VLOOKUP(OrderLines!$A823,Orders!$A$1:$H$361,MATCH(OrderLines!$L$1,Orders!$A$1:$H$1,0),0)</f>
        <v>Breakfast</v>
      </c>
      <c r="M823" t="str">
        <f>VLOOKUP($A823,Orders!$A$1:$H$361,MATCH(OrderLines!$M$1,Orders!$A$1:$H$1,0),0)</f>
        <v>Card</v>
      </c>
      <c r="N823" t="str">
        <f t="shared" si="36"/>
        <v>Combo</v>
      </c>
      <c r="O823" t="str" cm="1">
        <f t="array" ref="O823">IF((SUMPRODUCT((OrderID=OrderLines!$A823)*Qty*UnitPrice*DiscountPct))&gt;40,"HighDisc","OK")</f>
        <v>OK</v>
      </c>
      <c r="P823">
        <f>(orderlinesTABLE[[#This Row],[UnitCost]]*orderlinesTABLE[[#This Row],[Qty]])</f>
        <v>13.89</v>
      </c>
      <c r="Q823">
        <f>(orderlinesTABLE[[#This Row],[LineNetAmount]]-orderlinesTABLE[[#This Row],[totalCOST]])</f>
        <v>12.834199999999999</v>
      </c>
      <c r="R823" t="str">
        <f>VLOOKUP($B823,Menu!$A$1:$F$20,MATCH(OrderLines!R$1,Menu!$A$1:$F$1,0),0)</f>
        <v>Bottled Water</v>
      </c>
      <c r="S823" t="str" cm="1">
        <f t="array" ref="S823">_xlfn.TEXTJOIN("+",TRUE,_xlfn._xlws.FILTER(orderlinesTABLE[ItemName],OrderID=orderlinesTABLE[[#This Row],[OrderID]]))</f>
        <v>Poha+Bottled Water+Brownie+Rajma Chawal</v>
      </c>
      <c r="T823" s="54">
        <f>orderlinesTABLE[[#This Row],[Profit]]/orderlinesTABLE[[#This Row],[LineNetAmount]]</f>
        <v>0.48024636846004742</v>
      </c>
      <c r="U823" s="70">
        <f>(orderlinesTABLE[[#This Row],[Qty]]*orderlinesTABLE[[#This Row],[UnitCost]])</f>
        <v>13.89</v>
      </c>
    </row>
    <row r="824" spans="1:21" x14ac:dyDescent="0.3">
      <c r="A824" s="14" t="s">
        <v>358</v>
      </c>
      <c r="B824" s="14" t="s">
        <v>414</v>
      </c>
      <c r="C824" s="14">
        <v>3</v>
      </c>
      <c r="D824" s="37">
        <f>VLOOKUP($B824,Menu!$A$1:$F$20,MATCH($D$1,Menu!$A$1:$F$1,0),0)</f>
        <v>116.8</v>
      </c>
      <c r="E824" s="14" t="str">
        <f>VLOOKUP($B824,Menu!$A$1:$F$20,MATCH(OrderLines!E$1,Menu!$A$1:$F$1,0),0)</f>
        <v>Dessert</v>
      </c>
      <c r="F824" s="37">
        <f>VLOOKUP($B824,Menu!$A$1:$F$20,MATCH(OrderLines!F$1,Menu!$A$1:$F$1,0),0)</f>
        <v>48.97</v>
      </c>
      <c r="G824" s="28">
        <f>VLOOKUP($A824,Orders!$A$1:$H$361,MATCH($G$1,Orders!$A$1:$H$1,0),0)</f>
        <v>45844</v>
      </c>
      <c r="H824" s="14" t="str">
        <f>VLOOKUP($A824,Orders!$A$1:$H$361,MATCH(OrderLines!$H$1,Orders!$A$1:$H$1,0),0)</f>
        <v>Head Office Café</v>
      </c>
      <c r="I824" s="14">
        <f>VLOOKUP($A824,Orders!$A$1:$H$361,MATCH(OrderLines!$I$1,Orders!$A$1:$H$1,0),0)</f>
        <v>0.06</v>
      </c>
      <c r="J824" s="14">
        <f t="shared" si="37"/>
        <v>329.37599999999998</v>
      </c>
      <c r="K824" s="28" t="str">
        <f t="shared" si="38"/>
        <v>July</v>
      </c>
      <c r="L824" s="14" t="str">
        <f>VLOOKUP(OrderLines!$A824,Orders!$A$1:$H$361,MATCH(OrderLines!$L$1,Orders!$A$1:$H$1,0),0)</f>
        <v>Breakfast</v>
      </c>
      <c r="M824" t="str">
        <f>VLOOKUP($A824,Orders!$A$1:$H$361,MATCH(OrderLines!$M$1,Orders!$A$1:$H$1,0),0)</f>
        <v>Card</v>
      </c>
      <c r="N824" t="str">
        <f t="shared" si="36"/>
        <v>Combo</v>
      </c>
      <c r="O824" t="str" cm="1">
        <f t="array" ref="O824">IF((SUMPRODUCT((OrderID=OrderLines!$A824)*Qty*UnitPrice*DiscountPct))&gt;40,"HighDisc","OK")</f>
        <v>OK</v>
      </c>
      <c r="P824">
        <f>(orderlinesTABLE[[#This Row],[UnitCost]]*orderlinesTABLE[[#This Row],[Qty]])</f>
        <v>146.91</v>
      </c>
      <c r="Q824">
        <f>(orderlinesTABLE[[#This Row],[LineNetAmount]]-orderlinesTABLE[[#This Row],[totalCOST]])</f>
        <v>182.46599999999998</v>
      </c>
      <c r="R824" t="str">
        <f>VLOOKUP($B824,Menu!$A$1:$F$20,MATCH(OrderLines!R$1,Menu!$A$1:$F$1,0),0)</f>
        <v>Brownie</v>
      </c>
      <c r="S824" t="str" cm="1">
        <f t="array" ref="S824">_xlfn.TEXTJOIN("+",TRUE,_xlfn._xlws.FILTER(orderlinesTABLE[ItemName],OrderID=orderlinesTABLE[[#This Row],[OrderID]]))</f>
        <v>Poha+Bottled Water+Brownie+Rajma Chawal</v>
      </c>
      <c r="T824" s="54">
        <f>orderlinesTABLE[[#This Row],[Profit]]/orderlinesTABLE[[#This Row],[LineNetAmount]]</f>
        <v>0.55397478869134364</v>
      </c>
      <c r="U824" s="70">
        <f>(orderlinesTABLE[[#This Row],[Qty]]*orderlinesTABLE[[#This Row],[UnitCost]])</f>
        <v>146.91</v>
      </c>
    </row>
    <row r="825" spans="1:21" x14ac:dyDescent="0.3">
      <c r="A825" s="15" t="s">
        <v>358</v>
      </c>
      <c r="B825" s="15" t="s">
        <v>417</v>
      </c>
      <c r="C825" s="15">
        <v>1</v>
      </c>
      <c r="D825" s="36">
        <f>VLOOKUP($B825,Menu!$A$1:$F$20,MATCH($D$1,Menu!$A$1:$F$1,0),0)</f>
        <v>146.4</v>
      </c>
      <c r="E825" s="15" t="str">
        <f>VLOOKUP($B825,Menu!$A$1:$F$20,MATCH(OrderLines!E$1,Menu!$A$1:$F$1,0),0)</f>
        <v>Hot Meal</v>
      </c>
      <c r="F825" s="36">
        <f>VLOOKUP($B825,Menu!$A$1:$F$20,MATCH(OrderLines!F$1,Menu!$A$1:$F$1,0),0)</f>
        <v>80.92</v>
      </c>
      <c r="G825" s="27">
        <f>VLOOKUP($A825,Orders!$A$1:$H$361,MATCH($G$1,Orders!$A$1:$H$1,0),0)</f>
        <v>45844</v>
      </c>
      <c r="H825" s="15" t="str">
        <f>VLOOKUP($A825,Orders!$A$1:$H$361,MATCH(OrderLines!$H$1,Orders!$A$1:$H$1,0),0)</f>
        <v>Head Office Café</v>
      </c>
      <c r="I825" s="15">
        <f>VLOOKUP($A825,Orders!$A$1:$H$361,MATCH(OrderLines!$I$1,Orders!$A$1:$H$1,0),0)</f>
        <v>0.06</v>
      </c>
      <c r="J825" s="15">
        <f t="shared" si="37"/>
        <v>137.61599999999999</v>
      </c>
      <c r="K825" s="27" t="str">
        <f t="shared" si="38"/>
        <v>July</v>
      </c>
      <c r="L825" s="15" t="str">
        <f>VLOOKUP(OrderLines!$A825,Orders!$A$1:$H$361,MATCH(OrderLines!$L$1,Orders!$A$1:$H$1,0),0)</f>
        <v>Breakfast</v>
      </c>
      <c r="M825" t="str">
        <f>VLOOKUP($A825,Orders!$A$1:$H$361,MATCH(OrderLines!$M$1,Orders!$A$1:$H$1,0),0)</f>
        <v>Card</v>
      </c>
      <c r="N825" t="str">
        <f t="shared" si="36"/>
        <v>Combo</v>
      </c>
      <c r="O825" t="str" cm="1">
        <f t="array" ref="O825">IF((SUMPRODUCT((OrderID=OrderLines!$A825)*Qty*UnitPrice*DiscountPct))&gt;40,"HighDisc","OK")</f>
        <v>OK</v>
      </c>
      <c r="P825">
        <f>(orderlinesTABLE[[#This Row],[UnitCost]]*orderlinesTABLE[[#This Row],[Qty]])</f>
        <v>80.92</v>
      </c>
      <c r="Q825">
        <f>(orderlinesTABLE[[#This Row],[LineNetAmount]]-orderlinesTABLE[[#This Row],[totalCOST]])</f>
        <v>56.695999999999984</v>
      </c>
      <c r="R825" t="str">
        <f>VLOOKUP($B825,Menu!$A$1:$F$20,MATCH(OrderLines!R$1,Menu!$A$1:$F$1,0),0)</f>
        <v>Rajma Chawal</v>
      </c>
      <c r="S825" t="str" cm="1">
        <f t="array" ref="S825">_xlfn.TEXTJOIN("+",TRUE,_xlfn._xlws.FILTER(orderlinesTABLE[ItemName],OrderID=orderlinesTABLE[[#This Row],[OrderID]]))</f>
        <v>Poha+Bottled Water+Brownie+Rajma Chawal</v>
      </c>
      <c r="T825" s="54">
        <f>orderlinesTABLE[[#This Row],[Profit]]/orderlinesTABLE[[#This Row],[LineNetAmount]]</f>
        <v>0.41198697825834196</v>
      </c>
      <c r="U825" s="70">
        <f>(orderlinesTABLE[[#This Row],[Qty]]*orderlinesTABLE[[#This Row],[UnitCost]])</f>
        <v>80.92</v>
      </c>
    </row>
    <row r="826" spans="1:21" x14ac:dyDescent="0.3">
      <c r="A826" s="14" t="s">
        <v>359</v>
      </c>
      <c r="B826" s="14" t="s">
        <v>407</v>
      </c>
      <c r="C826" s="14">
        <v>1</v>
      </c>
      <c r="D826" s="37">
        <f>VLOOKUP($B826,Menu!$A$1:$F$20,MATCH($D$1,Menu!$A$1:$F$1,0),0)</f>
        <v>246.09</v>
      </c>
      <c r="E826" s="14" t="str">
        <f>VLOOKUP($B826,Menu!$A$1:$F$20,MATCH(OrderLines!E$1,Menu!$A$1:$F$1,0),0)</f>
        <v>Hot Meal</v>
      </c>
      <c r="F826" s="37">
        <f>VLOOKUP($B826,Menu!$A$1:$F$20,MATCH(OrderLines!F$1,Menu!$A$1:$F$1,0),0)</f>
        <v>112.08</v>
      </c>
      <c r="G826" s="28">
        <f>VLOOKUP($A826,Orders!$A$1:$H$361,MATCH($G$1,Orders!$A$1:$H$1,0),0)</f>
        <v>45849</v>
      </c>
      <c r="H826" s="14" t="str">
        <f>VLOOKUP($A826,Orders!$A$1:$H$361,MATCH(OrderLines!$H$1,Orders!$A$1:$H$1,0),0)</f>
        <v>Head Office Café</v>
      </c>
      <c r="I826" s="14">
        <f>VLOOKUP($A826,Orders!$A$1:$H$361,MATCH(OrderLines!$I$1,Orders!$A$1:$H$1,0),0)</f>
        <v>0.08</v>
      </c>
      <c r="J826" s="14">
        <f t="shared" si="37"/>
        <v>226.40280000000001</v>
      </c>
      <c r="K826" s="28" t="str">
        <f t="shared" si="38"/>
        <v>July</v>
      </c>
      <c r="L826" s="14" t="str">
        <f>VLOOKUP(OrderLines!$A826,Orders!$A$1:$H$361,MATCH(OrderLines!$L$1,Orders!$A$1:$H$1,0),0)</f>
        <v>Breakfast</v>
      </c>
      <c r="M826" t="str">
        <f>VLOOKUP($A826,Orders!$A$1:$H$361,MATCH(OrderLines!$M$1,Orders!$A$1:$H$1,0),0)</f>
        <v>Cash</v>
      </c>
      <c r="N826" t="str">
        <f t="shared" si="36"/>
        <v>Combo</v>
      </c>
      <c r="O826" t="str" cm="1">
        <f t="array" ref="O826">IF((SUMPRODUCT((OrderID=OrderLines!$A826)*Qty*UnitPrice*DiscountPct))&gt;40,"HighDisc","OK")</f>
        <v>HighDisc</v>
      </c>
      <c r="P826">
        <f>(orderlinesTABLE[[#This Row],[UnitCost]]*orderlinesTABLE[[#This Row],[Qty]])</f>
        <v>112.08</v>
      </c>
      <c r="Q826">
        <f>(orderlinesTABLE[[#This Row],[LineNetAmount]]-orderlinesTABLE[[#This Row],[totalCOST]])</f>
        <v>114.32280000000002</v>
      </c>
      <c r="R826" t="str">
        <f>VLOOKUP($B826,Menu!$A$1:$F$20,MATCH(OrderLines!R$1,Menu!$A$1:$F$1,0),0)</f>
        <v>Egg Curry + Rice</v>
      </c>
      <c r="S826" t="str" cm="1">
        <f t="array" ref="S826">_xlfn.TEXTJOIN("+",TRUE,_xlfn._xlws.FILTER(orderlinesTABLE[ItemName],OrderID=orderlinesTABLE[[#This Row],[OrderID]]))</f>
        <v>Egg Curry + Rice+Coffee+Bottled Water+Brownie</v>
      </c>
      <c r="T826" s="54">
        <f>orderlinesTABLE[[#This Row],[Profit]]/orderlinesTABLE[[#This Row],[LineNetAmount]]</f>
        <v>0.50495311895435924</v>
      </c>
      <c r="U826" s="70">
        <f>(orderlinesTABLE[[#This Row],[Qty]]*orderlinesTABLE[[#This Row],[UnitCost]])</f>
        <v>112.08</v>
      </c>
    </row>
    <row r="827" spans="1:21" x14ac:dyDescent="0.3">
      <c r="A827" s="15" t="s">
        <v>359</v>
      </c>
      <c r="B827" s="15" t="s">
        <v>411</v>
      </c>
      <c r="C827" s="15">
        <v>2</v>
      </c>
      <c r="D827" s="36">
        <f>VLOOKUP($B827,Menu!$A$1:$F$20,MATCH($D$1,Menu!$A$1:$F$1,0),0)</f>
        <v>22.2</v>
      </c>
      <c r="E827" s="15" t="str">
        <f>VLOOKUP($B827,Menu!$A$1:$F$20,MATCH(OrderLines!E$1,Menu!$A$1:$F$1,0),0)</f>
        <v>Beverage</v>
      </c>
      <c r="F827" s="36">
        <f>VLOOKUP($B827,Menu!$A$1:$F$20,MATCH(OrderLines!F$1,Menu!$A$1:$F$1,0),0)</f>
        <v>9.3800000000000008</v>
      </c>
      <c r="G827" s="27">
        <f>VLOOKUP($A827,Orders!$A$1:$H$361,MATCH($G$1,Orders!$A$1:$H$1,0),0)</f>
        <v>45849</v>
      </c>
      <c r="H827" s="15" t="str">
        <f>VLOOKUP($A827,Orders!$A$1:$H$361,MATCH(OrderLines!$H$1,Orders!$A$1:$H$1,0),0)</f>
        <v>Head Office Café</v>
      </c>
      <c r="I827" s="15">
        <f>VLOOKUP($A827,Orders!$A$1:$H$361,MATCH(OrderLines!$I$1,Orders!$A$1:$H$1,0),0)</f>
        <v>0.08</v>
      </c>
      <c r="J827" s="15">
        <f t="shared" si="37"/>
        <v>40.847999999999999</v>
      </c>
      <c r="K827" s="27" t="str">
        <f t="shared" si="38"/>
        <v>July</v>
      </c>
      <c r="L827" s="15" t="str">
        <f>VLOOKUP(OrderLines!$A827,Orders!$A$1:$H$361,MATCH(OrderLines!$L$1,Orders!$A$1:$H$1,0),0)</f>
        <v>Breakfast</v>
      </c>
      <c r="M827" t="str">
        <f>VLOOKUP($A827,Orders!$A$1:$H$361,MATCH(OrderLines!$M$1,Orders!$A$1:$H$1,0),0)</f>
        <v>Cash</v>
      </c>
      <c r="N827" t="str">
        <f t="shared" si="36"/>
        <v>Combo</v>
      </c>
      <c r="O827" t="str" cm="1">
        <f t="array" ref="O827">IF((SUMPRODUCT((OrderID=OrderLines!$A827)*Qty*UnitPrice*DiscountPct))&gt;40,"HighDisc","OK")</f>
        <v>HighDisc</v>
      </c>
      <c r="P827">
        <f>(orderlinesTABLE[[#This Row],[UnitCost]]*orderlinesTABLE[[#This Row],[Qty]])</f>
        <v>18.760000000000002</v>
      </c>
      <c r="Q827">
        <f>(orderlinesTABLE[[#This Row],[LineNetAmount]]-orderlinesTABLE[[#This Row],[totalCOST]])</f>
        <v>22.087999999999997</v>
      </c>
      <c r="R827" t="str">
        <f>VLOOKUP($B827,Menu!$A$1:$F$20,MATCH(OrderLines!R$1,Menu!$A$1:$F$1,0),0)</f>
        <v>Coffee</v>
      </c>
      <c r="S827" t="str" cm="1">
        <f t="array" ref="S827">_xlfn.TEXTJOIN("+",TRUE,_xlfn._xlws.FILTER(orderlinesTABLE[ItemName],OrderID=orderlinesTABLE[[#This Row],[OrderID]]))</f>
        <v>Egg Curry + Rice+Coffee+Bottled Water+Brownie</v>
      </c>
      <c r="T827" s="54">
        <f>orderlinesTABLE[[#This Row],[Profit]]/orderlinesTABLE[[#This Row],[LineNetAmount]]</f>
        <v>0.54073638856247552</v>
      </c>
      <c r="U827" s="70">
        <f>(orderlinesTABLE[[#This Row],[Qty]]*orderlinesTABLE[[#This Row],[UnitCost]])</f>
        <v>18.760000000000002</v>
      </c>
    </row>
    <row r="828" spans="1:21" x14ac:dyDescent="0.3">
      <c r="A828" s="14" t="s">
        <v>359</v>
      </c>
      <c r="B828" s="14" t="s">
        <v>409</v>
      </c>
      <c r="C828" s="14">
        <v>3</v>
      </c>
      <c r="D828" s="37">
        <f>VLOOKUP($B828,Menu!$A$1:$F$20,MATCH($D$1,Menu!$A$1:$F$1,0),0)</f>
        <v>28.43</v>
      </c>
      <c r="E828" s="14" t="str">
        <f>VLOOKUP($B828,Menu!$A$1:$F$20,MATCH(OrderLines!E$1,Menu!$A$1:$F$1,0),0)</f>
        <v>Beverage</v>
      </c>
      <c r="F828" s="37">
        <f>VLOOKUP($B828,Menu!$A$1:$F$20,MATCH(OrderLines!F$1,Menu!$A$1:$F$1,0),0)</f>
        <v>13.89</v>
      </c>
      <c r="G828" s="28">
        <f>VLOOKUP($A828,Orders!$A$1:$H$361,MATCH($G$1,Orders!$A$1:$H$1,0),0)</f>
        <v>45849</v>
      </c>
      <c r="H828" s="14" t="str">
        <f>VLOOKUP($A828,Orders!$A$1:$H$361,MATCH(OrderLines!$H$1,Orders!$A$1:$H$1,0),0)</f>
        <v>Head Office Café</v>
      </c>
      <c r="I828" s="14">
        <f>VLOOKUP($A828,Orders!$A$1:$H$361,MATCH(OrderLines!$I$1,Orders!$A$1:$H$1,0),0)</f>
        <v>0.08</v>
      </c>
      <c r="J828" s="14">
        <f t="shared" si="37"/>
        <v>78.466799999999992</v>
      </c>
      <c r="K828" s="28" t="str">
        <f t="shared" si="38"/>
        <v>July</v>
      </c>
      <c r="L828" s="14" t="str">
        <f>VLOOKUP(OrderLines!$A828,Orders!$A$1:$H$361,MATCH(OrderLines!$L$1,Orders!$A$1:$H$1,0),0)</f>
        <v>Breakfast</v>
      </c>
      <c r="M828" t="str">
        <f>VLOOKUP($A828,Orders!$A$1:$H$361,MATCH(OrderLines!$M$1,Orders!$A$1:$H$1,0),0)</f>
        <v>Cash</v>
      </c>
      <c r="N828" t="str">
        <f t="shared" si="36"/>
        <v>Combo</v>
      </c>
      <c r="O828" t="str" cm="1">
        <f t="array" ref="O828">IF((SUMPRODUCT((OrderID=OrderLines!$A828)*Qty*UnitPrice*DiscountPct))&gt;40,"HighDisc","OK")</f>
        <v>HighDisc</v>
      </c>
      <c r="P828">
        <f>(orderlinesTABLE[[#This Row],[UnitCost]]*orderlinesTABLE[[#This Row],[Qty]])</f>
        <v>41.67</v>
      </c>
      <c r="Q828">
        <f>(orderlinesTABLE[[#This Row],[LineNetAmount]]-orderlinesTABLE[[#This Row],[totalCOST]])</f>
        <v>36.79679999999999</v>
      </c>
      <c r="R828" t="str">
        <f>VLOOKUP($B828,Menu!$A$1:$F$20,MATCH(OrderLines!R$1,Menu!$A$1:$F$1,0),0)</f>
        <v>Bottled Water</v>
      </c>
      <c r="S828" t="str" cm="1">
        <f t="array" ref="S828">_xlfn.TEXTJOIN("+",TRUE,_xlfn._xlws.FILTER(orderlinesTABLE[ItemName],OrderID=orderlinesTABLE[[#This Row],[OrderID]]))</f>
        <v>Egg Curry + Rice+Coffee+Bottled Water+Brownie</v>
      </c>
      <c r="T828" s="54">
        <f>orderlinesTABLE[[#This Row],[Profit]]/orderlinesTABLE[[#This Row],[LineNetAmount]]</f>
        <v>0.46894737647004842</v>
      </c>
      <c r="U828" s="70">
        <f>(orderlinesTABLE[[#This Row],[Qty]]*orderlinesTABLE[[#This Row],[UnitCost]])</f>
        <v>41.67</v>
      </c>
    </row>
    <row r="829" spans="1:21" x14ac:dyDescent="0.3">
      <c r="A829" s="15" t="s">
        <v>359</v>
      </c>
      <c r="B829" s="15" t="s">
        <v>414</v>
      </c>
      <c r="C829" s="15">
        <v>3</v>
      </c>
      <c r="D829" s="36">
        <f>VLOOKUP($B829,Menu!$A$1:$F$20,MATCH($D$1,Menu!$A$1:$F$1,0),0)</f>
        <v>116.8</v>
      </c>
      <c r="E829" s="15" t="str">
        <f>VLOOKUP($B829,Menu!$A$1:$F$20,MATCH(OrderLines!E$1,Menu!$A$1:$F$1,0),0)</f>
        <v>Dessert</v>
      </c>
      <c r="F829" s="36">
        <f>VLOOKUP($B829,Menu!$A$1:$F$20,MATCH(OrderLines!F$1,Menu!$A$1:$F$1,0),0)</f>
        <v>48.97</v>
      </c>
      <c r="G829" s="27">
        <f>VLOOKUP($A829,Orders!$A$1:$H$361,MATCH($G$1,Orders!$A$1:$H$1,0),0)</f>
        <v>45849</v>
      </c>
      <c r="H829" s="15" t="str">
        <f>VLOOKUP($A829,Orders!$A$1:$H$361,MATCH(OrderLines!$H$1,Orders!$A$1:$H$1,0),0)</f>
        <v>Head Office Café</v>
      </c>
      <c r="I829" s="15">
        <f>VLOOKUP($A829,Orders!$A$1:$H$361,MATCH(OrderLines!$I$1,Orders!$A$1:$H$1,0),0)</f>
        <v>0.08</v>
      </c>
      <c r="J829" s="15">
        <f t="shared" si="37"/>
        <v>322.36799999999999</v>
      </c>
      <c r="K829" s="27" t="str">
        <f t="shared" si="38"/>
        <v>July</v>
      </c>
      <c r="L829" s="15" t="str">
        <f>VLOOKUP(OrderLines!$A829,Orders!$A$1:$H$361,MATCH(OrderLines!$L$1,Orders!$A$1:$H$1,0),0)</f>
        <v>Breakfast</v>
      </c>
      <c r="M829" t="str">
        <f>VLOOKUP($A829,Orders!$A$1:$H$361,MATCH(OrderLines!$M$1,Orders!$A$1:$H$1,0),0)</f>
        <v>Cash</v>
      </c>
      <c r="N829" t="str">
        <f t="shared" si="36"/>
        <v>Combo</v>
      </c>
      <c r="O829" t="str" cm="1">
        <f t="array" ref="O829">IF((SUMPRODUCT((OrderID=OrderLines!$A829)*Qty*UnitPrice*DiscountPct))&gt;40,"HighDisc","OK")</f>
        <v>HighDisc</v>
      </c>
      <c r="P829">
        <f>(orderlinesTABLE[[#This Row],[UnitCost]]*orderlinesTABLE[[#This Row],[Qty]])</f>
        <v>146.91</v>
      </c>
      <c r="Q829">
        <f>(orderlinesTABLE[[#This Row],[LineNetAmount]]-orderlinesTABLE[[#This Row],[totalCOST]])</f>
        <v>175.458</v>
      </c>
      <c r="R829" t="str">
        <f>VLOOKUP($B829,Menu!$A$1:$F$20,MATCH(OrderLines!R$1,Menu!$A$1:$F$1,0),0)</f>
        <v>Brownie</v>
      </c>
      <c r="S829" t="str" cm="1">
        <f t="array" ref="S829">_xlfn.TEXTJOIN("+",TRUE,_xlfn._xlws.FILTER(orderlinesTABLE[ItemName],OrderID=orderlinesTABLE[[#This Row],[OrderID]]))</f>
        <v>Egg Curry + Rice+Coffee+Bottled Water+Brownie</v>
      </c>
      <c r="T829" s="54">
        <f>orderlinesTABLE[[#This Row],[Profit]]/orderlinesTABLE[[#This Row],[LineNetAmount]]</f>
        <v>0.54427858844550325</v>
      </c>
      <c r="U829" s="70">
        <f>(orderlinesTABLE[[#This Row],[Qty]]*orderlinesTABLE[[#This Row],[UnitCost]])</f>
        <v>146.91</v>
      </c>
    </row>
    <row r="830" spans="1:21" x14ac:dyDescent="0.3">
      <c r="A830" s="14" t="s">
        <v>360</v>
      </c>
      <c r="B830" s="14" t="s">
        <v>414</v>
      </c>
      <c r="C830" s="14">
        <v>1</v>
      </c>
      <c r="D830" s="37">
        <f>VLOOKUP($B830,Menu!$A$1:$F$20,MATCH($D$1,Menu!$A$1:$F$1,0),0)</f>
        <v>116.8</v>
      </c>
      <c r="E830" s="14" t="str">
        <f>VLOOKUP($B830,Menu!$A$1:$F$20,MATCH(OrderLines!E$1,Menu!$A$1:$F$1,0),0)</f>
        <v>Dessert</v>
      </c>
      <c r="F830" s="37">
        <f>VLOOKUP($B830,Menu!$A$1:$F$20,MATCH(OrderLines!F$1,Menu!$A$1:$F$1,0),0)</f>
        <v>48.97</v>
      </c>
      <c r="G830" s="28">
        <f>VLOOKUP($A830,Orders!$A$1:$H$361,MATCH($G$1,Orders!$A$1:$H$1,0),0)</f>
        <v>45847</v>
      </c>
      <c r="H830" s="14" t="str">
        <f>VLOOKUP($A830,Orders!$A$1:$H$361,MATCH(OrderLines!$H$1,Orders!$A$1:$H$1,0),0)</f>
        <v>Plant 1 Canteen</v>
      </c>
      <c r="I830" s="14">
        <f>VLOOKUP($A830,Orders!$A$1:$H$361,MATCH(OrderLines!$I$1,Orders!$A$1:$H$1,0),0)</f>
        <v>0.09</v>
      </c>
      <c r="J830" s="14">
        <f t="shared" si="37"/>
        <v>106.288</v>
      </c>
      <c r="K830" s="28" t="str">
        <f t="shared" si="38"/>
        <v>July</v>
      </c>
      <c r="L830" s="14" t="str">
        <f>VLOOKUP(OrderLines!$A830,Orders!$A$1:$H$361,MATCH(OrderLines!$L$1,Orders!$A$1:$H$1,0),0)</f>
        <v>Breakfast</v>
      </c>
      <c r="M830" t="str">
        <f>VLOOKUP($A830,Orders!$A$1:$H$361,MATCH(OrderLines!$M$1,Orders!$A$1:$H$1,0),0)</f>
        <v>Card</v>
      </c>
      <c r="N830" t="str">
        <f t="shared" si="36"/>
        <v>Single</v>
      </c>
      <c r="O830" t="str" cm="1">
        <f t="array" ref="O830">IF((SUMPRODUCT((OrderID=OrderLines!$A830)*Qty*UnitPrice*DiscountPct))&gt;40,"HighDisc","OK")</f>
        <v>OK</v>
      </c>
      <c r="P830">
        <f>(orderlinesTABLE[[#This Row],[UnitCost]]*orderlinesTABLE[[#This Row],[Qty]])</f>
        <v>48.97</v>
      </c>
      <c r="Q830">
        <f>(orderlinesTABLE[[#This Row],[LineNetAmount]]-orderlinesTABLE[[#This Row],[totalCOST]])</f>
        <v>57.317999999999998</v>
      </c>
      <c r="R830" t="str">
        <f>VLOOKUP($B830,Menu!$A$1:$F$20,MATCH(OrderLines!R$1,Menu!$A$1:$F$1,0),0)</f>
        <v>Brownie</v>
      </c>
      <c r="S830" t="str" cm="1">
        <f t="array" ref="S830">_xlfn.TEXTJOIN("+",TRUE,_xlfn._xlws.FILTER(orderlinesTABLE[ItemName],OrderID=orderlinesTABLE[[#This Row],[OrderID]]))</f>
        <v>Brownie+Bottled Water</v>
      </c>
      <c r="T830" s="54">
        <f>orderlinesTABLE[[#This Row],[Profit]]/orderlinesTABLE[[#This Row],[LineNetAmount]]</f>
        <v>0.53927066084600328</v>
      </c>
      <c r="U830" s="70">
        <f>(orderlinesTABLE[[#This Row],[Qty]]*orderlinesTABLE[[#This Row],[UnitCost]])</f>
        <v>48.97</v>
      </c>
    </row>
    <row r="831" spans="1:21" x14ac:dyDescent="0.3">
      <c r="A831" s="15" t="s">
        <v>360</v>
      </c>
      <c r="B831" s="15" t="s">
        <v>409</v>
      </c>
      <c r="C831" s="15">
        <v>2</v>
      </c>
      <c r="D831" s="36">
        <f>VLOOKUP($B831,Menu!$A$1:$F$20,MATCH($D$1,Menu!$A$1:$F$1,0),0)</f>
        <v>28.43</v>
      </c>
      <c r="E831" s="15" t="str">
        <f>VLOOKUP($B831,Menu!$A$1:$F$20,MATCH(OrderLines!E$1,Menu!$A$1:$F$1,0),0)</f>
        <v>Beverage</v>
      </c>
      <c r="F831" s="36">
        <f>VLOOKUP($B831,Menu!$A$1:$F$20,MATCH(OrderLines!F$1,Menu!$A$1:$F$1,0),0)</f>
        <v>13.89</v>
      </c>
      <c r="G831" s="27">
        <f>VLOOKUP($A831,Orders!$A$1:$H$361,MATCH($G$1,Orders!$A$1:$H$1,0),0)</f>
        <v>45847</v>
      </c>
      <c r="H831" s="15" t="str">
        <f>VLOOKUP($A831,Orders!$A$1:$H$361,MATCH(OrderLines!$H$1,Orders!$A$1:$H$1,0),0)</f>
        <v>Plant 1 Canteen</v>
      </c>
      <c r="I831" s="15">
        <f>VLOOKUP($A831,Orders!$A$1:$H$361,MATCH(OrderLines!$I$1,Orders!$A$1:$H$1,0),0)</f>
        <v>0.09</v>
      </c>
      <c r="J831" s="15">
        <f t="shared" si="37"/>
        <v>51.742600000000003</v>
      </c>
      <c r="K831" s="27" t="str">
        <f t="shared" si="38"/>
        <v>July</v>
      </c>
      <c r="L831" s="15" t="str">
        <f>VLOOKUP(OrderLines!$A831,Orders!$A$1:$H$361,MATCH(OrderLines!$L$1,Orders!$A$1:$H$1,0),0)</f>
        <v>Breakfast</v>
      </c>
      <c r="M831" t="str">
        <f>VLOOKUP($A831,Orders!$A$1:$H$361,MATCH(OrderLines!$M$1,Orders!$A$1:$H$1,0),0)</f>
        <v>Card</v>
      </c>
      <c r="N831" t="str">
        <f t="shared" si="36"/>
        <v>Single</v>
      </c>
      <c r="O831" t="str" cm="1">
        <f t="array" ref="O831">IF((SUMPRODUCT((OrderID=OrderLines!$A831)*Qty*UnitPrice*DiscountPct))&gt;40,"HighDisc","OK")</f>
        <v>OK</v>
      </c>
      <c r="P831">
        <f>(orderlinesTABLE[[#This Row],[UnitCost]]*orderlinesTABLE[[#This Row],[Qty]])</f>
        <v>27.78</v>
      </c>
      <c r="Q831">
        <f>(orderlinesTABLE[[#This Row],[LineNetAmount]]-orderlinesTABLE[[#This Row],[totalCOST]])</f>
        <v>23.962600000000002</v>
      </c>
      <c r="R831" t="str">
        <f>VLOOKUP($B831,Menu!$A$1:$F$20,MATCH(OrderLines!R$1,Menu!$A$1:$F$1,0),0)</f>
        <v>Bottled Water</v>
      </c>
      <c r="S831" t="str" cm="1">
        <f t="array" ref="S831">_xlfn.TEXTJOIN("+",TRUE,_xlfn._xlws.FILTER(orderlinesTABLE[ItemName],OrderID=orderlinesTABLE[[#This Row],[OrderID]]))</f>
        <v>Brownie+Bottled Water</v>
      </c>
      <c r="T831" s="54">
        <f>orderlinesTABLE[[#This Row],[Profit]]/orderlinesTABLE[[#This Row],[LineNetAmount]]</f>
        <v>0.46311163335433475</v>
      </c>
      <c r="U831" s="70">
        <f>(orderlinesTABLE[[#This Row],[Qty]]*orderlinesTABLE[[#This Row],[UnitCost]])</f>
        <v>27.78</v>
      </c>
    </row>
    <row r="832" spans="1:21" x14ac:dyDescent="0.3">
      <c r="A832" s="14" t="s">
        <v>361</v>
      </c>
      <c r="B832" s="14" t="s">
        <v>416</v>
      </c>
      <c r="C832" s="14">
        <v>1</v>
      </c>
      <c r="D832" s="37">
        <f>VLOOKUP($B832,Menu!$A$1:$F$20,MATCH($D$1,Menu!$A$1:$F$1,0),0)</f>
        <v>227.61</v>
      </c>
      <c r="E832" s="14" t="str">
        <f>VLOOKUP($B832,Menu!$A$1:$F$20,MATCH(OrderLines!E$1,Menu!$A$1:$F$1,0),0)</f>
        <v>Hot Meal</v>
      </c>
      <c r="F832" s="37">
        <f>VLOOKUP($B832,Menu!$A$1:$F$20,MATCH(OrderLines!F$1,Menu!$A$1:$F$1,0),0)</f>
        <v>96.22</v>
      </c>
      <c r="G832" s="28">
        <f>VLOOKUP($A832,Orders!$A$1:$H$361,MATCH($G$1,Orders!$A$1:$H$1,0),0)</f>
        <v>45853</v>
      </c>
      <c r="H832" s="14" t="str">
        <f>VLOOKUP($A832,Orders!$A$1:$H$361,MATCH(OrderLines!$H$1,Orders!$A$1:$H$1,0),0)</f>
        <v>Plant 2 Canteen</v>
      </c>
      <c r="I832" s="14">
        <f>VLOOKUP($A832,Orders!$A$1:$H$361,MATCH(OrderLines!$I$1,Orders!$A$1:$H$1,0),0)</f>
        <v>0.04</v>
      </c>
      <c r="J832" s="14">
        <f t="shared" si="37"/>
        <v>218.50560000000002</v>
      </c>
      <c r="K832" s="28" t="str">
        <f t="shared" si="38"/>
        <v>July</v>
      </c>
      <c r="L832" s="14" t="str">
        <f>VLOOKUP(OrderLines!$A832,Orders!$A$1:$H$361,MATCH(OrderLines!$L$1,Orders!$A$1:$H$1,0),0)</f>
        <v>Lunch</v>
      </c>
      <c r="M832" t="str">
        <f>VLOOKUP($A832,Orders!$A$1:$H$361,MATCH(OrderLines!$M$1,Orders!$A$1:$H$1,0),0)</f>
        <v>Cash</v>
      </c>
      <c r="N832" t="str">
        <f t="shared" si="36"/>
        <v>Single</v>
      </c>
      <c r="O832" t="str" cm="1">
        <f t="array" ref="O832">IF((SUMPRODUCT((OrderID=OrderLines!$A832)*Qty*UnitPrice*DiscountPct))&gt;40,"HighDisc","OK")</f>
        <v>OK</v>
      </c>
      <c r="P832">
        <f>(orderlinesTABLE[[#This Row],[UnitCost]]*orderlinesTABLE[[#This Row],[Qty]])</f>
        <v>96.22</v>
      </c>
      <c r="Q832">
        <f>(orderlinesTABLE[[#This Row],[LineNetAmount]]-orderlinesTABLE[[#This Row],[totalCOST]])</f>
        <v>122.28560000000002</v>
      </c>
      <c r="R832" t="str">
        <f>VLOOKUP($B832,Menu!$A$1:$F$20,MATCH(OrderLines!R$1,Menu!$A$1:$F$1,0),0)</f>
        <v>Veg Thali</v>
      </c>
      <c r="S832" t="str" cm="1">
        <f t="array" ref="S832">_xlfn.TEXTJOIN("+",TRUE,_xlfn._xlws.FILTER(orderlinesTABLE[ItemName],OrderID=orderlinesTABLE[[#This Row],[OrderID]]))</f>
        <v>Veg Thali+Masala Puff+Veg Sandwich</v>
      </c>
      <c r="T832" s="54">
        <f>orderlinesTABLE[[#This Row],[Profit]]/orderlinesTABLE[[#This Row],[LineNetAmount]]</f>
        <v>0.55964515325923003</v>
      </c>
      <c r="U832" s="70">
        <f>(orderlinesTABLE[[#This Row],[Qty]]*orderlinesTABLE[[#This Row],[UnitCost]])</f>
        <v>96.22</v>
      </c>
    </row>
    <row r="833" spans="1:21" x14ac:dyDescent="0.3">
      <c r="A833" s="15" t="s">
        <v>361</v>
      </c>
      <c r="B833" s="15" t="s">
        <v>419</v>
      </c>
      <c r="C833" s="15">
        <v>3</v>
      </c>
      <c r="D833" s="36">
        <f>VLOOKUP($B833,Menu!$A$1:$F$20,MATCH($D$1,Menu!$A$1:$F$1,0),0)</f>
        <v>50.19</v>
      </c>
      <c r="E833" s="15" t="str">
        <f>VLOOKUP($B833,Menu!$A$1:$F$20,MATCH(OrderLines!E$1,Menu!$A$1:$F$1,0),0)</f>
        <v>Snack</v>
      </c>
      <c r="F833" s="36">
        <f>VLOOKUP($B833,Menu!$A$1:$F$20,MATCH(OrderLines!F$1,Menu!$A$1:$F$1,0),0)</f>
        <v>22.61</v>
      </c>
      <c r="G833" s="27">
        <f>VLOOKUP($A833,Orders!$A$1:$H$361,MATCH($G$1,Orders!$A$1:$H$1,0),0)</f>
        <v>45853</v>
      </c>
      <c r="H833" s="15" t="str">
        <f>VLOOKUP($A833,Orders!$A$1:$H$361,MATCH(OrderLines!$H$1,Orders!$A$1:$H$1,0),0)</f>
        <v>Plant 2 Canteen</v>
      </c>
      <c r="I833" s="15">
        <f>VLOOKUP($A833,Orders!$A$1:$H$361,MATCH(OrderLines!$I$1,Orders!$A$1:$H$1,0),0)</f>
        <v>0.04</v>
      </c>
      <c r="J833" s="15">
        <f t="shared" si="37"/>
        <v>144.54719999999998</v>
      </c>
      <c r="K833" s="27" t="str">
        <f t="shared" si="38"/>
        <v>July</v>
      </c>
      <c r="L833" s="15" t="str">
        <f>VLOOKUP(OrderLines!$A833,Orders!$A$1:$H$361,MATCH(OrderLines!$L$1,Orders!$A$1:$H$1,0),0)</f>
        <v>Lunch</v>
      </c>
      <c r="M833" t="str">
        <f>VLOOKUP($A833,Orders!$A$1:$H$361,MATCH(OrderLines!$M$1,Orders!$A$1:$H$1,0),0)</f>
        <v>Cash</v>
      </c>
      <c r="N833" t="str">
        <f t="shared" si="36"/>
        <v>Single</v>
      </c>
      <c r="O833" t="str" cm="1">
        <f t="array" ref="O833">IF((SUMPRODUCT((OrderID=OrderLines!$A833)*Qty*UnitPrice*DiscountPct))&gt;40,"HighDisc","OK")</f>
        <v>OK</v>
      </c>
      <c r="P833">
        <f>(orderlinesTABLE[[#This Row],[UnitCost]]*orderlinesTABLE[[#This Row],[Qty]])</f>
        <v>67.83</v>
      </c>
      <c r="Q833">
        <f>(orderlinesTABLE[[#This Row],[LineNetAmount]]-orderlinesTABLE[[#This Row],[totalCOST]])</f>
        <v>76.717199999999977</v>
      </c>
      <c r="R833" t="str">
        <f>VLOOKUP($B833,Menu!$A$1:$F$20,MATCH(OrderLines!R$1,Menu!$A$1:$F$1,0),0)</f>
        <v>Masala Puff</v>
      </c>
      <c r="S833" t="str" cm="1">
        <f t="array" ref="S833">_xlfn.TEXTJOIN("+",TRUE,_xlfn._xlws.FILTER(orderlinesTABLE[ItemName],OrderID=orderlinesTABLE[[#This Row],[OrderID]]))</f>
        <v>Veg Thali+Masala Puff+Veg Sandwich</v>
      </c>
      <c r="T833" s="54">
        <f>orderlinesTABLE[[#This Row],[Profit]]/orderlinesTABLE[[#This Row],[LineNetAmount]]</f>
        <v>0.5307415155741515</v>
      </c>
      <c r="U833" s="70">
        <f>(orderlinesTABLE[[#This Row],[Qty]]*orderlinesTABLE[[#This Row],[UnitCost]])</f>
        <v>67.83</v>
      </c>
    </row>
    <row r="834" spans="1:21" x14ac:dyDescent="0.3">
      <c r="A834" s="14" t="s">
        <v>361</v>
      </c>
      <c r="B834" s="14" t="s">
        <v>408</v>
      </c>
      <c r="C834" s="14">
        <v>2</v>
      </c>
      <c r="D834" s="37">
        <f>VLOOKUP($B834,Menu!$A$1:$F$20,MATCH($D$1,Menu!$A$1:$F$1,0),0)</f>
        <v>70.540000000000006</v>
      </c>
      <c r="E834" s="14" t="str">
        <f>VLOOKUP($B834,Menu!$A$1:$F$20,MATCH(OrderLines!E$1,Menu!$A$1:$F$1,0),0)</f>
        <v>Snack</v>
      </c>
      <c r="F834" s="37">
        <f>VLOOKUP($B834,Menu!$A$1:$F$20,MATCH(OrderLines!F$1,Menu!$A$1:$F$1,0),0)</f>
        <v>35.81</v>
      </c>
      <c r="G834" s="28">
        <f>VLOOKUP($A834,Orders!$A$1:$H$361,MATCH($G$1,Orders!$A$1:$H$1,0),0)</f>
        <v>45853</v>
      </c>
      <c r="H834" s="14" t="str">
        <f>VLOOKUP($A834,Orders!$A$1:$H$361,MATCH(OrderLines!$H$1,Orders!$A$1:$H$1,0),0)</f>
        <v>Plant 2 Canteen</v>
      </c>
      <c r="I834" s="14">
        <f>VLOOKUP($A834,Orders!$A$1:$H$361,MATCH(OrderLines!$I$1,Orders!$A$1:$H$1,0),0)</f>
        <v>0.04</v>
      </c>
      <c r="J834" s="14">
        <f t="shared" si="37"/>
        <v>135.43680000000001</v>
      </c>
      <c r="K834" s="28" t="str">
        <f t="shared" si="38"/>
        <v>July</v>
      </c>
      <c r="L834" s="14" t="str">
        <f>VLOOKUP(OrderLines!$A834,Orders!$A$1:$H$361,MATCH(OrderLines!$L$1,Orders!$A$1:$H$1,0),0)</f>
        <v>Lunch</v>
      </c>
      <c r="M834" t="str">
        <f>VLOOKUP($A834,Orders!$A$1:$H$361,MATCH(OrderLines!$M$1,Orders!$A$1:$H$1,0),0)</f>
        <v>Cash</v>
      </c>
      <c r="N834" t="str">
        <f t="shared" ref="N834:N897" si="39">IF(AND(COUNTIFS(OrderID,$A834,Category,"hot meal")&gt;=1,COUNTIFS(OrderID,$A834,Category,"beverage")&gt;=1),"Combo","Single")</f>
        <v>Single</v>
      </c>
      <c r="O834" t="str" cm="1">
        <f t="array" ref="O834">IF((SUMPRODUCT((OrderID=OrderLines!$A834)*Qty*UnitPrice*DiscountPct))&gt;40,"HighDisc","OK")</f>
        <v>OK</v>
      </c>
      <c r="P834">
        <f>(orderlinesTABLE[[#This Row],[UnitCost]]*orderlinesTABLE[[#This Row],[Qty]])</f>
        <v>71.62</v>
      </c>
      <c r="Q834">
        <f>(orderlinesTABLE[[#This Row],[LineNetAmount]]-orderlinesTABLE[[#This Row],[totalCOST]])</f>
        <v>63.816800000000001</v>
      </c>
      <c r="R834" t="str">
        <f>VLOOKUP($B834,Menu!$A$1:$F$20,MATCH(OrderLines!R$1,Menu!$A$1:$F$1,0),0)</f>
        <v>Veg Sandwich</v>
      </c>
      <c r="S834" t="str" cm="1">
        <f t="array" ref="S834">_xlfn.TEXTJOIN("+",TRUE,_xlfn._xlws.FILTER(orderlinesTABLE[ItemName],OrderID=orderlinesTABLE[[#This Row],[OrderID]]))</f>
        <v>Veg Thali+Masala Puff+Veg Sandwich</v>
      </c>
      <c r="T834" s="54">
        <f>orderlinesTABLE[[#This Row],[Profit]]/orderlinesTABLE[[#This Row],[LineNetAmount]]</f>
        <v>0.4711924676306587</v>
      </c>
      <c r="U834" s="70">
        <f>(orderlinesTABLE[[#This Row],[Qty]]*orderlinesTABLE[[#This Row],[UnitCost]])</f>
        <v>71.62</v>
      </c>
    </row>
    <row r="835" spans="1:21" x14ac:dyDescent="0.3">
      <c r="A835" s="15" t="s">
        <v>362</v>
      </c>
      <c r="B835" s="15" t="s">
        <v>419</v>
      </c>
      <c r="C835" s="15">
        <v>1</v>
      </c>
      <c r="D835" s="36">
        <f>VLOOKUP($B835,Menu!$A$1:$F$20,MATCH($D$1,Menu!$A$1:$F$1,0),0)</f>
        <v>50.19</v>
      </c>
      <c r="E835" s="15" t="str">
        <f>VLOOKUP($B835,Menu!$A$1:$F$20,MATCH(OrderLines!E$1,Menu!$A$1:$F$1,0),0)</f>
        <v>Snack</v>
      </c>
      <c r="F835" s="36">
        <f>VLOOKUP($B835,Menu!$A$1:$F$20,MATCH(OrderLines!F$1,Menu!$A$1:$F$1,0),0)</f>
        <v>22.61</v>
      </c>
      <c r="G835" s="27">
        <f>VLOOKUP($A835,Orders!$A$1:$H$361,MATCH($G$1,Orders!$A$1:$H$1,0),0)</f>
        <v>45873</v>
      </c>
      <c r="H835" s="15" t="str">
        <f>VLOOKUP($A835,Orders!$A$1:$H$361,MATCH(OrderLines!$H$1,Orders!$A$1:$H$1,0),0)</f>
        <v>Plant 1 Canteen</v>
      </c>
      <c r="I835" s="15">
        <f>VLOOKUP($A835,Orders!$A$1:$H$361,MATCH(OrderLines!$I$1,Orders!$A$1:$H$1,0),0)</f>
        <v>7.0000000000000007E-2</v>
      </c>
      <c r="J835" s="15">
        <f t="shared" ref="J835:J898" si="40">$C835*$D835*(1-$I835)</f>
        <v>46.676699999999997</v>
      </c>
      <c r="K835" s="27" t="str">
        <f t="shared" ref="K835:K898" si="41">TEXT($G835,"mmmm")</f>
        <v>August</v>
      </c>
      <c r="L835" s="15" t="str">
        <f>VLOOKUP(OrderLines!$A835,Orders!$A$1:$H$361,MATCH(OrderLines!$L$1,Orders!$A$1:$H$1,0),0)</f>
        <v>Breakfast</v>
      </c>
      <c r="M835" t="str">
        <f>VLOOKUP($A835,Orders!$A$1:$H$361,MATCH(OrderLines!$M$1,Orders!$A$1:$H$1,0),0)</f>
        <v>Cash</v>
      </c>
      <c r="N835" t="str">
        <f t="shared" si="39"/>
        <v>Single</v>
      </c>
      <c r="O835" t="str" cm="1">
        <f t="array" ref="O835">IF((SUMPRODUCT((OrderID=OrderLines!$A835)*Qty*UnitPrice*DiscountPct))&gt;40,"HighDisc","OK")</f>
        <v>OK</v>
      </c>
      <c r="P835">
        <f>(orderlinesTABLE[[#This Row],[UnitCost]]*orderlinesTABLE[[#This Row],[Qty]])</f>
        <v>22.61</v>
      </c>
      <c r="Q835">
        <f>(orderlinesTABLE[[#This Row],[LineNetAmount]]-orderlinesTABLE[[#This Row],[totalCOST]])</f>
        <v>24.066699999999997</v>
      </c>
      <c r="R835" t="str">
        <f>VLOOKUP($B835,Menu!$A$1:$F$20,MATCH(OrderLines!R$1,Menu!$A$1:$F$1,0),0)</f>
        <v>Masala Puff</v>
      </c>
      <c r="S835" t="str" cm="1">
        <f t="array" ref="S835">_xlfn.TEXTJOIN("+",TRUE,_xlfn._xlws.FILTER(orderlinesTABLE[ItemName],OrderID=orderlinesTABLE[[#This Row],[OrderID]]))</f>
        <v>Masala Puff</v>
      </c>
      <c r="T835" s="54">
        <f>orderlinesTABLE[[#This Row],[Profit]]/orderlinesTABLE[[#This Row],[LineNetAmount]]</f>
        <v>0.51560414510880159</v>
      </c>
      <c r="U835" s="70">
        <f>(orderlinesTABLE[[#This Row],[Qty]]*orderlinesTABLE[[#This Row],[UnitCost]])</f>
        <v>22.61</v>
      </c>
    </row>
    <row r="836" spans="1:21" x14ac:dyDescent="0.3">
      <c r="A836" s="14" t="s">
        <v>363</v>
      </c>
      <c r="B836" s="14" t="s">
        <v>410</v>
      </c>
      <c r="C836" s="14">
        <v>1</v>
      </c>
      <c r="D836" s="37">
        <f>VLOOKUP($B836,Menu!$A$1:$F$20,MATCH($D$1,Menu!$A$1:$F$1,0),0)</f>
        <v>20.11</v>
      </c>
      <c r="E836" s="14" t="str">
        <f>VLOOKUP($B836,Menu!$A$1:$F$20,MATCH(OrderLines!E$1,Menu!$A$1:$F$1,0),0)</f>
        <v>Beverage</v>
      </c>
      <c r="F836" s="37">
        <f>VLOOKUP($B836,Menu!$A$1:$F$20,MATCH(OrderLines!F$1,Menu!$A$1:$F$1,0),0)</f>
        <v>8</v>
      </c>
      <c r="G836" s="28">
        <f>VLOOKUP($A836,Orders!$A$1:$H$361,MATCH($G$1,Orders!$A$1:$H$1,0),0)</f>
        <v>45887</v>
      </c>
      <c r="H836" s="14" t="str">
        <f>VLOOKUP($A836,Orders!$A$1:$H$361,MATCH(OrderLines!$H$1,Orders!$A$1:$H$1,0),0)</f>
        <v>Plant 2 Canteen</v>
      </c>
      <c r="I836" s="14">
        <f>VLOOKUP($A836,Orders!$A$1:$H$361,MATCH(OrderLines!$I$1,Orders!$A$1:$H$1,0),0)</f>
        <v>0.06</v>
      </c>
      <c r="J836" s="14">
        <f t="shared" si="40"/>
        <v>18.903399999999998</v>
      </c>
      <c r="K836" s="28" t="str">
        <f t="shared" si="41"/>
        <v>August</v>
      </c>
      <c r="L836" s="14" t="str">
        <f>VLOOKUP(OrderLines!$A836,Orders!$A$1:$H$361,MATCH(OrderLines!$L$1,Orders!$A$1:$H$1,0),0)</f>
        <v>Dinner</v>
      </c>
      <c r="M836" t="str">
        <f>VLOOKUP($A836,Orders!$A$1:$H$361,MATCH(OrderLines!$M$1,Orders!$A$1:$H$1,0),0)</f>
        <v>Card</v>
      </c>
      <c r="N836" t="str">
        <f t="shared" si="39"/>
        <v>Single</v>
      </c>
      <c r="O836" t="str" cm="1">
        <f t="array" ref="O836">IF((SUMPRODUCT((OrderID=OrderLines!$A836)*Qty*UnitPrice*DiscountPct))&gt;40,"HighDisc","OK")</f>
        <v>OK</v>
      </c>
      <c r="P836">
        <f>(orderlinesTABLE[[#This Row],[UnitCost]]*orderlinesTABLE[[#This Row],[Qty]])</f>
        <v>8</v>
      </c>
      <c r="Q836">
        <f>(orderlinesTABLE[[#This Row],[LineNetAmount]]-orderlinesTABLE[[#This Row],[totalCOST]])</f>
        <v>10.903399999999998</v>
      </c>
      <c r="R836" t="str">
        <f>VLOOKUP($B836,Menu!$A$1:$F$20,MATCH(OrderLines!R$1,Menu!$A$1:$F$1,0),0)</f>
        <v>Nimbu Pani</v>
      </c>
      <c r="S836" t="str" cm="1">
        <f t="array" ref="S836">_xlfn.TEXTJOIN("+",TRUE,_xlfn._xlws.FILTER(orderlinesTABLE[ItemName],OrderID=orderlinesTABLE[[#This Row],[OrderID]]))</f>
        <v>Nimbu Pani</v>
      </c>
      <c r="T836" s="54">
        <f>orderlinesTABLE[[#This Row],[Profit]]/orderlinesTABLE[[#This Row],[LineNetAmount]]</f>
        <v>0.57679570870848629</v>
      </c>
      <c r="U836" s="70">
        <f>(orderlinesTABLE[[#This Row],[Qty]]*orderlinesTABLE[[#This Row],[UnitCost]])</f>
        <v>8</v>
      </c>
    </row>
    <row r="837" spans="1:21" x14ac:dyDescent="0.3">
      <c r="A837" s="15" t="s">
        <v>364</v>
      </c>
      <c r="B837" s="15" t="s">
        <v>406</v>
      </c>
      <c r="C837" s="15">
        <v>1</v>
      </c>
      <c r="D837" s="36">
        <f>VLOOKUP($B837,Menu!$A$1:$F$20,MATCH($D$1,Menu!$A$1:$F$1,0),0)</f>
        <v>38.06</v>
      </c>
      <c r="E837" s="15" t="str">
        <f>VLOOKUP($B837,Menu!$A$1:$F$20,MATCH(OrderLines!E$1,Menu!$A$1:$F$1,0),0)</f>
        <v>Snack</v>
      </c>
      <c r="F837" s="36">
        <f>VLOOKUP($B837,Menu!$A$1:$F$20,MATCH(OrderLines!F$1,Menu!$A$1:$F$1,0),0)</f>
        <v>19.55</v>
      </c>
      <c r="G837" s="27">
        <f>VLOOKUP($A837,Orders!$A$1:$H$361,MATCH($G$1,Orders!$A$1:$H$1,0),0)</f>
        <v>45875</v>
      </c>
      <c r="H837" s="15" t="str">
        <f>VLOOKUP($A837,Orders!$A$1:$H$361,MATCH(OrderLines!$H$1,Orders!$A$1:$H$1,0),0)</f>
        <v>Plant 1 Canteen</v>
      </c>
      <c r="I837" s="15">
        <f>VLOOKUP($A837,Orders!$A$1:$H$361,MATCH(OrderLines!$I$1,Orders!$A$1:$H$1,0),0)</f>
        <v>0.06</v>
      </c>
      <c r="J837" s="15">
        <f t="shared" si="40"/>
        <v>35.776400000000002</v>
      </c>
      <c r="K837" s="27" t="str">
        <f t="shared" si="41"/>
        <v>August</v>
      </c>
      <c r="L837" s="15" t="str">
        <f>VLOOKUP(OrderLines!$A837,Orders!$A$1:$H$361,MATCH(OrderLines!$L$1,Orders!$A$1:$H$1,0),0)</f>
        <v>Lunch</v>
      </c>
      <c r="M837" t="str">
        <f>VLOOKUP($A837,Orders!$A$1:$H$361,MATCH(OrderLines!$M$1,Orders!$A$1:$H$1,0),0)</f>
        <v>Card</v>
      </c>
      <c r="N837" t="str">
        <f t="shared" si="39"/>
        <v>Single</v>
      </c>
      <c r="O837" t="str" cm="1">
        <f t="array" ref="O837">IF((SUMPRODUCT((OrderID=OrderLines!$A837)*Qty*UnitPrice*DiscountPct))&gt;40,"HighDisc","OK")</f>
        <v>OK</v>
      </c>
      <c r="P837">
        <f>(orderlinesTABLE[[#This Row],[UnitCost]]*orderlinesTABLE[[#This Row],[Qty]])</f>
        <v>19.55</v>
      </c>
      <c r="Q837">
        <f>(orderlinesTABLE[[#This Row],[LineNetAmount]]-orderlinesTABLE[[#This Row],[totalCOST]])</f>
        <v>16.226400000000002</v>
      </c>
      <c r="R837" t="str">
        <f>VLOOKUP($B837,Menu!$A$1:$F$20,MATCH(OrderLines!R$1,Menu!$A$1:$F$1,0),0)</f>
        <v>Paneer Roll</v>
      </c>
      <c r="S837" t="str" cm="1">
        <f t="array" ref="S837">_xlfn.TEXTJOIN("+",TRUE,_xlfn._xlws.FILTER(orderlinesTABLE[ItemName],OrderID=orderlinesTABLE[[#This Row],[OrderID]]))</f>
        <v>Paneer Roll+Bottled Water+Masala Puff</v>
      </c>
      <c r="T837" s="54">
        <f>orderlinesTABLE[[#This Row],[Profit]]/orderlinesTABLE[[#This Row],[LineNetAmount]]</f>
        <v>0.45355038517011215</v>
      </c>
      <c r="U837" s="70">
        <f>(orderlinesTABLE[[#This Row],[Qty]]*orderlinesTABLE[[#This Row],[UnitCost]])</f>
        <v>19.55</v>
      </c>
    </row>
    <row r="838" spans="1:21" x14ac:dyDescent="0.3">
      <c r="A838" s="14" t="s">
        <v>364</v>
      </c>
      <c r="B838" s="14" t="s">
        <v>409</v>
      </c>
      <c r="C838" s="14">
        <v>1</v>
      </c>
      <c r="D838" s="37">
        <f>VLOOKUP($B838,Menu!$A$1:$F$20,MATCH($D$1,Menu!$A$1:$F$1,0),0)</f>
        <v>28.43</v>
      </c>
      <c r="E838" s="14" t="str">
        <f>VLOOKUP($B838,Menu!$A$1:$F$20,MATCH(OrderLines!E$1,Menu!$A$1:$F$1,0),0)</f>
        <v>Beverage</v>
      </c>
      <c r="F838" s="37">
        <f>VLOOKUP($B838,Menu!$A$1:$F$20,MATCH(OrderLines!F$1,Menu!$A$1:$F$1,0),0)</f>
        <v>13.89</v>
      </c>
      <c r="G838" s="28">
        <f>VLOOKUP($A838,Orders!$A$1:$H$361,MATCH($G$1,Orders!$A$1:$H$1,0),0)</f>
        <v>45875</v>
      </c>
      <c r="H838" s="14" t="str">
        <f>VLOOKUP($A838,Orders!$A$1:$H$361,MATCH(OrderLines!$H$1,Orders!$A$1:$H$1,0),0)</f>
        <v>Plant 1 Canteen</v>
      </c>
      <c r="I838" s="14">
        <f>VLOOKUP($A838,Orders!$A$1:$H$361,MATCH(OrderLines!$I$1,Orders!$A$1:$H$1,0),0)</f>
        <v>0.06</v>
      </c>
      <c r="J838" s="14">
        <f t="shared" si="40"/>
        <v>26.7242</v>
      </c>
      <c r="K838" s="28" t="str">
        <f t="shared" si="41"/>
        <v>August</v>
      </c>
      <c r="L838" s="14" t="str">
        <f>VLOOKUP(OrderLines!$A838,Orders!$A$1:$H$361,MATCH(OrderLines!$L$1,Orders!$A$1:$H$1,0),0)</f>
        <v>Lunch</v>
      </c>
      <c r="M838" t="str">
        <f>VLOOKUP($A838,Orders!$A$1:$H$361,MATCH(OrderLines!$M$1,Orders!$A$1:$H$1,0),0)</f>
        <v>Card</v>
      </c>
      <c r="N838" t="str">
        <f t="shared" si="39"/>
        <v>Single</v>
      </c>
      <c r="O838" t="str" cm="1">
        <f t="array" ref="O838">IF((SUMPRODUCT((OrderID=OrderLines!$A838)*Qty*UnitPrice*DiscountPct))&gt;40,"HighDisc","OK")</f>
        <v>OK</v>
      </c>
      <c r="P838">
        <f>(orderlinesTABLE[[#This Row],[UnitCost]]*orderlinesTABLE[[#This Row],[Qty]])</f>
        <v>13.89</v>
      </c>
      <c r="Q838">
        <f>(orderlinesTABLE[[#This Row],[LineNetAmount]]-orderlinesTABLE[[#This Row],[totalCOST]])</f>
        <v>12.834199999999999</v>
      </c>
      <c r="R838" t="str">
        <f>VLOOKUP($B838,Menu!$A$1:$F$20,MATCH(OrderLines!R$1,Menu!$A$1:$F$1,0),0)</f>
        <v>Bottled Water</v>
      </c>
      <c r="S838" t="str" cm="1">
        <f t="array" ref="S838">_xlfn.TEXTJOIN("+",TRUE,_xlfn._xlws.FILTER(orderlinesTABLE[ItemName],OrderID=orderlinesTABLE[[#This Row],[OrderID]]))</f>
        <v>Paneer Roll+Bottled Water+Masala Puff</v>
      </c>
      <c r="T838" s="54">
        <f>orderlinesTABLE[[#This Row],[Profit]]/orderlinesTABLE[[#This Row],[LineNetAmount]]</f>
        <v>0.48024636846004742</v>
      </c>
      <c r="U838" s="70">
        <f>(orderlinesTABLE[[#This Row],[Qty]]*orderlinesTABLE[[#This Row],[UnitCost]])</f>
        <v>13.89</v>
      </c>
    </row>
    <row r="839" spans="1:21" x14ac:dyDescent="0.3">
      <c r="A839" s="15" t="s">
        <v>364</v>
      </c>
      <c r="B839" s="15" t="s">
        <v>419</v>
      </c>
      <c r="C839" s="15">
        <v>1</v>
      </c>
      <c r="D839" s="36">
        <f>VLOOKUP($B839,Menu!$A$1:$F$20,MATCH($D$1,Menu!$A$1:$F$1,0),0)</f>
        <v>50.19</v>
      </c>
      <c r="E839" s="15" t="str">
        <f>VLOOKUP($B839,Menu!$A$1:$F$20,MATCH(OrderLines!E$1,Menu!$A$1:$F$1,0),0)</f>
        <v>Snack</v>
      </c>
      <c r="F839" s="36">
        <f>VLOOKUP($B839,Menu!$A$1:$F$20,MATCH(OrderLines!F$1,Menu!$A$1:$F$1,0),0)</f>
        <v>22.61</v>
      </c>
      <c r="G839" s="27">
        <f>VLOOKUP($A839,Orders!$A$1:$H$361,MATCH($G$1,Orders!$A$1:$H$1,0),0)</f>
        <v>45875</v>
      </c>
      <c r="H839" s="15" t="str">
        <f>VLOOKUP($A839,Orders!$A$1:$H$361,MATCH(OrderLines!$H$1,Orders!$A$1:$H$1,0),0)</f>
        <v>Plant 1 Canteen</v>
      </c>
      <c r="I839" s="15">
        <f>VLOOKUP($A839,Orders!$A$1:$H$361,MATCH(OrderLines!$I$1,Orders!$A$1:$H$1,0),0)</f>
        <v>0.06</v>
      </c>
      <c r="J839" s="15">
        <f t="shared" si="40"/>
        <v>47.178599999999996</v>
      </c>
      <c r="K839" s="27" t="str">
        <f t="shared" si="41"/>
        <v>August</v>
      </c>
      <c r="L839" s="15" t="str">
        <f>VLOOKUP(OrderLines!$A839,Orders!$A$1:$H$361,MATCH(OrderLines!$L$1,Orders!$A$1:$H$1,0),0)</f>
        <v>Lunch</v>
      </c>
      <c r="M839" t="str">
        <f>VLOOKUP($A839,Orders!$A$1:$H$361,MATCH(OrderLines!$M$1,Orders!$A$1:$H$1,0),0)</f>
        <v>Card</v>
      </c>
      <c r="N839" t="str">
        <f t="shared" si="39"/>
        <v>Single</v>
      </c>
      <c r="O839" t="str" cm="1">
        <f t="array" ref="O839">IF((SUMPRODUCT((OrderID=OrderLines!$A839)*Qty*UnitPrice*DiscountPct))&gt;40,"HighDisc","OK")</f>
        <v>OK</v>
      </c>
      <c r="P839">
        <f>(orderlinesTABLE[[#This Row],[UnitCost]]*orderlinesTABLE[[#This Row],[Qty]])</f>
        <v>22.61</v>
      </c>
      <c r="Q839">
        <f>(orderlinesTABLE[[#This Row],[LineNetAmount]]-orderlinesTABLE[[#This Row],[totalCOST]])</f>
        <v>24.568599999999996</v>
      </c>
      <c r="R839" t="str">
        <f>VLOOKUP($B839,Menu!$A$1:$F$20,MATCH(OrderLines!R$1,Menu!$A$1:$F$1,0),0)</f>
        <v>Masala Puff</v>
      </c>
      <c r="S839" t="str" cm="1">
        <f t="array" ref="S839">_xlfn.TEXTJOIN("+",TRUE,_xlfn._xlws.FILTER(orderlinesTABLE[ItemName],OrderID=orderlinesTABLE[[#This Row],[OrderID]]))</f>
        <v>Paneer Roll+Bottled Water+Masala Puff</v>
      </c>
      <c r="T839" s="54">
        <f>orderlinesTABLE[[#This Row],[Profit]]/orderlinesTABLE[[#This Row],[LineNetAmount]]</f>
        <v>0.52075729250126113</v>
      </c>
      <c r="U839" s="70">
        <f>(orderlinesTABLE[[#This Row],[Qty]]*orderlinesTABLE[[#This Row],[UnitCost]])</f>
        <v>22.61</v>
      </c>
    </row>
    <row r="840" spans="1:21" x14ac:dyDescent="0.3">
      <c r="A840" s="14" t="s">
        <v>365</v>
      </c>
      <c r="B840" s="14" t="s">
        <v>417</v>
      </c>
      <c r="C840" s="14">
        <v>2</v>
      </c>
      <c r="D840" s="37">
        <f>VLOOKUP($B840,Menu!$A$1:$F$20,MATCH($D$1,Menu!$A$1:$F$1,0),0)</f>
        <v>146.4</v>
      </c>
      <c r="E840" s="14" t="str">
        <f>VLOOKUP($B840,Menu!$A$1:$F$20,MATCH(OrderLines!E$1,Menu!$A$1:$F$1,0),0)</f>
        <v>Hot Meal</v>
      </c>
      <c r="F840" s="37">
        <f>VLOOKUP($B840,Menu!$A$1:$F$20,MATCH(OrderLines!F$1,Menu!$A$1:$F$1,0),0)</f>
        <v>80.92</v>
      </c>
      <c r="G840" s="28">
        <f>VLOOKUP($A840,Orders!$A$1:$H$361,MATCH($G$1,Orders!$A$1:$H$1,0),0)</f>
        <v>45871</v>
      </c>
      <c r="H840" s="14" t="str">
        <f>VLOOKUP($A840,Orders!$A$1:$H$361,MATCH(OrderLines!$H$1,Orders!$A$1:$H$1,0),0)</f>
        <v>Plant 1 Canteen</v>
      </c>
      <c r="I840" s="14">
        <f>VLOOKUP($A840,Orders!$A$1:$H$361,MATCH(OrderLines!$I$1,Orders!$A$1:$H$1,0),0)</f>
        <v>0.03</v>
      </c>
      <c r="J840" s="14">
        <f t="shared" si="40"/>
        <v>284.01600000000002</v>
      </c>
      <c r="K840" s="28" t="str">
        <f t="shared" si="41"/>
        <v>August</v>
      </c>
      <c r="L840" s="14" t="str">
        <f>VLOOKUP(OrderLines!$A840,Orders!$A$1:$H$361,MATCH(OrderLines!$L$1,Orders!$A$1:$H$1,0),0)</f>
        <v>Dinner</v>
      </c>
      <c r="M840" t="str">
        <f>VLOOKUP($A840,Orders!$A$1:$H$361,MATCH(OrderLines!$M$1,Orders!$A$1:$H$1,0),0)</f>
        <v>Cash</v>
      </c>
      <c r="N840" t="str">
        <f t="shared" si="39"/>
        <v>Single</v>
      </c>
      <c r="O840" t="str" cm="1">
        <f t="array" ref="O840">IF((SUMPRODUCT((OrderID=OrderLines!$A840)*Qty*UnitPrice*DiscountPct))&gt;40,"HighDisc","OK")</f>
        <v>OK</v>
      </c>
      <c r="P840">
        <f>(orderlinesTABLE[[#This Row],[UnitCost]]*orderlinesTABLE[[#This Row],[Qty]])</f>
        <v>161.84</v>
      </c>
      <c r="Q840">
        <f>(orderlinesTABLE[[#This Row],[LineNetAmount]]-orderlinesTABLE[[#This Row],[totalCOST]])</f>
        <v>122.17600000000002</v>
      </c>
      <c r="R840" t="str">
        <f>VLOOKUP($B840,Menu!$A$1:$F$20,MATCH(OrderLines!R$1,Menu!$A$1:$F$1,0),0)</f>
        <v>Rajma Chawal</v>
      </c>
      <c r="S840" t="str" cm="1">
        <f t="array" ref="S840">_xlfn.TEXTJOIN("+",TRUE,_xlfn._xlws.FILTER(orderlinesTABLE[ItemName],OrderID=orderlinesTABLE[[#This Row],[OrderID]]))</f>
        <v>Rajma Chawal</v>
      </c>
      <c r="T840" s="54">
        <f>orderlinesTABLE[[#This Row],[Profit]]/orderlinesTABLE[[#This Row],[LineNetAmount]]</f>
        <v>0.43017294800292943</v>
      </c>
      <c r="U840" s="70">
        <f>(orderlinesTABLE[[#This Row],[Qty]]*orderlinesTABLE[[#This Row],[UnitCost]])</f>
        <v>161.84</v>
      </c>
    </row>
    <row r="841" spans="1:21" x14ac:dyDescent="0.3">
      <c r="A841" s="15" t="s">
        <v>366</v>
      </c>
      <c r="B841" s="15" t="s">
        <v>413</v>
      </c>
      <c r="C841" s="15">
        <v>1</v>
      </c>
      <c r="D841" s="36">
        <f>VLOOKUP($B841,Menu!$A$1:$F$20,MATCH($D$1,Menu!$A$1:$F$1,0),0)</f>
        <v>54.2</v>
      </c>
      <c r="E841" s="15" t="str">
        <f>VLOOKUP($B841,Menu!$A$1:$F$20,MATCH(OrderLines!E$1,Menu!$A$1:$F$1,0),0)</f>
        <v>Dessert</v>
      </c>
      <c r="F841" s="36">
        <f>VLOOKUP($B841,Menu!$A$1:$F$20,MATCH(OrderLines!F$1,Menu!$A$1:$F$1,0),0)</f>
        <v>21.95</v>
      </c>
      <c r="G841" s="27">
        <f>VLOOKUP($A841,Orders!$A$1:$H$361,MATCH($G$1,Orders!$A$1:$H$1,0),0)</f>
        <v>45885</v>
      </c>
      <c r="H841" s="15" t="str">
        <f>VLOOKUP($A841,Orders!$A$1:$H$361,MATCH(OrderLines!$H$1,Orders!$A$1:$H$1,0),0)</f>
        <v>Head Office Café</v>
      </c>
      <c r="I841" s="15">
        <f>VLOOKUP($A841,Orders!$A$1:$H$361,MATCH(OrderLines!$I$1,Orders!$A$1:$H$1,0),0)</f>
        <v>0.06</v>
      </c>
      <c r="J841" s="15">
        <f t="shared" si="40"/>
        <v>50.948</v>
      </c>
      <c r="K841" s="27" t="str">
        <f t="shared" si="41"/>
        <v>August</v>
      </c>
      <c r="L841" s="15" t="str">
        <f>VLOOKUP(OrderLines!$A841,Orders!$A$1:$H$361,MATCH(OrderLines!$L$1,Orders!$A$1:$H$1,0),0)</f>
        <v>Breakfast</v>
      </c>
      <c r="M841" t="str">
        <f>VLOOKUP($A841,Orders!$A$1:$H$361,MATCH(OrderLines!$M$1,Orders!$A$1:$H$1,0),0)</f>
        <v>UPI</v>
      </c>
      <c r="N841" t="str">
        <f t="shared" si="39"/>
        <v>Single</v>
      </c>
      <c r="O841" t="str" cm="1">
        <f t="array" ref="O841">IF((SUMPRODUCT((OrderID=OrderLines!$A841)*Qty*UnitPrice*DiscountPct))&gt;40,"HighDisc","OK")</f>
        <v>OK</v>
      </c>
      <c r="P841">
        <f>(orderlinesTABLE[[#This Row],[UnitCost]]*orderlinesTABLE[[#This Row],[Qty]])</f>
        <v>21.95</v>
      </c>
      <c r="Q841">
        <f>(orderlinesTABLE[[#This Row],[LineNetAmount]]-orderlinesTABLE[[#This Row],[totalCOST]])</f>
        <v>28.998000000000001</v>
      </c>
      <c r="R841" t="str">
        <f>VLOOKUP($B841,Menu!$A$1:$F$20,MATCH(OrderLines!R$1,Menu!$A$1:$F$1,0),0)</f>
        <v>Kheer Cup</v>
      </c>
      <c r="S841" t="str" cm="1">
        <f t="array" ref="S841">_xlfn.TEXTJOIN("+",TRUE,_xlfn._xlws.FILTER(orderlinesTABLE[ItemName],OrderID=orderlinesTABLE[[#This Row],[OrderID]]))</f>
        <v>Kheer Cup+Rajma Chawal+Poha</v>
      </c>
      <c r="T841" s="54">
        <f>orderlinesTABLE[[#This Row],[Profit]]/orderlinesTABLE[[#This Row],[LineNetAmount]]</f>
        <v>0.56916856402606586</v>
      </c>
      <c r="U841" s="70">
        <f>(orderlinesTABLE[[#This Row],[Qty]]*orderlinesTABLE[[#This Row],[UnitCost]])</f>
        <v>21.95</v>
      </c>
    </row>
    <row r="842" spans="1:21" x14ac:dyDescent="0.3">
      <c r="A842" s="14" t="s">
        <v>366</v>
      </c>
      <c r="B842" s="14" t="s">
        <v>417</v>
      </c>
      <c r="C842" s="14">
        <v>3</v>
      </c>
      <c r="D842" s="37">
        <f>VLOOKUP($B842,Menu!$A$1:$F$20,MATCH($D$1,Menu!$A$1:$F$1,0),0)</f>
        <v>146.4</v>
      </c>
      <c r="E842" s="14" t="str">
        <f>VLOOKUP($B842,Menu!$A$1:$F$20,MATCH(OrderLines!E$1,Menu!$A$1:$F$1,0),0)</f>
        <v>Hot Meal</v>
      </c>
      <c r="F842" s="37">
        <f>VLOOKUP($B842,Menu!$A$1:$F$20,MATCH(OrderLines!F$1,Menu!$A$1:$F$1,0),0)</f>
        <v>80.92</v>
      </c>
      <c r="G842" s="28">
        <f>VLOOKUP($A842,Orders!$A$1:$H$361,MATCH($G$1,Orders!$A$1:$H$1,0),0)</f>
        <v>45885</v>
      </c>
      <c r="H842" s="14" t="str">
        <f>VLOOKUP($A842,Orders!$A$1:$H$361,MATCH(OrderLines!$H$1,Orders!$A$1:$H$1,0),0)</f>
        <v>Head Office Café</v>
      </c>
      <c r="I842" s="14">
        <f>VLOOKUP($A842,Orders!$A$1:$H$361,MATCH(OrderLines!$I$1,Orders!$A$1:$H$1,0),0)</f>
        <v>0.06</v>
      </c>
      <c r="J842" s="14">
        <f t="shared" si="40"/>
        <v>412.84800000000001</v>
      </c>
      <c r="K842" s="28" t="str">
        <f t="shared" si="41"/>
        <v>August</v>
      </c>
      <c r="L842" s="14" t="str">
        <f>VLOOKUP(OrderLines!$A842,Orders!$A$1:$H$361,MATCH(OrderLines!$L$1,Orders!$A$1:$H$1,0),0)</f>
        <v>Breakfast</v>
      </c>
      <c r="M842" t="str">
        <f>VLOOKUP($A842,Orders!$A$1:$H$361,MATCH(OrderLines!$M$1,Orders!$A$1:$H$1,0),0)</f>
        <v>UPI</v>
      </c>
      <c r="N842" t="str">
        <f t="shared" si="39"/>
        <v>Single</v>
      </c>
      <c r="O842" t="str" cm="1">
        <f t="array" ref="O842">IF((SUMPRODUCT((OrderID=OrderLines!$A842)*Qty*UnitPrice*DiscountPct))&gt;40,"HighDisc","OK")</f>
        <v>OK</v>
      </c>
      <c r="P842">
        <f>(orderlinesTABLE[[#This Row],[UnitCost]]*orderlinesTABLE[[#This Row],[Qty]])</f>
        <v>242.76</v>
      </c>
      <c r="Q842">
        <f>(orderlinesTABLE[[#This Row],[LineNetAmount]]-orderlinesTABLE[[#This Row],[totalCOST]])</f>
        <v>170.08800000000002</v>
      </c>
      <c r="R842" t="str">
        <f>VLOOKUP($B842,Menu!$A$1:$F$20,MATCH(OrderLines!R$1,Menu!$A$1:$F$1,0),0)</f>
        <v>Rajma Chawal</v>
      </c>
      <c r="S842" t="str" cm="1">
        <f t="array" ref="S842">_xlfn.TEXTJOIN("+",TRUE,_xlfn._xlws.FILTER(orderlinesTABLE[ItemName],OrderID=orderlinesTABLE[[#This Row],[OrderID]]))</f>
        <v>Kheer Cup+Rajma Chawal+Poha</v>
      </c>
      <c r="T842" s="54">
        <f>orderlinesTABLE[[#This Row],[Profit]]/orderlinesTABLE[[#This Row],[LineNetAmount]]</f>
        <v>0.41198697825834207</v>
      </c>
      <c r="U842" s="70">
        <f>(orderlinesTABLE[[#This Row],[Qty]]*orderlinesTABLE[[#This Row],[UnitCost]])</f>
        <v>242.76</v>
      </c>
    </row>
    <row r="843" spans="1:21" x14ac:dyDescent="0.3">
      <c r="A843" s="15" t="s">
        <v>366</v>
      </c>
      <c r="B843" s="15" t="s">
        <v>401</v>
      </c>
      <c r="C843" s="15">
        <v>1</v>
      </c>
      <c r="D843" s="36">
        <f>VLOOKUP($B843,Menu!$A$1:$F$20,MATCH($D$1,Menu!$A$1:$F$1,0),0)</f>
        <v>52.45</v>
      </c>
      <c r="E843" s="15" t="str">
        <f>VLOOKUP($B843,Menu!$A$1:$F$20,MATCH(OrderLines!E$1,Menu!$A$1:$F$1,0),0)</f>
        <v>Snack</v>
      </c>
      <c r="F843" s="36">
        <f>VLOOKUP($B843,Menu!$A$1:$F$20,MATCH(OrderLines!F$1,Menu!$A$1:$F$1,0),0)</f>
        <v>25.8</v>
      </c>
      <c r="G843" s="27">
        <f>VLOOKUP($A843,Orders!$A$1:$H$361,MATCH($G$1,Orders!$A$1:$H$1,0),0)</f>
        <v>45885</v>
      </c>
      <c r="H843" s="15" t="str">
        <f>VLOOKUP($A843,Orders!$A$1:$H$361,MATCH(OrderLines!$H$1,Orders!$A$1:$H$1,0),0)</f>
        <v>Head Office Café</v>
      </c>
      <c r="I843" s="15">
        <f>VLOOKUP($A843,Orders!$A$1:$H$361,MATCH(OrderLines!$I$1,Orders!$A$1:$H$1,0),0)</f>
        <v>0.06</v>
      </c>
      <c r="J843" s="15">
        <f t="shared" si="40"/>
        <v>49.302999999999997</v>
      </c>
      <c r="K843" s="27" t="str">
        <f t="shared" si="41"/>
        <v>August</v>
      </c>
      <c r="L843" s="15" t="str">
        <f>VLOOKUP(OrderLines!$A843,Orders!$A$1:$H$361,MATCH(OrderLines!$L$1,Orders!$A$1:$H$1,0),0)</f>
        <v>Breakfast</v>
      </c>
      <c r="M843" t="str">
        <f>VLOOKUP($A843,Orders!$A$1:$H$361,MATCH(OrderLines!$M$1,Orders!$A$1:$H$1,0),0)</f>
        <v>UPI</v>
      </c>
      <c r="N843" t="str">
        <f t="shared" si="39"/>
        <v>Single</v>
      </c>
      <c r="O843" t="str" cm="1">
        <f t="array" ref="O843">IF((SUMPRODUCT((OrderID=OrderLines!$A843)*Qty*UnitPrice*DiscountPct))&gt;40,"HighDisc","OK")</f>
        <v>OK</v>
      </c>
      <c r="P843">
        <f>(orderlinesTABLE[[#This Row],[UnitCost]]*orderlinesTABLE[[#This Row],[Qty]])</f>
        <v>25.8</v>
      </c>
      <c r="Q843">
        <f>(orderlinesTABLE[[#This Row],[LineNetAmount]]-orderlinesTABLE[[#This Row],[totalCOST]])</f>
        <v>23.502999999999997</v>
      </c>
      <c r="R843" t="str">
        <f>VLOOKUP($B843,Menu!$A$1:$F$20,MATCH(OrderLines!R$1,Menu!$A$1:$F$1,0),0)</f>
        <v>Poha</v>
      </c>
      <c r="S843" t="str" cm="1">
        <f t="array" ref="S843">_xlfn.TEXTJOIN("+",TRUE,_xlfn._xlws.FILTER(orderlinesTABLE[ItemName],OrderID=orderlinesTABLE[[#This Row],[OrderID]]))</f>
        <v>Kheer Cup+Rajma Chawal+Poha</v>
      </c>
      <c r="T843" s="54">
        <f>orderlinesTABLE[[#This Row],[Profit]]/orderlinesTABLE[[#This Row],[LineNetAmount]]</f>
        <v>0.47670527148449382</v>
      </c>
      <c r="U843" s="70">
        <f>(orderlinesTABLE[[#This Row],[Qty]]*orderlinesTABLE[[#This Row],[UnitCost]])</f>
        <v>25.8</v>
      </c>
    </row>
    <row r="844" spans="1:21" x14ac:dyDescent="0.3">
      <c r="A844" s="14" t="s">
        <v>367</v>
      </c>
      <c r="B844" s="14" t="s">
        <v>410</v>
      </c>
      <c r="C844" s="14">
        <v>2</v>
      </c>
      <c r="D844" s="37">
        <f>VLOOKUP($B844,Menu!$A$1:$F$20,MATCH($D$1,Menu!$A$1:$F$1,0),0)</f>
        <v>20.11</v>
      </c>
      <c r="E844" s="14" t="str">
        <f>VLOOKUP($B844,Menu!$A$1:$F$20,MATCH(OrderLines!E$1,Menu!$A$1:$F$1,0),0)</f>
        <v>Beverage</v>
      </c>
      <c r="F844" s="37">
        <f>VLOOKUP($B844,Menu!$A$1:$F$20,MATCH(OrderLines!F$1,Menu!$A$1:$F$1,0),0)</f>
        <v>8</v>
      </c>
      <c r="G844" s="28">
        <f>VLOOKUP($A844,Orders!$A$1:$H$361,MATCH($G$1,Orders!$A$1:$H$1,0),0)</f>
        <v>45882</v>
      </c>
      <c r="H844" s="14" t="str">
        <f>VLOOKUP($A844,Orders!$A$1:$H$361,MATCH(OrderLines!$H$1,Orders!$A$1:$H$1,0),0)</f>
        <v>Head Office Café</v>
      </c>
      <c r="I844" s="14">
        <f>VLOOKUP($A844,Orders!$A$1:$H$361,MATCH(OrderLines!$I$1,Orders!$A$1:$H$1,0),0)</f>
        <v>0.08</v>
      </c>
      <c r="J844" s="14">
        <f t="shared" si="40"/>
        <v>37.002400000000002</v>
      </c>
      <c r="K844" s="28" t="str">
        <f t="shared" si="41"/>
        <v>August</v>
      </c>
      <c r="L844" s="14" t="str">
        <f>VLOOKUP(OrderLines!$A844,Orders!$A$1:$H$361,MATCH(OrderLines!$L$1,Orders!$A$1:$H$1,0),0)</f>
        <v>Dinner</v>
      </c>
      <c r="M844" t="str">
        <f>VLOOKUP($A844,Orders!$A$1:$H$361,MATCH(OrderLines!$M$1,Orders!$A$1:$H$1,0),0)</f>
        <v>Cash</v>
      </c>
      <c r="N844" t="str">
        <f t="shared" si="39"/>
        <v>Combo</v>
      </c>
      <c r="O844" t="str" cm="1">
        <f t="array" ref="O844">IF((SUMPRODUCT((OrderID=OrderLines!$A844)*Qty*UnitPrice*DiscountPct))&gt;40,"HighDisc","OK")</f>
        <v>HighDisc</v>
      </c>
      <c r="P844">
        <f>(orderlinesTABLE[[#This Row],[UnitCost]]*orderlinesTABLE[[#This Row],[Qty]])</f>
        <v>16</v>
      </c>
      <c r="Q844">
        <f>(orderlinesTABLE[[#This Row],[LineNetAmount]]-orderlinesTABLE[[#This Row],[totalCOST]])</f>
        <v>21.002400000000002</v>
      </c>
      <c r="R844" t="str">
        <f>VLOOKUP($B844,Menu!$A$1:$F$20,MATCH(OrderLines!R$1,Menu!$A$1:$F$1,0),0)</f>
        <v>Nimbu Pani</v>
      </c>
      <c r="S844" t="str" cm="1">
        <f t="array" ref="S844">_xlfn.TEXTJOIN("+",TRUE,_xlfn._xlws.FILTER(orderlinesTABLE[ItemName],OrderID=orderlinesTABLE[[#This Row],[OrderID]]))</f>
        <v>Nimbu Pani+Paneer Butter Masala + Naan+Chicken Thali</v>
      </c>
      <c r="T844" s="54">
        <f>orderlinesTABLE[[#This Row],[Profit]]/orderlinesTABLE[[#This Row],[LineNetAmount]]</f>
        <v>0.5675956154195404</v>
      </c>
      <c r="U844" s="70">
        <f>(orderlinesTABLE[[#This Row],[Qty]]*orderlinesTABLE[[#This Row],[UnitCost]])</f>
        <v>16</v>
      </c>
    </row>
    <row r="845" spans="1:21" x14ac:dyDescent="0.3">
      <c r="A845" s="15" t="s">
        <v>367</v>
      </c>
      <c r="B845" s="15" t="s">
        <v>405</v>
      </c>
      <c r="C845" s="15">
        <v>1</v>
      </c>
      <c r="D845" s="36">
        <f>VLOOKUP($B845,Menu!$A$1:$F$20,MATCH($D$1,Menu!$A$1:$F$1,0),0)</f>
        <v>170.83</v>
      </c>
      <c r="E845" s="15" t="str">
        <f>VLOOKUP($B845,Menu!$A$1:$F$20,MATCH(OrderLines!E$1,Menu!$A$1:$F$1,0),0)</f>
        <v>Hot Meal</v>
      </c>
      <c r="F845" s="36">
        <f>VLOOKUP($B845,Menu!$A$1:$F$20,MATCH(OrderLines!F$1,Menu!$A$1:$F$1,0),0)</f>
        <v>74.069999999999993</v>
      </c>
      <c r="G845" s="27">
        <f>VLOOKUP($A845,Orders!$A$1:$H$361,MATCH($G$1,Orders!$A$1:$H$1,0),0)</f>
        <v>45882</v>
      </c>
      <c r="H845" s="15" t="str">
        <f>VLOOKUP($A845,Orders!$A$1:$H$361,MATCH(OrderLines!$H$1,Orders!$A$1:$H$1,0),0)</f>
        <v>Head Office Café</v>
      </c>
      <c r="I845" s="15">
        <f>VLOOKUP($A845,Orders!$A$1:$H$361,MATCH(OrderLines!$I$1,Orders!$A$1:$H$1,0),0)</f>
        <v>0.08</v>
      </c>
      <c r="J845" s="15">
        <f t="shared" si="40"/>
        <v>157.16360000000003</v>
      </c>
      <c r="K845" s="27" t="str">
        <f t="shared" si="41"/>
        <v>August</v>
      </c>
      <c r="L845" s="15" t="str">
        <f>VLOOKUP(OrderLines!$A845,Orders!$A$1:$H$361,MATCH(OrderLines!$L$1,Orders!$A$1:$H$1,0),0)</f>
        <v>Dinner</v>
      </c>
      <c r="M845" t="str">
        <f>VLOOKUP($A845,Orders!$A$1:$H$361,MATCH(OrderLines!$M$1,Orders!$A$1:$H$1,0),0)</f>
        <v>Cash</v>
      </c>
      <c r="N845" t="str">
        <f t="shared" si="39"/>
        <v>Combo</v>
      </c>
      <c r="O845" t="str" cm="1">
        <f t="array" ref="O845">IF((SUMPRODUCT((OrderID=OrderLines!$A845)*Qty*UnitPrice*DiscountPct))&gt;40,"HighDisc","OK")</f>
        <v>HighDisc</v>
      </c>
      <c r="P845">
        <f>(orderlinesTABLE[[#This Row],[UnitCost]]*orderlinesTABLE[[#This Row],[Qty]])</f>
        <v>74.069999999999993</v>
      </c>
      <c r="Q845">
        <f>(orderlinesTABLE[[#This Row],[LineNetAmount]]-orderlinesTABLE[[#This Row],[totalCOST]])</f>
        <v>83.093600000000038</v>
      </c>
      <c r="R845" t="str">
        <f>VLOOKUP($B845,Menu!$A$1:$F$20,MATCH(OrderLines!R$1,Menu!$A$1:$F$1,0),0)</f>
        <v>Paneer Butter Masala + Naan</v>
      </c>
      <c r="S845" t="str" cm="1">
        <f t="array" ref="S845">_xlfn.TEXTJOIN("+",TRUE,_xlfn._xlws.FILTER(orderlinesTABLE[ItemName],OrderID=orderlinesTABLE[[#This Row],[OrderID]]))</f>
        <v>Nimbu Pani+Paneer Butter Masala + Naan+Chicken Thali</v>
      </c>
      <c r="T845" s="54">
        <f>orderlinesTABLE[[#This Row],[Profit]]/orderlinesTABLE[[#This Row],[LineNetAmount]]</f>
        <v>0.52870766513365708</v>
      </c>
      <c r="U845" s="70">
        <f>(orderlinesTABLE[[#This Row],[Qty]]*orderlinesTABLE[[#This Row],[UnitCost]])</f>
        <v>74.069999999999993</v>
      </c>
    </row>
    <row r="846" spans="1:21" x14ac:dyDescent="0.3">
      <c r="A846" s="14" t="s">
        <v>367</v>
      </c>
      <c r="B846" s="14" t="s">
        <v>415</v>
      </c>
      <c r="C846" s="14">
        <v>2</v>
      </c>
      <c r="D846" s="37">
        <f>VLOOKUP($B846,Menu!$A$1:$F$20,MATCH($D$1,Menu!$A$1:$F$1,0),0)</f>
        <v>256.91000000000003</v>
      </c>
      <c r="E846" s="14" t="str">
        <f>VLOOKUP($B846,Menu!$A$1:$F$20,MATCH(OrderLines!E$1,Menu!$A$1:$F$1,0),0)</f>
        <v>Hot Meal</v>
      </c>
      <c r="F846" s="37">
        <f>VLOOKUP($B846,Menu!$A$1:$F$20,MATCH(OrderLines!F$1,Menu!$A$1:$F$1,0),0)</f>
        <v>121.24</v>
      </c>
      <c r="G846" s="28">
        <f>VLOOKUP($A846,Orders!$A$1:$H$361,MATCH($G$1,Orders!$A$1:$H$1,0),0)</f>
        <v>45882</v>
      </c>
      <c r="H846" s="14" t="str">
        <f>VLOOKUP($A846,Orders!$A$1:$H$361,MATCH(OrderLines!$H$1,Orders!$A$1:$H$1,0),0)</f>
        <v>Head Office Café</v>
      </c>
      <c r="I846" s="14">
        <f>VLOOKUP($A846,Orders!$A$1:$H$361,MATCH(OrderLines!$I$1,Orders!$A$1:$H$1,0),0)</f>
        <v>0.08</v>
      </c>
      <c r="J846" s="14">
        <f t="shared" si="40"/>
        <v>472.71440000000007</v>
      </c>
      <c r="K846" s="28" t="str">
        <f t="shared" si="41"/>
        <v>August</v>
      </c>
      <c r="L846" s="14" t="str">
        <f>VLOOKUP(OrderLines!$A846,Orders!$A$1:$H$361,MATCH(OrderLines!$L$1,Orders!$A$1:$H$1,0),0)</f>
        <v>Dinner</v>
      </c>
      <c r="M846" t="str">
        <f>VLOOKUP($A846,Orders!$A$1:$H$361,MATCH(OrderLines!$M$1,Orders!$A$1:$H$1,0),0)</f>
        <v>Cash</v>
      </c>
      <c r="N846" t="str">
        <f t="shared" si="39"/>
        <v>Combo</v>
      </c>
      <c r="O846" t="str" cm="1">
        <f t="array" ref="O846">IF((SUMPRODUCT((OrderID=OrderLines!$A846)*Qty*UnitPrice*DiscountPct))&gt;40,"HighDisc","OK")</f>
        <v>HighDisc</v>
      </c>
      <c r="P846">
        <f>(orderlinesTABLE[[#This Row],[UnitCost]]*orderlinesTABLE[[#This Row],[Qty]])</f>
        <v>242.48</v>
      </c>
      <c r="Q846">
        <f>(orderlinesTABLE[[#This Row],[LineNetAmount]]-orderlinesTABLE[[#This Row],[totalCOST]])</f>
        <v>230.23440000000008</v>
      </c>
      <c r="R846" t="str">
        <f>VLOOKUP($B846,Menu!$A$1:$F$20,MATCH(OrderLines!R$1,Menu!$A$1:$F$1,0),0)</f>
        <v>Chicken Thali</v>
      </c>
      <c r="S846" t="str" cm="1">
        <f t="array" ref="S846">_xlfn.TEXTJOIN("+",TRUE,_xlfn._xlws.FILTER(orderlinesTABLE[ItemName],OrderID=orderlinesTABLE[[#This Row],[OrderID]]))</f>
        <v>Nimbu Pani+Paneer Butter Masala + Naan+Chicken Thali</v>
      </c>
      <c r="T846" s="54">
        <f>orderlinesTABLE[[#This Row],[Profit]]/orderlinesTABLE[[#This Row],[LineNetAmount]]</f>
        <v>0.48704757037230101</v>
      </c>
      <c r="U846" s="70">
        <f>(orderlinesTABLE[[#This Row],[Qty]]*orderlinesTABLE[[#This Row],[UnitCost]])</f>
        <v>242.48</v>
      </c>
    </row>
    <row r="847" spans="1:21" x14ac:dyDescent="0.3">
      <c r="A847" s="15" t="s">
        <v>368</v>
      </c>
      <c r="B847" s="15" t="s">
        <v>406</v>
      </c>
      <c r="C847" s="15">
        <v>2</v>
      </c>
      <c r="D847" s="36">
        <f>VLOOKUP($B847,Menu!$A$1:$F$20,MATCH($D$1,Menu!$A$1:$F$1,0),0)</f>
        <v>38.06</v>
      </c>
      <c r="E847" s="15" t="str">
        <f>VLOOKUP($B847,Menu!$A$1:$F$20,MATCH(OrderLines!E$1,Menu!$A$1:$F$1,0),0)</f>
        <v>Snack</v>
      </c>
      <c r="F847" s="36">
        <f>VLOOKUP($B847,Menu!$A$1:$F$20,MATCH(OrderLines!F$1,Menu!$A$1:$F$1,0),0)</f>
        <v>19.55</v>
      </c>
      <c r="G847" s="27">
        <f>VLOOKUP($A847,Orders!$A$1:$H$361,MATCH($G$1,Orders!$A$1:$H$1,0),0)</f>
        <v>45864</v>
      </c>
      <c r="H847" s="15" t="str">
        <f>VLOOKUP($A847,Orders!$A$1:$H$361,MATCH(OrderLines!$H$1,Orders!$A$1:$H$1,0),0)</f>
        <v>Plant 1 Canteen</v>
      </c>
      <c r="I847" s="15">
        <f>VLOOKUP($A847,Orders!$A$1:$H$361,MATCH(OrderLines!$I$1,Orders!$A$1:$H$1,0),0)</f>
        <v>0.12</v>
      </c>
      <c r="J847" s="15">
        <f t="shared" si="40"/>
        <v>66.985600000000005</v>
      </c>
      <c r="K847" s="27" t="str">
        <f t="shared" si="41"/>
        <v>July</v>
      </c>
      <c r="L847" s="15" t="str">
        <f>VLOOKUP(OrderLines!$A847,Orders!$A$1:$H$361,MATCH(OrderLines!$L$1,Orders!$A$1:$H$1,0),0)</f>
        <v>Breakfast</v>
      </c>
      <c r="M847" t="str">
        <f>VLOOKUP($A847,Orders!$A$1:$H$361,MATCH(OrderLines!$M$1,Orders!$A$1:$H$1,0),0)</f>
        <v>UPI</v>
      </c>
      <c r="N847" t="str">
        <f t="shared" si="39"/>
        <v>Single</v>
      </c>
      <c r="O847" t="str" cm="1">
        <f t="array" ref="O847">IF((SUMPRODUCT((OrderID=OrderLines!$A847)*Qty*UnitPrice*DiscountPct))&gt;40,"HighDisc","OK")</f>
        <v>HighDisc</v>
      </c>
      <c r="P847">
        <f>(orderlinesTABLE[[#This Row],[UnitCost]]*orderlinesTABLE[[#This Row],[Qty]])</f>
        <v>39.1</v>
      </c>
      <c r="Q847">
        <f>(orderlinesTABLE[[#This Row],[LineNetAmount]]-orderlinesTABLE[[#This Row],[totalCOST]])</f>
        <v>27.885600000000004</v>
      </c>
      <c r="R847" t="str">
        <f>VLOOKUP($B847,Menu!$A$1:$F$20,MATCH(OrderLines!R$1,Menu!$A$1:$F$1,0),0)</f>
        <v>Paneer Roll</v>
      </c>
      <c r="S847" t="str" cm="1">
        <f t="array" ref="S847">_xlfn.TEXTJOIN("+",TRUE,_xlfn._xlws.FILTER(orderlinesTABLE[ItemName],OrderID=orderlinesTABLE[[#This Row],[OrderID]]))</f>
        <v>Paneer Roll+Egg Curry + Rice+Samosa+Fruit Cup</v>
      </c>
      <c r="T847" s="54">
        <f>orderlinesTABLE[[#This Row],[Profit]]/orderlinesTABLE[[#This Row],[LineNetAmount]]</f>
        <v>0.41629245688625616</v>
      </c>
      <c r="U847" s="70">
        <f>(orderlinesTABLE[[#This Row],[Qty]]*orderlinesTABLE[[#This Row],[UnitCost]])</f>
        <v>39.1</v>
      </c>
    </row>
    <row r="848" spans="1:21" x14ac:dyDescent="0.3">
      <c r="A848" s="14" t="s">
        <v>368</v>
      </c>
      <c r="B848" s="14" t="s">
        <v>407</v>
      </c>
      <c r="C848" s="14">
        <v>1</v>
      </c>
      <c r="D848" s="37">
        <f>VLOOKUP($B848,Menu!$A$1:$F$20,MATCH($D$1,Menu!$A$1:$F$1,0),0)</f>
        <v>246.09</v>
      </c>
      <c r="E848" s="14" t="str">
        <f>VLOOKUP($B848,Menu!$A$1:$F$20,MATCH(OrderLines!E$1,Menu!$A$1:$F$1,0),0)</f>
        <v>Hot Meal</v>
      </c>
      <c r="F848" s="37">
        <f>VLOOKUP($B848,Menu!$A$1:$F$20,MATCH(OrderLines!F$1,Menu!$A$1:$F$1,0),0)</f>
        <v>112.08</v>
      </c>
      <c r="G848" s="28">
        <f>VLOOKUP($A848,Orders!$A$1:$H$361,MATCH($G$1,Orders!$A$1:$H$1,0),0)</f>
        <v>45864</v>
      </c>
      <c r="H848" s="14" t="str">
        <f>VLOOKUP($A848,Orders!$A$1:$H$361,MATCH(OrderLines!$H$1,Orders!$A$1:$H$1,0),0)</f>
        <v>Plant 1 Canteen</v>
      </c>
      <c r="I848" s="14">
        <f>VLOOKUP($A848,Orders!$A$1:$H$361,MATCH(OrderLines!$I$1,Orders!$A$1:$H$1,0),0)</f>
        <v>0.12</v>
      </c>
      <c r="J848" s="14">
        <f t="shared" si="40"/>
        <v>216.5592</v>
      </c>
      <c r="K848" s="28" t="str">
        <f t="shared" si="41"/>
        <v>July</v>
      </c>
      <c r="L848" s="14" t="str">
        <f>VLOOKUP(OrderLines!$A848,Orders!$A$1:$H$361,MATCH(OrderLines!$L$1,Orders!$A$1:$H$1,0),0)</f>
        <v>Breakfast</v>
      </c>
      <c r="M848" t="str">
        <f>VLOOKUP($A848,Orders!$A$1:$H$361,MATCH(OrderLines!$M$1,Orders!$A$1:$H$1,0),0)</f>
        <v>UPI</v>
      </c>
      <c r="N848" t="str">
        <f t="shared" si="39"/>
        <v>Single</v>
      </c>
      <c r="O848" t="str" cm="1">
        <f t="array" ref="O848">IF((SUMPRODUCT((OrderID=OrderLines!$A848)*Qty*UnitPrice*DiscountPct))&gt;40,"HighDisc","OK")</f>
        <v>HighDisc</v>
      </c>
      <c r="P848">
        <f>(orderlinesTABLE[[#This Row],[UnitCost]]*orderlinesTABLE[[#This Row],[Qty]])</f>
        <v>112.08</v>
      </c>
      <c r="Q848">
        <f>(orderlinesTABLE[[#This Row],[LineNetAmount]]-orderlinesTABLE[[#This Row],[totalCOST]])</f>
        <v>104.47920000000001</v>
      </c>
      <c r="R848" t="str">
        <f>VLOOKUP($B848,Menu!$A$1:$F$20,MATCH(OrderLines!R$1,Menu!$A$1:$F$1,0),0)</f>
        <v>Egg Curry + Rice</v>
      </c>
      <c r="S848" t="str" cm="1">
        <f t="array" ref="S848">_xlfn.TEXTJOIN("+",TRUE,_xlfn._xlws.FILTER(orderlinesTABLE[ItemName],OrderID=orderlinesTABLE[[#This Row],[OrderID]]))</f>
        <v>Paneer Roll+Egg Curry + Rice+Samosa+Fruit Cup</v>
      </c>
      <c r="T848" s="54">
        <f>orderlinesTABLE[[#This Row],[Profit]]/orderlinesTABLE[[#This Row],[LineNetAmount]]</f>
        <v>0.48245098799773922</v>
      </c>
      <c r="U848" s="70">
        <f>(orderlinesTABLE[[#This Row],[Qty]]*orderlinesTABLE[[#This Row],[UnitCost]])</f>
        <v>112.08</v>
      </c>
    </row>
    <row r="849" spans="1:21" x14ac:dyDescent="0.3">
      <c r="A849" s="15" t="s">
        <v>368</v>
      </c>
      <c r="B849" s="15" t="s">
        <v>418</v>
      </c>
      <c r="C849" s="15">
        <v>2</v>
      </c>
      <c r="D849" s="36">
        <f>VLOOKUP($B849,Menu!$A$1:$F$20,MATCH($D$1,Menu!$A$1:$F$1,0),0)</f>
        <v>39.950000000000003</v>
      </c>
      <c r="E849" s="15" t="str">
        <f>VLOOKUP($B849,Menu!$A$1:$F$20,MATCH(OrderLines!E$1,Menu!$A$1:$F$1,0),0)</f>
        <v>Snack</v>
      </c>
      <c r="F849" s="36">
        <f>VLOOKUP($B849,Menu!$A$1:$F$20,MATCH(OrderLines!F$1,Menu!$A$1:$F$1,0),0)</f>
        <v>15.51</v>
      </c>
      <c r="G849" s="27">
        <f>VLOOKUP($A849,Orders!$A$1:$H$361,MATCH($G$1,Orders!$A$1:$H$1,0),0)</f>
        <v>45864</v>
      </c>
      <c r="H849" s="15" t="str">
        <f>VLOOKUP($A849,Orders!$A$1:$H$361,MATCH(OrderLines!$H$1,Orders!$A$1:$H$1,0),0)</f>
        <v>Plant 1 Canteen</v>
      </c>
      <c r="I849" s="15">
        <f>VLOOKUP($A849,Orders!$A$1:$H$361,MATCH(OrderLines!$I$1,Orders!$A$1:$H$1,0),0)</f>
        <v>0.12</v>
      </c>
      <c r="J849" s="15">
        <f t="shared" si="40"/>
        <v>70.312000000000012</v>
      </c>
      <c r="K849" s="27" t="str">
        <f t="shared" si="41"/>
        <v>July</v>
      </c>
      <c r="L849" s="15" t="str">
        <f>VLOOKUP(OrderLines!$A849,Orders!$A$1:$H$361,MATCH(OrderLines!$L$1,Orders!$A$1:$H$1,0),0)</f>
        <v>Breakfast</v>
      </c>
      <c r="M849" t="str">
        <f>VLOOKUP($A849,Orders!$A$1:$H$361,MATCH(OrderLines!$M$1,Orders!$A$1:$H$1,0),0)</f>
        <v>UPI</v>
      </c>
      <c r="N849" t="str">
        <f t="shared" si="39"/>
        <v>Single</v>
      </c>
      <c r="O849" t="str" cm="1">
        <f t="array" ref="O849">IF((SUMPRODUCT((OrderID=OrderLines!$A849)*Qty*UnitPrice*DiscountPct))&gt;40,"HighDisc","OK")</f>
        <v>HighDisc</v>
      </c>
      <c r="P849">
        <f>(orderlinesTABLE[[#This Row],[UnitCost]]*orderlinesTABLE[[#This Row],[Qty]])</f>
        <v>31.02</v>
      </c>
      <c r="Q849">
        <f>(orderlinesTABLE[[#This Row],[LineNetAmount]]-orderlinesTABLE[[#This Row],[totalCOST]])</f>
        <v>39.292000000000016</v>
      </c>
      <c r="R849" t="str">
        <f>VLOOKUP($B849,Menu!$A$1:$F$20,MATCH(OrderLines!R$1,Menu!$A$1:$F$1,0),0)</f>
        <v>Samosa</v>
      </c>
      <c r="S849" t="str" cm="1">
        <f t="array" ref="S849">_xlfn.TEXTJOIN("+",TRUE,_xlfn._xlws.FILTER(orderlinesTABLE[ItemName],OrderID=orderlinesTABLE[[#This Row],[OrderID]]))</f>
        <v>Paneer Roll+Egg Curry + Rice+Samosa+Fruit Cup</v>
      </c>
      <c r="T849" s="54">
        <f>orderlinesTABLE[[#This Row],[Profit]]/orderlinesTABLE[[#This Row],[LineNetAmount]]</f>
        <v>0.55882352941176483</v>
      </c>
      <c r="U849" s="70">
        <f>(orderlinesTABLE[[#This Row],[Qty]]*orderlinesTABLE[[#This Row],[UnitCost]])</f>
        <v>31.02</v>
      </c>
    </row>
    <row r="850" spans="1:21" x14ac:dyDescent="0.3">
      <c r="A850" s="14" t="s">
        <v>368</v>
      </c>
      <c r="B850" s="14" t="s">
        <v>412</v>
      </c>
      <c r="C850" s="14">
        <v>1</v>
      </c>
      <c r="D850" s="37">
        <f>VLOOKUP($B850,Menu!$A$1:$F$20,MATCH($D$1,Menu!$A$1:$F$1,0),0)</f>
        <v>57.07</v>
      </c>
      <c r="E850" s="14" t="str">
        <f>VLOOKUP($B850,Menu!$A$1:$F$20,MATCH(OrderLines!E$1,Menu!$A$1:$F$1,0),0)</f>
        <v>Dessert</v>
      </c>
      <c r="F850" s="37">
        <f>VLOOKUP($B850,Menu!$A$1:$F$20,MATCH(OrderLines!F$1,Menu!$A$1:$F$1,0),0)</f>
        <v>29.14</v>
      </c>
      <c r="G850" s="28">
        <f>VLOOKUP($A850,Orders!$A$1:$H$361,MATCH($G$1,Orders!$A$1:$H$1,0),0)</f>
        <v>45864</v>
      </c>
      <c r="H850" s="14" t="str">
        <f>VLOOKUP($A850,Orders!$A$1:$H$361,MATCH(OrderLines!$H$1,Orders!$A$1:$H$1,0),0)</f>
        <v>Plant 1 Canteen</v>
      </c>
      <c r="I850" s="14">
        <f>VLOOKUP($A850,Orders!$A$1:$H$361,MATCH(OrderLines!$I$1,Orders!$A$1:$H$1,0),0)</f>
        <v>0.12</v>
      </c>
      <c r="J850" s="14">
        <f t="shared" si="40"/>
        <v>50.221600000000002</v>
      </c>
      <c r="K850" s="28" t="str">
        <f t="shared" si="41"/>
        <v>July</v>
      </c>
      <c r="L850" s="14" t="str">
        <f>VLOOKUP(OrderLines!$A850,Orders!$A$1:$H$361,MATCH(OrderLines!$L$1,Orders!$A$1:$H$1,0),0)</f>
        <v>Breakfast</v>
      </c>
      <c r="M850" t="str">
        <f>VLOOKUP($A850,Orders!$A$1:$H$361,MATCH(OrderLines!$M$1,Orders!$A$1:$H$1,0),0)</f>
        <v>UPI</v>
      </c>
      <c r="N850" t="str">
        <f t="shared" si="39"/>
        <v>Single</v>
      </c>
      <c r="O850" t="str" cm="1">
        <f t="array" ref="O850">IF((SUMPRODUCT((OrderID=OrderLines!$A850)*Qty*UnitPrice*DiscountPct))&gt;40,"HighDisc","OK")</f>
        <v>HighDisc</v>
      </c>
      <c r="P850">
        <f>(orderlinesTABLE[[#This Row],[UnitCost]]*orderlinesTABLE[[#This Row],[Qty]])</f>
        <v>29.14</v>
      </c>
      <c r="Q850">
        <f>(orderlinesTABLE[[#This Row],[LineNetAmount]]-orderlinesTABLE[[#This Row],[totalCOST]])</f>
        <v>21.081600000000002</v>
      </c>
      <c r="R850" t="str">
        <f>VLOOKUP($B850,Menu!$A$1:$F$20,MATCH(OrderLines!R$1,Menu!$A$1:$F$1,0),0)</f>
        <v>Fruit Cup</v>
      </c>
      <c r="S850" t="str" cm="1">
        <f t="array" ref="S850">_xlfn.TEXTJOIN("+",TRUE,_xlfn._xlws.FILTER(orderlinesTABLE[ItemName],OrderID=orderlinesTABLE[[#This Row],[OrderID]]))</f>
        <v>Paneer Roll+Egg Curry + Rice+Samosa+Fruit Cup</v>
      </c>
      <c r="T850" s="54">
        <f>orderlinesTABLE[[#This Row],[Profit]]/orderlinesTABLE[[#This Row],[LineNetAmount]]</f>
        <v>0.41977157239116236</v>
      </c>
      <c r="U850" s="70">
        <f>(orderlinesTABLE[[#This Row],[Qty]]*orderlinesTABLE[[#This Row],[UnitCost]])</f>
        <v>29.14</v>
      </c>
    </row>
    <row r="851" spans="1:21" x14ac:dyDescent="0.3">
      <c r="A851" s="15" t="s">
        <v>369</v>
      </c>
      <c r="B851" s="15" t="s">
        <v>411</v>
      </c>
      <c r="C851" s="15">
        <v>2</v>
      </c>
      <c r="D851" s="36">
        <f>VLOOKUP($B851,Menu!$A$1:$F$20,MATCH($D$1,Menu!$A$1:$F$1,0),0)</f>
        <v>22.2</v>
      </c>
      <c r="E851" s="15" t="str">
        <f>VLOOKUP($B851,Menu!$A$1:$F$20,MATCH(OrderLines!E$1,Menu!$A$1:$F$1,0),0)</f>
        <v>Beverage</v>
      </c>
      <c r="F851" s="36">
        <f>VLOOKUP($B851,Menu!$A$1:$F$20,MATCH(OrderLines!F$1,Menu!$A$1:$F$1,0),0)</f>
        <v>9.3800000000000008</v>
      </c>
      <c r="G851" s="27">
        <f>VLOOKUP($A851,Orders!$A$1:$H$361,MATCH($G$1,Orders!$A$1:$H$1,0),0)</f>
        <v>45880</v>
      </c>
      <c r="H851" s="15" t="str">
        <f>VLOOKUP($A851,Orders!$A$1:$H$361,MATCH(OrderLines!$H$1,Orders!$A$1:$H$1,0),0)</f>
        <v>Plant 1 Canteen</v>
      </c>
      <c r="I851" s="15">
        <f>VLOOKUP($A851,Orders!$A$1:$H$361,MATCH(OrderLines!$I$1,Orders!$A$1:$H$1,0),0)</f>
        <v>0.1</v>
      </c>
      <c r="J851" s="15">
        <f t="shared" si="40"/>
        <v>39.96</v>
      </c>
      <c r="K851" s="27" t="str">
        <f t="shared" si="41"/>
        <v>August</v>
      </c>
      <c r="L851" s="15" t="str">
        <f>VLOOKUP(OrderLines!$A851,Orders!$A$1:$H$361,MATCH(OrderLines!$L$1,Orders!$A$1:$H$1,0),0)</f>
        <v>Breakfast</v>
      </c>
      <c r="M851" t="str">
        <f>VLOOKUP($A851,Orders!$A$1:$H$361,MATCH(OrderLines!$M$1,Orders!$A$1:$H$1,0),0)</f>
        <v>Cash</v>
      </c>
      <c r="N851" t="str">
        <f t="shared" si="39"/>
        <v>Single</v>
      </c>
      <c r="O851" t="str" cm="1">
        <f t="array" ref="O851">IF((SUMPRODUCT((OrderID=OrderLines!$A851)*Qty*UnitPrice*DiscountPct))&gt;40,"HighDisc","OK")</f>
        <v>OK</v>
      </c>
      <c r="P851">
        <f>(orderlinesTABLE[[#This Row],[UnitCost]]*orderlinesTABLE[[#This Row],[Qty]])</f>
        <v>18.760000000000002</v>
      </c>
      <c r="Q851">
        <f>(orderlinesTABLE[[#This Row],[LineNetAmount]]-orderlinesTABLE[[#This Row],[totalCOST]])</f>
        <v>21.2</v>
      </c>
      <c r="R851" t="str">
        <f>VLOOKUP($B851,Menu!$A$1:$F$20,MATCH(OrderLines!R$1,Menu!$A$1:$F$1,0),0)</f>
        <v>Coffee</v>
      </c>
      <c r="S851" t="str" cm="1">
        <f t="array" ref="S851">_xlfn.TEXTJOIN("+",TRUE,_xlfn._xlws.FILTER(orderlinesTABLE[ItemName],OrderID=orderlinesTABLE[[#This Row],[OrderID]]))</f>
        <v>Coffee+Veg Sandwich+Masala Puff+Kheer Cup</v>
      </c>
      <c r="T851" s="54">
        <f>orderlinesTABLE[[#This Row],[Profit]]/orderlinesTABLE[[#This Row],[LineNetAmount]]</f>
        <v>0.53053053053053045</v>
      </c>
      <c r="U851" s="70">
        <f>(orderlinesTABLE[[#This Row],[Qty]]*orderlinesTABLE[[#This Row],[UnitCost]])</f>
        <v>18.760000000000002</v>
      </c>
    </row>
    <row r="852" spans="1:21" x14ac:dyDescent="0.3">
      <c r="A852" s="14" t="s">
        <v>369</v>
      </c>
      <c r="B852" s="14" t="s">
        <v>408</v>
      </c>
      <c r="C852" s="14">
        <v>1</v>
      </c>
      <c r="D852" s="37">
        <f>VLOOKUP($B852,Menu!$A$1:$F$20,MATCH($D$1,Menu!$A$1:$F$1,0),0)</f>
        <v>70.540000000000006</v>
      </c>
      <c r="E852" s="14" t="str">
        <f>VLOOKUP($B852,Menu!$A$1:$F$20,MATCH(OrderLines!E$1,Menu!$A$1:$F$1,0),0)</f>
        <v>Snack</v>
      </c>
      <c r="F852" s="37">
        <f>VLOOKUP($B852,Menu!$A$1:$F$20,MATCH(OrderLines!F$1,Menu!$A$1:$F$1,0),0)</f>
        <v>35.81</v>
      </c>
      <c r="G852" s="28">
        <f>VLOOKUP($A852,Orders!$A$1:$H$361,MATCH($G$1,Orders!$A$1:$H$1,0),0)</f>
        <v>45880</v>
      </c>
      <c r="H852" s="14" t="str">
        <f>VLOOKUP($A852,Orders!$A$1:$H$361,MATCH(OrderLines!$H$1,Orders!$A$1:$H$1,0),0)</f>
        <v>Plant 1 Canteen</v>
      </c>
      <c r="I852" s="14">
        <f>VLOOKUP($A852,Orders!$A$1:$H$361,MATCH(OrderLines!$I$1,Orders!$A$1:$H$1,0),0)</f>
        <v>0.1</v>
      </c>
      <c r="J852" s="14">
        <f t="shared" si="40"/>
        <v>63.486000000000004</v>
      </c>
      <c r="K852" s="28" t="str">
        <f t="shared" si="41"/>
        <v>August</v>
      </c>
      <c r="L852" s="14" t="str">
        <f>VLOOKUP(OrderLines!$A852,Orders!$A$1:$H$361,MATCH(OrderLines!$L$1,Orders!$A$1:$H$1,0),0)</f>
        <v>Breakfast</v>
      </c>
      <c r="M852" t="str">
        <f>VLOOKUP($A852,Orders!$A$1:$H$361,MATCH(OrderLines!$M$1,Orders!$A$1:$H$1,0),0)</f>
        <v>Cash</v>
      </c>
      <c r="N852" t="str">
        <f t="shared" si="39"/>
        <v>Single</v>
      </c>
      <c r="O852" t="str" cm="1">
        <f t="array" ref="O852">IF((SUMPRODUCT((OrderID=OrderLines!$A852)*Qty*UnitPrice*DiscountPct))&gt;40,"HighDisc","OK")</f>
        <v>OK</v>
      </c>
      <c r="P852">
        <f>(orderlinesTABLE[[#This Row],[UnitCost]]*orderlinesTABLE[[#This Row],[Qty]])</f>
        <v>35.81</v>
      </c>
      <c r="Q852">
        <f>(orderlinesTABLE[[#This Row],[LineNetAmount]]-orderlinesTABLE[[#This Row],[totalCOST]])</f>
        <v>27.676000000000002</v>
      </c>
      <c r="R852" t="str">
        <f>VLOOKUP($B852,Menu!$A$1:$F$20,MATCH(OrderLines!R$1,Menu!$A$1:$F$1,0),0)</f>
        <v>Veg Sandwich</v>
      </c>
      <c r="S852" t="str" cm="1">
        <f t="array" ref="S852">_xlfn.TEXTJOIN("+",TRUE,_xlfn._xlws.FILTER(orderlinesTABLE[ItemName],OrderID=orderlinesTABLE[[#This Row],[OrderID]]))</f>
        <v>Coffee+Veg Sandwich+Masala Puff+Kheer Cup</v>
      </c>
      <c r="T852" s="54">
        <f>orderlinesTABLE[[#This Row],[Profit]]/orderlinesTABLE[[#This Row],[LineNetAmount]]</f>
        <v>0.43593863213936929</v>
      </c>
      <c r="U852" s="70">
        <f>(orderlinesTABLE[[#This Row],[Qty]]*orderlinesTABLE[[#This Row],[UnitCost]])</f>
        <v>35.81</v>
      </c>
    </row>
    <row r="853" spans="1:21" x14ac:dyDescent="0.3">
      <c r="A853" s="15" t="s">
        <v>369</v>
      </c>
      <c r="B853" s="15" t="s">
        <v>419</v>
      </c>
      <c r="C853" s="15">
        <v>1</v>
      </c>
      <c r="D853" s="36">
        <f>VLOOKUP($B853,Menu!$A$1:$F$20,MATCH($D$1,Menu!$A$1:$F$1,0),0)</f>
        <v>50.19</v>
      </c>
      <c r="E853" s="15" t="str">
        <f>VLOOKUP($B853,Menu!$A$1:$F$20,MATCH(OrderLines!E$1,Menu!$A$1:$F$1,0),0)</f>
        <v>Snack</v>
      </c>
      <c r="F853" s="36">
        <f>VLOOKUP($B853,Menu!$A$1:$F$20,MATCH(OrderLines!F$1,Menu!$A$1:$F$1,0),0)</f>
        <v>22.61</v>
      </c>
      <c r="G853" s="27">
        <f>VLOOKUP($A853,Orders!$A$1:$H$361,MATCH($G$1,Orders!$A$1:$H$1,0),0)</f>
        <v>45880</v>
      </c>
      <c r="H853" s="15" t="str">
        <f>VLOOKUP($A853,Orders!$A$1:$H$361,MATCH(OrderLines!$H$1,Orders!$A$1:$H$1,0),0)</f>
        <v>Plant 1 Canteen</v>
      </c>
      <c r="I853" s="15">
        <f>VLOOKUP($A853,Orders!$A$1:$H$361,MATCH(OrderLines!$I$1,Orders!$A$1:$H$1,0),0)</f>
        <v>0.1</v>
      </c>
      <c r="J853" s="15">
        <f t="shared" si="40"/>
        <v>45.170999999999999</v>
      </c>
      <c r="K853" s="27" t="str">
        <f t="shared" si="41"/>
        <v>August</v>
      </c>
      <c r="L853" s="15" t="str">
        <f>VLOOKUP(OrderLines!$A853,Orders!$A$1:$H$361,MATCH(OrderLines!$L$1,Orders!$A$1:$H$1,0),0)</f>
        <v>Breakfast</v>
      </c>
      <c r="M853" t="str">
        <f>VLOOKUP($A853,Orders!$A$1:$H$361,MATCH(OrderLines!$M$1,Orders!$A$1:$H$1,0),0)</f>
        <v>Cash</v>
      </c>
      <c r="N853" t="str">
        <f t="shared" si="39"/>
        <v>Single</v>
      </c>
      <c r="O853" t="str" cm="1">
        <f t="array" ref="O853">IF((SUMPRODUCT((OrderID=OrderLines!$A853)*Qty*UnitPrice*DiscountPct))&gt;40,"HighDisc","OK")</f>
        <v>OK</v>
      </c>
      <c r="P853">
        <f>(orderlinesTABLE[[#This Row],[UnitCost]]*orderlinesTABLE[[#This Row],[Qty]])</f>
        <v>22.61</v>
      </c>
      <c r="Q853">
        <f>(orderlinesTABLE[[#This Row],[LineNetAmount]]-orderlinesTABLE[[#This Row],[totalCOST]])</f>
        <v>22.561</v>
      </c>
      <c r="R853" t="str">
        <f>VLOOKUP($B853,Menu!$A$1:$F$20,MATCH(OrderLines!R$1,Menu!$A$1:$F$1,0),0)</f>
        <v>Masala Puff</v>
      </c>
      <c r="S853" t="str" cm="1">
        <f t="array" ref="S853">_xlfn.TEXTJOIN("+",TRUE,_xlfn._xlws.FILTER(orderlinesTABLE[ItemName],OrderID=orderlinesTABLE[[#This Row],[OrderID]]))</f>
        <v>Coffee+Veg Sandwich+Masala Puff+Kheer Cup</v>
      </c>
      <c r="T853" s="54">
        <f>orderlinesTABLE[[#This Row],[Profit]]/orderlinesTABLE[[#This Row],[LineNetAmount]]</f>
        <v>0.49945761661242832</v>
      </c>
      <c r="U853" s="70">
        <f>(orderlinesTABLE[[#This Row],[Qty]]*orderlinesTABLE[[#This Row],[UnitCost]])</f>
        <v>22.61</v>
      </c>
    </row>
    <row r="854" spans="1:21" x14ac:dyDescent="0.3">
      <c r="A854" s="14" t="s">
        <v>369</v>
      </c>
      <c r="B854" s="14" t="s">
        <v>413</v>
      </c>
      <c r="C854" s="14">
        <v>1</v>
      </c>
      <c r="D854" s="37">
        <f>VLOOKUP($B854,Menu!$A$1:$F$20,MATCH($D$1,Menu!$A$1:$F$1,0),0)</f>
        <v>54.2</v>
      </c>
      <c r="E854" s="14" t="str">
        <f>VLOOKUP($B854,Menu!$A$1:$F$20,MATCH(OrderLines!E$1,Menu!$A$1:$F$1,0),0)</f>
        <v>Dessert</v>
      </c>
      <c r="F854" s="37">
        <f>VLOOKUP($B854,Menu!$A$1:$F$20,MATCH(OrderLines!F$1,Menu!$A$1:$F$1,0),0)</f>
        <v>21.95</v>
      </c>
      <c r="G854" s="28">
        <f>VLOOKUP($A854,Orders!$A$1:$H$361,MATCH($G$1,Orders!$A$1:$H$1,0),0)</f>
        <v>45880</v>
      </c>
      <c r="H854" s="14" t="str">
        <f>VLOOKUP($A854,Orders!$A$1:$H$361,MATCH(OrderLines!$H$1,Orders!$A$1:$H$1,0),0)</f>
        <v>Plant 1 Canteen</v>
      </c>
      <c r="I854" s="14">
        <f>VLOOKUP($A854,Orders!$A$1:$H$361,MATCH(OrderLines!$I$1,Orders!$A$1:$H$1,0),0)</f>
        <v>0.1</v>
      </c>
      <c r="J854" s="14">
        <f t="shared" si="40"/>
        <v>48.78</v>
      </c>
      <c r="K854" s="28" t="str">
        <f t="shared" si="41"/>
        <v>August</v>
      </c>
      <c r="L854" s="14" t="str">
        <f>VLOOKUP(OrderLines!$A854,Orders!$A$1:$H$361,MATCH(OrderLines!$L$1,Orders!$A$1:$H$1,0),0)</f>
        <v>Breakfast</v>
      </c>
      <c r="M854" t="str">
        <f>VLOOKUP($A854,Orders!$A$1:$H$361,MATCH(OrderLines!$M$1,Orders!$A$1:$H$1,0),0)</f>
        <v>Cash</v>
      </c>
      <c r="N854" t="str">
        <f t="shared" si="39"/>
        <v>Single</v>
      </c>
      <c r="O854" t="str" cm="1">
        <f t="array" ref="O854">IF((SUMPRODUCT((OrderID=OrderLines!$A854)*Qty*UnitPrice*DiscountPct))&gt;40,"HighDisc","OK")</f>
        <v>OK</v>
      </c>
      <c r="P854">
        <f>(orderlinesTABLE[[#This Row],[UnitCost]]*orderlinesTABLE[[#This Row],[Qty]])</f>
        <v>21.95</v>
      </c>
      <c r="Q854">
        <f>(orderlinesTABLE[[#This Row],[LineNetAmount]]-orderlinesTABLE[[#This Row],[totalCOST]])</f>
        <v>26.830000000000002</v>
      </c>
      <c r="R854" t="str">
        <f>VLOOKUP($B854,Menu!$A$1:$F$20,MATCH(OrderLines!R$1,Menu!$A$1:$F$1,0),0)</f>
        <v>Kheer Cup</v>
      </c>
      <c r="S854" t="str" cm="1">
        <f t="array" ref="S854">_xlfn.TEXTJOIN("+",TRUE,_xlfn._xlws.FILTER(orderlinesTABLE[ItemName],OrderID=orderlinesTABLE[[#This Row],[OrderID]]))</f>
        <v>Coffee+Veg Sandwich+Masala Puff+Kheer Cup</v>
      </c>
      <c r="T854" s="54">
        <f>orderlinesTABLE[[#This Row],[Profit]]/orderlinesTABLE[[#This Row],[LineNetAmount]]</f>
        <v>0.55002050020500204</v>
      </c>
      <c r="U854" s="70">
        <f>(orderlinesTABLE[[#This Row],[Qty]]*orderlinesTABLE[[#This Row],[UnitCost]])</f>
        <v>21.95</v>
      </c>
    </row>
    <row r="855" spans="1:21" x14ac:dyDescent="0.3">
      <c r="A855" s="15" t="s">
        <v>370</v>
      </c>
      <c r="B855" s="15" t="s">
        <v>410</v>
      </c>
      <c r="C855" s="15">
        <v>1</v>
      </c>
      <c r="D855" s="36">
        <f>VLOOKUP($B855,Menu!$A$1:$F$20,MATCH($D$1,Menu!$A$1:$F$1,0),0)</f>
        <v>20.11</v>
      </c>
      <c r="E855" s="15" t="str">
        <f>VLOOKUP($B855,Menu!$A$1:$F$20,MATCH(OrderLines!E$1,Menu!$A$1:$F$1,0),0)</f>
        <v>Beverage</v>
      </c>
      <c r="F855" s="36">
        <f>VLOOKUP($B855,Menu!$A$1:$F$20,MATCH(OrderLines!F$1,Menu!$A$1:$F$1,0),0)</f>
        <v>8</v>
      </c>
      <c r="G855" s="27">
        <f>VLOOKUP($A855,Orders!$A$1:$H$361,MATCH($G$1,Orders!$A$1:$H$1,0),0)</f>
        <v>45851</v>
      </c>
      <c r="H855" s="15" t="str">
        <f>VLOOKUP($A855,Orders!$A$1:$H$361,MATCH(OrderLines!$H$1,Orders!$A$1:$H$1,0),0)</f>
        <v>Plant 1 Canteen</v>
      </c>
      <c r="I855" s="15">
        <f>VLOOKUP($A855,Orders!$A$1:$H$361,MATCH(OrderLines!$I$1,Orders!$A$1:$H$1,0),0)</f>
        <v>0.15</v>
      </c>
      <c r="J855" s="15">
        <f t="shared" si="40"/>
        <v>17.093499999999999</v>
      </c>
      <c r="K855" s="27" t="str">
        <f t="shared" si="41"/>
        <v>July</v>
      </c>
      <c r="L855" s="15" t="str">
        <f>VLOOKUP(OrderLines!$A855,Orders!$A$1:$H$361,MATCH(OrderLines!$L$1,Orders!$A$1:$H$1,0),0)</f>
        <v>Breakfast</v>
      </c>
      <c r="M855" t="str">
        <f>VLOOKUP($A855,Orders!$A$1:$H$361,MATCH(OrderLines!$M$1,Orders!$A$1:$H$1,0),0)</f>
        <v>Card</v>
      </c>
      <c r="N855" t="str">
        <f t="shared" si="39"/>
        <v>Single</v>
      </c>
      <c r="O855" t="str" cm="1">
        <f t="array" ref="O855">IF((SUMPRODUCT((OrderID=OrderLines!$A855)*Qty*UnitPrice*DiscountPct))&gt;40,"HighDisc","OK")</f>
        <v>OK</v>
      </c>
      <c r="P855">
        <f>(orderlinesTABLE[[#This Row],[UnitCost]]*orderlinesTABLE[[#This Row],[Qty]])</f>
        <v>8</v>
      </c>
      <c r="Q855">
        <f>(orderlinesTABLE[[#This Row],[LineNetAmount]]-orderlinesTABLE[[#This Row],[totalCOST]])</f>
        <v>9.0934999999999988</v>
      </c>
      <c r="R855" t="str">
        <f>VLOOKUP($B855,Menu!$A$1:$F$20,MATCH(OrderLines!R$1,Menu!$A$1:$F$1,0),0)</f>
        <v>Nimbu Pani</v>
      </c>
      <c r="S855" t="str" cm="1">
        <f t="array" ref="S855">_xlfn.TEXTJOIN("+",TRUE,_xlfn._xlws.FILTER(orderlinesTABLE[ItemName],OrderID=orderlinesTABLE[[#This Row],[OrderID]]))</f>
        <v>Nimbu Pani+Gulab Jamun (2 pc)</v>
      </c>
      <c r="T855" s="54">
        <f>orderlinesTABLE[[#This Row],[Profit]]/orderlinesTABLE[[#This Row],[LineNetAmount]]</f>
        <v>0.53198584257173775</v>
      </c>
      <c r="U855" s="70">
        <f>(orderlinesTABLE[[#This Row],[Qty]]*orderlinesTABLE[[#This Row],[UnitCost]])</f>
        <v>8</v>
      </c>
    </row>
    <row r="856" spans="1:21" x14ac:dyDescent="0.3">
      <c r="A856" s="14" t="s">
        <v>370</v>
      </c>
      <c r="B856" s="14" t="s">
        <v>403</v>
      </c>
      <c r="C856" s="14">
        <v>2</v>
      </c>
      <c r="D856" s="37">
        <f>VLOOKUP($B856,Menu!$A$1:$F$20,MATCH($D$1,Menu!$A$1:$F$1,0),0)</f>
        <v>76.55</v>
      </c>
      <c r="E856" s="14" t="str">
        <f>VLOOKUP($B856,Menu!$A$1:$F$20,MATCH(OrderLines!E$1,Menu!$A$1:$F$1,0),0)</f>
        <v>Dessert</v>
      </c>
      <c r="F856" s="37">
        <f>VLOOKUP($B856,Menu!$A$1:$F$20,MATCH(OrderLines!F$1,Menu!$A$1:$F$1,0),0)</f>
        <v>38.229999999999997</v>
      </c>
      <c r="G856" s="28">
        <f>VLOOKUP($A856,Orders!$A$1:$H$361,MATCH($G$1,Orders!$A$1:$H$1,0),0)</f>
        <v>45851</v>
      </c>
      <c r="H856" s="14" t="str">
        <f>VLOOKUP($A856,Orders!$A$1:$H$361,MATCH(OrderLines!$H$1,Orders!$A$1:$H$1,0),0)</f>
        <v>Plant 1 Canteen</v>
      </c>
      <c r="I856" s="14">
        <f>VLOOKUP($A856,Orders!$A$1:$H$361,MATCH(OrderLines!$I$1,Orders!$A$1:$H$1,0),0)</f>
        <v>0.15</v>
      </c>
      <c r="J856" s="14">
        <f t="shared" si="40"/>
        <v>130.13499999999999</v>
      </c>
      <c r="K856" s="28" t="str">
        <f t="shared" si="41"/>
        <v>July</v>
      </c>
      <c r="L856" s="14" t="str">
        <f>VLOOKUP(OrderLines!$A856,Orders!$A$1:$H$361,MATCH(OrderLines!$L$1,Orders!$A$1:$H$1,0),0)</f>
        <v>Breakfast</v>
      </c>
      <c r="M856" t="str">
        <f>VLOOKUP($A856,Orders!$A$1:$H$361,MATCH(OrderLines!$M$1,Orders!$A$1:$H$1,0),0)</f>
        <v>Card</v>
      </c>
      <c r="N856" t="str">
        <f t="shared" si="39"/>
        <v>Single</v>
      </c>
      <c r="O856" t="str" cm="1">
        <f t="array" ref="O856">IF((SUMPRODUCT((OrderID=OrderLines!$A856)*Qty*UnitPrice*DiscountPct))&gt;40,"HighDisc","OK")</f>
        <v>OK</v>
      </c>
      <c r="P856">
        <f>(orderlinesTABLE[[#This Row],[UnitCost]]*orderlinesTABLE[[#This Row],[Qty]])</f>
        <v>76.459999999999994</v>
      </c>
      <c r="Q856">
        <f>(orderlinesTABLE[[#This Row],[LineNetAmount]]-orderlinesTABLE[[#This Row],[totalCOST]])</f>
        <v>53.674999999999997</v>
      </c>
      <c r="R856" t="str">
        <f>VLOOKUP($B856,Menu!$A$1:$F$20,MATCH(OrderLines!R$1,Menu!$A$1:$F$1,0),0)</f>
        <v>Gulab Jamun (2 pc)</v>
      </c>
      <c r="S856" t="str" cm="1">
        <f t="array" ref="S856">_xlfn.TEXTJOIN("+",TRUE,_xlfn._xlws.FILTER(orderlinesTABLE[ItemName],OrderID=orderlinesTABLE[[#This Row],[OrderID]]))</f>
        <v>Nimbu Pani+Gulab Jamun (2 pc)</v>
      </c>
      <c r="T856" s="54">
        <f>orderlinesTABLE[[#This Row],[Profit]]/orderlinesTABLE[[#This Row],[LineNetAmount]]</f>
        <v>0.41245629538556117</v>
      </c>
      <c r="U856" s="70">
        <f>(orderlinesTABLE[[#This Row],[Qty]]*orderlinesTABLE[[#This Row],[UnitCost]])</f>
        <v>76.459999999999994</v>
      </c>
    </row>
    <row r="857" spans="1:21" x14ac:dyDescent="0.3">
      <c r="A857" s="15" t="s">
        <v>371</v>
      </c>
      <c r="B857" s="15" t="s">
        <v>416</v>
      </c>
      <c r="C857" s="15">
        <v>2</v>
      </c>
      <c r="D857" s="36">
        <f>VLOOKUP($B857,Menu!$A$1:$F$20,MATCH($D$1,Menu!$A$1:$F$1,0),0)</f>
        <v>227.61</v>
      </c>
      <c r="E857" s="15" t="str">
        <f>VLOOKUP($B857,Menu!$A$1:$F$20,MATCH(OrderLines!E$1,Menu!$A$1:$F$1,0),0)</f>
        <v>Hot Meal</v>
      </c>
      <c r="F857" s="36">
        <f>VLOOKUP($B857,Menu!$A$1:$F$20,MATCH(OrderLines!F$1,Menu!$A$1:$F$1,0),0)</f>
        <v>96.22</v>
      </c>
      <c r="G857" s="27">
        <f>VLOOKUP($A857,Orders!$A$1:$H$361,MATCH($G$1,Orders!$A$1:$H$1,0),0)</f>
        <v>45845</v>
      </c>
      <c r="H857" s="15" t="str">
        <f>VLOOKUP($A857,Orders!$A$1:$H$361,MATCH(OrderLines!$H$1,Orders!$A$1:$H$1,0),0)</f>
        <v>Plant 1 Canteen</v>
      </c>
      <c r="I857" s="15">
        <f>VLOOKUP($A857,Orders!$A$1:$H$361,MATCH(OrderLines!$I$1,Orders!$A$1:$H$1,0),0)</f>
        <v>0.03</v>
      </c>
      <c r="J857" s="15">
        <f t="shared" si="40"/>
        <v>441.5634</v>
      </c>
      <c r="K857" s="27" t="str">
        <f t="shared" si="41"/>
        <v>July</v>
      </c>
      <c r="L857" s="15" t="str">
        <f>VLOOKUP(OrderLines!$A857,Orders!$A$1:$H$361,MATCH(OrderLines!$L$1,Orders!$A$1:$H$1,0),0)</f>
        <v>Breakfast</v>
      </c>
      <c r="M857" t="str">
        <f>VLOOKUP($A857,Orders!$A$1:$H$361,MATCH(OrderLines!$M$1,Orders!$A$1:$H$1,0),0)</f>
        <v>UPI</v>
      </c>
      <c r="N857" t="str">
        <f t="shared" si="39"/>
        <v>Combo</v>
      </c>
      <c r="O857" t="str" cm="1">
        <f t="array" ref="O857">IF((SUMPRODUCT((OrderID=OrderLines!$A857)*Qty*UnitPrice*DiscountPct))&gt;40,"HighDisc","OK")</f>
        <v>OK</v>
      </c>
      <c r="P857">
        <f>(orderlinesTABLE[[#This Row],[UnitCost]]*orderlinesTABLE[[#This Row],[Qty]])</f>
        <v>192.44</v>
      </c>
      <c r="Q857">
        <f>(orderlinesTABLE[[#This Row],[LineNetAmount]]-orderlinesTABLE[[#This Row],[totalCOST]])</f>
        <v>249.1234</v>
      </c>
      <c r="R857" t="str">
        <f>VLOOKUP($B857,Menu!$A$1:$F$20,MATCH(OrderLines!R$1,Menu!$A$1:$F$1,0),0)</f>
        <v>Veg Thali</v>
      </c>
      <c r="S857" t="str" cm="1">
        <f t="array" ref="S857">_xlfn.TEXTJOIN("+",TRUE,_xlfn._xlws.FILTER(orderlinesTABLE[ItemName],OrderID=orderlinesTABLE[[#This Row],[OrderID]]))</f>
        <v>Veg Thali+Kheer Cup+Masala Puff+Masala Chaas</v>
      </c>
      <c r="T857" s="54">
        <f>orderlinesTABLE[[#This Row],[Profit]]/orderlinesTABLE[[#This Row],[LineNetAmount]]</f>
        <v>0.56418489394727911</v>
      </c>
      <c r="U857" s="70">
        <f>(orderlinesTABLE[[#This Row],[Qty]]*orderlinesTABLE[[#This Row],[UnitCost]])</f>
        <v>192.44</v>
      </c>
    </row>
    <row r="858" spans="1:21" x14ac:dyDescent="0.3">
      <c r="A858" s="14" t="s">
        <v>371</v>
      </c>
      <c r="B858" s="14" t="s">
        <v>413</v>
      </c>
      <c r="C858" s="14">
        <v>1</v>
      </c>
      <c r="D858" s="37">
        <f>VLOOKUP($B858,Menu!$A$1:$F$20,MATCH($D$1,Menu!$A$1:$F$1,0),0)</f>
        <v>54.2</v>
      </c>
      <c r="E858" s="14" t="str">
        <f>VLOOKUP($B858,Menu!$A$1:$F$20,MATCH(OrderLines!E$1,Menu!$A$1:$F$1,0),0)</f>
        <v>Dessert</v>
      </c>
      <c r="F858" s="37">
        <f>VLOOKUP($B858,Menu!$A$1:$F$20,MATCH(OrderLines!F$1,Menu!$A$1:$F$1,0),0)</f>
        <v>21.95</v>
      </c>
      <c r="G858" s="28">
        <f>VLOOKUP($A858,Orders!$A$1:$H$361,MATCH($G$1,Orders!$A$1:$H$1,0),0)</f>
        <v>45845</v>
      </c>
      <c r="H858" s="14" t="str">
        <f>VLOOKUP($A858,Orders!$A$1:$H$361,MATCH(OrderLines!$H$1,Orders!$A$1:$H$1,0),0)</f>
        <v>Plant 1 Canteen</v>
      </c>
      <c r="I858" s="14">
        <f>VLOOKUP($A858,Orders!$A$1:$H$361,MATCH(OrderLines!$I$1,Orders!$A$1:$H$1,0),0)</f>
        <v>0.03</v>
      </c>
      <c r="J858" s="14">
        <f t="shared" si="40"/>
        <v>52.573999999999998</v>
      </c>
      <c r="K858" s="28" t="str">
        <f t="shared" si="41"/>
        <v>July</v>
      </c>
      <c r="L858" s="14" t="str">
        <f>VLOOKUP(OrderLines!$A858,Orders!$A$1:$H$361,MATCH(OrderLines!$L$1,Orders!$A$1:$H$1,0),0)</f>
        <v>Breakfast</v>
      </c>
      <c r="M858" t="str">
        <f>VLOOKUP($A858,Orders!$A$1:$H$361,MATCH(OrderLines!$M$1,Orders!$A$1:$H$1,0),0)</f>
        <v>UPI</v>
      </c>
      <c r="N858" t="str">
        <f t="shared" si="39"/>
        <v>Combo</v>
      </c>
      <c r="O858" t="str" cm="1">
        <f t="array" ref="O858">IF((SUMPRODUCT((OrderID=OrderLines!$A858)*Qty*UnitPrice*DiscountPct))&gt;40,"HighDisc","OK")</f>
        <v>OK</v>
      </c>
      <c r="P858">
        <f>(orderlinesTABLE[[#This Row],[UnitCost]]*orderlinesTABLE[[#This Row],[Qty]])</f>
        <v>21.95</v>
      </c>
      <c r="Q858">
        <f>(orderlinesTABLE[[#This Row],[LineNetAmount]]-orderlinesTABLE[[#This Row],[totalCOST]])</f>
        <v>30.623999999999999</v>
      </c>
      <c r="R858" t="str">
        <f>VLOOKUP($B858,Menu!$A$1:$F$20,MATCH(OrderLines!R$1,Menu!$A$1:$F$1,0),0)</f>
        <v>Kheer Cup</v>
      </c>
      <c r="S858" t="str" cm="1">
        <f t="array" ref="S858">_xlfn.TEXTJOIN("+",TRUE,_xlfn._xlws.FILTER(orderlinesTABLE[ItemName],OrderID=orderlinesTABLE[[#This Row],[OrderID]]))</f>
        <v>Veg Thali+Kheer Cup+Masala Puff+Masala Chaas</v>
      </c>
      <c r="T858" s="54">
        <f>orderlinesTABLE[[#This Row],[Profit]]/orderlinesTABLE[[#This Row],[LineNetAmount]]</f>
        <v>0.58249324761288845</v>
      </c>
      <c r="U858" s="70">
        <f>(orderlinesTABLE[[#This Row],[Qty]]*orderlinesTABLE[[#This Row],[UnitCost]])</f>
        <v>21.95</v>
      </c>
    </row>
    <row r="859" spans="1:21" x14ac:dyDescent="0.3">
      <c r="A859" s="15" t="s">
        <v>371</v>
      </c>
      <c r="B859" s="15" t="s">
        <v>419</v>
      </c>
      <c r="C859" s="15">
        <v>2</v>
      </c>
      <c r="D859" s="36">
        <f>VLOOKUP($B859,Menu!$A$1:$F$20,MATCH($D$1,Menu!$A$1:$F$1,0),0)</f>
        <v>50.19</v>
      </c>
      <c r="E859" s="15" t="str">
        <f>VLOOKUP($B859,Menu!$A$1:$F$20,MATCH(OrderLines!E$1,Menu!$A$1:$F$1,0),0)</f>
        <v>Snack</v>
      </c>
      <c r="F859" s="36">
        <f>VLOOKUP($B859,Menu!$A$1:$F$20,MATCH(OrderLines!F$1,Menu!$A$1:$F$1,0),0)</f>
        <v>22.61</v>
      </c>
      <c r="G859" s="27">
        <f>VLOOKUP($A859,Orders!$A$1:$H$361,MATCH($G$1,Orders!$A$1:$H$1,0),0)</f>
        <v>45845</v>
      </c>
      <c r="H859" s="15" t="str">
        <f>VLOOKUP($A859,Orders!$A$1:$H$361,MATCH(OrderLines!$H$1,Orders!$A$1:$H$1,0),0)</f>
        <v>Plant 1 Canteen</v>
      </c>
      <c r="I859" s="15">
        <f>VLOOKUP($A859,Orders!$A$1:$H$361,MATCH(OrderLines!$I$1,Orders!$A$1:$H$1,0),0)</f>
        <v>0.03</v>
      </c>
      <c r="J859" s="15">
        <f t="shared" si="40"/>
        <v>97.368599999999986</v>
      </c>
      <c r="K859" s="27" t="str">
        <f t="shared" si="41"/>
        <v>July</v>
      </c>
      <c r="L859" s="15" t="str">
        <f>VLOOKUP(OrderLines!$A859,Orders!$A$1:$H$361,MATCH(OrderLines!$L$1,Orders!$A$1:$H$1,0),0)</f>
        <v>Breakfast</v>
      </c>
      <c r="M859" t="str">
        <f>VLOOKUP($A859,Orders!$A$1:$H$361,MATCH(OrderLines!$M$1,Orders!$A$1:$H$1,0),0)</f>
        <v>UPI</v>
      </c>
      <c r="N859" t="str">
        <f t="shared" si="39"/>
        <v>Combo</v>
      </c>
      <c r="O859" t="str" cm="1">
        <f t="array" ref="O859">IF((SUMPRODUCT((OrderID=OrderLines!$A859)*Qty*UnitPrice*DiscountPct))&gt;40,"HighDisc","OK")</f>
        <v>OK</v>
      </c>
      <c r="P859">
        <f>(orderlinesTABLE[[#This Row],[UnitCost]]*orderlinesTABLE[[#This Row],[Qty]])</f>
        <v>45.22</v>
      </c>
      <c r="Q859">
        <f>(orderlinesTABLE[[#This Row],[LineNetAmount]]-orderlinesTABLE[[#This Row],[totalCOST]])</f>
        <v>52.148599999999988</v>
      </c>
      <c r="R859" t="str">
        <f>VLOOKUP($B859,Menu!$A$1:$F$20,MATCH(OrderLines!R$1,Menu!$A$1:$F$1,0),0)</f>
        <v>Masala Puff</v>
      </c>
      <c r="S859" t="str" cm="1">
        <f t="array" ref="S859">_xlfn.TEXTJOIN("+",TRUE,_xlfn._xlws.FILTER(orderlinesTABLE[ItemName],OrderID=orderlinesTABLE[[#This Row],[OrderID]]))</f>
        <v>Veg Thali+Kheer Cup+Masala Puff+Masala Chaas</v>
      </c>
      <c r="T859" s="54">
        <f>orderlinesTABLE[[#This Row],[Profit]]/orderlinesTABLE[[#This Row],[LineNetAmount]]</f>
        <v>0.53557923190843859</v>
      </c>
      <c r="U859" s="70">
        <f>(orderlinesTABLE[[#This Row],[Qty]]*orderlinesTABLE[[#This Row],[UnitCost]])</f>
        <v>45.22</v>
      </c>
    </row>
    <row r="860" spans="1:21" x14ac:dyDescent="0.3">
      <c r="A860" s="14" t="s">
        <v>371</v>
      </c>
      <c r="B860" s="14" t="s">
        <v>404</v>
      </c>
      <c r="C860" s="14">
        <v>2</v>
      </c>
      <c r="D860" s="37">
        <f>VLOOKUP($B860,Menu!$A$1:$F$20,MATCH($D$1,Menu!$A$1:$F$1,0),0)</f>
        <v>32.979999999999997</v>
      </c>
      <c r="E860" s="14" t="str">
        <f>VLOOKUP($B860,Menu!$A$1:$F$20,MATCH(OrderLines!E$1,Menu!$A$1:$F$1,0),0)</f>
        <v>Beverage</v>
      </c>
      <c r="F860" s="37">
        <f>VLOOKUP($B860,Menu!$A$1:$F$20,MATCH(OrderLines!F$1,Menu!$A$1:$F$1,0),0)</f>
        <v>11.84</v>
      </c>
      <c r="G860" s="28">
        <f>VLOOKUP($A860,Orders!$A$1:$H$361,MATCH($G$1,Orders!$A$1:$H$1,0),0)</f>
        <v>45845</v>
      </c>
      <c r="H860" s="14" t="str">
        <f>VLOOKUP($A860,Orders!$A$1:$H$361,MATCH(OrderLines!$H$1,Orders!$A$1:$H$1,0),0)</f>
        <v>Plant 1 Canteen</v>
      </c>
      <c r="I860" s="14">
        <f>VLOOKUP($A860,Orders!$A$1:$H$361,MATCH(OrderLines!$I$1,Orders!$A$1:$H$1,0),0)</f>
        <v>0.03</v>
      </c>
      <c r="J860" s="14">
        <f t="shared" si="40"/>
        <v>63.981199999999994</v>
      </c>
      <c r="K860" s="28" t="str">
        <f t="shared" si="41"/>
        <v>July</v>
      </c>
      <c r="L860" s="14" t="str">
        <f>VLOOKUP(OrderLines!$A860,Orders!$A$1:$H$361,MATCH(OrderLines!$L$1,Orders!$A$1:$H$1,0),0)</f>
        <v>Breakfast</v>
      </c>
      <c r="M860" t="str">
        <f>VLOOKUP($A860,Orders!$A$1:$H$361,MATCH(OrderLines!$M$1,Orders!$A$1:$H$1,0),0)</f>
        <v>UPI</v>
      </c>
      <c r="N860" t="str">
        <f t="shared" si="39"/>
        <v>Combo</v>
      </c>
      <c r="O860" t="str" cm="1">
        <f t="array" ref="O860">IF((SUMPRODUCT((OrderID=OrderLines!$A860)*Qty*UnitPrice*DiscountPct))&gt;40,"HighDisc","OK")</f>
        <v>OK</v>
      </c>
      <c r="P860">
        <f>(orderlinesTABLE[[#This Row],[UnitCost]]*orderlinesTABLE[[#This Row],[Qty]])</f>
        <v>23.68</v>
      </c>
      <c r="Q860">
        <f>(orderlinesTABLE[[#This Row],[LineNetAmount]]-orderlinesTABLE[[#This Row],[totalCOST]])</f>
        <v>40.301199999999994</v>
      </c>
      <c r="R860" t="str">
        <f>VLOOKUP($B860,Menu!$A$1:$F$20,MATCH(OrderLines!R$1,Menu!$A$1:$F$1,0),0)</f>
        <v>Masala Chaas</v>
      </c>
      <c r="S860" t="str" cm="1">
        <f t="array" ref="S860">_xlfn.TEXTJOIN("+",TRUE,_xlfn._xlws.FILTER(orderlinesTABLE[ItemName],OrderID=orderlinesTABLE[[#This Row],[OrderID]]))</f>
        <v>Veg Thali+Kheer Cup+Masala Puff+Masala Chaas</v>
      </c>
      <c r="T860" s="54">
        <f>orderlinesTABLE[[#This Row],[Profit]]/orderlinesTABLE[[#This Row],[LineNetAmount]]</f>
        <v>0.6298912805636655</v>
      </c>
      <c r="U860" s="70">
        <f>(orderlinesTABLE[[#This Row],[Qty]]*orderlinesTABLE[[#This Row],[UnitCost]])</f>
        <v>23.68</v>
      </c>
    </row>
    <row r="861" spans="1:21" x14ac:dyDescent="0.3">
      <c r="A861" s="15" t="s">
        <v>372</v>
      </c>
      <c r="B861" s="15" t="s">
        <v>405</v>
      </c>
      <c r="C861" s="15">
        <v>2</v>
      </c>
      <c r="D861" s="36">
        <f>VLOOKUP($B861,Menu!$A$1:$F$20,MATCH($D$1,Menu!$A$1:$F$1,0),0)</f>
        <v>170.83</v>
      </c>
      <c r="E861" s="15" t="str">
        <f>VLOOKUP($B861,Menu!$A$1:$F$20,MATCH(OrderLines!E$1,Menu!$A$1:$F$1,0),0)</f>
        <v>Hot Meal</v>
      </c>
      <c r="F861" s="36">
        <f>VLOOKUP($B861,Menu!$A$1:$F$20,MATCH(OrderLines!F$1,Menu!$A$1:$F$1,0),0)</f>
        <v>74.069999999999993</v>
      </c>
      <c r="G861" s="27">
        <f>VLOOKUP($A861,Orders!$A$1:$H$361,MATCH($G$1,Orders!$A$1:$H$1,0),0)</f>
        <v>45840</v>
      </c>
      <c r="H861" s="15" t="str">
        <f>VLOOKUP($A861,Orders!$A$1:$H$361,MATCH(OrderLines!$H$1,Orders!$A$1:$H$1,0),0)</f>
        <v>Head Office Café</v>
      </c>
      <c r="I861" s="15">
        <f>VLOOKUP($A861,Orders!$A$1:$H$361,MATCH(OrderLines!$I$1,Orders!$A$1:$H$1,0),0)</f>
        <v>0.09</v>
      </c>
      <c r="J861" s="15">
        <f t="shared" si="40"/>
        <v>310.91060000000004</v>
      </c>
      <c r="K861" s="27" t="str">
        <f t="shared" si="41"/>
        <v>July</v>
      </c>
      <c r="L861" s="15" t="str">
        <f>VLOOKUP(OrderLines!$A861,Orders!$A$1:$H$361,MATCH(OrderLines!$L$1,Orders!$A$1:$H$1,0),0)</f>
        <v>Dinner</v>
      </c>
      <c r="M861" t="str">
        <f>VLOOKUP($A861,Orders!$A$1:$H$361,MATCH(OrderLines!$M$1,Orders!$A$1:$H$1,0),0)</f>
        <v>UPI</v>
      </c>
      <c r="N861" t="str">
        <f t="shared" si="39"/>
        <v>Single</v>
      </c>
      <c r="O861" t="str" cm="1">
        <f t="array" ref="O861">IF((SUMPRODUCT((OrderID=OrderLines!$A861)*Qty*UnitPrice*DiscountPct))&gt;40,"HighDisc","OK")</f>
        <v>HighDisc</v>
      </c>
      <c r="P861">
        <f>(orderlinesTABLE[[#This Row],[UnitCost]]*orderlinesTABLE[[#This Row],[Qty]])</f>
        <v>148.13999999999999</v>
      </c>
      <c r="Q861">
        <f>(orderlinesTABLE[[#This Row],[LineNetAmount]]-orderlinesTABLE[[#This Row],[totalCOST]])</f>
        <v>162.77060000000006</v>
      </c>
      <c r="R861" t="str">
        <f>VLOOKUP($B861,Menu!$A$1:$F$20,MATCH(OrderLines!R$1,Menu!$A$1:$F$1,0),0)</f>
        <v>Paneer Butter Masala + Naan</v>
      </c>
      <c r="S861" t="str" cm="1">
        <f t="array" ref="S861">_xlfn.TEXTJOIN("+",TRUE,_xlfn._xlws.FILTER(orderlinesTABLE[ItemName],OrderID=orderlinesTABLE[[#This Row],[OrderID]]))</f>
        <v>Paneer Butter Masala + Naan+Brownie+Rajma Chawal</v>
      </c>
      <c r="T861" s="54">
        <f>orderlinesTABLE[[#This Row],[Profit]]/orderlinesTABLE[[#This Row],[LineNetAmount]]</f>
        <v>0.52352862848677417</v>
      </c>
      <c r="U861" s="70">
        <f>(orderlinesTABLE[[#This Row],[Qty]]*orderlinesTABLE[[#This Row],[UnitCost]])</f>
        <v>148.13999999999999</v>
      </c>
    </row>
    <row r="862" spans="1:21" x14ac:dyDescent="0.3">
      <c r="A862" s="14" t="s">
        <v>372</v>
      </c>
      <c r="B862" s="14" t="s">
        <v>414</v>
      </c>
      <c r="C862" s="14">
        <v>2</v>
      </c>
      <c r="D862" s="37">
        <f>VLOOKUP($B862,Menu!$A$1:$F$20,MATCH($D$1,Menu!$A$1:$F$1,0),0)</f>
        <v>116.8</v>
      </c>
      <c r="E862" s="14" t="str">
        <f>VLOOKUP($B862,Menu!$A$1:$F$20,MATCH(OrderLines!E$1,Menu!$A$1:$F$1,0),0)</f>
        <v>Dessert</v>
      </c>
      <c r="F862" s="37">
        <f>VLOOKUP($B862,Menu!$A$1:$F$20,MATCH(OrderLines!F$1,Menu!$A$1:$F$1,0),0)</f>
        <v>48.97</v>
      </c>
      <c r="G862" s="28">
        <f>VLOOKUP($A862,Orders!$A$1:$H$361,MATCH($G$1,Orders!$A$1:$H$1,0),0)</f>
        <v>45840</v>
      </c>
      <c r="H862" s="14" t="str">
        <f>VLOOKUP($A862,Orders!$A$1:$H$361,MATCH(OrderLines!$H$1,Orders!$A$1:$H$1,0),0)</f>
        <v>Head Office Café</v>
      </c>
      <c r="I862" s="14">
        <f>VLOOKUP($A862,Orders!$A$1:$H$361,MATCH(OrderLines!$I$1,Orders!$A$1:$H$1,0),0)</f>
        <v>0.09</v>
      </c>
      <c r="J862" s="14">
        <f t="shared" si="40"/>
        <v>212.57599999999999</v>
      </c>
      <c r="K862" s="28" t="str">
        <f t="shared" si="41"/>
        <v>July</v>
      </c>
      <c r="L862" s="14" t="str">
        <f>VLOOKUP(OrderLines!$A862,Orders!$A$1:$H$361,MATCH(OrderLines!$L$1,Orders!$A$1:$H$1,0),0)</f>
        <v>Dinner</v>
      </c>
      <c r="M862" t="str">
        <f>VLOOKUP($A862,Orders!$A$1:$H$361,MATCH(OrderLines!$M$1,Orders!$A$1:$H$1,0),0)</f>
        <v>UPI</v>
      </c>
      <c r="N862" t="str">
        <f t="shared" si="39"/>
        <v>Single</v>
      </c>
      <c r="O862" t="str" cm="1">
        <f t="array" ref="O862">IF((SUMPRODUCT((OrderID=OrderLines!$A862)*Qty*UnitPrice*DiscountPct))&gt;40,"HighDisc","OK")</f>
        <v>HighDisc</v>
      </c>
      <c r="P862">
        <f>(orderlinesTABLE[[#This Row],[UnitCost]]*orderlinesTABLE[[#This Row],[Qty]])</f>
        <v>97.94</v>
      </c>
      <c r="Q862">
        <f>(orderlinesTABLE[[#This Row],[LineNetAmount]]-orderlinesTABLE[[#This Row],[totalCOST]])</f>
        <v>114.636</v>
      </c>
      <c r="R862" t="str">
        <f>VLOOKUP($B862,Menu!$A$1:$F$20,MATCH(OrderLines!R$1,Menu!$A$1:$F$1,0),0)</f>
        <v>Brownie</v>
      </c>
      <c r="S862" t="str" cm="1">
        <f t="array" ref="S862">_xlfn.TEXTJOIN("+",TRUE,_xlfn._xlws.FILTER(orderlinesTABLE[ItemName],OrderID=orderlinesTABLE[[#This Row],[OrderID]]))</f>
        <v>Paneer Butter Masala + Naan+Brownie+Rajma Chawal</v>
      </c>
      <c r="T862" s="54">
        <f>orderlinesTABLE[[#This Row],[Profit]]/orderlinesTABLE[[#This Row],[LineNetAmount]]</f>
        <v>0.53927066084600328</v>
      </c>
      <c r="U862" s="70">
        <f>(orderlinesTABLE[[#This Row],[Qty]]*orderlinesTABLE[[#This Row],[UnitCost]])</f>
        <v>97.94</v>
      </c>
    </row>
    <row r="863" spans="1:21" x14ac:dyDescent="0.3">
      <c r="A863" s="15" t="s">
        <v>372</v>
      </c>
      <c r="B863" s="15" t="s">
        <v>417</v>
      </c>
      <c r="C863" s="15">
        <v>1</v>
      </c>
      <c r="D863" s="36">
        <f>VLOOKUP($B863,Menu!$A$1:$F$20,MATCH($D$1,Menu!$A$1:$F$1,0),0)</f>
        <v>146.4</v>
      </c>
      <c r="E863" s="15" t="str">
        <f>VLOOKUP($B863,Menu!$A$1:$F$20,MATCH(OrderLines!E$1,Menu!$A$1:$F$1,0),0)</f>
        <v>Hot Meal</v>
      </c>
      <c r="F863" s="36">
        <f>VLOOKUP($B863,Menu!$A$1:$F$20,MATCH(OrderLines!F$1,Menu!$A$1:$F$1,0),0)</f>
        <v>80.92</v>
      </c>
      <c r="G863" s="27">
        <f>VLOOKUP($A863,Orders!$A$1:$H$361,MATCH($G$1,Orders!$A$1:$H$1,0),0)</f>
        <v>45840</v>
      </c>
      <c r="H863" s="15" t="str">
        <f>VLOOKUP($A863,Orders!$A$1:$H$361,MATCH(OrderLines!$H$1,Orders!$A$1:$H$1,0),0)</f>
        <v>Head Office Café</v>
      </c>
      <c r="I863" s="15">
        <f>VLOOKUP($A863,Orders!$A$1:$H$361,MATCH(OrderLines!$I$1,Orders!$A$1:$H$1,0),0)</f>
        <v>0.09</v>
      </c>
      <c r="J863" s="15">
        <f t="shared" si="40"/>
        <v>133.22400000000002</v>
      </c>
      <c r="K863" s="27" t="str">
        <f t="shared" si="41"/>
        <v>July</v>
      </c>
      <c r="L863" s="15" t="str">
        <f>VLOOKUP(OrderLines!$A863,Orders!$A$1:$H$361,MATCH(OrderLines!$L$1,Orders!$A$1:$H$1,0),0)</f>
        <v>Dinner</v>
      </c>
      <c r="M863" t="str">
        <f>VLOOKUP($A863,Orders!$A$1:$H$361,MATCH(OrderLines!$M$1,Orders!$A$1:$H$1,0),0)</f>
        <v>UPI</v>
      </c>
      <c r="N863" t="str">
        <f t="shared" si="39"/>
        <v>Single</v>
      </c>
      <c r="O863" t="str" cm="1">
        <f t="array" ref="O863">IF((SUMPRODUCT((OrderID=OrderLines!$A863)*Qty*UnitPrice*DiscountPct))&gt;40,"HighDisc","OK")</f>
        <v>HighDisc</v>
      </c>
      <c r="P863">
        <f>(orderlinesTABLE[[#This Row],[UnitCost]]*orderlinesTABLE[[#This Row],[Qty]])</f>
        <v>80.92</v>
      </c>
      <c r="Q863">
        <f>(orderlinesTABLE[[#This Row],[LineNetAmount]]-orderlinesTABLE[[#This Row],[totalCOST]])</f>
        <v>52.304000000000016</v>
      </c>
      <c r="R863" t="str">
        <f>VLOOKUP($B863,Menu!$A$1:$F$20,MATCH(OrderLines!R$1,Menu!$A$1:$F$1,0),0)</f>
        <v>Rajma Chawal</v>
      </c>
      <c r="S863" t="str" cm="1">
        <f t="array" ref="S863">_xlfn.TEXTJOIN("+",TRUE,_xlfn._xlws.FILTER(orderlinesTABLE[ItemName],OrderID=orderlinesTABLE[[#This Row],[OrderID]]))</f>
        <v>Paneer Butter Masala + Naan+Brownie+Rajma Chawal</v>
      </c>
      <c r="T863" s="54">
        <f>orderlinesTABLE[[#This Row],[Profit]]/orderlinesTABLE[[#This Row],[LineNetAmount]]</f>
        <v>0.39260193358554019</v>
      </c>
      <c r="U863" s="70">
        <f>(orderlinesTABLE[[#This Row],[Qty]]*orderlinesTABLE[[#This Row],[UnitCost]])</f>
        <v>80.92</v>
      </c>
    </row>
    <row r="864" spans="1:21" x14ac:dyDescent="0.3">
      <c r="A864" s="14" t="s">
        <v>373</v>
      </c>
      <c r="B864" s="14" t="s">
        <v>419</v>
      </c>
      <c r="C864" s="14">
        <v>2</v>
      </c>
      <c r="D864" s="37">
        <f>VLOOKUP($B864,Menu!$A$1:$F$20,MATCH($D$1,Menu!$A$1:$F$1,0),0)</f>
        <v>50.19</v>
      </c>
      <c r="E864" s="14" t="str">
        <f>VLOOKUP($B864,Menu!$A$1:$F$20,MATCH(OrderLines!E$1,Menu!$A$1:$F$1,0),0)</f>
        <v>Snack</v>
      </c>
      <c r="F864" s="37">
        <f>VLOOKUP($B864,Menu!$A$1:$F$20,MATCH(OrderLines!F$1,Menu!$A$1:$F$1,0),0)</f>
        <v>22.61</v>
      </c>
      <c r="G864" s="28">
        <f>VLOOKUP($A864,Orders!$A$1:$H$361,MATCH($G$1,Orders!$A$1:$H$1,0),0)</f>
        <v>45853</v>
      </c>
      <c r="H864" s="14" t="str">
        <f>VLOOKUP($A864,Orders!$A$1:$H$361,MATCH(OrderLines!$H$1,Orders!$A$1:$H$1,0),0)</f>
        <v>Plant 2 Canteen</v>
      </c>
      <c r="I864" s="14">
        <f>VLOOKUP($A864,Orders!$A$1:$H$361,MATCH(OrderLines!$I$1,Orders!$A$1:$H$1,0),0)</f>
        <v>7.0000000000000007E-2</v>
      </c>
      <c r="J864" s="14">
        <f t="shared" si="40"/>
        <v>93.353399999999993</v>
      </c>
      <c r="K864" s="28" t="str">
        <f t="shared" si="41"/>
        <v>July</v>
      </c>
      <c r="L864" s="14" t="str">
        <f>VLOOKUP(OrderLines!$A864,Orders!$A$1:$H$361,MATCH(OrderLines!$L$1,Orders!$A$1:$H$1,0),0)</f>
        <v>Breakfast</v>
      </c>
      <c r="M864" t="str">
        <f>VLOOKUP($A864,Orders!$A$1:$H$361,MATCH(OrderLines!$M$1,Orders!$A$1:$H$1,0),0)</f>
        <v>Cash</v>
      </c>
      <c r="N864" t="str">
        <f t="shared" si="39"/>
        <v>Single</v>
      </c>
      <c r="O864" t="str" cm="1">
        <f t="array" ref="O864">IF((SUMPRODUCT((OrderID=OrderLines!$A864)*Qty*UnitPrice*DiscountPct))&gt;40,"HighDisc","OK")</f>
        <v>OK</v>
      </c>
      <c r="P864">
        <f>(orderlinesTABLE[[#This Row],[UnitCost]]*orderlinesTABLE[[#This Row],[Qty]])</f>
        <v>45.22</v>
      </c>
      <c r="Q864">
        <f>(orderlinesTABLE[[#This Row],[LineNetAmount]]-orderlinesTABLE[[#This Row],[totalCOST]])</f>
        <v>48.133399999999995</v>
      </c>
      <c r="R864" t="str">
        <f>VLOOKUP($B864,Menu!$A$1:$F$20,MATCH(OrderLines!R$1,Menu!$A$1:$F$1,0),0)</f>
        <v>Masala Puff</v>
      </c>
      <c r="S864" t="str" cm="1">
        <f t="array" ref="S864">_xlfn.TEXTJOIN("+",TRUE,_xlfn._xlws.FILTER(orderlinesTABLE[ItemName],OrderID=orderlinesTABLE[[#This Row],[OrderID]]))</f>
        <v>Masala Puff+Fruit Cup</v>
      </c>
      <c r="T864" s="54">
        <f>orderlinesTABLE[[#This Row],[Profit]]/orderlinesTABLE[[#This Row],[LineNetAmount]]</f>
        <v>0.51560414510880159</v>
      </c>
      <c r="U864" s="70">
        <f>(orderlinesTABLE[[#This Row],[Qty]]*orderlinesTABLE[[#This Row],[UnitCost]])</f>
        <v>45.22</v>
      </c>
    </row>
    <row r="865" spans="1:21" x14ac:dyDescent="0.3">
      <c r="A865" s="15" t="s">
        <v>373</v>
      </c>
      <c r="B865" s="15" t="s">
        <v>412</v>
      </c>
      <c r="C865" s="15">
        <v>2</v>
      </c>
      <c r="D865" s="36">
        <f>VLOOKUP($B865,Menu!$A$1:$F$20,MATCH($D$1,Menu!$A$1:$F$1,0),0)</f>
        <v>57.07</v>
      </c>
      <c r="E865" s="15" t="str">
        <f>VLOOKUP($B865,Menu!$A$1:$F$20,MATCH(OrderLines!E$1,Menu!$A$1:$F$1,0),0)</f>
        <v>Dessert</v>
      </c>
      <c r="F865" s="36">
        <f>VLOOKUP($B865,Menu!$A$1:$F$20,MATCH(OrderLines!F$1,Menu!$A$1:$F$1,0),0)</f>
        <v>29.14</v>
      </c>
      <c r="G865" s="27">
        <f>VLOOKUP($A865,Orders!$A$1:$H$361,MATCH($G$1,Orders!$A$1:$H$1,0),0)</f>
        <v>45853</v>
      </c>
      <c r="H865" s="15" t="str">
        <f>VLOOKUP($A865,Orders!$A$1:$H$361,MATCH(OrderLines!$H$1,Orders!$A$1:$H$1,0),0)</f>
        <v>Plant 2 Canteen</v>
      </c>
      <c r="I865" s="15">
        <f>VLOOKUP($A865,Orders!$A$1:$H$361,MATCH(OrderLines!$I$1,Orders!$A$1:$H$1,0),0)</f>
        <v>7.0000000000000007E-2</v>
      </c>
      <c r="J865" s="15">
        <f t="shared" si="40"/>
        <v>106.1502</v>
      </c>
      <c r="K865" s="27" t="str">
        <f t="shared" si="41"/>
        <v>July</v>
      </c>
      <c r="L865" s="15" t="str">
        <f>VLOOKUP(OrderLines!$A865,Orders!$A$1:$H$361,MATCH(OrderLines!$L$1,Orders!$A$1:$H$1,0),0)</f>
        <v>Breakfast</v>
      </c>
      <c r="M865" t="str">
        <f>VLOOKUP($A865,Orders!$A$1:$H$361,MATCH(OrderLines!$M$1,Orders!$A$1:$H$1,0),0)</f>
        <v>Cash</v>
      </c>
      <c r="N865" t="str">
        <f t="shared" si="39"/>
        <v>Single</v>
      </c>
      <c r="O865" t="str" cm="1">
        <f t="array" ref="O865">IF((SUMPRODUCT((OrderID=OrderLines!$A865)*Qty*UnitPrice*DiscountPct))&gt;40,"HighDisc","OK")</f>
        <v>OK</v>
      </c>
      <c r="P865">
        <f>(orderlinesTABLE[[#This Row],[UnitCost]]*orderlinesTABLE[[#This Row],[Qty]])</f>
        <v>58.28</v>
      </c>
      <c r="Q865">
        <f>(orderlinesTABLE[[#This Row],[LineNetAmount]]-orderlinesTABLE[[#This Row],[totalCOST]])</f>
        <v>47.870199999999997</v>
      </c>
      <c r="R865" t="str">
        <f>VLOOKUP($B865,Menu!$A$1:$F$20,MATCH(OrderLines!R$1,Menu!$A$1:$F$1,0),0)</f>
        <v>Fruit Cup</v>
      </c>
      <c r="S865" t="str" cm="1">
        <f t="array" ref="S865">_xlfn.TEXTJOIN("+",TRUE,_xlfn._xlws.FILTER(orderlinesTABLE[ItemName],OrderID=orderlinesTABLE[[#This Row],[OrderID]]))</f>
        <v>Masala Puff+Fruit Cup</v>
      </c>
      <c r="T865" s="54">
        <f>orderlinesTABLE[[#This Row],[Profit]]/orderlinesTABLE[[#This Row],[LineNetAmount]]</f>
        <v>0.45096664914432566</v>
      </c>
      <c r="U865" s="70">
        <f>(orderlinesTABLE[[#This Row],[Qty]]*orderlinesTABLE[[#This Row],[UnitCost]])</f>
        <v>58.28</v>
      </c>
    </row>
    <row r="866" spans="1:21" x14ac:dyDescent="0.3">
      <c r="A866" s="14" t="s">
        <v>374</v>
      </c>
      <c r="B866" s="14" t="s">
        <v>417</v>
      </c>
      <c r="C866" s="14">
        <v>1</v>
      </c>
      <c r="D866" s="37">
        <f>VLOOKUP($B866,Menu!$A$1:$F$20,MATCH($D$1,Menu!$A$1:$F$1,0),0)</f>
        <v>146.4</v>
      </c>
      <c r="E866" s="14" t="str">
        <f>VLOOKUP($B866,Menu!$A$1:$F$20,MATCH(OrderLines!E$1,Menu!$A$1:$F$1,0),0)</f>
        <v>Hot Meal</v>
      </c>
      <c r="F866" s="37">
        <f>VLOOKUP($B866,Menu!$A$1:$F$20,MATCH(OrderLines!F$1,Menu!$A$1:$F$1,0),0)</f>
        <v>80.92</v>
      </c>
      <c r="G866" s="28">
        <f>VLOOKUP($A866,Orders!$A$1:$H$361,MATCH($G$1,Orders!$A$1:$H$1,0),0)</f>
        <v>45862</v>
      </c>
      <c r="H866" s="14" t="str">
        <f>VLOOKUP($A866,Orders!$A$1:$H$361,MATCH(OrderLines!$H$1,Orders!$A$1:$H$1,0),0)</f>
        <v>Head Office Café</v>
      </c>
      <c r="I866" s="14">
        <f>VLOOKUP($A866,Orders!$A$1:$H$361,MATCH(OrderLines!$I$1,Orders!$A$1:$H$1,0),0)</f>
        <v>0.15</v>
      </c>
      <c r="J866" s="14">
        <f t="shared" si="40"/>
        <v>124.44</v>
      </c>
      <c r="K866" s="28" t="str">
        <f t="shared" si="41"/>
        <v>July</v>
      </c>
      <c r="L866" s="14" t="str">
        <f>VLOOKUP(OrderLines!$A866,Orders!$A$1:$H$361,MATCH(OrderLines!$L$1,Orders!$A$1:$H$1,0),0)</f>
        <v>Lunch</v>
      </c>
      <c r="M866" t="str">
        <f>VLOOKUP($A866,Orders!$A$1:$H$361,MATCH(OrderLines!$M$1,Orders!$A$1:$H$1,0),0)</f>
        <v>Cash</v>
      </c>
      <c r="N866" t="str">
        <f t="shared" si="39"/>
        <v>Single</v>
      </c>
      <c r="O866" t="str" cm="1">
        <f t="array" ref="O866">IF((SUMPRODUCT((OrderID=OrderLines!$A866)*Qty*UnitPrice*DiscountPct))&gt;40,"HighDisc","OK")</f>
        <v>OK</v>
      </c>
      <c r="P866">
        <f>(orderlinesTABLE[[#This Row],[UnitCost]]*orderlinesTABLE[[#This Row],[Qty]])</f>
        <v>80.92</v>
      </c>
      <c r="Q866">
        <f>(orderlinesTABLE[[#This Row],[LineNetAmount]]-orderlinesTABLE[[#This Row],[totalCOST]])</f>
        <v>43.519999999999996</v>
      </c>
      <c r="R866" t="str">
        <f>VLOOKUP($B866,Menu!$A$1:$F$20,MATCH(OrderLines!R$1,Menu!$A$1:$F$1,0),0)</f>
        <v>Rajma Chawal</v>
      </c>
      <c r="S866" t="str" cm="1">
        <f t="array" ref="S866">_xlfn.TEXTJOIN("+",TRUE,_xlfn._xlws.FILTER(orderlinesTABLE[ItemName],OrderID=orderlinesTABLE[[#This Row],[OrderID]]))</f>
        <v>Rajma Chawal</v>
      </c>
      <c r="T866" s="54">
        <f>orderlinesTABLE[[#This Row],[Profit]]/orderlinesTABLE[[#This Row],[LineNetAmount]]</f>
        <v>0.34972677595628415</v>
      </c>
      <c r="U866" s="70">
        <f>(orderlinesTABLE[[#This Row],[Qty]]*orderlinesTABLE[[#This Row],[UnitCost]])</f>
        <v>80.92</v>
      </c>
    </row>
    <row r="867" spans="1:21" x14ac:dyDescent="0.3">
      <c r="A867" s="15" t="s">
        <v>375</v>
      </c>
      <c r="B867" s="15" t="s">
        <v>409</v>
      </c>
      <c r="C867" s="15">
        <v>1</v>
      </c>
      <c r="D867" s="36">
        <f>VLOOKUP($B867,Menu!$A$1:$F$20,MATCH($D$1,Menu!$A$1:$F$1,0),0)</f>
        <v>28.43</v>
      </c>
      <c r="E867" s="15" t="str">
        <f>VLOOKUP($B867,Menu!$A$1:$F$20,MATCH(OrderLines!E$1,Menu!$A$1:$F$1,0),0)</f>
        <v>Beverage</v>
      </c>
      <c r="F867" s="36">
        <f>VLOOKUP($B867,Menu!$A$1:$F$20,MATCH(OrderLines!F$1,Menu!$A$1:$F$1,0),0)</f>
        <v>13.89</v>
      </c>
      <c r="G867" s="27">
        <f>VLOOKUP($A867,Orders!$A$1:$H$361,MATCH($G$1,Orders!$A$1:$H$1,0),0)</f>
        <v>45890</v>
      </c>
      <c r="H867" s="15" t="str">
        <f>VLOOKUP($A867,Orders!$A$1:$H$361,MATCH(OrderLines!$H$1,Orders!$A$1:$H$1,0),0)</f>
        <v>Plant 2 Canteen</v>
      </c>
      <c r="I867" s="15">
        <f>VLOOKUP($A867,Orders!$A$1:$H$361,MATCH(OrderLines!$I$1,Orders!$A$1:$H$1,0),0)</f>
        <v>0.03</v>
      </c>
      <c r="J867" s="15">
        <f t="shared" si="40"/>
        <v>27.577099999999998</v>
      </c>
      <c r="K867" s="27" t="str">
        <f t="shared" si="41"/>
        <v>August</v>
      </c>
      <c r="L867" s="15" t="str">
        <f>VLOOKUP(OrderLines!$A867,Orders!$A$1:$H$361,MATCH(OrderLines!$L$1,Orders!$A$1:$H$1,0),0)</f>
        <v>Breakfast</v>
      </c>
      <c r="M867" t="str">
        <f>VLOOKUP($A867,Orders!$A$1:$H$361,MATCH(OrderLines!$M$1,Orders!$A$1:$H$1,0),0)</f>
        <v>UPI</v>
      </c>
      <c r="N867" t="str">
        <f t="shared" si="39"/>
        <v>Single</v>
      </c>
      <c r="O867" t="str" cm="1">
        <f t="array" ref="O867">IF((SUMPRODUCT((OrderID=OrderLines!$A867)*Qty*UnitPrice*DiscountPct))&gt;40,"HighDisc","OK")</f>
        <v>OK</v>
      </c>
      <c r="P867">
        <f>(orderlinesTABLE[[#This Row],[UnitCost]]*orderlinesTABLE[[#This Row],[Qty]])</f>
        <v>13.89</v>
      </c>
      <c r="Q867">
        <f>(orderlinesTABLE[[#This Row],[LineNetAmount]]-orderlinesTABLE[[#This Row],[totalCOST]])</f>
        <v>13.687099999999997</v>
      </c>
      <c r="R867" t="str">
        <f>VLOOKUP($B867,Menu!$A$1:$F$20,MATCH(OrderLines!R$1,Menu!$A$1:$F$1,0),0)</f>
        <v>Bottled Water</v>
      </c>
      <c r="S867" t="str" cm="1">
        <f t="array" ref="S867">_xlfn.TEXTJOIN("+",TRUE,_xlfn._xlws.FILTER(orderlinesTABLE[ItemName],OrderID=orderlinesTABLE[[#This Row],[OrderID]]))</f>
        <v>Bottled Water+Tea+Masala Chaas</v>
      </c>
      <c r="T867" s="54">
        <f>orderlinesTABLE[[#This Row],[Profit]]/orderlinesTABLE[[#This Row],[LineNetAmount]]</f>
        <v>0.49632122304375725</v>
      </c>
      <c r="U867" s="70">
        <f>(orderlinesTABLE[[#This Row],[Qty]]*orderlinesTABLE[[#This Row],[UnitCost]])</f>
        <v>13.89</v>
      </c>
    </row>
    <row r="868" spans="1:21" x14ac:dyDescent="0.3">
      <c r="A868" s="14" t="s">
        <v>375</v>
      </c>
      <c r="B868" s="14" t="s">
        <v>402</v>
      </c>
      <c r="C868" s="14">
        <v>1</v>
      </c>
      <c r="D868" s="37">
        <f>VLOOKUP($B868,Menu!$A$1:$F$20,MATCH($D$1,Menu!$A$1:$F$1,0),0)</f>
        <v>30.34</v>
      </c>
      <c r="E868" s="14" t="str">
        <f>VLOOKUP($B868,Menu!$A$1:$F$20,MATCH(OrderLines!E$1,Menu!$A$1:$F$1,0),0)</f>
        <v>Beverage</v>
      </c>
      <c r="F868" s="37">
        <f>VLOOKUP($B868,Menu!$A$1:$F$20,MATCH(OrderLines!F$1,Menu!$A$1:$F$1,0),0)</f>
        <v>14.18</v>
      </c>
      <c r="G868" s="28">
        <f>VLOOKUP($A868,Orders!$A$1:$H$361,MATCH($G$1,Orders!$A$1:$H$1,0),0)</f>
        <v>45890</v>
      </c>
      <c r="H868" s="14" t="str">
        <f>VLOOKUP($A868,Orders!$A$1:$H$361,MATCH(OrderLines!$H$1,Orders!$A$1:$H$1,0),0)</f>
        <v>Plant 2 Canteen</v>
      </c>
      <c r="I868" s="14">
        <f>VLOOKUP($A868,Orders!$A$1:$H$361,MATCH(OrderLines!$I$1,Orders!$A$1:$H$1,0),0)</f>
        <v>0.03</v>
      </c>
      <c r="J868" s="14">
        <f t="shared" si="40"/>
        <v>29.4298</v>
      </c>
      <c r="K868" s="28" t="str">
        <f t="shared" si="41"/>
        <v>August</v>
      </c>
      <c r="L868" s="14" t="str">
        <f>VLOOKUP(OrderLines!$A868,Orders!$A$1:$H$361,MATCH(OrderLines!$L$1,Orders!$A$1:$H$1,0),0)</f>
        <v>Breakfast</v>
      </c>
      <c r="M868" t="str">
        <f>VLOOKUP($A868,Orders!$A$1:$H$361,MATCH(OrderLines!$M$1,Orders!$A$1:$H$1,0),0)</f>
        <v>UPI</v>
      </c>
      <c r="N868" t="str">
        <f t="shared" si="39"/>
        <v>Single</v>
      </c>
      <c r="O868" t="str" cm="1">
        <f t="array" ref="O868">IF((SUMPRODUCT((OrderID=OrderLines!$A868)*Qty*UnitPrice*DiscountPct))&gt;40,"HighDisc","OK")</f>
        <v>OK</v>
      </c>
      <c r="P868">
        <f>(orderlinesTABLE[[#This Row],[UnitCost]]*orderlinesTABLE[[#This Row],[Qty]])</f>
        <v>14.18</v>
      </c>
      <c r="Q868">
        <f>(orderlinesTABLE[[#This Row],[LineNetAmount]]-orderlinesTABLE[[#This Row],[totalCOST]])</f>
        <v>15.2498</v>
      </c>
      <c r="R868" t="str">
        <f>VLOOKUP($B868,Menu!$A$1:$F$20,MATCH(OrderLines!R$1,Menu!$A$1:$F$1,0),0)</f>
        <v>Tea</v>
      </c>
      <c r="S868" t="str" cm="1">
        <f t="array" ref="S868">_xlfn.TEXTJOIN("+",TRUE,_xlfn._xlws.FILTER(orderlinesTABLE[ItemName],OrderID=orderlinesTABLE[[#This Row],[OrderID]]))</f>
        <v>Bottled Water+Tea+Masala Chaas</v>
      </c>
      <c r="T868" s="54">
        <f>orderlinesTABLE[[#This Row],[Profit]]/orderlinesTABLE[[#This Row],[LineNetAmount]]</f>
        <v>0.51817545481110983</v>
      </c>
      <c r="U868" s="70">
        <f>(orderlinesTABLE[[#This Row],[Qty]]*orderlinesTABLE[[#This Row],[UnitCost]])</f>
        <v>14.18</v>
      </c>
    </row>
    <row r="869" spans="1:21" x14ac:dyDescent="0.3">
      <c r="A869" s="15" t="s">
        <v>375</v>
      </c>
      <c r="B869" s="15" t="s">
        <v>404</v>
      </c>
      <c r="C869" s="15">
        <v>3</v>
      </c>
      <c r="D869" s="36">
        <f>VLOOKUP($B869,Menu!$A$1:$F$20,MATCH($D$1,Menu!$A$1:$F$1,0),0)</f>
        <v>32.979999999999997</v>
      </c>
      <c r="E869" s="15" t="str">
        <f>VLOOKUP($B869,Menu!$A$1:$F$20,MATCH(OrderLines!E$1,Menu!$A$1:$F$1,0),0)</f>
        <v>Beverage</v>
      </c>
      <c r="F869" s="36">
        <f>VLOOKUP($B869,Menu!$A$1:$F$20,MATCH(OrderLines!F$1,Menu!$A$1:$F$1,0),0)</f>
        <v>11.84</v>
      </c>
      <c r="G869" s="27">
        <f>VLOOKUP($A869,Orders!$A$1:$H$361,MATCH($G$1,Orders!$A$1:$H$1,0),0)</f>
        <v>45890</v>
      </c>
      <c r="H869" s="15" t="str">
        <f>VLOOKUP($A869,Orders!$A$1:$H$361,MATCH(OrderLines!$H$1,Orders!$A$1:$H$1,0),0)</f>
        <v>Plant 2 Canteen</v>
      </c>
      <c r="I869" s="15">
        <f>VLOOKUP($A869,Orders!$A$1:$H$361,MATCH(OrderLines!$I$1,Orders!$A$1:$H$1,0),0)</f>
        <v>0.03</v>
      </c>
      <c r="J869" s="15">
        <f t="shared" si="40"/>
        <v>95.971800000000002</v>
      </c>
      <c r="K869" s="27" t="str">
        <f t="shared" si="41"/>
        <v>August</v>
      </c>
      <c r="L869" s="15" t="str">
        <f>VLOOKUP(OrderLines!$A869,Orders!$A$1:$H$361,MATCH(OrderLines!$L$1,Orders!$A$1:$H$1,0),0)</f>
        <v>Breakfast</v>
      </c>
      <c r="M869" t="str">
        <f>VLOOKUP($A869,Orders!$A$1:$H$361,MATCH(OrderLines!$M$1,Orders!$A$1:$H$1,0),0)</f>
        <v>UPI</v>
      </c>
      <c r="N869" t="str">
        <f t="shared" si="39"/>
        <v>Single</v>
      </c>
      <c r="O869" t="str" cm="1">
        <f t="array" ref="O869">IF((SUMPRODUCT((OrderID=OrderLines!$A869)*Qty*UnitPrice*DiscountPct))&gt;40,"HighDisc","OK")</f>
        <v>OK</v>
      </c>
      <c r="P869">
        <f>(orderlinesTABLE[[#This Row],[UnitCost]]*orderlinesTABLE[[#This Row],[Qty]])</f>
        <v>35.519999999999996</v>
      </c>
      <c r="Q869">
        <f>(orderlinesTABLE[[#This Row],[LineNetAmount]]-orderlinesTABLE[[#This Row],[totalCOST]])</f>
        <v>60.451800000000006</v>
      </c>
      <c r="R869" t="str">
        <f>VLOOKUP($B869,Menu!$A$1:$F$20,MATCH(OrderLines!R$1,Menu!$A$1:$F$1,0),0)</f>
        <v>Masala Chaas</v>
      </c>
      <c r="S869" t="str" cm="1">
        <f t="array" ref="S869">_xlfn.TEXTJOIN("+",TRUE,_xlfn._xlws.FILTER(orderlinesTABLE[ItemName],OrderID=orderlinesTABLE[[#This Row],[OrderID]]))</f>
        <v>Bottled Water+Tea+Masala Chaas</v>
      </c>
      <c r="T869" s="54">
        <f>orderlinesTABLE[[#This Row],[Profit]]/orderlinesTABLE[[#This Row],[LineNetAmount]]</f>
        <v>0.62989128056366561</v>
      </c>
      <c r="U869" s="70">
        <f>(orderlinesTABLE[[#This Row],[Qty]]*orderlinesTABLE[[#This Row],[UnitCost]])</f>
        <v>35.519999999999996</v>
      </c>
    </row>
    <row r="870" spans="1:21" x14ac:dyDescent="0.3">
      <c r="A870" s="14" t="s">
        <v>376</v>
      </c>
      <c r="B870" s="14" t="s">
        <v>414</v>
      </c>
      <c r="C870" s="14">
        <v>2</v>
      </c>
      <c r="D870" s="37">
        <f>VLOOKUP($B870,Menu!$A$1:$F$20,MATCH($D$1,Menu!$A$1:$F$1,0),0)</f>
        <v>116.8</v>
      </c>
      <c r="E870" s="14" t="str">
        <f>VLOOKUP($B870,Menu!$A$1:$F$20,MATCH(OrderLines!E$1,Menu!$A$1:$F$1,0),0)</f>
        <v>Dessert</v>
      </c>
      <c r="F870" s="37">
        <f>VLOOKUP($B870,Menu!$A$1:$F$20,MATCH(OrderLines!F$1,Menu!$A$1:$F$1,0),0)</f>
        <v>48.97</v>
      </c>
      <c r="G870" s="28">
        <f>VLOOKUP($A870,Orders!$A$1:$H$361,MATCH($G$1,Orders!$A$1:$H$1,0),0)</f>
        <v>45888</v>
      </c>
      <c r="H870" s="14" t="str">
        <f>VLOOKUP($A870,Orders!$A$1:$H$361,MATCH(OrderLines!$H$1,Orders!$A$1:$H$1,0),0)</f>
        <v>Head Office Café</v>
      </c>
      <c r="I870" s="14">
        <f>VLOOKUP($A870,Orders!$A$1:$H$361,MATCH(OrderLines!$I$1,Orders!$A$1:$H$1,0),0)</f>
        <v>0.03</v>
      </c>
      <c r="J870" s="14">
        <f t="shared" si="40"/>
        <v>226.59199999999998</v>
      </c>
      <c r="K870" s="28" t="str">
        <f t="shared" si="41"/>
        <v>August</v>
      </c>
      <c r="L870" s="14" t="str">
        <f>VLOOKUP(OrderLines!$A870,Orders!$A$1:$H$361,MATCH(OrderLines!$L$1,Orders!$A$1:$H$1,0),0)</f>
        <v>Lunch</v>
      </c>
      <c r="M870" t="str">
        <f>VLOOKUP($A870,Orders!$A$1:$H$361,MATCH(OrderLines!$M$1,Orders!$A$1:$H$1,0),0)</f>
        <v>Cash</v>
      </c>
      <c r="N870" t="str">
        <f t="shared" si="39"/>
        <v>Single</v>
      </c>
      <c r="O870" t="str" cm="1">
        <f t="array" ref="O870">IF((SUMPRODUCT((OrderID=OrderLines!$A870)*Qty*UnitPrice*DiscountPct))&gt;40,"HighDisc","OK")</f>
        <v>OK</v>
      </c>
      <c r="P870">
        <f>(orderlinesTABLE[[#This Row],[UnitCost]]*orderlinesTABLE[[#This Row],[Qty]])</f>
        <v>97.94</v>
      </c>
      <c r="Q870">
        <f>(orderlinesTABLE[[#This Row],[LineNetAmount]]-orderlinesTABLE[[#This Row],[totalCOST]])</f>
        <v>128.65199999999999</v>
      </c>
      <c r="R870" t="str">
        <f>VLOOKUP($B870,Menu!$A$1:$F$20,MATCH(OrderLines!R$1,Menu!$A$1:$F$1,0),0)</f>
        <v>Brownie</v>
      </c>
      <c r="S870" t="str" cm="1">
        <f t="array" ref="S870">_xlfn.TEXTJOIN("+",TRUE,_xlfn._xlws.FILTER(orderlinesTABLE[ItemName],OrderID=orderlinesTABLE[[#This Row],[OrderID]]))</f>
        <v>Brownie+Fruit Cup</v>
      </c>
      <c r="T870" s="54">
        <f>orderlinesTABLE[[#This Row],[Profit]]/orderlinesTABLE[[#This Row],[LineNetAmount]]</f>
        <v>0.56776938285552891</v>
      </c>
      <c r="U870" s="70">
        <f>(orderlinesTABLE[[#This Row],[Qty]]*orderlinesTABLE[[#This Row],[UnitCost]])</f>
        <v>97.94</v>
      </c>
    </row>
    <row r="871" spans="1:21" x14ac:dyDescent="0.3">
      <c r="A871" s="15" t="s">
        <v>376</v>
      </c>
      <c r="B871" s="15" t="s">
        <v>412</v>
      </c>
      <c r="C871" s="15">
        <v>3</v>
      </c>
      <c r="D871" s="36">
        <f>VLOOKUP($B871,Menu!$A$1:$F$20,MATCH($D$1,Menu!$A$1:$F$1,0),0)</f>
        <v>57.07</v>
      </c>
      <c r="E871" s="15" t="str">
        <f>VLOOKUP($B871,Menu!$A$1:$F$20,MATCH(OrderLines!E$1,Menu!$A$1:$F$1,0),0)</f>
        <v>Dessert</v>
      </c>
      <c r="F871" s="36">
        <f>VLOOKUP($B871,Menu!$A$1:$F$20,MATCH(OrderLines!F$1,Menu!$A$1:$F$1,0),0)</f>
        <v>29.14</v>
      </c>
      <c r="G871" s="27">
        <f>VLOOKUP($A871,Orders!$A$1:$H$361,MATCH($G$1,Orders!$A$1:$H$1,0),0)</f>
        <v>45888</v>
      </c>
      <c r="H871" s="15" t="str">
        <f>VLOOKUP($A871,Orders!$A$1:$H$361,MATCH(OrderLines!$H$1,Orders!$A$1:$H$1,0),0)</f>
        <v>Head Office Café</v>
      </c>
      <c r="I871" s="15">
        <f>VLOOKUP($A871,Orders!$A$1:$H$361,MATCH(OrderLines!$I$1,Orders!$A$1:$H$1,0),0)</f>
        <v>0.03</v>
      </c>
      <c r="J871" s="15">
        <f t="shared" si="40"/>
        <v>166.0737</v>
      </c>
      <c r="K871" s="27" t="str">
        <f t="shared" si="41"/>
        <v>August</v>
      </c>
      <c r="L871" s="15" t="str">
        <f>VLOOKUP(OrderLines!$A871,Orders!$A$1:$H$361,MATCH(OrderLines!$L$1,Orders!$A$1:$H$1,0),0)</f>
        <v>Lunch</v>
      </c>
      <c r="M871" t="str">
        <f>VLOOKUP($A871,Orders!$A$1:$H$361,MATCH(OrderLines!$M$1,Orders!$A$1:$H$1,0),0)</f>
        <v>Cash</v>
      </c>
      <c r="N871" t="str">
        <f t="shared" si="39"/>
        <v>Single</v>
      </c>
      <c r="O871" t="str" cm="1">
        <f t="array" ref="O871">IF((SUMPRODUCT((OrderID=OrderLines!$A871)*Qty*UnitPrice*DiscountPct))&gt;40,"HighDisc","OK")</f>
        <v>OK</v>
      </c>
      <c r="P871">
        <f>(orderlinesTABLE[[#This Row],[UnitCost]]*orderlinesTABLE[[#This Row],[Qty]])</f>
        <v>87.42</v>
      </c>
      <c r="Q871">
        <f>(orderlinesTABLE[[#This Row],[LineNetAmount]]-orderlinesTABLE[[#This Row],[totalCOST]])</f>
        <v>78.653700000000001</v>
      </c>
      <c r="R871" t="str">
        <f>VLOOKUP($B871,Menu!$A$1:$F$20,MATCH(OrderLines!R$1,Menu!$A$1:$F$1,0),0)</f>
        <v>Fruit Cup</v>
      </c>
      <c r="S871" t="str" cm="1">
        <f t="array" ref="S871">_xlfn.TEXTJOIN("+",TRUE,_xlfn._xlws.FILTER(orderlinesTABLE[ItemName],OrderID=orderlinesTABLE[[#This Row],[OrderID]]))</f>
        <v>Brownie+Fruit Cup</v>
      </c>
      <c r="T871" s="54">
        <f>orderlinesTABLE[[#This Row],[Profit]]/orderlinesTABLE[[#This Row],[LineNetAmount]]</f>
        <v>0.47360719969507514</v>
      </c>
      <c r="U871" s="70">
        <f>(orderlinesTABLE[[#This Row],[Qty]]*orderlinesTABLE[[#This Row],[UnitCost]])</f>
        <v>87.42</v>
      </c>
    </row>
    <row r="872" spans="1:21" x14ac:dyDescent="0.3">
      <c r="A872" s="14" t="s">
        <v>377</v>
      </c>
      <c r="B872" s="14" t="s">
        <v>401</v>
      </c>
      <c r="C872" s="14">
        <v>3</v>
      </c>
      <c r="D872" s="37">
        <f>VLOOKUP($B872,Menu!$A$1:$F$20,MATCH($D$1,Menu!$A$1:$F$1,0),0)</f>
        <v>52.45</v>
      </c>
      <c r="E872" s="14" t="str">
        <f>VLOOKUP($B872,Menu!$A$1:$F$20,MATCH(OrderLines!E$1,Menu!$A$1:$F$1,0),0)</f>
        <v>Snack</v>
      </c>
      <c r="F872" s="37">
        <f>VLOOKUP($B872,Menu!$A$1:$F$20,MATCH(OrderLines!F$1,Menu!$A$1:$F$1,0),0)</f>
        <v>25.8</v>
      </c>
      <c r="G872" s="28">
        <f>VLOOKUP($A872,Orders!$A$1:$H$361,MATCH($G$1,Orders!$A$1:$H$1,0),0)</f>
        <v>45884</v>
      </c>
      <c r="H872" s="14" t="str">
        <f>VLOOKUP($A872,Orders!$A$1:$H$361,MATCH(OrderLines!$H$1,Orders!$A$1:$H$1,0),0)</f>
        <v>Plant 1 Canteen</v>
      </c>
      <c r="I872" s="14">
        <f>VLOOKUP($A872,Orders!$A$1:$H$361,MATCH(OrderLines!$I$1,Orders!$A$1:$H$1,0),0)</f>
        <v>0.04</v>
      </c>
      <c r="J872" s="14">
        <f t="shared" si="40"/>
        <v>151.05600000000001</v>
      </c>
      <c r="K872" s="28" t="str">
        <f t="shared" si="41"/>
        <v>August</v>
      </c>
      <c r="L872" s="14" t="str">
        <f>VLOOKUP(OrderLines!$A872,Orders!$A$1:$H$361,MATCH(OrderLines!$L$1,Orders!$A$1:$H$1,0),0)</f>
        <v>Dinner</v>
      </c>
      <c r="M872" t="str">
        <f>VLOOKUP($A872,Orders!$A$1:$H$361,MATCH(OrderLines!$M$1,Orders!$A$1:$H$1,0),0)</f>
        <v>Card</v>
      </c>
      <c r="N872" t="str">
        <f t="shared" si="39"/>
        <v>Single</v>
      </c>
      <c r="O872" t="str" cm="1">
        <f t="array" ref="O872">IF((SUMPRODUCT((OrderID=OrderLines!$A872)*Qty*UnitPrice*DiscountPct))&gt;40,"HighDisc","OK")</f>
        <v>OK</v>
      </c>
      <c r="P872">
        <f>(orderlinesTABLE[[#This Row],[UnitCost]]*orderlinesTABLE[[#This Row],[Qty]])</f>
        <v>77.400000000000006</v>
      </c>
      <c r="Q872">
        <f>(orderlinesTABLE[[#This Row],[LineNetAmount]]-orderlinesTABLE[[#This Row],[totalCOST]])</f>
        <v>73.656000000000006</v>
      </c>
      <c r="R872" t="str">
        <f>VLOOKUP($B872,Menu!$A$1:$F$20,MATCH(OrderLines!R$1,Menu!$A$1:$F$1,0),0)</f>
        <v>Poha</v>
      </c>
      <c r="S872" t="str" cm="1">
        <f t="array" ref="S872">_xlfn.TEXTJOIN("+",TRUE,_xlfn._xlws.FILTER(orderlinesTABLE[ItemName],OrderID=orderlinesTABLE[[#This Row],[OrderID]]))</f>
        <v>Poha+Masala Chaas+Kheer Cup+Tea</v>
      </c>
      <c r="T872" s="54">
        <f>orderlinesTABLE[[#This Row],[Profit]]/orderlinesTABLE[[#This Row],[LineNetAmount]]</f>
        <v>0.48760724499523356</v>
      </c>
      <c r="U872" s="70">
        <f>(orderlinesTABLE[[#This Row],[Qty]]*orderlinesTABLE[[#This Row],[UnitCost]])</f>
        <v>77.400000000000006</v>
      </c>
    </row>
    <row r="873" spans="1:21" x14ac:dyDescent="0.3">
      <c r="A873" s="15" t="s">
        <v>377</v>
      </c>
      <c r="B873" s="15" t="s">
        <v>404</v>
      </c>
      <c r="C873" s="15">
        <v>1</v>
      </c>
      <c r="D873" s="36">
        <f>VLOOKUP($B873,Menu!$A$1:$F$20,MATCH($D$1,Menu!$A$1:$F$1,0),0)</f>
        <v>32.979999999999997</v>
      </c>
      <c r="E873" s="15" t="str">
        <f>VLOOKUP($B873,Menu!$A$1:$F$20,MATCH(OrderLines!E$1,Menu!$A$1:$F$1,0),0)</f>
        <v>Beverage</v>
      </c>
      <c r="F873" s="36">
        <f>VLOOKUP($B873,Menu!$A$1:$F$20,MATCH(OrderLines!F$1,Menu!$A$1:$F$1,0),0)</f>
        <v>11.84</v>
      </c>
      <c r="G873" s="27">
        <f>VLOOKUP($A873,Orders!$A$1:$H$361,MATCH($G$1,Orders!$A$1:$H$1,0),0)</f>
        <v>45884</v>
      </c>
      <c r="H873" s="15" t="str">
        <f>VLOOKUP($A873,Orders!$A$1:$H$361,MATCH(OrderLines!$H$1,Orders!$A$1:$H$1,0),0)</f>
        <v>Plant 1 Canteen</v>
      </c>
      <c r="I873" s="15">
        <f>VLOOKUP($A873,Orders!$A$1:$H$361,MATCH(OrderLines!$I$1,Orders!$A$1:$H$1,0),0)</f>
        <v>0.04</v>
      </c>
      <c r="J873" s="15">
        <f t="shared" si="40"/>
        <v>31.660799999999995</v>
      </c>
      <c r="K873" s="27" t="str">
        <f t="shared" si="41"/>
        <v>August</v>
      </c>
      <c r="L873" s="15" t="str">
        <f>VLOOKUP(OrderLines!$A873,Orders!$A$1:$H$361,MATCH(OrderLines!$L$1,Orders!$A$1:$H$1,0),0)</f>
        <v>Dinner</v>
      </c>
      <c r="M873" t="str">
        <f>VLOOKUP($A873,Orders!$A$1:$H$361,MATCH(OrderLines!$M$1,Orders!$A$1:$H$1,0),0)</f>
        <v>Card</v>
      </c>
      <c r="N873" t="str">
        <f t="shared" si="39"/>
        <v>Single</v>
      </c>
      <c r="O873" t="str" cm="1">
        <f t="array" ref="O873">IF((SUMPRODUCT((OrderID=OrderLines!$A873)*Qty*UnitPrice*DiscountPct))&gt;40,"HighDisc","OK")</f>
        <v>OK</v>
      </c>
      <c r="P873">
        <f>(orderlinesTABLE[[#This Row],[UnitCost]]*orderlinesTABLE[[#This Row],[Qty]])</f>
        <v>11.84</v>
      </c>
      <c r="Q873">
        <f>(orderlinesTABLE[[#This Row],[LineNetAmount]]-orderlinesTABLE[[#This Row],[totalCOST]])</f>
        <v>19.820799999999995</v>
      </c>
      <c r="R873" t="str">
        <f>VLOOKUP($B873,Menu!$A$1:$F$20,MATCH(OrderLines!R$1,Menu!$A$1:$F$1,0),0)</f>
        <v>Masala Chaas</v>
      </c>
      <c r="S873" t="str" cm="1">
        <f t="array" ref="S873">_xlfn.TEXTJOIN("+",TRUE,_xlfn._xlws.FILTER(orderlinesTABLE[ItemName],OrderID=orderlinesTABLE[[#This Row],[OrderID]]))</f>
        <v>Poha+Masala Chaas+Kheer Cup+Tea</v>
      </c>
      <c r="T873" s="54">
        <f>orderlinesTABLE[[#This Row],[Profit]]/orderlinesTABLE[[#This Row],[LineNetAmount]]</f>
        <v>0.62603598140287042</v>
      </c>
      <c r="U873" s="70">
        <f>(orderlinesTABLE[[#This Row],[Qty]]*orderlinesTABLE[[#This Row],[UnitCost]])</f>
        <v>11.84</v>
      </c>
    </row>
    <row r="874" spans="1:21" x14ac:dyDescent="0.3">
      <c r="A874" s="14" t="s">
        <v>377</v>
      </c>
      <c r="B874" s="14" t="s">
        <v>413</v>
      </c>
      <c r="C874" s="14">
        <v>1</v>
      </c>
      <c r="D874" s="37">
        <f>VLOOKUP($B874,Menu!$A$1:$F$20,MATCH($D$1,Menu!$A$1:$F$1,0),0)</f>
        <v>54.2</v>
      </c>
      <c r="E874" s="14" t="str">
        <f>VLOOKUP($B874,Menu!$A$1:$F$20,MATCH(OrderLines!E$1,Menu!$A$1:$F$1,0),0)</f>
        <v>Dessert</v>
      </c>
      <c r="F874" s="37">
        <f>VLOOKUP($B874,Menu!$A$1:$F$20,MATCH(OrderLines!F$1,Menu!$A$1:$F$1,0),0)</f>
        <v>21.95</v>
      </c>
      <c r="G874" s="28">
        <f>VLOOKUP($A874,Orders!$A$1:$H$361,MATCH($G$1,Orders!$A$1:$H$1,0),0)</f>
        <v>45884</v>
      </c>
      <c r="H874" s="14" t="str">
        <f>VLOOKUP($A874,Orders!$A$1:$H$361,MATCH(OrderLines!$H$1,Orders!$A$1:$H$1,0),0)</f>
        <v>Plant 1 Canteen</v>
      </c>
      <c r="I874" s="14">
        <f>VLOOKUP($A874,Orders!$A$1:$H$361,MATCH(OrderLines!$I$1,Orders!$A$1:$H$1,0),0)</f>
        <v>0.04</v>
      </c>
      <c r="J874" s="14">
        <f t="shared" si="40"/>
        <v>52.032000000000004</v>
      </c>
      <c r="K874" s="28" t="str">
        <f t="shared" si="41"/>
        <v>August</v>
      </c>
      <c r="L874" s="14" t="str">
        <f>VLOOKUP(OrderLines!$A874,Orders!$A$1:$H$361,MATCH(OrderLines!$L$1,Orders!$A$1:$H$1,0),0)</f>
        <v>Dinner</v>
      </c>
      <c r="M874" t="str">
        <f>VLOOKUP($A874,Orders!$A$1:$H$361,MATCH(OrderLines!$M$1,Orders!$A$1:$H$1,0),0)</f>
        <v>Card</v>
      </c>
      <c r="N874" t="str">
        <f t="shared" si="39"/>
        <v>Single</v>
      </c>
      <c r="O874" t="str" cm="1">
        <f t="array" ref="O874">IF((SUMPRODUCT((OrderID=OrderLines!$A874)*Qty*UnitPrice*DiscountPct))&gt;40,"HighDisc","OK")</f>
        <v>OK</v>
      </c>
      <c r="P874">
        <f>(orderlinesTABLE[[#This Row],[UnitCost]]*orderlinesTABLE[[#This Row],[Qty]])</f>
        <v>21.95</v>
      </c>
      <c r="Q874">
        <f>(orderlinesTABLE[[#This Row],[LineNetAmount]]-orderlinesTABLE[[#This Row],[totalCOST]])</f>
        <v>30.082000000000004</v>
      </c>
      <c r="R874" t="str">
        <f>VLOOKUP($B874,Menu!$A$1:$F$20,MATCH(OrderLines!R$1,Menu!$A$1:$F$1,0),0)</f>
        <v>Kheer Cup</v>
      </c>
      <c r="S874" t="str" cm="1">
        <f t="array" ref="S874">_xlfn.TEXTJOIN("+",TRUE,_xlfn._xlws.FILTER(orderlinesTABLE[ItemName],OrderID=orderlinesTABLE[[#This Row],[OrderID]]))</f>
        <v>Poha+Masala Chaas+Kheer Cup+Tea</v>
      </c>
      <c r="T874" s="54">
        <f>orderlinesTABLE[[#This Row],[Profit]]/orderlinesTABLE[[#This Row],[LineNetAmount]]</f>
        <v>0.57814421894218948</v>
      </c>
      <c r="U874" s="70">
        <f>(orderlinesTABLE[[#This Row],[Qty]]*orderlinesTABLE[[#This Row],[UnitCost]])</f>
        <v>21.95</v>
      </c>
    </row>
    <row r="875" spans="1:21" x14ac:dyDescent="0.3">
      <c r="A875" s="15" t="s">
        <v>377</v>
      </c>
      <c r="B875" s="15" t="s">
        <v>402</v>
      </c>
      <c r="C875" s="15">
        <v>1</v>
      </c>
      <c r="D875" s="36">
        <f>VLOOKUP($B875,Menu!$A$1:$F$20,MATCH($D$1,Menu!$A$1:$F$1,0),0)</f>
        <v>30.34</v>
      </c>
      <c r="E875" s="15" t="str">
        <f>VLOOKUP($B875,Menu!$A$1:$F$20,MATCH(OrderLines!E$1,Menu!$A$1:$F$1,0),0)</f>
        <v>Beverage</v>
      </c>
      <c r="F875" s="36">
        <f>VLOOKUP($B875,Menu!$A$1:$F$20,MATCH(OrderLines!F$1,Menu!$A$1:$F$1,0),0)</f>
        <v>14.18</v>
      </c>
      <c r="G875" s="27">
        <f>VLOOKUP($A875,Orders!$A$1:$H$361,MATCH($G$1,Orders!$A$1:$H$1,0),0)</f>
        <v>45884</v>
      </c>
      <c r="H875" s="15" t="str">
        <f>VLOOKUP($A875,Orders!$A$1:$H$361,MATCH(OrderLines!$H$1,Orders!$A$1:$H$1,0),0)</f>
        <v>Plant 1 Canteen</v>
      </c>
      <c r="I875" s="15">
        <f>VLOOKUP($A875,Orders!$A$1:$H$361,MATCH(OrderLines!$I$1,Orders!$A$1:$H$1,0),0)</f>
        <v>0.04</v>
      </c>
      <c r="J875" s="15">
        <f t="shared" si="40"/>
        <v>29.1264</v>
      </c>
      <c r="K875" s="27" t="str">
        <f t="shared" si="41"/>
        <v>August</v>
      </c>
      <c r="L875" s="15" t="str">
        <f>VLOOKUP(OrderLines!$A875,Orders!$A$1:$H$361,MATCH(OrderLines!$L$1,Orders!$A$1:$H$1,0),0)</f>
        <v>Dinner</v>
      </c>
      <c r="M875" t="str">
        <f>VLOOKUP($A875,Orders!$A$1:$H$361,MATCH(OrderLines!$M$1,Orders!$A$1:$H$1,0),0)</f>
        <v>Card</v>
      </c>
      <c r="N875" t="str">
        <f t="shared" si="39"/>
        <v>Single</v>
      </c>
      <c r="O875" t="str" cm="1">
        <f t="array" ref="O875">IF((SUMPRODUCT((OrderID=OrderLines!$A875)*Qty*UnitPrice*DiscountPct))&gt;40,"HighDisc","OK")</f>
        <v>OK</v>
      </c>
      <c r="P875">
        <f>(orderlinesTABLE[[#This Row],[UnitCost]]*orderlinesTABLE[[#This Row],[Qty]])</f>
        <v>14.18</v>
      </c>
      <c r="Q875">
        <f>(orderlinesTABLE[[#This Row],[LineNetAmount]]-orderlinesTABLE[[#This Row],[totalCOST]])</f>
        <v>14.946400000000001</v>
      </c>
      <c r="R875" t="str">
        <f>VLOOKUP($B875,Menu!$A$1:$F$20,MATCH(OrderLines!R$1,Menu!$A$1:$F$1,0),0)</f>
        <v>Tea</v>
      </c>
      <c r="S875" t="str" cm="1">
        <f t="array" ref="S875">_xlfn.TEXTJOIN("+",TRUE,_xlfn._xlws.FILTER(orderlinesTABLE[ItemName],OrderID=orderlinesTABLE[[#This Row],[OrderID]]))</f>
        <v>Poha+Masala Chaas+Kheer Cup+Tea</v>
      </c>
      <c r="T875" s="54">
        <f>orderlinesTABLE[[#This Row],[Profit]]/orderlinesTABLE[[#This Row],[LineNetAmount]]</f>
        <v>0.51315644913205893</v>
      </c>
      <c r="U875" s="70">
        <f>(orderlinesTABLE[[#This Row],[Qty]]*orderlinesTABLE[[#This Row],[UnitCost]])</f>
        <v>14.18</v>
      </c>
    </row>
    <row r="876" spans="1:21" x14ac:dyDescent="0.3">
      <c r="A876" s="14" t="s">
        <v>378</v>
      </c>
      <c r="B876" s="14" t="s">
        <v>418</v>
      </c>
      <c r="C876" s="14">
        <v>1</v>
      </c>
      <c r="D876" s="37">
        <f>VLOOKUP($B876,Menu!$A$1:$F$20,MATCH($D$1,Menu!$A$1:$F$1,0),0)</f>
        <v>39.950000000000003</v>
      </c>
      <c r="E876" s="14" t="str">
        <f>VLOOKUP($B876,Menu!$A$1:$F$20,MATCH(OrderLines!E$1,Menu!$A$1:$F$1,0),0)</f>
        <v>Snack</v>
      </c>
      <c r="F876" s="37">
        <f>VLOOKUP($B876,Menu!$A$1:$F$20,MATCH(OrderLines!F$1,Menu!$A$1:$F$1,0),0)</f>
        <v>15.51</v>
      </c>
      <c r="G876" s="28">
        <f>VLOOKUP($A876,Orders!$A$1:$H$361,MATCH($G$1,Orders!$A$1:$H$1,0),0)</f>
        <v>45863</v>
      </c>
      <c r="H876" s="14" t="str">
        <f>VLOOKUP($A876,Orders!$A$1:$H$361,MATCH(OrderLines!$H$1,Orders!$A$1:$H$1,0),0)</f>
        <v>Head Office Café</v>
      </c>
      <c r="I876" s="14">
        <f>VLOOKUP($A876,Orders!$A$1:$H$361,MATCH(OrderLines!$I$1,Orders!$A$1:$H$1,0),0)</f>
        <v>0</v>
      </c>
      <c r="J876" s="14">
        <f t="shared" si="40"/>
        <v>39.950000000000003</v>
      </c>
      <c r="K876" s="28" t="str">
        <f t="shared" si="41"/>
        <v>July</v>
      </c>
      <c r="L876" s="14" t="str">
        <f>VLOOKUP(OrderLines!$A876,Orders!$A$1:$H$361,MATCH(OrderLines!$L$1,Orders!$A$1:$H$1,0),0)</f>
        <v>Dinner</v>
      </c>
      <c r="M876" t="str">
        <f>VLOOKUP($A876,Orders!$A$1:$H$361,MATCH(OrderLines!$M$1,Orders!$A$1:$H$1,0),0)</f>
        <v>Card</v>
      </c>
      <c r="N876" t="str">
        <f t="shared" si="39"/>
        <v>Single</v>
      </c>
      <c r="O876" t="str" cm="1">
        <f t="array" ref="O876">IF((SUMPRODUCT((OrderID=OrderLines!$A876)*Qty*UnitPrice*DiscountPct))&gt;40,"HighDisc","OK")</f>
        <v>OK</v>
      </c>
      <c r="P876">
        <f>(orderlinesTABLE[[#This Row],[UnitCost]]*orderlinesTABLE[[#This Row],[Qty]])</f>
        <v>15.51</v>
      </c>
      <c r="Q876">
        <f>(orderlinesTABLE[[#This Row],[LineNetAmount]]-orderlinesTABLE[[#This Row],[totalCOST]])</f>
        <v>24.440000000000005</v>
      </c>
      <c r="R876" t="str">
        <f>VLOOKUP($B876,Menu!$A$1:$F$20,MATCH(OrderLines!R$1,Menu!$A$1:$F$1,0),0)</f>
        <v>Samosa</v>
      </c>
      <c r="S876" t="str" cm="1">
        <f t="array" ref="S876">_xlfn.TEXTJOIN("+",TRUE,_xlfn._xlws.FILTER(orderlinesTABLE[ItemName],OrderID=orderlinesTABLE[[#This Row],[OrderID]]))</f>
        <v>Samosa+Gulab Jamun (2 pc)+Rajma Chawal</v>
      </c>
      <c r="T876" s="54">
        <f>orderlinesTABLE[[#This Row],[Profit]]/orderlinesTABLE[[#This Row],[LineNetAmount]]</f>
        <v>0.61176470588235299</v>
      </c>
      <c r="U876" s="70">
        <f>(orderlinesTABLE[[#This Row],[Qty]]*orderlinesTABLE[[#This Row],[UnitCost]])</f>
        <v>15.51</v>
      </c>
    </row>
    <row r="877" spans="1:21" x14ac:dyDescent="0.3">
      <c r="A877" s="15" t="s">
        <v>378</v>
      </c>
      <c r="B877" s="15" t="s">
        <v>403</v>
      </c>
      <c r="C877" s="15">
        <v>3</v>
      </c>
      <c r="D877" s="36">
        <f>VLOOKUP($B877,Menu!$A$1:$F$20,MATCH($D$1,Menu!$A$1:$F$1,0),0)</f>
        <v>76.55</v>
      </c>
      <c r="E877" s="15" t="str">
        <f>VLOOKUP($B877,Menu!$A$1:$F$20,MATCH(OrderLines!E$1,Menu!$A$1:$F$1,0),0)</f>
        <v>Dessert</v>
      </c>
      <c r="F877" s="36">
        <f>VLOOKUP($B877,Menu!$A$1:$F$20,MATCH(OrderLines!F$1,Menu!$A$1:$F$1,0),0)</f>
        <v>38.229999999999997</v>
      </c>
      <c r="G877" s="27">
        <f>VLOOKUP($A877,Orders!$A$1:$H$361,MATCH($G$1,Orders!$A$1:$H$1,0),0)</f>
        <v>45863</v>
      </c>
      <c r="H877" s="15" t="str">
        <f>VLOOKUP($A877,Orders!$A$1:$H$361,MATCH(OrderLines!$H$1,Orders!$A$1:$H$1,0),0)</f>
        <v>Head Office Café</v>
      </c>
      <c r="I877" s="15">
        <f>VLOOKUP($A877,Orders!$A$1:$H$361,MATCH(OrderLines!$I$1,Orders!$A$1:$H$1,0),0)</f>
        <v>0</v>
      </c>
      <c r="J877" s="15">
        <f t="shared" si="40"/>
        <v>229.64999999999998</v>
      </c>
      <c r="K877" s="27" t="str">
        <f t="shared" si="41"/>
        <v>July</v>
      </c>
      <c r="L877" s="15" t="str">
        <f>VLOOKUP(OrderLines!$A877,Orders!$A$1:$H$361,MATCH(OrderLines!$L$1,Orders!$A$1:$H$1,0),0)</f>
        <v>Dinner</v>
      </c>
      <c r="M877" t="str">
        <f>VLOOKUP($A877,Orders!$A$1:$H$361,MATCH(OrderLines!$M$1,Orders!$A$1:$H$1,0),0)</f>
        <v>Card</v>
      </c>
      <c r="N877" t="str">
        <f t="shared" si="39"/>
        <v>Single</v>
      </c>
      <c r="O877" t="str" cm="1">
        <f t="array" ref="O877">IF((SUMPRODUCT((OrderID=OrderLines!$A877)*Qty*UnitPrice*DiscountPct))&gt;40,"HighDisc","OK")</f>
        <v>OK</v>
      </c>
      <c r="P877">
        <f>(orderlinesTABLE[[#This Row],[UnitCost]]*orderlinesTABLE[[#This Row],[Qty]])</f>
        <v>114.69</v>
      </c>
      <c r="Q877">
        <f>(orderlinesTABLE[[#This Row],[LineNetAmount]]-orderlinesTABLE[[#This Row],[totalCOST]])</f>
        <v>114.95999999999998</v>
      </c>
      <c r="R877" t="str">
        <f>VLOOKUP($B877,Menu!$A$1:$F$20,MATCH(OrderLines!R$1,Menu!$A$1:$F$1,0),0)</f>
        <v>Gulab Jamun (2 pc)</v>
      </c>
      <c r="S877" t="str" cm="1">
        <f t="array" ref="S877">_xlfn.TEXTJOIN("+",TRUE,_xlfn._xlws.FILTER(orderlinesTABLE[ItemName],OrderID=orderlinesTABLE[[#This Row],[OrderID]]))</f>
        <v>Samosa+Gulab Jamun (2 pc)+Rajma Chawal</v>
      </c>
      <c r="T877" s="54">
        <f>orderlinesTABLE[[#This Row],[Profit]]/orderlinesTABLE[[#This Row],[LineNetAmount]]</f>
        <v>0.50058785107772696</v>
      </c>
      <c r="U877" s="70">
        <f>(orderlinesTABLE[[#This Row],[Qty]]*orderlinesTABLE[[#This Row],[UnitCost]])</f>
        <v>114.69</v>
      </c>
    </row>
    <row r="878" spans="1:21" x14ac:dyDescent="0.3">
      <c r="A878" s="14" t="s">
        <v>378</v>
      </c>
      <c r="B878" s="14" t="s">
        <v>417</v>
      </c>
      <c r="C878" s="14">
        <v>1</v>
      </c>
      <c r="D878" s="37">
        <f>VLOOKUP($B878,Menu!$A$1:$F$20,MATCH($D$1,Menu!$A$1:$F$1,0),0)</f>
        <v>146.4</v>
      </c>
      <c r="E878" s="14" t="str">
        <f>VLOOKUP($B878,Menu!$A$1:$F$20,MATCH(OrderLines!E$1,Menu!$A$1:$F$1,0),0)</f>
        <v>Hot Meal</v>
      </c>
      <c r="F878" s="37">
        <f>VLOOKUP($B878,Menu!$A$1:$F$20,MATCH(OrderLines!F$1,Menu!$A$1:$F$1,0),0)</f>
        <v>80.92</v>
      </c>
      <c r="G878" s="28">
        <f>VLOOKUP($A878,Orders!$A$1:$H$361,MATCH($G$1,Orders!$A$1:$H$1,0),0)</f>
        <v>45863</v>
      </c>
      <c r="H878" s="14" t="str">
        <f>VLOOKUP($A878,Orders!$A$1:$H$361,MATCH(OrderLines!$H$1,Orders!$A$1:$H$1,0),0)</f>
        <v>Head Office Café</v>
      </c>
      <c r="I878" s="14">
        <f>VLOOKUP($A878,Orders!$A$1:$H$361,MATCH(OrderLines!$I$1,Orders!$A$1:$H$1,0),0)</f>
        <v>0</v>
      </c>
      <c r="J878" s="14">
        <f t="shared" si="40"/>
        <v>146.4</v>
      </c>
      <c r="K878" s="28" t="str">
        <f t="shared" si="41"/>
        <v>July</v>
      </c>
      <c r="L878" s="14" t="str">
        <f>VLOOKUP(OrderLines!$A878,Orders!$A$1:$H$361,MATCH(OrderLines!$L$1,Orders!$A$1:$H$1,0),0)</f>
        <v>Dinner</v>
      </c>
      <c r="M878" t="str">
        <f>VLOOKUP($A878,Orders!$A$1:$H$361,MATCH(OrderLines!$M$1,Orders!$A$1:$H$1,0),0)</f>
        <v>Card</v>
      </c>
      <c r="N878" t="str">
        <f t="shared" si="39"/>
        <v>Single</v>
      </c>
      <c r="O878" t="str" cm="1">
        <f t="array" ref="O878">IF((SUMPRODUCT((OrderID=OrderLines!$A878)*Qty*UnitPrice*DiscountPct))&gt;40,"HighDisc","OK")</f>
        <v>OK</v>
      </c>
      <c r="P878">
        <f>(orderlinesTABLE[[#This Row],[UnitCost]]*orderlinesTABLE[[#This Row],[Qty]])</f>
        <v>80.92</v>
      </c>
      <c r="Q878">
        <f>(orderlinesTABLE[[#This Row],[LineNetAmount]]-orderlinesTABLE[[#This Row],[totalCOST]])</f>
        <v>65.48</v>
      </c>
      <c r="R878" t="str">
        <f>VLOOKUP($B878,Menu!$A$1:$F$20,MATCH(OrderLines!R$1,Menu!$A$1:$F$1,0),0)</f>
        <v>Rajma Chawal</v>
      </c>
      <c r="S878" t="str" cm="1">
        <f t="array" ref="S878">_xlfn.TEXTJOIN("+",TRUE,_xlfn._xlws.FILTER(orderlinesTABLE[ItemName],OrderID=orderlinesTABLE[[#This Row],[OrderID]]))</f>
        <v>Samosa+Gulab Jamun (2 pc)+Rajma Chawal</v>
      </c>
      <c r="T878" s="54">
        <f>orderlinesTABLE[[#This Row],[Profit]]/orderlinesTABLE[[#This Row],[LineNetAmount]]</f>
        <v>0.44726775956284154</v>
      </c>
      <c r="U878" s="70">
        <f>(orderlinesTABLE[[#This Row],[Qty]]*orderlinesTABLE[[#This Row],[UnitCost]])</f>
        <v>80.92</v>
      </c>
    </row>
    <row r="879" spans="1:21" x14ac:dyDescent="0.3">
      <c r="A879" s="15" t="s">
        <v>379</v>
      </c>
      <c r="B879" s="15" t="s">
        <v>401</v>
      </c>
      <c r="C879" s="15">
        <v>1</v>
      </c>
      <c r="D879" s="36">
        <f>VLOOKUP($B879,Menu!$A$1:$F$20,MATCH($D$1,Menu!$A$1:$F$1,0),0)</f>
        <v>52.45</v>
      </c>
      <c r="E879" s="15" t="str">
        <f>VLOOKUP($B879,Menu!$A$1:$F$20,MATCH(OrderLines!E$1,Menu!$A$1:$F$1,0),0)</f>
        <v>Snack</v>
      </c>
      <c r="F879" s="36">
        <f>VLOOKUP($B879,Menu!$A$1:$F$20,MATCH(OrderLines!F$1,Menu!$A$1:$F$1,0),0)</f>
        <v>25.8</v>
      </c>
      <c r="G879" s="27">
        <f>VLOOKUP($A879,Orders!$A$1:$H$361,MATCH($G$1,Orders!$A$1:$H$1,0),0)</f>
        <v>45872</v>
      </c>
      <c r="H879" s="15" t="str">
        <f>VLOOKUP($A879,Orders!$A$1:$H$361,MATCH(OrderLines!$H$1,Orders!$A$1:$H$1,0),0)</f>
        <v>Plant 1 Canteen</v>
      </c>
      <c r="I879" s="15">
        <f>VLOOKUP($A879,Orders!$A$1:$H$361,MATCH(OrderLines!$I$1,Orders!$A$1:$H$1,0),0)</f>
        <v>0.04</v>
      </c>
      <c r="J879" s="15">
        <f t="shared" si="40"/>
        <v>50.352000000000004</v>
      </c>
      <c r="K879" s="27" t="str">
        <f t="shared" si="41"/>
        <v>August</v>
      </c>
      <c r="L879" s="15" t="str">
        <f>VLOOKUP(OrderLines!$A879,Orders!$A$1:$H$361,MATCH(OrderLines!$L$1,Orders!$A$1:$H$1,0),0)</f>
        <v>Dinner</v>
      </c>
      <c r="M879" t="str">
        <f>VLOOKUP($A879,Orders!$A$1:$H$361,MATCH(OrderLines!$M$1,Orders!$A$1:$H$1,0),0)</f>
        <v>UPI</v>
      </c>
      <c r="N879" t="str">
        <f t="shared" si="39"/>
        <v>Single</v>
      </c>
      <c r="O879" t="str" cm="1">
        <f t="array" ref="O879">IF((SUMPRODUCT((OrderID=OrderLines!$A879)*Qty*UnitPrice*DiscountPct))&gt;40,"HighDisc","OK")</f>
        <v>OK</v>
      </c>
      <c r="P879">
        <f>(orderlinesTABLE[[#This Row],[UnitCost]]*orderlinesTABLE[[#This Row],[Qty]])</f>
        <v>25.8</v>
      </c>
      <c r="Q879">
        <f>(orderlinesTABLE[[#This Row],[LineNetAmount]]-orderlinesTABLE[[#This Row],[totalCOST]])</f>
        <v>24.552000000000003</v>
      </c>
      <c r="R879" t="str">
        <f>VLOOKUP($B879,Menu!$A$1:$F$20,MATCH(OrderLines!R$1,Menu!$A$1:$F$1,0),0)</f>
        <v>Poha</v>
      </c>
      <c r="S879" t="str" cm="1">
        <f t="array" ref="S879">_xlfn.TEXTJOIN("+",TRUE,_xlfn._xlws.FILTER(orderlinesTABLE[ItemName],OrderID=orderlinesTABLE[[#This Row],[OrderID]]))</f>
        <v>Poha+Bottled Water</v>
      </c>
      <c r="T879" s="54">
        <f>orderlinesTABLE[[#This Row],[Profit]]/orderlinesTABLE[[#This Row],[LineNetAmount]]</f>
        <v>0.48760724499523356</v>
      </c>
      <c r="U879" s="70">
        <f>(orderlinesTABLE[[#This Row],[Qty]]*orderlinesTABLE[[#This Row],[UnitCost]])</f>
        <v>25.8</v>
      </c>
    </row>
    <row r="880" spans="1:21" x14ac:dyDescent="0.3">
      <c r="A880" s="14" t="s">
        <v>379</v>
      </c>
      <c r="B880" s="14" t="s">
        <v>409</v>
      </c>
      <c r="C880" s="14">
        <v>2</v>
      </c>
      <c r="D880" s="37">
        <f>VLOOKUP($B880,Menu!$A$1:$F$20,MATCH($D$1,Menu!$A$1:$F$1,0),0)</f>
        <v>28.43</v>
      </c>
      <c r="E880" s="14" t="str">
        <f>VLOOKUP($B880,Menu!$A$1:$F$20,MATCH(OrderLines!E$1,Menu!$A$1:$F$1,0),0)</f>
        <v>Beverage</v>
      </c>
      <c r="F880" s="37">
        <f>VLOOKUP($B880,Menu!$A$1:$F$20,MATCH(OrderLines!F$1,Menu!$A$1:$F$1,0),0)</f>
        <v>13.89</v>
      </c>
      <c r="G880" s="28">
        <f>VLOOKUP($A880,Orders!$A$1:$H$361,MATCH($G$1,Orders!$A$1:$H$1,0),0)</f>
        <v>45872</v>
      </c>
      <c r="H880" s="14" t="str">
        <f>VLOOKUP($A880,Orders!$A$1:$H$361,MATCH(OrderLines!$H$1,Orders!$A$1:$H$1,0),0)</f>
        <v>Plant 1 Canteen</v>
      </c>
      <c r="I880" s="14">
        <f>VLOOKUP($A880,Orders!$A$1:$H$361,MATCH(OrderLines!$I$1,Orders!$A$1:$H$1,0),0)</f>
        <v>0.04</v>
      </c>
      <c r="J880" s="14">
        <f t="shared" si="40"/>
        <v>54.585599999999999</v>
      </c>
      <c r="K880" s="28" t="str">
        <f t="shared" si="41"/>
        <v>August</v>
      </c>
      <c r="L880" s="14" t="str">
        <f>VLOOKUP(OrderLines!$A880,Orders!$A$1:$H$361,MATCH(OrderLines!$L$1,Orders!$A$1:$H$1,0),0)</f>
        <v>Dinner</v>
      </c>
      <c r="M880" t="str">
        <f>VLOOKUP($A880,Orders!$A$1:$H$361,MATCH(OrderLines!$M$1,Orders!$A$1:$H$1,0),0)</f>
        <v>UPI</v>
      </c>
      <c r="N880" t="str">
        <f t="shared" si="39"/>
        <v>Single</v>
      </c>
      <c r="O880" t="str" cm="1">
        <f t="array" ref="O880">IF((SUMPRODUCT((OrderID=OrderLines!$A880)*Qty*UnitPrice*DiscountPct))&gt;40,"HighDisc","OK")</f>
        <v>OK</v>
      </c>
      <c r="P880">
        <f>(orderlinesTABLE[[#This Row],[UnitCost]]*orderlinesTABLE[[#This Row],[Qty]])</f>
        <v>27.78</v>
      </c>
      <c r="Q880">
        <f>(orderlinesTABLE[[#This Row],[LineNetAmount]]-orderlinesTABLE[[#This Row],[totalCOST]])</f>
        <v>26.805599999999998</v>
      </c>
      <c r="R880" t="str">
        <f>VLOOKUP($B880,Menu!$A$1:$F$20,MATCH(OrderLines!R$1,Menu!$A$1:$F$1,0),0)</f>
        <v>Bottled Water</v>
      </c>
      <c r="S880" t="str" cm="1">
        <f t="array" ref="S880">_xlfn.TEXTJOIN("+",TRUE,_xlfn._xlws.FILTER(orderlinesTABLE[ItemName],OrderID=orderlinesTABLE[[#This Row],[OrderID]]))</f>
        <v>Poha+Bottled Water</v>
      </c>
      <c r="T880" s="54">
        <f>orderlinesTABLE[[#This Row],[Profit]]/orderlinesTABLE[[#This Row],[LineNetAmount]]</f>
        <v>0.49107456911712977</v>
      </c>
      <c r="U880" s="70">
        <f>(orderlinesTABLE[[#This Row],[Qty]]*orderlinesTABLE[[#This Row],[UnitCost]])</f>
        <v>27.78</v>
      </c>
    </row>
    <row r="881" spans="1:21" x14ac:dyDescent="0.3">
      <c r="A881" s="15" t="s">
        <v>380</v>
      </c>
      <c r="B881" s="15" t="s">
        <v>413</v>
      </c>
      <c r="C881" s="15">
        <v>2</v>
      </c>
      <c r="D881" s="36">
        <f>VLOOKUP($B881,Menu!$A$1:$F$20,MATCH($D$1,Menu!$A$1:$F$1,0),0)</f>
        <v>54.2</v>
      </c>
      <c r="E881" s="15" t="str">
        <f>VLOOKUP($B881,Menu!$A$1:$F$20,MATCH(OrderLines!E$1,Menu!$A$1:$F$1,0),0)</f>
        <v>Dessert</v>
      </c>
      <c r="F881" s="36">
        <f>VLOOKUP($B881,Menu!$A$1:$F$20,MATCH(OrderLines!F$1,Menu!$A$1:$F$1,0),0)</f>
        <v>21.95</v>
      </c>
      <c r="G881" s="27">
        <f>VLOOKUP($A881,Orders!$A$1:$H$361,MATCH($G$1,Orders!$A$1:$H$1,0),0)</f>
        <v>45895</v>
      </c>
      <c r="H881" s="15" t="str">
        <f>VLOOKUP($A881,Orders!$A$1:$H$361,MATCH(OrderLines!$H$1,Orders!$A$1:$H$1,0),0)</f>
        <v>Head Office Café</v>
      </c>
      <c r="I881" s="15">
        <f>VLOOKUP($A881,Orders!$A$1:$H$361,MATCH(OrderLines!$I$1,Orders!$A$1:$H$1,0),0)</f>
        <v>0.03</v>
      </c>
      <c r="J881" s="15">
        <f t="shared" si="40"/>
        <v>105.148</v>
      </c>
      <c r="K881" s="27" t="str">
        <f t="shared" si="41"/>
        <v>August</v>
      </c>
      <c r="L881" s="15" t="str">
        <f>VLOOKUP(OrderLines!$A881,Orders!$A$1:$H$361,MATCH(OrderLines!$L$1,Orders!$A$1:$H$1,0),0)</f>
        <v>Dinner</v>
      </c>
      <c r="M881" t="str">
        <f>VLOOKUP($A881,Orders!$A$1:$H$361,MATCH(OrderLines!$M$1,Orders!$A$1:$H$1,0),0)</f>
        <v>Cash</v>
      </c>
      <c r="N881" t="str">
        <f t="shared" si="39"/>
        <v>Single</v>
      </c>
      <c r="O881" t="str" cm="1">
        <f t="array" ref="O881">IF((SUMPRODUCT((OrderID=OrderLines!$A881)*Qty*UnitPrice*DiscountPct))&gt;40,"HighDisc","OK")</f>
        <v>OK</v>
      </c>
      <c r="P881">
        <f>(orderlinesTABLE[[#This Row],[UnitCost]]*orderlinesTABLE[[#This Row],[Qty]])</f>
        <v>43.9</v>
      </c>
      <c r="Q881">
        <f>(orderlinesTABLE[[#This Row],[LineNetAmount]]-orderlinesTABLE[[#This Row],[totalCOST]])</f>
        <v>61.247999999999998</v>
      </c>
      <c r="R881" t="str">
        <f>VLOOKUP($B881,Menu!$A$1:$F$20,MATCH(OrderLines!R$1,Menu!$A$1:$F$1,0),0)</f>
        <v>Kheer Cup</v>
      </c>
      <c r="S881" t="str" cm="1">
        <f t="array" ref="S881">_xlfn.TEXTJOIN("+",TRUE,_xlfn._xlws.FILTER(orderlinesTABLE[ItemName],OrderID=orderlinesTABLE[[#This Row],[OrderID]]))</f>
        <v>Kheer Cup</v>
      </c>
      <c r="T881" s="54">
        <f>orderlinesTABLE[[#This Row],[Profit]]/orderlinesTABLE[[#This Row],[LineNetAmount]]</f>
        <v>0.58249324761288845</v>
      </c>
      <c r="U881" s="70">
        <f>(orderlinesTABLE[[#This Row],[Qty]]*orderlinesTABLE[[#This Row],[UnitCost]])</f>
        <v>43.9</v>
      </c>
    </row>
    <row r="882" spans="1:21" x14ac:dyDescent="0.3">
      <c r="A882" s="14" t="s">
        <v>381</v>
      </c>
      <c r="B882" s="14" t="s">
        <v>406</v>
      </c>
      <c r="C882" s="14">
        <v>2</v>
      </c>
      <c r="D882" s="37">
        <f>VLOOKUP($B882,Menu!$A$1:$F$20,MATCH($D$1,Menu!$A$1:$F$1,0),0)</f>
        <v>38.06</v>
      </c>
      <c r="E882" s="14" t="str">
        <f>VLOOKUP($B882,Menu!$A$1:$F$20,MATCH(OrderLines!E$1,Menu!$A$1:$F$1,0),0)</f>
        <v>Snack</v>
      </c>
      <c r="F882" s="37">
        <f>VLOOKUP($B882,Menu!$A$1:$F$20,MATCH(OrderLines!F$1,Menu!$A$1:$F$1,0),0)</f>
        <v>19.55</v>
      </c>
      <c r="G882" s="28">
        <f>VLOOKUP($A882,Orders!$A$1:$H$361,MATCH($G$1,Orders!$A$1:$H$1,0),0)</f>
        <v>45873</v>
      </c>
      <c r="H882" s="14" t="str">
        <f>VLOOKUP($A882,Orders!$A$1:$H$361,MATCH(OrderLines!$H$1,Orders!$A$1:$H$1,0),0)</f>
        <v>Head Office Café</v>
      </c>
      <c r="I882" s="14">
        <f>VLOOKUP($A882,Orders!$A$1:$H$361,MATCH(OrderLines!$I$1,Orders!$A$1:$H$1,0),0)</f>
        <v>7.0000000000000007E-2</v>
      </c>
      <c r="J882" s="14">
        <f t="shared" si="40"/>
        <v>70.791600000000003</v>
      </c>
      <c r="K882" s="28" t="str">
        <f t="shared" si="41"/>
        <v>August</v>
      </c>
      <c r="L882" s="14" t="str">
        <f>VLOOKUP(OrderLines!$A882,Orders!$A$1:$H$361,MATCH(OrderLines!$L$1,Orders!$A$1:$H$1,0),0)</f>
        <v>Breakfast</v>
      </c>
      <c r="M882" t="str">
        <f>VLOOKUP($A882,Orders!$A$1:$H$361,MATCH(OrderLines!$M$1,Orders!$A$1:$H$1,0),0)</f>
        <v>UPI</v>
      </c>
      <c r="N882" t="str">
        <f t="shared" si="39"/>
        <v>Single</v>
      </c>
      <c r="O882" t="str" cm="1">
        <f t="array" ref="O882">IF((SUMPRODUCT((OrderID=OrderLines!$A882)*Qty*UnitPrice*DiscountPct))&gt;40,"HighDisc","OK")</f>
        <v>OK</v>
      </c>
      <c r="P882">
        <f>(orderlinesTABLE[[#This Row],[UnitCost]]*orderlinesTABLE[[#This Row],[Qty]])</f>
        <v>39.1</v>
      </c>
      <c r="Q882">
        <f>(orderlinesTABLE[[#This Row],[LineNetAmount]]-orderlinesTABLE[[#This Row],[totalCOST]])</f>
        <v>31.691600000000001</v>
      </c>
      <c r="R882" t="str">
        <f>VLOOKUP($B882,Menu!$A$1:$F$20,MATCH(OrderLines!R$1,Menu!$A$1:$F$1,0),0)</f>
        <v>Paneer Roll</v>
      </c>
      <c r="S882" t="str" cm="1">
        <f t="array" ref="S882">_xlfn.TEXTJOIN("+",TRUE,_xlfn._xlws.FILTER(orderlinesTABLE[ItemName],OrderID=orderlinesTABLE[[#This Row],[OrderID]]))</f>
        <v>Paneer Roll+Kheer Cup+Masala Puff</v>
      </c>
      <c r="T882" s="54">
        <f>orderlinesTABLE[[#This Row],[Profit]]/orderlinesTABLE[[#This Row],[LineNetAmount]]</f>
        <v>0.44767458286011336</v>
      </c>
      <c r="U882" s="70">
        <f>(orderlinesTABLE[[#This Row],[Qty]]*orderlinesTABLE[[#This Row],[UnitCost]])</f>
        <v>39.1</v>
      </c>
    </row>
    <row r="883" spans="1:21" x14ac:dyDescent="0.3">
      <c r="A883" s="15" t="s">
        <v>381</v>
      </c>
      <c r="B883" s="15" t="s">
        <v>413</v>
      </c>
      <c r="C883" s="15">
        <v>1</v>
      </c>
      <c r="D883" s="36">
        <f>VLOOKUP($B883,Menu!$A$1:$F$20,MATCH($D$1,Menu!$A$1:$F$1,0),0)</f>
        <v>54.2</v>
      </c>
      <c r="E883" s="15" t="str">
        <f>VLOOKUP($B883,Menu!$A$1:$F$20,MATCH(OrderLines!E$1,Menu!$A$1:$F$1,0),0)</f>
        <v>Dessert</v>
      </c>
      <c r="F883" s="36">
        <f>VLOOKUP($B883,Menu!$A$1:$F$20,MATCH(OrderLines!F$1,Menu!$A$1:$F$1,0),0)</f>
        <v>21.95</v>
      </c>
      <c r="G883" s="27">
        <f>VLOOKUP($A883,Orders!$A$1:$H$361,MATCH($G$1,Orders!$A$1:$H$1,0),0)</f>
        <v>45873</v>
      </c>
      <c r="H883" s="15" t="str">
        <f>VLOOKUP($A883,Orders!$A$1:$H$361,MATCH(OrderLines!$H$1,Orders!$A$1:$H$1,0),0)</f>
        <v>Head Office Café</v>
      </c>
      <c r="I883" s="15">
        <f>VLOOKUP($A883,Orders!$A$1:$H$361,MATCH(OrderLines!$I$1,Orders!$A$1:$H$1,0),0)</f>
        <v>7.0000000000000007E-2</v>
      </c>
      <c r="J883" s="15">
        <f t="shared" si="40"/>
        <v>50.405999999999999</v>
      </c>
      <c r="K883" s="27" t="str">
        <f t="shared" si="41"/>
        <v>August</v>
      </c>
      <c r="L883" s="15" t="str">
        <f>VLOOKUP(OrderLines!$A883,Orders!$A$1:$H$361,MATCH(OrderLines!$L$1,Orders!$A$1:$H$1,0),0)</f>
        <v>Breakfast</v>
      </c>
      <c r="M883" t="str">
        <f>VLOOKUP($A883,Orders!$A$1:$H$361,MATCH(OrderLines!$M$1,Orders!$A$1:$H$1,0),0)</f>
        <v>UPI</v>
      </c>
      <c r="N883" t="str">
        <f t="shared" si="39"/>
        <v>Single</v>
      </c>
      <c r="O883" t="str" cm="1">
        <f t="array" ref="O883">IF((SUMPRODUCT((OrderID=OrderLines!$A883)*Qty*UnitPrice*DiscountPct))&gt;40,"HighDisc","OK")</f>
        <v>OK</v>
      </c>
      <c r="P883">
        <f>(orderlinesTABLE[[#This Row],[UnitCost]]*orderlinesTABLE[[#This Row],[Qty]])</f>
        <v>21.95</v>
      </c>
      <c r="Q883">
        <f>(orderlinesTABLE[[#This Row],[LineNetAmount]]-orderlinesTABLE[[#This Row],[totalCOST]])</f>
        <v>28.456</v>
      </c>
      <c r="R883" t="str">
        <f>VLOOKUP($B883,Menu!$A$1:$F$20,MATCH(OrderLines!R$1,Menu!$A$1:$F$1,0),0)</f>
        <v>Kheer Cup</v>
      </c>
      <c r="S883" t="str" cm="1">
        <f t="array" ref="S883">_xlfn.TEXTJOIN("+",TRUE,_xlfn._xlws.FILTER(orderlinesTABLE[ItemName],OrderID=orderlinesTABLE[[#This Row],[OrderID]]))</f>
        <v>Paneer Roll+Kheer Cup+Masala Puff</v>
      </c>
      <c r="T883" s="54">
        <f>orderlinesTABLE[[#This Row],[Profit]]/orderlinesTABLE[[#This Row],[LineNetAmount]]</f>
        <v>0.56453596794032457</v>
      </c>
      <c r="U883" s="70">
        <f>(orderlinesTABLE[[#This Row],[Qty]]*orderlinesTABLE[[#This Row],[UnitCost]])</f>
        <v>21.95</v>
      </c>
    </row>
    <row r="884" spans="1:21" x14ac:dyDescent="0.3">
      <c r="A884" s="14" t="s">
        <v>381</v>
      </c>
      <c r="B884" s="14" t="s">
        <v>419</v>
      </c>
      <c r="C884" s="14">
        <v>2</v>
      </c>
      <c r="D884" s="37">
        <f>VLOOKUP($B884,Menu!$A$1:$F$20,MATCH($D$1,Menu!$A$1:$F$1,0),0)</f>
        <v>50.19</v>
      </c>
      <c r="E884" s="14" t="str">
        <f>VLOOKUP($B884,Menu!$A$1:$F$20,MATCH(OrderLines!E$1,Menu!$A$1:$F$1,0),0)</f>
        <v>Snack</v>
      </c>
      <c r="F884" s="37">
        <f>VLOOKUP($B884,Menu!$A$1:$F$20,MATCH(OrderLines!F$1,Menu!$A$1:$F$1,0),0)</f>
        <v>22.61</v>
      </c>
      <c r="G884" s="28">
        <f>VLOOKUP($A884,Orders!$A$1:$H$361,MATCH($G$1,Orders!$A$1:$H$1,0),0)</f>
        <v>45873</v>
      </c>
      <c r="H884" s="14" t="str">
        <f>VLOOKUP($A884,Orders!$A$1:$H$361,MATCH(OrderLines!$H$1,Orders!$A$1:$H$1,0),0)</f>
        <v>Head Office Café</v>
      </c>
      <c r="I884" s="14">
        <f>VLOOKUP($A884,Orders!$A$1:$H$361,MATCH(OrderLines!$I$1,Orders!$A$1:$H$1,0),0)</f>
        <v>7.0000000000000007E-2</v>
      </c>
      <c r="J884" s="14">
        <f t="shared" si="40"/>
        <v>93.353399999999993</v>
      </c>
      <c r="K884" s="28" t="str">
        <f t="shared" si="41"/>
        <v>August</v>
      </c>
      <c r="L884" s="14" t="str">
        <f>VLOOKUP(OrderLines!$A884,Orders!$A$1:$H$361,MATCH(OrderLines!$L$1,Orders!$A$1:$H$1,0),0)</f>
        <v>Breakfast</v>
      </c>
      <c r="M884" t="str">
        <f>VLOOKUP($A884,Orders!$A$1:$H$361,MATCH(OrderLines!$M$1,Orders!$A$1:$H$1,0),0)</f>
        <v>UPI</v>
      </c>
      <c r="N884" t="str">
        <f t="shared" si="39"/>
        <v>Single</v>
      </c>
      <c r="O884" t="str" cm="1">
        <f t="array" ref="O884">IF((SUMPRODUCT((OrderID=OrderLines!$A884)*Qty*UnitPrice*DiscountPct))&gt;40,"HighDisc","OK")</f>
        <v>OK</v>
      </c>
      <c r="P884">
        <f>(orderlinesTABLE[[#This Row],[UnitCost]]*orderlinesTABLE[[#This Row],[Qty]])</f>
        <v>45.22</v>
      </c>
      <c r="Q884">
        <f>(orderlinesTABLE[[#This Row],[LineNetAmount]]-orderlinesTABLE[[#This Row],[totalCOST]])</f>
        <v>48.133399999999995</v>
      </c>
      <c r="R884" t="str">
        <f>VLOOKUP($B884,Menu!$A$1:$F$20,MATCH(OrderLines!R$1,Menu!$A$1:$F$1,0),0)</f>
        <v>Masala Puff</v>
      </c>
      <c r="S884" t="str" cm="1">
        <f t="array" ref="S884">_xlfn.TEXTJOIN("+",TRUE,_xlfn._xlws.FILTER(orderlinesTABLE[ItemName],OrderID=orderlinesTABLE[[#This Row],[OrderID]]))</f>
        <v>Paneer Roll+Kheer Cup+Masala Puff</v>
      </c>
      <c r="T884" s="54">
        <f>orderlinesTABLE[[#This Row],[Profit]]/orderlinesTABLE[[#This Row],[LineNetAmount]]</f>
        <v>0.51560414510880159</v>
      </c>
      <c r="U884" s="70">
        <f>(orderlinesTABLE[[#This Row],[Qty]]*orderlinesTABLE[[#This Row],[UnitCost]])</f>
        <v>45.22</v>
      </c>
    </row>
    <row r="885" spans="1:21" x14ac:dyDescent="0.3">
      <c r="A885" s="15" t="s">
        <v>382</v>
      </c>
      <c r="B885" s="15" t="s">
        <v>411</v>
      </c>
      <c r="C885" s="15">
        <v>1</v>
      </c>
      <c r="D885" s="36">
        <f>VLOOKUP($B885,Menu!$A$1:$F$20,MATCH($D$1,Menu!$A$1:$F$1,0),0)</f>
        <v>22.2</v>
      </c>
      <c r="E885" s="15" t="str">
        <f>VLOOKUP($B885,Menu!$A$1:$F$20,MATCH(OrderLines!E$1,Menu!$A$1:$F$1,0),0)</f>
        <v>Beverage</v>
      </c>
      <c r="F885" s="36">
        <f>VLOOKUP($B885,Menu!$A$1:$F$20,MATCH(OrderLines!F$1,Menu!$A$1:$F$1,0),0)</f>
        <v>9.3800000000000008</v>
      </c>
      <c r="G885" s="27">
        <f>VLOOKUP($A885,Orders!$A$1:$H$361,MATCH($G$1,Orders!$A$1:$H$1,0),0)</f>
        <v>45884</v>
      </c>
      <c r="H885" s="15" t="str">
        <f>VLOOKUP($A885,Orders!$A$1:$H$361,MATCH(OrderLines!$H$1,Orders!$A$1:$H$1,0),0)</f>
        <v>Head Office Café</v>
      </c>
      <c r="I885" s="15">
        <f>VLOOKUP($A885,Orders!$A$1:$H$361,MATCH(OrderLines!$I$1,Orders!$A$1:$H$1,0),0)</f>
        <v>7.0000000000000007E-2</v>
      </c>
      <c r="J885" s="15">
        <f t="shared" si="40"/>
        <v>20.645999999999997</v>
      </c>
      <c r="K885" s="27" t="str">
        <f t="shared" si="41"/>
        <v>August</v>
      </c>
      <c r="L885" s="15" t="str">
        <f>VLOOKUP(OrderLines!$A885,Orders!$A$1:$H$361,MATCH(OrderLines!$L$1,Orders!$A$1:$H$1,0),0)</f>
        <v>Breakfast</v>
      </c>
      <c r="M885" t="str">
        <f>VLOOKUP($A885,Orders!$A$1:$H$361,MATCH(OrderLines!$M$1,Orders!$A$1:$H$1,0),0)</f>
        <v>UPI</v>
      </c>
      <c r="N885" t="str">
        <f t="shared" si="39"/>
        <v>Combo</v>
      </c>
      <c r="O885" t="str" cm="1">
        <f t="array" ref="O885">IF((SUMPRODUCT((OrderID=OrderLines!$A885)*Qty*UnitPrice*DiscountPct))&gt;40,"HighDisc","OK")</f>
        <v>HighDisc</v>
      </c>
      <c r="P885">
        <f>(orderlinesTABLE[[#This Row],[UnitCost]]*orderlinesTABLE[[#This Row],[Qty]])</f>
        <v>9.3800000000000008</v>
      </c>
      <c r="Q885">
        <f>(orderlinesTABLE[[#This Row],[LineNetAmount]]-orderlinesTABLE[[#This Row],[totalCOST]])</f>
        <v>11.265999999999996</v>
      </c>
      <c r="R885" t="str">
        <f>VLOOKUP($B885,Menu!$A$1:$F$20,MATCH(OrderLines!R$1,Menu!$A$1:$F$1,0),0)</f>
        <v>Coffee</v>
      </c>
      <c r="S885" t="str" cm="1">
        <f t="array" ref="S885">_xlfn.TEXTJOIN("+",TRUE,_xlfn._xlws.FILTER(orderlinesTABLE[ItemName],OrderID=orderlinesTABLE[[#This Row],[OrderID]]))</f>
        <v>Coffee+Kheer Cup+Veg Thali</v>
      </c>
      <c r="T885" s="54">
        <f>orderlinesTABLE[[#This Row],[Profit]]/orderlinesTABLE[[#This Row],[LineNetAmount]]</f>
        <v>0.5456747069650294</v>
      </c>
      <c r="U885" s="70">
        <f>(orderlinesTABLE[[#This Row],[Qty]]*orderlinesTABLE[[#This Row],[UnitCost]])</f>
        <v>9.3800000000000008</v>
      </c>
    </row>
    <row r="886" spans="1:21" x14ac:dyDescent="0.3">
      <c r="A886" s="14" t="s">
        <v>382</v>
      </c>
      <c r="B886" s="14" t="s">
        <v>413</v>
      </c>
      <c r="C886" s="14">
        <v>3</v>
      </c>
      <c r="D886" s="37">
        <f>VLOOKUP($B886,Menu!$A$1:$F$20,MATCH($D$1,Menu!$A$1:$F$1,0),0)</f>
        <v>54.2</v>
      </c>
      <c r="E886" s="14" t="str">
        <f>VLOOKUP($B886,Menu!$A$1:$F$20,MATCH(OrderLines!E$1,Menu!$A$1:$F$1,0),0)</f>
        <v>Dessert</v>
      </c>
      <c r="F886" s="37">
        <f>VLOOKUP($B886,Menu!$A$1:$F$20,MATCH(OrderLines!F$1,Menu!$A$1:$F$1,0),0)</f>
        <v>21.95</v>
      </c>
      <c r="G886" s="28">
        <f>VLOOKUP($A886,Orders!$A$1:$H$361,MATCH($G$1,Orders!$A$1:$H$1,0),0)</f>
        <v>45884</v>
      </c>
      <c r="H886" s="14" t="str">
        <f>VLOOKUP($A886,Orders!$A$1:$H$361,MATCH(OrderLines!$H$1,Orders!$A$1:$H$1,0),0)</f>
        <v>Head Office Café</v>
      </c>
      <c r="I886" s="14">
        <f>VLOOKUP($A886,Orders!$A$1:$H$361,MATCH(OrderLines!$I$1,Orders!$A$1:$H$1,0),0)</f>
        <v>7.0000000000000007E-2</v>
      </c>
      <c r="J886" s="14">
        <f t="shared" si="40"/>
        <v>151.21800000000002</v>
      </c>
      <c r="K886" s="28" t="str">
        <f t="shared" si="41"/>
        <v>August</v>
      </c>
      <c r="L886" s="14" t="str">
        <f>VLOOKUP(OrderLines!$A886,Orders!$A$1:$H$361,MATCH(OrderLines!$L$1,Orders!$A$1:$H$1,0),0)</f>
        <v>Breakfast</v>
      </c>
      <c r="M886" t="str">
        <f>VLOOKUP($A886,Orders!$A$1:$H$361,MATCH(OrderLines!$M$1,Orders!$A$1:$H$1,0),0)</f>
        <v>UPI</v>
      </c>
      <c r="N886" t="str">
        <f t="shared" si="39"/>
        <v>Combo</v>
      </c>
      <c r="O886" t="str" cm="1">
        <f t="array" ref="O886">IF((SUMPRODUCT((OrderID=OrderLines!$A886)*Qty*UnitPrice*DiscountPct))&gt;40,"HighDisc","OK")</f>
        <v>HighDisc</v>
      </c>
      <c r="P886">
        <f>(orderlinesTABLE[[#This Row],[UnitCost]]*orderlinesTABLE[[#This Row],[Qty]])</f>
        <v>65.849999999999994</v>
      </c>
      <c r="Q886">
        <f>(orderlinesTABLE[[#This Row],[LineNetAmount]]-orderlinesTABLE[[#This Row],[totalCOST]])</f>
        <v>85.368000000000023</v>
      </c>
      <c r="R886" t="str">
        <f>VLOOKUP($B886,Menu!$A$1:$F$20,MATCH(OrderLines!R$1,Menu!$A$1:$F$1,0),0)</f>
        <v>Kheer Cup</v>
      </c>
      <c r="S886" t="str" cm="1">
        <f t="array" ref="S886">_xlfn.TEXTJOIN("+",TRUE,_xlfn._xlws.FILTER(orderlinesTABLE[ItemName],OrderID=orderlinesTABLE[[#This Row],[OrderID]]))</f>
        <v>Coffee+Kheer Cup+Veg Thali</v>
      </c>
      <c r="T886" s="54">
        <f>orderlinesTABLE[[#This Row],[Profit]]/orderlinesTABLE[[#This Row],[LineNetAmount]]</f>
        <v>0.56453596794032468</v>
      </c>
      <c r="U886" s="70">
        <f>(orderlinesTABLE[[#This Row],[Qty]]*orderlinesTABLE[[#This Row],[UnitCost]])</f>
        <v>65.849999999999994</v>
      </c>
    </row>
    <row r="887" spans="1:21" x14ac:dyDescent="0.3">
      <c r="A887" s="15" t="s">
        <v>382</v>
      </c>
      <c r="B887" s="15" t="s">
        <v>416</v>
      </c>
      <c r="C887" s="15">
        <v>2</v>
      </c>
      <c r="D887" s="36">
        <f>VLOOKUP($B887,Menu!$A$1:$F$20,MATCH($D$1,Menu!$A$1:$F$1,0),0)</f>
        <v>227.61</v>
      </c>
      <c r="E887" s="15" t="str">
        <f>VLOOKUP($B887,Menu!$A$1:$F$20,MATCH(OrderLines!E$1,Menu!$A$1:$F$1,0),0)</f>
        <v>Hot Meal</v>
      </c>
      <c r="F887" s="36">
        <f>VLOOKUP($B887,Menu!$A$1:$F$20,MATCH(OrderLines!F$1,Menu!$A$1:$F$1,0),0)</f>
        <v>96.22</v>
      </c>
      <c r="G887" s="27">
        <f>VLOOKUP($A887,Orders!$A$1:$H$361,MATCH($G$1,Orders!$A$1:$H$1,0),0)</f>
        <v>45884</v>
      </c>
      <c r="H887" s="15" t="str">
        <f>VLOOKUP($A887,Orders!$A$1:$H$361,MATCH(OrderLines!$H$1,Orders!$A$1:$H$1,0),0)</f>
        <v>Head Office Café</v>
      </c>
      <c r="I887" s="15">
        <f>VLOOKUP($A887,Orders!$A$1:$H$361,MATCH(OrderLines!$I$1,Orders!$A$1:$H$1,0),0)</f>
        <v>7.0000000000000007E-2</v>
      </c>
      <c r="J887" s="15">
        <f t="shared" si="40"/>
        <v>423.3546</v>
      </c>
      <c r="K887" s="27" t="str">
        <f t="shared" si="41"/>
        <v>August</v>
      </c>
      <c r="L887" s="15" t="str">
        <f>VLOOKUP(OrderLines!$A887,Orders!$A$1:$H$361,MATCH(OrderLines!$L$1,Orders!$A$1:$H$1,0),0)</f>
        <v>Breakfast</v>
      </c>
      <c r="M887" t="str">
        <f>VLOOKUP($A887,Orders!$A$1:$H$361,MATCH(OrderLines!$M$1,Orders!$A$1:$H$1,0),0)</f>
        <v>UPI</v>
      </c>
      <c r="N887" t="str">
        <f t="shared" si="39"/>
        <v>Combo</v>
      </c>
      <c r="O887" t="str" cm="1">
        <f t="array" ref="O887">IF((SUMPRODUCT((OrderID=OrderLines!$A887)*Qty*UnitPrice*DiscountPct))&gt;40,"HighDisc","OK")</f>
        <v>HighDisc</v>
      </c>
      <c r="P887">
        <f>(orderlinesTABLE[[#This Row],[UnitCost]]*orderlinesTABLE[[#This Row],[Qty]])</f>
        <v>192.44</v>
      </c>
      <c r="Q887">
        <f>(orderlinesTABLE[[#This Row],[LineNetAmount]]-orderlinesTABLE[[#This Row],[totalCOST]])</f>
        <v>230.91460000000001</v>
      </c>
      <c r="R887" t="str">
        <f>VLOOKUP($B887,Menu!$A$1:$F$20,MATCH(OrderLines!R$1,Menu!$A$1:$F$1,0),0)</f>
        <v>Veg Thali</v>
      </c>
      <c r="S887" t="str" cm="1">
        <f t="array" ref="S887">_xlfn.TEXTJOIN("+",TRUE,_xlfn._xlws.FILTER(orderlinesTABLE[ItemName],OrderID=orderlinesTABLE[[#This Row],[OrderID]]))</f>
        <v>Coffee+Kheer Cup+Veg Thali</v>
      </c>
      <c r="T887" s="54">
        <f>orderlinesTABLE[[#This Row],[Profit]]/orderlinesTABLE[[#This Row],[LineNetAmount]]</f>
        <v>0.54544015820307612</v>
      </c>
      <c r="U887" s="70">
        <f>(orderlinesTABLE[[#This Row],[Qty]]*orderlinesTABLE[[#This Row],[UnitCost]])</f>
        <v>192.44</v>
      </c>
    </row>
    <row r="888" spans="1:21" x14ac:dyDescent="0.3">
      <c r="A888" s="14" t="s">
        <v>383</v>
      </c>
      <c r="B888" s="14" t="s">
        <v>410</v>
      </c>
      <c r="C888" s="14">
        <v>1</v>
      </c>
      <c r="D888" s="37">
        <f>VLOOKUP($B888,Menu!$A$1:$F$20,MATCH($D$1,Menu!$A$1:$F$1,0),0)</f>
        <v>20.11</v>
      </c>
      <c r="E888" s="14" t="str">
        <f>VLOOKUP($B888,Menu!$A$1:$F$20,MATCH(OrderLines!E$1,Menu!$A$1:$F$1,0),0)</f>
        <v>Beverage</v>
      </c>
      <c r="F888" s="37">
        <f>VLOOKUP($B888,Menu!$A$1:$F$20,MATCH(OrderLines!F$1,Menu!$A$1:$F$1,0),0)</f>
        <v>8</v>
      </c>
      <c r="G888" s="28">
        <f>VLOOKUP($A888,Orders!$A$1:$H$361,MATCH($G$1,Orders!$A$1:$H$1,0),0)</f>
        <v>45852</v>
      </c>
      <c r="H888" s="14" t="str">
        <f>VLOOKUP($A888,Orders!$A$1:$H$361,MATCH(OrderLines!$H$1,Orders!$A$1:$H$1,0),0)</f>
        <v>Plant 1 Canteen</v>
      </c>
      <c r="I888" s="14">
        <f>VLOOKUP($A888,Orders!$A$1:$H$361,MATCH(OrderLines!$I$1,Orders!$A$1:$H$1,0),0)</f>
        <v>0.14000000000000001</v>
      </c>
      <c r="J888" s="14">
        <f t="shared" si="40"/>
        <v>17.294599999999999</v>
      </c>
      <c r="K888" s="28" t="str">
        <f t="shared" si="41"/>
        <v>July</v>
      </c>
      <c r="L888" s="14" t="str">
        <f>VLOOKUP(OrderLines!$A888,Orders!$A$1:$H$361,MATCH(OrderLines!$L$1,Orders!$A$1:$H$1,0),0)</f>
        <v>Breakfast</v>
      </c>
      <c r="M888" t="str">
        <f>VLOOKUP($A888,Orders!$A$1:$H$361,MATCH(OrderLines!$M$1,Orders!$A$1:$H$1,0),0)</f>
        <v>Card</v>
      </c>
      <c r="N888" t="str">
        <f t="shared" si="39"/>
        <v>Single</v>
      </c>
      <c r="O888" t="str" cm="1">
        <f t="array" ref="O888">IF((SUMPRODUCT((OrderID=OrderLines!$A888)*Qty*UnitPrice*DiscountPct))&gt;40,"HighDisc","OK")</f>
        <v>OK</v>
      </c>
      <c r="P888">
        <f>(orderlinesTABLE[[#This Row],[UnitCost]]*orderlinesTABLE[[#This Row],[Qty]])</f>
        <v>8</v>
      </c>
      <c r="Q888">
        <f>(orderlinesTABLE[[#This Row],[LineNetAmount]]-orderlinesTABLE[[#This Row],[totalCOST]])</f>
        <v>9.2945999999999991</v>
      </c>
      <c r="R888" t="str">
        <f>VLOOKUP($B888,Menu!$A$1:$F$20,MATCH(OrderLines!R$1,Menu!$A$1:$F$1,0),0)</f>
        <v>Nimbu Pani</v>
      </c>
      <c r="S888" t="str" cm="1">
        <f t="array" ref="S888">_xlfn.TEXTJOIN("+",TRUE,_xlfn._xlws.FILTER(orderlinesTABLE[ItemName],OrderID=orderlinesTABLE[[#This Row],[OrderID]]))</f>
        <v>Nimbu Pani+Bottled Water</v>
      </c>
      <c r="T888" s="54">
        <f>orderlinesTABLE[[#This Row],[Profit]]/orderlinesTABLE[[#This Row],[LineNetAmount]]</f>
        <v>0.5374278676581129</v>
      </c>
      <c r="U888" s="70">
        <f>(orderlinesTABLE[[#This Row],[Qty]]*orderlinesTABLE[[#This Row],[UnitCost]])</f>
        <v>8</v>
      </c>
    </row>
    <row r="889" spans="1:21" x14ac:dyDescent="0.3">
      <c r="A889" s="15" t="s">
        <v>383</v>
      </c>
      <c r="B889" s="15" t="s">
        <v>409</v>
      </c>
      <c r="C889" s="15">
        <v>2</v>
      </c>
      <c r="D889" s="36">
        <f>VLOOKUP($B889,Menu!$A$1:$F$20,MATCH($D$1,Menu!$A$1:$F$1,0),0)</f>
        <v>28.43</v>
      </c>
      <c r="E889" s="15" t="str">
        <f>VLOOKUP($B889,Menu!$A$1:$F$20,MATCH(OrderLines!E$1,Menu!$A$1:$F$1,0),0)</f>
        <v>Beverage</v>
      </c>
      <c r="F889" s="36">
        <f>VLOOKUP($B889,Menu!$A$1:$F$20,MATCH(OrderLines!F$1,Menu!$A$1:$F$1,0),0)</f>
        <v>13.89</v>
      </c>
      <c r="G889" s="27">
        <f>VLOOKUP($A889,Orders!$A$1:$H$361,MATCH($G$1,Orders!$A$1:$H$1,0),0)</f>
        <v>45852</v>
      </c>
      <c r="H889" s="15" t="str">
        <f>VLOOKUP($A889,Orders!$A$1:$H$361,MATCH(OrderLines!$H$1,Orders!$A$1:$H$1,0),0)</f>
        <v>Plant 1 Canteen</v>
      </c>
      <c r="I889" s="15">
        <f>VLOOKUP($A889,Orders!$A$1:$H$361,MATCH(OrderLines!$I$1,Orders!$A$1:$H$1,0),0)</f>
        <v>0.14000000000000001</v>
      </c>
      <c r="J889" s="15">
        <f t="shared" si="40"/>
        <v>48.8996</v>
      </c>
      <c r="K889" s="27" t="str">
        <f t="shared" si="41"/>
        <v>July</v>
      </c>
      <c r="L889" s="15" t="str">
        <f>VLOOKUP(OrderLines!$A889,Orders!$A$1:$H$361,MATCH(OrderLines!$L$1,Orders!$A$1:$H$1,0),0)</f>
        <v>Breakfast</v>
      </c>
      <c r="M889" t="str">
        <f>VLOOKUP($A889,Orders!$A$1:$H$361,MATCH(OrderLines!$M$1,Orders!$A$1:$H$1,0),0)</f>
        <v>Card</v>
      </c>
      <c r="N889" t="str">
        <f t="shared" si="39"/>
        <v>Single</v>
      </c>
      <c r="O889" t="str" cm="1">
        <f t="array" ref="O889">IF((SUMPRODUCT((OrderID=OrderLines!$A889)*Qty*UnitPrice*DiscountPct))&gt;40,"HighDisc","OK")</f>
        <v>OK</v>
      </c>
      <c r="P889">
        <f>(orderlinesTABLE[[#This Row],[UnitCost]]*orderlinesTABLE[[#This Row],[Qty]])</f>
        <v>27.78</v>
      </c>
      <c r="Q889">
        <f>(orderlinesTABLE[[#This Row],[LineNetAmount]]-orderlinesTABLE[[#This Row],[totalCOST]])</f>
        <v>21.119599999999998</v>
      </c>
      <c r="R889" t="str">
        <f>VLOOKUP($B889,Menu!$A$1:$F$20,MATCH(OrderLines!R$1,Menu!$A$1:$F$1,0),0)</f>
        <v>Bottled Water</v>
      </c>
      <c r="S889" t="str" cm="1">
        <f t="array" ref="S889">_xlfn.TEXTJOIN("+",TRUE,_xlfn._xlws.FILTER(orderlinesTABLE[ItemName],OrderID=orderlinesTABLE[[#This Row],[OrderID]]))</f>
        <v>Nimbu Pani+Bottled Water</v>
      </c>
      <c r="T889" s="54">
        <f>orderlinesTABLE[[#This Row],[Profit]]/orderlinesTABLE[[#This Row],[LineNetAmount]]</f>
        <v>0.43189719343307509</v>
      </c>
      <c r="U889" s="70">
        <f>(orderlinesTABLE[[#This Row],[Qty]]*orderlinesTABLE[[#This Row],[UnitCost]])</f>
        <v>27.78</v>
      </c>
    </row>
    <row r="890" spans="1:21" x14ac:dyDescent="0.3">
      <c r="A890" s="14" t="s">
        <v>384</v>
      </c>
      <c r="B890" s="14" t="s">
        <v>417</v>
      </c>
      <c r="C890" s="14">
        <v>2</v>
      </c>
      <c r="D890" s="37">
        <f>VLOOKUP($B890,Menu!$A$1:$F$20,MATCH($D$1,Menu!$A$1:$F$1,0),0)</f>
        <v>146.4</v>
      </c>
      <c r="E890" s="14" t="str">
        <f>VLOOKUP($B890,Menu!$A$1:$F$20,MATCH(OrderLines!E$1,Menu!$A$1:$F$1,0),0)</f>
        <v>Hot Meal</v>
      </c>
      <c r="F890" s="37">
        <f>VLOOKUP($B890,Menu!$A$1:$F$20,MATCH(OrderLines!F$1,Menu!$A$1:$F$1,0),0)</f>
        <v>80.92</v>
      </c>
      <c r="G890" s="28">
        <f>VLOOKUP($A890,Orders!$A$1:$H$361,MATCH($G$1,Orders!$A$1:$H$1,0),0)</f>
        <v>45867</v>
      </c>
      <c r="H890" s="14" t="str">
        <f>VLOOKUP($A890,Orders!$A$1:$H$361,MATCH(OrderLines!$H$1,Orders!$A$1:$H$1,0),0)</f>
        <v>Plant 1 Canteen</v>
      </c>
      <c r="I890" s="14">
        <f>VLOOKUP($A890,Orders!$A$1:$H$361,MATCH(OrderLines!$I$1,Orders!$A$1:$H$1,0),0)</f>
        <v>0.1</v>
      </c>
      <c r="J890" s="14">
        <f t="shared" si="40"/>
        <v>263.52000000000004</v>
      </c>
      <c r="K890" s="28" t="str">
        <f t="shared" si="41"/>
        <v>July</v>
      </c>
      <c r="L890" s="14" t="str">
        <f>VLOOKUP(OrderLines!$A890,Orders!$A$1:$H$361,MATCH(OrderLines!$L$1,Orders!$A$1:$H$1,0),0)</f>
        <v>Dinner</v>
      </c>
      <c r="M890" t="str">
        <f>VLOOKUP($A890,Orders!$A$1:$H$361,MATCH(OrderLines!$M$1,Orders!$A$1:$H$1,0),0)</f>
        <v>Cash</v>
      </c>
      <c r="N890" t="str">
        <f t="shared" si="39"/>
        <v>Single</v>
      </c>
      <c r="O890" t="str" cm="1">
        <f t="array" ref="O890">IF((SUMPRODUCT((OrderID=OrderLines!$A890)*Qty*UnitPrice*DiscountPct))&gt;40,"HighDisc","OK")</f>
        <v>HighDisc</v>
      </c>
      <c r="P890">
        <f>(orderlinesTABLE[[#This Row],[UnitCost]]*orderlinesTABLE[[#This Row],[Qty]])</f>
        <v>161.84</v>
      </c>
      <c r="Q890">
        <f>(orderlinesTABLE[[#This Row],[LineNetAmount]]-orderlinesTABLE[[#This Row],[totalCOST]])</f>
        <v>101.68000000000004</v>
      </c>
      <c r="R890" t="str">
        <f>VLOOKUP($B890,Menu!$A$1:$F$20,MATCH(OrderLines!R$1,Menu!$A$1:$F$1,0),0)</f>
        <v>Rajma Chawal</v>
      </c>
      <c r="S890" t="str" cm="1">
        <f t="array" ref="S890">_xlfn.TEXTJOIN("+",TRUE,_xlfn._xlws.FILTER(orderlinesTABLE[ItemName],OrderID=orderlinesTABLE[[#This Row],[OrderID]]))</f>
        <v>Rajma Chawal+Chicken Thali</v>
      </c>
      <c r="T890" s="54">
        <f>orderlinesTABLE[[#This Row],[Profit]]/orderlinesTABLE[[#This Row],[LineNetAmount]]</f>
        <v>0.38585306618093512</v>
      </c>
      <c r="U890" s="70">
        <f>(orderlinesTABLE[[#This Row],[Qty]]*orderlinesTABLE[[#This Row],[UnitCost]])</f>
        <v>161.84</v>
      </c>
    </row>
    <row r="891" spans="1:21" x14ac:dyDescent="0.3">
      <c r="A891" s="15" t="s">
        <v>384</v>
      </c>
      <c r="B891" s="15" t="s">
        <v>415</v>
      </c>
      <c r="C891" s="15">
        <v>1</v>
      </c>
      <c r="D891" s="36">
        <f>VLOOKUP($B891,Menu!$A$1:$F$20,MATCH($D$1,Menu!$A$1:$F$1,0),0)</f>
        <v>256.91000000000003</v>
      </c>
      <c r="E891" s="15" t="str">
        <f>VLOOKUP($B891,Menu!$A$1:$F$20,MATCH(OrderLines!E$1,Menu!$A$1:$F$1,0),0)</f>
        <v>Hot Meal</v>
      </c>
      <c r="F891" s="36">
        <f>VLOOKUP($B891,Menu!$A$1:$F$20,MATCH(OrderLines!F$1,Menu!$A$1:$F$1,0),0)</f>
        <v>121.24</v>
      </c>
      <c r="G891" s="27">
        <f>VLOOKUP($A891,Orders!$A$1:$H$361,MATCH($G$1,Orders!$A$1:$H$1,0),0)</f>
        <v>45867</v>
      </c>
      <c r="H891" s="15" t="str">
        <f>VLOOKUP($A891,Orders!$A$1:$H$361,MATCH(OrderLines!$H$1,Orders!$A$1:$H$1,0),0)</f>
        <v>Plant 1 Canteen</v>
      </c>
      <c r="I891" s="15">
        <f>VLOOKUP($A891,Orders!$A$1:$H$361,MATCH(OrderLines!$I$1,Orders!$A$1:$H$1,0),0)</f>
        <v>0.1</v>
      </c>
      <c r="J891" s="15">
        <f t="shared" si="40"/>
        <v>231.21900000000002</v>
      </c>
      <c r="K891" s="27" t="str">
        <f t="shared" si="41"/>
        <v>July</v>
      </c>
      <c r="L891" s="15" t="str">
        <f>VLOOKUP(OrderLines!$A891,Orders!$A$1:$H$361,MATCH(OrderLines!$L$1,Orders!$A$1:$H$1,0),0)</f>
        <v>Dinner</v>
      </c>
      <c r="M891" t="str">
        <f>VLOOKUP($A891,Orders!$A$1:$H$361,MATCH(OrderLines!$M$1,Orders!$A$1:$H$1,0),0)</f>
        <v>Cash</v>
      </c>
      <c r="N891" t="str">
        <f t="shared" si="39"/>
        <v>Single</v>
      </c>
      <c r="O891" t="str" cm="1">
        <f t="array" ref="O891">IF((SUMPRODUCT((OrderID=OrderLines!$A891)*Qty*UnitPrice*DiscountPct))&gt;40,"HighDisc","OK")</f>
        <v>HighDisc</v>
      </c>
      <c r="P891">
        <f>(orderlinesTABLE[[#This Row],[UnitCost]]*orderlinesTABLE[[#This Row],[Qty]])</f>
        <v>121.24</v>
      </c>
      <c r="Q891">
        <f>(orderlinesTABLE[[#This Row],[LineNetAmount]]-orderlinesTABLE[[#This Row],[totalCOST]])</f>
        <v>109.97900000000003</v>
      </c>
      <c r="R891" t="str">
        <f>VLOOKUP($B891,Menu!$A$1:$F$20,MATCH(OrderLines!R$1,Menu!$A$1:$F$1,0),0)</f>
        <v>Chicken Thali</v>
      </c>
      <c r="S891" t="str" cm="1">
        <f t="array" ref="S891">_xlfn.TEXTJOIN("+",TRUE,_xlfn._xlws.FILTER(orderlinesTABLE[ItemName],OrderID=orderlinesTABLE[[#This Row],[OrderID]]))</f>
        <v>Rajma Chawal+Chicken Thali</v>
      </c>
      <c r="T891" s="54">
        <f>orderlinesTABLE[[#This Row],[Profit]]/orderlinesTABLE[[#This Row],[LineNetAmount]]</f>
        <v>0.47564862749168546</v>
      </c>
      <c r="U891" s="70">
        <f>(orderlinesTABLE[[#This Row],[Qty]]*orderlinesTABLE[[#This Row],[UnitCost]])</f>
        <v>121.24</v>
      </c>
    </row>
    <row r="892" spans="1:21" x14ac:dyDescent="0.3">
      <c r="A892" s="14" t="s">
        <v>385</v>
      </c>
      <c r="B892" s="14" t="s">
        <v>405</v>
      </c>
      <c r="C892" s="14">
        <v>2</v>
      </c>
      <c r="D892" s="37">
        <f>VLOOKUP($B892,Menu!$A$1:$F$20,MATCH($D$1,Menu!$A$1:$F$1,0),0)</f>
        <v>170.83</v>
      </c>
      <c r="E892" s="14" t="str">
        <f>VLOOKUP($B892,Menu!$A$1:$F$20,MATCH(OrderLines!E$1,Menu!$A$1:$F$1,0),0)</f>
        <v>Hot Meal</v>
      </c>
      <c r="F892" s="37">
        <f>VLOOKUP($B892,Menu!$A$1:$F$20,MATCH(OrderLines!F$1,Menu!$A$1:$F$1,0),0)</f>
        <v>74.069999999999993</v>
      </c>
      <c r="G892" s="28">
        <f>VLOOKUP($A892,Orders!$A$1:$H$361,MATCH($G$1,Orders!$A$1:$H$1,0),0)</f>
        <v>45869</v>
      </c>
      <c r="H892" s="14" t="str">
        <f>VLOOKUP($A892,Orders!$A$1:$H$361,MATCH(OrderLines!$H$1,Orders!$A$1:$H$1,0),0)</f>
        <v>Plant 2 Canteen</v>
      </c>
      <c r="I892" s="14">
        <f>VLOOKUP($A892,Orders!$A$1:$H$361,MATCH(OrderLines!$I$1,Orders!$A$1:$H$1,0),0)</f>
        <v>0.04</v>
      </c>
      <c r="J892" s="14">
        <f t="shared" si="40"/>
        <v>327.99360000000001</v>
      </c>
      <c r="K892" s="28" t="str">
        <f t="shared" si="41"/>
        <v>July</v>
      </c>
      <c r="L892" s="14" t="str">
        <f>VLOOKUP(OrderLines!$A892,Orders!$A$1:$H$361,MATCH(OrderLines!$L$1,Orders!$A$1:$H$1,0),0)</f>
        <v>Dinner</v>
      </c>
      <c r="M892" t="str">
        <f>VLOOKUP($A892,Orders!$A$1:$H$361,MATCH(OrderLines!$M$1,Orders!$A$1:$H$1,0),0)</f>
        <v>Card</v>
      </c>
      <c r="N892" t="str">
        <f t="shared" si="39"/>
        <v>Single</v>
      </c>
      <c r="O892" t="str" cm="1">
        <f t="array" ref="O892">IF((SUMPRODUCT((OrderID=OrderLines!$A892)*Qty*UnitPrice*DiscountPct))&gt;40,"HighDisc","OK")</f>
        <v>HighDisc</v>
      </c>
      <c r="P892">
        <f>(orderlinesTABLE[[#This Row],[UnitCost]]*orderlinesTABLE[[#This Row],[Qty]])</f>
        <v>148.13999999999999</v>
      </c>
      <c r="Q892">
        <f>(orderlinesTABLE[[#This Row],[LineNetAmount]]-orderlinesTABLE[[#This Row],[totalCOST]])</f>
        <v>179.85360000000003</v>
      </c>
      <c r="R892" t="str">
        <f>VLOOKUP($B892,Menu!$A$1:$F$20,MATCH(OrderLines!R$1,Menu!$A$1:$F$1,0),0)</f>
        <v>Paneer Butter Masala + Naan</v>
      </c>
      <c r="S892" t="str" cm="1">
        <f t="array" ref="S892">_xlfn.TEXTJOIN("+",TRUE,_xlfn._xlws.FILTER(orderlinesTABLE[ItemName],OrderID=orderlinesTABLE[[#This Row],[OrderID]]))</f>
        <v>Paneer Butter Masala + Naan+Chicken Thali+Veg Sandwich+Fruit Cup</v>
      </c>
      <c r="T892" s="54">
        <f>orderlinesTABLE[[#This Row],[Profit]]/orderlinesTABLE[[#This Row],[LineNetAmount]]</f>
        <v>0.54834484575308795</v>
      </c>
      <c r="U892" s="70">
        <f>(orderlinesTABLE[[#This Row],[Qty]]*orderlinesTABLE[[#This Row],[UnitCost]])</f>
        <v>148.13999999999999</v>
      </c>
    </row>
    <row r="893" spans="1:21" x14ac:dyDescent="0.3">
      <c r="A893" s="15" t="s">
        <v>385</v>
      </c>
      <c r="B893" s="15" t="s">
        <v>415</v>
      </c>
      <c r="C893" s="15">
        <v>3</v>
      </c>
      <c r="D893" s="36">
        <f>VLOOKUP($B893,Menu!$A$1:$F$20,MATCH($D$1,Menu!$A$1:$F$1,0),0)</f>
        <v>256.91000000000003</v>
      </c>
      <c r="E893" s="15" t="str">
        <f>VLOOKUP($B893,Menu!$A$1:$F$20,MATCH(OrderLines!E$1,Menu!$A$1:$F$1,0),0)</f>
        <v>Hot Meal</v>
      </c>
      <c r="F893" s="36">
        <f>VLOOKUP($B893,Menu!$A$1:$F$20,MATCH(OrderLines!F$1,Menu!$A$1:$F$1,0),0)</f>
        <v>121.24</v>
      </c>
      <c r="G893" s="27">
        <f>VLOOKUP($A893,Orders!$A$1:$H$361,MATCH($G$1,Orders!$A$1:$H$1,0),0)</f>
        <v>45869</v>
      </c>
      <c r="H893" s="15" t="str">
        <f>VLOOKUP($A893,Orders!$A$1:$H$361,MATCH(OrderLines!$H$1,Orders!$A$1:$H$1,0),0)</f>
        <v>Plant 2 Canteen</v>
      </c>
      <c r="I893" s="15">
        <f>VLOOKUP($A893,Orders!$A$1:$H$361,MATCH(OrderLines!$I$1,Orders!$A$1:$H$1,0),0)</f>
        <v>0.04</v>
      </c>
      <c r="J893" s="15">
        <f t="shared" si="40"/>
        <v>739.9008</v>
      </c>
      <c r="K893" s="27" t="str">
        <f t="shared" si="41"/>
        <v>July</v>
      </c>
      <c r="L893" s="15" t="str">
        <f>VLOOKUP(OrderLines!$A893,Orders!$A$1:$H$361,MATCH(OrderLines!$L$1,Orders!$A$1:$H$1,0),0)</f>
        <v>Dinner</v>
      </c>
      <c r="M893" t="str">
        <f>VLOOKUP($A893,Orders!$A$1:$H$361,MATCH(OrderLines!$M$1,Orders!$A$1:$H$1,0),0)</f>
        <v>Card</v>
      </c>
      <c r="N893" t="str">
        <f t="shared" si="39"/>
        <v>Single</v>
      </c>
      <c r="O893" t="str" cm="1">
        <f t="array" ref="O893">IF((SUMPRODUCT((OrderID=OrderLines!$A893)*Qty*UnitPrice*DiscountPct))&gt;40,"HighDisc","OK")</f>
        <v>HighDisc</v>
      </c>
      <c r="P893">
        <f>(orderlinesTABLE[[#This Row],[UnitCost]]*orderlinesTABLE[[#This Row],[Qty]])</f>
        <v>363.71999999999997</v>
      </c>
      <c r="Q893">
        <f>(orderlinesTABLE[[#This Row],[LineNetAmount]]-orderlinesTABLE[[#This Row],[totalCOST]])</f>
        <v>376.18080000000003</v>
      </c>
      <c r="R893" t="str">
        <f>VLOOKUP($B893,Menu!$A$1:$F$20,MATCH(OrderLines!R$1,Menu!$A$1:$F$1,0),0)</f>
        <v>Chicken Thali</v>
      </c>
      <c r="S893" t="str" cm="1">
        <f t="array" ref="S893">_xlfn.TEXTJOIN("+",TRUE,_xlfn._xlws.FILTER(orderlinesTABLE[ItemName],OrderID=orderlinesTABLE[[#This Row],[OrderID]]))</f>
        <v>Paneer Butter Masala + Naan+Chicken Thali+Veg Sandwich+Fruit Cup</v>
      </c>
      <c r="T893" s="54">
        <f>orderlinesTABLE[[#This Row],[Profit]]/orderlinesTABLE[[#This Row],[LineNetAmount]]</f>
        <v>0.50842058827345504</v>
      </c>
      <c r="U893" s="70">
        <f>(orderlinesTABLE[[#This Row],[Qty]]*orderlinesTABLE[[#This Row],[UnitCost]])</f>
        <v>363.71999999999997</v>
      </c>
    </row>
    <row r="894" spans="1:21" x14ac:dyDescent="0.3">
      <c r="A894" s="14" t="s">
        <v>385</v>
      </c>
      <c r="B894" s="14" t="s">
        <v>408</v>
      </c>
      <c r="C894" s="14">
        <v>1</v>
      </c>
      <c r="D894" s="37">
        <f>VLOOKUP($B894,Menu!$A$1:$F$20,MATCH($D$1,Menu!$A$1:$F$1,0),0)</f>
        <v>70.540000000000006</v>
      </c>
      <c r="E894" s="14" t="str">
        <f>VLOOKUP($B894,Menu!$A$1:$F$20,MATCH(OrderLines!E$1,Menu!$A$1:$F$1,0),0)</f>
        <v>Snack</v>
      </c>
      <c r="F894" s="37">
        <f>VLOOKUP($B894,Menu!$A$1:$F$20,MATCH(OrderLines!F$1,Menu!$A$1:$F$1,0),0)</f>
        <v>35.81</v>
      </c>
      <c r="G894" s="28">
        <f>VLOOKUP($A894,Orders!$A$1:$H$361,MATCH($G$1,Orders!$A$1:$H$1,0),0)</f>
        <v>45869</v>
      </c>
      <c r="H894" s="14" t="str">
        <f>VLOOKUP($A894,Orders!$A$1:$H$361,MATCH(OrderLines!$H$1,Orders!$A$1:$H$1,0),0)</f>
        <v>Plant 2 Canteen</v>
      </c>
      <c r="I894" s="14">
        <f>VLOOKUP($A894,Orders!$A$1:$H$361,MATCH(OrderLines!$I$1,Orders!$A$1:$H$1,0),0)</f>
        <v>0.04</v>
      </c>
      <c r="J894" s="14">
        <f t="shared" si="40"/>
        <v>67.718400000000003</v>
      </c>
      <c r="K894" s="28" t="str">
        <f t="shared" si="41"/>
        <v>July</v>
      </c>
      <c r="L894" s="14" t="str">
        <f>VLOOKUP(OrderLines!$A894,Orders!$A$1:$H$361,MATCH(OrderLines!$L$1,Orders!$A$1:$H$1,0),0)</f>
        <v>Dinner</v>
      </c>
      <c r="M894" t="str">
        <f>VLOOKUP($A894,Orders!$A$1:$H$361,MATCH(OrderLines!$M$1,Orders!$A$1:$H$1,0),0)</f>
        <v>Card</v>
      </c>
      <c r="N894" t="str">
        <f t="shared" si="39"/>
        <v>Single</v>
      </c>
      <c r="O894" t="str" cm="1">
        <f t="array" ref="O894">IF((SUMPRODUCT((OrderID=OrderLines!$A894)*Qty*UnitPrice*DiscountPct))&gt;40,"HighDisc","OK")</f>
        <v>HighDisc</v>
      </c>
      <c r="P894">
        <f>(orderlinesTABLE[[#This Row],[UnitCost]]*orderlinesTABLE[[#This Row],[Qty]])</f>
        <v>35.81</v>
      </c>
      <c r="Q894">
        <f>(orderlinesTABLE[[#This Row],[LineNetAmount]]-orderlinesTABLE[[#This Row],[totalCOST]])</f>
        <v>31.9084</v>
      </c>
      <c r="R894" t="str">
        <f>VLOOKUP($B894,Menu!$A$1:$F$20,MATCH(OrderLines!R$1,Menu!$A$1:$F$1,0),0)</f>
        <v>Veg Sandwich</v>
      </c>
      <c r="S894" t="str" cm="1">
        <f t="array" ref="S894">_xlfn.TEXTJOIN("+",TRUE,_xlfn._xlws.FILTER(orderlinesTABLE[ItemName],OrderID=orderlinesTABLE[[#This Row],[OrderID]]))</f>
        <v>Paneer Butter Masala + Naan+Chicken Thali+Veg Sandwich+Fruit Cup</v>
      </c>
      <c r="T894" s="54">
        <f>orderlinesTABLE[[#This Row],[Profit]]/orderlinesTABLE[[#This Row],[LineNetAmount]]</f>
        <v>0.4711924676306587</v>
      </c>
      <c r="U894" s="70">
        <f>(orderlinesTABLE[[#This Row],[Qty]]*orderlinesTABLE[[#This Row],[UnitCost]])</f>
        <v>35.81</v>
      </c>
    </row>
    <row r="895" spans="1:21" x14ac:dyDescent="0.3">
      <c r="A895" s="15" t="s">
        <v>385</v>
      </c>
      <c r="B895" s="15" t="s">
        <v>412</v>
      </c>
      <c r="C895" s="15">
        <v>2</v>
      </c>
      <c r="D895" s="36">
        <f>VLOOKUP($B895,Menu!$A$1:$F$20,MATCH($D$1,Menu!$A$1:$F$1,0),0)</f>
        <v>57.07</v>
      </c>
      <c r="E895" s="15" t="str">
        <f>VLOOKUP($B895,Menu!$A$1:$F$20,MATCH(OrderLines!E$1,Menu!$A$1:$F$1,0),0)</f>
        <v>Dessert</v>
      </c>
      <c r="F895" s="36">
        <f>VLOOKUP($B895,Menu!$A$1:$F$20,MATCH(OrderLines!F$1,Menu!$A$1:$F$1,0),0)</f>
        <v>29.14</v>
      </c>
      <c r="G895" s="27">
        <f>VLOOKUP($A895,Orders!$A$1:$H$361,MATCH($G$1,Orders!$A$1:$H$1,0),0)</f>
        <v>45869</v>
      </c>
      <c r="H895" s="15" t="str">
        <f>VLOOKUP($A895,Orders!$A$1:$H$361,MATCH(OrderLines!$H$1,Orders!$A$1:$H$1,0),0)</f>
        <v>Plant 2 Canteen</v>
      </c>
      <c r="I895" s="15">
        <f>VLOOKUP($A895,Orders!$A$1:$H$361,MATCH(OrderLines!$I$1,Orders!$A$1:$H$1,0),0)</f>
        <v>0.04</v>
      </c>
      <c r="J895" s="15">
        <f t="shared" si="40"/>
        <v>109.5744</v>
      </c>
      <c r="K895" s="27" t="str">
        <f t="shared" si="41"/>
        <v>July</v>
      </c>
      <c r="L895" s="15" t="str">
        <f>VLOOKUP(OrderLines!$A895,Orders!$A$1:$H$361,MATCH(OrderLines!$L$1,Orders!$A$1:$H$1,0),0)</f>
        <v>Dinner</v>
      </c>
      <c r="M895" t="str">
        <f>VLOOKUP($A895,Orders!$A$1:$H$361,MATCH(OrderLines!$M$1,Orders!$A$1:$H$1,0),0)</f>
        <v>Card</v>
      </c>
      <c r="N895" t="str">
        <f t="shared" si="39"/>
        <v>Single</v>
      </c>
      <c r="O895" t="str" cm="1">
        <f t="array" ref="O895">IF((SUMPRODUCT((OrderID=OrderLines!$A895)*Qty*UnitPrice*DiscountPct))&gt;40,"HighDisc","OK")</f>
        <v>HighDisc</v>
      </c>
      <c r="P895">
        <f>(orderlinesTABLE[[#This Row],[UnitCost]]*orderlinesTABLE[[#This Row],[Qty]])</f>
        <v>58.28</v>
      </c>
      <c r="Q895">
        <f>(orderlinesTABLE[[#This Row],[LineNetAmount]]-orderlinesTABLE[[#This Row],[totalCOST]])</f>
        <v>51.294399999999996</v>
      </c>
      <c r="R895" t="str">
        <f>VLOOKUP($B895,Menu!$A$1:$F$20,MATCH(OrderLines!R$1,Menu!$A$1:$F$1,0),0)</f>
        <v>Fruit Cup</v>
      </c>
      <c r="S895" t="str" cm="1">
        <f t="array" ref="S895">_xlfn.TEXTJOIN("+",TRUE,_xlfn._xlws.FILTER(orderlinesTABLE[ItemName],OrderID=orderlinesTABLE[[#This Row],[OrderID]]))</f>
        <v>Paneer Butter Masala + Naan+Chicken Thali+Veg Sandwich+Fruit Cup</v>
      </c>
      <c r="T895" s="54">
        <f>orderlinesTABLE[[#This Row],[Profit]]/orderlinesTABLE[[#This Row],[LineNetAmount]]</f>
        <v>0.4681239413585655</v>
      </c>
      <c r="U895" s="70">
        <f>(orderlinesTABLE[[#This Row],[Qty]]*orderlinesTABLE[[#This Row],[UnitCost]])</f>
        <v>58.28</v>
      </c>
    </row>
    <row r="896" spans="1:21" x14ac:dyDescent="0.3">
      <c r="A896" s="14" t="s">
        <v>386</v>
      </c>
      <c r="B896" s="14" t="s">
        <v>414</v>
      </c>
      <c r="C896" s="14">
        <v>1</v>
      </c>
      <c r="D896" s="37">
        <f>VLOOKUP($B896,Menu!$A$1:$F$20,MATCH($D$1,Menu!$A$1:$F$1,0),0)</f>
        <v>116.8</v>
      </c>
      <c r="E896" s="14" t="str">
        <f>VLOOKUP($B896,Menu!$A$1:$F$20,MATCH(OrderLines!E$1,Menu!$A$1:$F$1,0),0)</f>
        <v>Dessert</v>
      </c>
      <c r="F896" s="37">
        <f>VLOOKUP($B896,Menu!$A$1:$F$20,MATCH(OrderLines!F$1,Menu!$A$1:$F$1,0),0)</f>
        <v>48.97</v>
      </c>
      <c r="G896" s="28">
        <f>VLOOKUP($A896,Orders!$A$1:$H$361,MATCH($G$1,Orders!$A$1:$H$1,0),0)</f>
        <v>45885</v>
      </c>
      <c r="H896" s="14" t="str">
        <f>VLOOKUP($A896,Orders!$A$1:$H$361,MATCH(OrderLines!$H$1,Orders!$A$1:$H$1,0),0)</f>
        <v>Plant 2 Canteen</v>
      </c>
      <c r="I896" s="14">
        <f>VLOOKUP($A896,Orders!$A$1:$H$361,MATCH(OrderLines!$I$1,Orders!$A$1:$H$1,0),0)</f>
        <v>0.02</v>
      </c>
      <c r="J896" s="14">
        <f t="shared" si="40"/>
        <v>114.464</v>
      </c>
      <c r="K896" s="28" t="str">
        <f t="shared" si="41"/>
        <v>August</v>
      </c>
      <c r="L896" s="14" t="str">
        <f>VLOOKUP(OrderLines!$A896,Orders!$A$1:$H$361,MATCH(OrderLines!$L$1,Orders!$A$1:$H$1,0),0)</f>
        <v>Breakfast</v>
      </c>
      <c r="M896" t="str">
        <f>VLOOKUP($A896,Orders!$A$1:$H$361,MATCH(OrderLines!$M$1,Orders!$A$1:$H$1,0),0)</f>
        <v>UPI</v>
      </c>
      <c r="N896" t="str">
        <f t="shared" si="39"/>
        <v>Single</v>
      </c>
      <c r="O896" t="str" cm="1">
        <f t="array" ref="O896">IF((SUMPRODUCT((OrderID=OrderLines!$A896)*Qty*UnitPrice*DiscountPct))&gt;40,"HighDisc","OK")</f>
        <v>OK</v>
      </c>
      <c r="P896">
        <f>(orderlinesTABLE[[#This Row],[UnitCost]]*orderlinesTABLE[[#This Row],[Qty]])</f>
        <v>48.97</v>
      </c>
      <c r="Q896">
        <f>(orderlinesTABLE[[#This Row],[LineNetAmount]]-orderlinesTABLE[[#This Row],[totalCOST]])</f>
        <v>65.494</v>
      </c>
      <c r="R896" t="str">
        <f>VLOOKUP($B896,Menu!$A$1:$F$20,MATCH(OrderLines!R$1,Menu!$A$1:$F$1,0),0)</f>
        <v>Brownie</v>
      </c>
      <c r="S896" t="str" cm="1">
        <f t="array" ref="S896">_xlfn.TEXTJOIN("+",TRUE,_xlfn._xlws.FILTER(orderlinesTABLE[ItemName],OrderID=orderlinesTABLE[[#This Row],[OrderID]]))</f>
        <v>Brownie+Egg Curry + Rice+Gulab Jamun (2 pc)+Paneer Butter Masala + Naan</v>
      </c>
      <c r="T896" s="54">
        <f>orderlinesTABLE[[#This Row],[Profit]]/orderlinesTABLE[[#This Row],[LineNetAmount]]</f>
        <v>0.57217989935700309</v>
      </c>
      <c r="U896" s="70">
        <f>(orderlinesTABLE[[#This Row],[Qty]]*orderlinesTABLE[[#This Row],[UnitCost]])</f>
        <v>48.97</v>
      </c>
    </row>
    <row r="897" spans="1:21" x14ac:dyDescent="0.3">
      <c r="A897" s="15" t="s">
        <v>386</v>
      </c>
      <c r="B897" s="15" t="s">
        <v>407</v>
      </c>
      <c r="C897" s="15">
        <v>1</v>
      </c>
      <c r="D897" s="36">
        <f>VLOOKUP($B897,Menu!$A$1:$F$20,MATCH($D$1,Menu!$A$1:$F$1,0),0)</f>
        <v>246.09</v>
      </c>
      <c r="E897" s="15" t="str">
        <f>VLOOKUP($B897,Menu!$A$1:$F$20,MATCH(OrderLines!E$1,Menu!$A$1:$F$1,0),0)</f>
        <v>Hot Meal</v>
      </c>
      <c r="F897" s="36">
        <f>VLOOKUP($B897,Menu!$A$1:$F$20,MATCH(OrderLines!F$1,Menu!$A$1:$F$1,0),0)</f>
        <v>112.08</v>
      </c>
      <c r="G897" s="27">
        <f>VLOOKUP($A897,Orders!$A$1:$H$361,MATCH($G$1,Orders!$A$1:$H$1,0),0)</f>
        <v>45885</v>
      </c>
      <c r="H897" s="15" t="str">
        <f>VLOOKUP($A897,Orders!$A$1:$H$361,MATCH(OrderLines!$H$1,Orders!$A$1:$H$1,0),0)</f>
        <v>Plant 2 Canteen</v>
      </c>
      <c r="I897" s="15">
        <f>VLOOKUP($A897,Orders!$A$1:$H$361,MATCH(OrderLines!$I$1,Orders!$A$1:$H$1,0),0)</f>
        <v>0.02</v>
      </c>
      <c r="J897" s="15">
        <f t="shared" si="40"/>
        <v>241.16820000000001</v>
      </c>
      <c r="K897" s="27" t="str">
        <f t="shared" si="41"/>
        <v>August</v>
      </c>
      <c r="L897" s="15" t="str">
        <f>VLOOKUP(OrderLines!$A897,Orders!$A$1:$H$361,MATCH(OrderLines!$L$1,Orders!$A$1:$H$1,0),0)</f>
        <v>Breakfast</v>
      </c>
      <c r="M897" t="str">
        <f>VLOOKUP($A897,Orders!$A$1:$H$361,MATCH(OrderLines!$M$1,Orders!$A$1:$H$1,0),0)</f>
        <v>UPI</v>
      </c>
      <c r="N897" t="str">
        <f t="shared" si="39"/>
        <v>Single</v>
      </c>
      <c r="O897" t="str" cm="1">
        <f t="array" ref="O897">IF((SUMPRODUCT((OrderID=OrderLines!$A897)*Qty*UnitPrice*DiscountPct))&gt;40,"HighDisc","OK")</f>
        <v>OK</v>
      </c>
      <c r="P897">
        <f>(orderlinesTABLE[[#This Row],[UnitCost]]*orderlinesTABLE[[#This Row],[Qty]])</f>
        <v>112.08</v>
      </c>
      <c r="Q897">
        <f>(orderlinesTABLE[[#This Row],[LineNetAmount]]-orderlinesTABLE[[#This Row],[totalCOST]])</f>
        <v>129.08820000000003</v>
      </c>
      <c r="R897" t="str">
        <f>VLOOKUP($B897,Menu!$A$1:$F$20,MATCH(OrderLines!R$1,Menu!$A$1:$F$1,0),0)</f>
        <v>Egg Curry + Rice</v>
      </c>
      <c r="S897" t="str" cm="1">
        <f t="array" ref="S897">_xlfn.TEXTJOIN("+",TRUE,_xlfn._xlws.FILTER(orderlinesTABLE[ItemName],OrderID=orderlinesTABLE[[#This Row],[OrderID]]))</f>
        <v>Brownie+Egg Curry + Rice+Gulab Jamun (2 pc)+Paneer Butter Masala + Naan</v>
      </c>
      <c r="T897" s="54">
        <f>orderlinesTABLE[[#This Row],[Profit]]/orderlinesTABLE[[#This Row],[LineNetAmount]]</f>
        <v>0.53526211167143933</v>
      </c>
      <c r="U897" s="70">
        <f>(orderlinesTABLE[[#This Row],[Qty]]*orderlinesTABLE[[#This Row],[UnitCost]])</f>
        <v>112.08</v>
      </c>
    </row>
    <row r="898" spans="1:21" x14ac:dyDescent="0.3">
      <c r="A898" s="14" t="s">
        <v>386</v>
      </c>
      <c r="B898" s="14" t="s">
        <v>403</v>
      </c>
      <c r="C898" s="14">
        <v>3</v>
      </c>
      <c r="D898" s="37">
        <f>VLOOKUP($B898,Menu!$A$1:$F$20,MATCH($D$1,Menu!$A$1:$F$1,0),0)</f>
        <v>76.55</v>
      </c>
      <c r="E898" s="14" t="str">
        <f>VLOOKUP($B898,Menu!$A$1:$F$20,MATCH(OrderLines!E$1,Menu!$A$1:$F$1,0),0)</f>
        <v>Dessert</v>
      </c>
      <c r="F898" s="37">
        <f>VLOOKUP($B898,Menu!$A$1:$F$20,MATCH(OrderLines!F$1,Menu!$A$1:$F$1,0),0)</f>
        <v>38.229999999999997</v>
      </c>
      <c r="G898" s="28">
        <f>VLOOKUP($A898,Orders!$A$1:$H$361,MATCH($G$1,Orders!$A$1:$H$1,0),0)</f>
        <v>45885</v>
      </c>
      <c r="H898" s="14" t="str">
        <f>VLOOKUP($A898,Orders!$A$1:$H$361,MATCH(OrderLines!$H$1,Orders!$A$1:$H$1,0),0)</f>
        <v>Plant 2 Canteen</v>
      </c>
      <c r="I898" s="14">
        <f>VLOOKUP($A898,Orders!$A$1:$H$361,MATCH(OrderLines!$I$1,Orders!$A$1:$H$1,0),0)</f>
        <v>0.02</v>
      </c>
      <c r="J898" s="14">
        <f t="shared" si="40"/>
        <v>225.05699999999996</v>
      </c>
      <c r="K898" s="28" t="str">
        <f t="shared" si="41"/>
        <v>August</v>
      </c>
      <c r="L898" s="14" t="str">
        <f>VLOOKUP(OrderLines!$A898,Orders!$A$1:$H$361,MATCH(OrderLines!$L$1,Orders!$A$1:$H$1,0),0)</f>
        <v>Breakfast</v>
      </c>
      <c r="M898" t="str">
        <f>VLOOKUP($A898,Orders!$A$1:$H$361,MATCH(OrderLines!$M$1,Orders!$A$1:$H$1,0),0)</f>
        <v>UPI</v>
      </c>
      <c r="N898" t="str">
        <f t="shared" ref="N898:N925" si="42">IF(AND(COUNTIFS(OrderID,$A898,Category,"hot meal")&gt;=1,COUNTIFS(OrderID,$A898,Category,"beverage")&gt;=1),"Combo","Single")</f>
        <v>Single</v>
      </c>
      <c r="O898" t="str" cm="1">
        <f t="array" ref="O898">IF((SUMPRODUCT((OrderID=OrderLines!$A898)*Qty*UnitPrice*DiscountPct))&gt;40,"HighDisc","OK")</f>
        <v>OK</v>
      </c>
      <c r="P898">
        <f>(orderlinesTABLE[[#This Row],[UnitCost]]*orderlinesTABLE[[#This Row],[Qty]])</f>
        <v>114.69</v>
      </c>
      <c r="Q898">
        <f>(orderlinesTABLE[[#This Row],[LineNetAmount]]-orderlinesTABLE[[#This Row],[totalCOST]])</f>
        <v>110.36699999999996</v>
      </c>
      <c r="R898" t="str">
        <f>VLOOKUP($B898,Menu!$A$1:$F$20,MATCH(OrderLines!R$1,Menu!$A$1:$F$1,0),0)</f>
        <v>Gulab Jamun (2 pc)</v>
      </c>
      <c r="S898" t="str" cm="1">
        <f t="array" ref="S898">_xlfn.TEXTJOIN("+",TRUE,_xlfn._xlws.FILTER(orderlinesTABLE[ItemName],OrderID=orderlinesTABLE[[#This Row],[OrderID]]))</f>
        <v>Brownie+Egg Curry + Rice+Gulab Jamun (2 pc)+Paneer Butter Masala + Naan</v>
      </c>
      <c r="T898" s="54">
        <f>orderlinesTABLE[[#This Row],[Profit]]/orderlinesTABLE[[#This Row],[LineNetAmount]]</f>
        <v>0.49039576640584376</v>
      </c>
      <c r="U898" s="70">
        <f>(orderlinesTABLE[[#This Row],[Qty]]*orderlinesTABLE[[#This Row],[UnitCost]])</f>
        <v>114.69</v>
      </c>
    </row>
    <row r="899" spans="1:21" x14ac:dyDescent="0.3">
      <c r="A899" s="15" t="s">
        <v>386</v>
      </c>
      <c r="B899" s="15" t="s">
        <v>405</v>
      </c>
      <c r="C899" s="15">
        <v>2</v>
      </c>
      <c r="D899" s="36">
        <f>VLOOKUP($B899,Menu!$A$1:$F$20,MATCH($D$1,Menu!$A$1:$F$1,0),0)</f>
        <v>170.83</v>
      </c>
      <c r="E899" s="15" t="str">
        <f>VLOOKUP($B899,Menu!$A$1:$F$20,MATCH(OrderLines!E$1,Menu!$A$1:$F$1,0),0)</f>
        <v>Hot Meal</v>
      </c>
      <c r="F899" s="36">
        <f>VLOOKUP($B899,Menu!$A$1:$F$20,MATCH(OrderLines!F$1,Menu!$A$1:$F$1,0),0)</f>
        <v>74.069999999999993</v>
      </c>
      <c r="G899" s="27">
        <f>VLOOKUP($A899,Orders!$A$1:$H$361,MATCH($G$1,Orders!$A$1:$H$1,0),0)</f>
        <v>45885</v>
      </c>
      <c r="H899" s="15" t="str">
        <f>VLOOKUP($A899,Orders!$A$1:$H$361,MATCH(OrderLines!$H$1,Orders!$A$1:$H$1,0),0)</f>
        <v>Plant 2 Canteen</v>
      </c>
      <c r="I899" s="15">
        <f>VLOOKUP($A899,Orders!$A$1:$H$361,MATCH(OrderLines!$I$1,Orders!$A$1:$H$1,0),0)</f>
        <v>0.02</v>
      </c>
      <c r="J899" s="15">
        <f t="shared" ref="J899:J925" si="43">$C899*$D899*(1-$I899)</f>
        <v>334.82679999999999</v>
      </c>
      <c r="K899" s="27" t="str">
        <f t="shared" ref="K899:K925" si="44">TEXT($G899,"mmmm")</f>
        <v>August</v>
      </c>
      <c r="L899" s="15" t="str">
        <f>VLOOKUP(OrderLines!$A899,Orders!$A$1:$H$361,MATCH(OrderLines!$L$1,Orders!$A$1:$H$1,0),0)</f>
        <v>Breakfast</v>
      </c>
      <c r="M899" t="str">
        <f>VLOOKUP($A899,Orders!$A$1:$H$361,MATCH(OrderLines!$M$1,Orders!$A$1:$H$1,0),0)</f>
        <v>UPI</v>
      </c>
      <c r="N899" t="str">
        <f t="shared" si="42"/>
        <v>Single</v>
      </c>
      <c r="O899" t="str" cm="1">
        <f t="array" ref="O899">IF((SUMPRODUCT((OrderID=OrderLines!$A899)*Qty*UnitPrice*DiscountPct))&gt;40,"HighDisc","OK")</f>
        <v>OK</v>
      </c>
      <c r="P899">
        <f>(orderlinesTABLE[[#This Row],[UnitCost]]*orderlinesTABLE[[#This Row],[Qty]])</f>
        <v>148.13999999999999</v>
      </c>
      <c r="Q899">
        <f>(orderlinesTABLE[[#This Row],[LineNetAmount]]-orderlinesTABLE[[#This Row],[totalCOST]])</f>
        <v>186.68680000000001</v>
      </c>
      <c r="R899" t="str">
        <f>VLOOKUP($B899,Menu!$A$1:$F$20,MATCH(OrderLines!R$1,Menu!$A$1:$F$1,0),0)</f>
        <v>Paneer Butter Masala + Naan</v>
      </c>
      <c r="S899" t="str" cm="1">
        <f t="array" ref="S899">_xlfn.TEXTJOIN("+",TRUE,_xlfn._xlws.FILTER(orderlinesTABLE[ItemName],OrderID=orderlinesTABLE[[#This Row],[OrderID]]))</f>
        <v>Brownie+Egg Curry + Rice+Gulab Jamun (2 pc)+Paneer Butter Masala + Naan</v>
      </c>
      <c r="T899" s="54">
        <f>orderlinesTABLE[[#This Row],[Profit]]/orderlinesTABLE[[#This Row],[LineNetAmount]]</f>
        <v>0.55756229788057587</v>
      </c>
      <c r="U899" s="70">
        <f>(orderlinesTABLE[[#This Row],[Qty]]*orderlinesTABLE[[#This Row],[UnitCost]])</f>
        <v>148.13999999999999</v>
      </c>
    </row>
    <row r="900" spans="1:21" x14ac:dyDescent="0.3">
      <c r="A900" s="14" t="s">
        <v>387</v>
      </c>
      <c r="B900" s="14" t="s">
        <v>404</v>
      </c>
      <c r="C900" s="14">
        <v>2</v>
      </c>
      <c r="D900" s="37">
        <f>VLOOKUP($B900,Menu!$A$1:$F$20,MATCH($D$1,Menu!$A$1:$F$1,0),0)</f>
        <v>32.979999999999997</v>
      </c>
      <c r="E900" s="14" t="str">
        <f>VLOOKUP($B900,Menu!$A$1:$F$20,MATCH(OrderLines!E$1,Menu!$A$1:$F$1,0),0)</f>
        <v>Beverage</v>
      </c>
      <c r="F900" s="37">
        <f>VLOOKUP($B900,Menu!$A$1:$F$20,MATCH(OrderLines!F$1,Menu!$A$1:$F$1,0),0)</f>
        <v>11.84</v>
      </c>
      <c r="G900" s="28">
        <f>VLOOKUP($A900,Orders!$A$1:$H$361,MATCH($G$1,Orders!$A$1:$H$1,0),0)</f>
        <v>45867</v>
      </c>
      <c r="H900" s="14" t="str">
        <f>VLOOKUP($A900,Orders!$A$1:$H$361,MATCH(OrderLines!$H$1,Orders!$A$1:$H$1,0),0)</f>
        <v>Plant 2 Canteen</v>
      </c>
      <c r="I900" s="14">
        <f>VLOOKUP($A900,Orders!$A$1:$H$361,MATCH(OrderLines!$I$1,Orders!$A$1:$H$1,0),0)</f>
        <v>0.08</v>
      </c>
      <c r="J900" s="14">
        <f t="shared" si="43"/>
        <v>60.683199999999999</v>
      </c>
      <c r="K900" s="28" t="str">
        <f t="shared" si="44"/>
        <v>July</v>
      </c>
      <c r="L900" s="14" t="str">
        <f>VLOOKUP(OrderLines!$A900,Orders!$A$1:$H$361,MATCH(OrderLines!$L$1,Orders!$A$1:$H$1,0),0)</f>
        <v>Breakfast</v>
      </c>
      <c r="M900" t="str">
        <f>VLOOKUP($A900,Orders!$A$1:$H$361,MATCH(OrderLines!$M$1,Orders!$A$1:$H$1,0),0)</f>
        <v>UPI</v>
      </c>
      <c r="N900" t="str">
        <f t="shared" si="42"/>
        <v>Combo</v>
      </c>
      <c r="O900" t="str" cm="1">
        <f t="array" ref="O900">IF((SUMPRODUCT((OrderID=OrderLines!$A900)*Qty*UnitPrice*DiscountPct))&gt;40,"HighDisc","OK")</f>
        <v>OK</v>
      </c>
      <c r="P900">
        <f>(orderlinesTABLE[[#This Row],[UnitCost]]*orderlinesTABLE[[#This Row],[Qty]])</f>
        <v>23.68</v>
      </c>
      <c r="Q900">
        <f>(orderlinesTABLE[[#This Row],[LineNetAmount]]-orderlinesTABLE[[#This Row],[totalCOST]])</f>
        <v>37.0032</v>
      </c>
      <c r="R900" t="str">
        <f>VLOOKUP($B900,Menu!$A$1:$F$20,MATCH(OrderLines!R$1,Menu!$A$1:$F$1,0),0)</f>
        <v>Masala Chaas</v>
      </c>
      <c r="S900" t="str" cm="1">
        <f t="array" ref="S900">_xlfn.TEXTJOIN("+",TRUE,_xlfn._xlws.FILTER(orderlinesTABLE[ItemName],OrderID=orderlinesTABLE[[#This Row],[OrderID]]))</f>
        <v>Masala Chaas+Rajma Chawal+Bottled Water</v>
      </c>
      <c r="T900" s="54">
        <f>orderlinesTABLE[[#This Row],[Profit]]/orderlinesTABLE[[#This Row],[LineNetAmount]]</f>
        <v>0.60977667624647347</v>
      </c>
      <c r="U900" s="70">
        <f>(orderlinesTABLE[[#This Row],[Qty]]*orderlinesTABLE[[#This Row],[UnitCost]])</f>
        <v>23.68</v>
      </c>
    </row>
    <row r="901" spans="1:21" x14ac:dyDescent="0.3">
      <c r="A901" s="15" t="s">
        <v>387</v>
      </c>
      <c r="B901" s="15" t="s">
        <v>417</v>
      </c>
      <c r="C901" s="15">
        <v>2</v>
      </c>
      <c r="D901" s="36">
        <f>VLOOKUP($B901,Menu!$A$1:$F$20,MATCH($D$1,Menu!$A$1:$F$1,0),0)</f>
        <v>146.4</v>
      </c>
      <c r="E901" s="15" t="str">
        <f>VLOOKUP($B901,Menu!$A$1:$F$20,MATCH(OrderLines!E$1,Menu!$A$1:$F$1,0),0)</f>
        <v>Hot Meal</v>
      </c>
      <c r="F901" s="36">
        <f>VLOOKUP($B901,Menu!$A$1:$F$20,MATCH(OrderLines!F$1,Menu!$A$1:$F$1,0),0)</f>
        <v>80.92</v>
      </c>
      <c r="G901" s="27">
        <f>VLOOKUP($A901,Orders!$A$1:$H$361,MATCH($G$1,Orders!$A$1:$H$1,0),0)</f>
        <v>45867</v>
      </c>
      <c r="H901" s="15" t="str">
        <f>VLOOKUP($A901,Orders!$A$1:$H$361,MATCH(OrderLines!$H$1,Orders!$A$1:$H$1,0),0)</f>
        <v>Plant 2 Canteen</v>
      </c>
      <c r="I901" s="15">
        <f>VLOOKUP($A901,Orders!$A$1:$H$361,MATCH(OrderLines!$I$1,Orders!$A$1:$H$1,0),0)</f>
        <v>0.08</v>
      </c>
      <c r="J901" s="15">
        <f t="shared" si="43"/>
        <v>269.37600000000003</v>
      </c>
      <c r="K901" s="27" t="str">
        <f t="shared" si="44"/>
        <v>July</v>
      </c>
      <c r="L901" s="15" t="str">
        <f>VLOOKUP(OrderLines!$A901,Orders!$A$1:$H$361,MATCH(OrderLines!$L$1,Orders!$A$1:$H$1,0),0)</f>
        <v>Breakfast</v>
      </c>
      <c r="M901" t="str">
        <f>VLOOKUP($A901,Orders!$A$1:$H$361,MATCH(OrderLines!$M$1,Orders!$A$1:$H$1,0),0)</f>
        <v>UPI</v>
      </c>
      <c r="N901" t="str">
        <f t="shared" si="42"/>
        <v>Combo</v>
      </c>
      <c r="O901" t="str" cm="1">
        <f t="array" ref="O901">IF((SUMPRODUCT((OrderID=OrderLines!$A901)*Qty*UnitPrice*DiscountPct))&gt;40,"HighDisc","OK")</f>
        <v>OK</v>
      </c>
      <c r="P901">
        <f>(orderlinesTABLE[[#This Row],[UnitCost]]*orderlinesTABLE[[#This Row],[Qty]])</f>
        <v>161.84</v>
      </c>
      <c r="Q901">
        <f>(orderlinesTABLE[[#This Row],[LineNetAmount]]-orderlinesTABLE[[#This Row],[totalCOST]])</f>
        <v>107.53600000000003</v>
      </c>
      <c r="R901" t="str">
        <f>VLOOKUP($B901,Menu!$A$1:$F$20,MATCH(OrderLines!R$1,Menu!$A$1:$F$1,0),0)</f>
        <v>Rajma Chawal</v>
      </c>
      <c r="S901" t="str" cm="1">
        <f t="array" ref="S901">_xlfn.TEXTJOIN("+",TRUE,_xlfn._xlws.FILTER(orderlinesTABLE[ItemName],OrderID=orderlinesTABLE[[#This Row],[OrderID]]))</f>
        <v>Masala Chaas+Rajma Chawal+Bottled Water</v>
      </c>
      <c r="T901" s="54">
        <f>orderlinesTABLE[[#This Row],[Profit]]/orderlinesTABLE[[#This Row],[LineNetAmount]]</f>
        <v>0.39920408648134953</v>
      </c>
      <c r="U901" s="70">
        <f>(orderlinesTABLE[[#This Row],[Qty]]*orderlinesTABLE[[#This Row],[UnitCost]])</f>
        <v>161.84</v>
      </c>
    </row>
    <row r="902" spans="1:21" x14ac:dyDescent="0.3">
      <c r="A902" s="14" t="s">
        <v>387</v>
      </c>
      <c r="B902" s="14" t="s">
        <v>409</v>
      </c>
      <c r="C902" s="14">
        <v>1</v>
      </c>
      <c r="D902" s="37">
        <f>VLOOKUP($B902,Menu!$A$1:$F$20,MATCH($D$1,Menu!$A$1:$F$1,0),0)</f>
        <v>28.43</v>
      </c>
      <c r="E902" s="14" t="str">
        <f>VLOOKUP($B902,Menu!$A$1:$F$20,MATCH(OrderLines!E$1,Menu!$A$1:$F$1,0),0)</f>
        <v>Beverage</v>
      </c>
      <c r="F902" s="37">
        <f>VLOOKUP($B902,Menu!$A$1:$F$20,MATCH(OrderLines!F$1,Menu!$A$1:$F$1,0),0)</f>
        <v>13.89</v>
      </c>
      <c r="G902" s="28">
        <f>VLOOKUP($A902,Orders!$A$1:$H$361,MATCH($G$1,Orders!$A$1:$H$1,0),0)</f>
        <v>45867</v>
      </c>
      <c r="H902" s="14" t="str">
        <f>VLOOKUP($A902,Orders!$A$1:$H$361,MATCH(OrderLines!$H$1,Orders!$A$1:$H$1,0),0)</f>
        <v>Plant 2 Canteen</v>
      </c>
      <c r="I902" s="14">
        <f>VLOOKUP($A902,Orders!$A$1:$H$361,MATCH(OrderLines!$I$1,Orders!$A$1:$H$1,0),0)</f>
        <v>0.08</v>
      </c>
      <c r="J902" s="14">
        <f t="shared" si="43"/>
        <v>26.1556</v>
      </c>
      <c r="K902" s="28" t="str">
        <f t="shared" si="44"/>
        <v>July</v>
      </c>
      <c r="L902" s="14" t="str">
        <f>VLOOKUP(OrderLines!$A902,Orders!$A$1:$H$361,MATCH(OrderLines!$L$1,Orders!$A$1:$H$1,0),0)</f>
        <v>Breakfast</v>
      </c>
      <c r="M902" t="str">
        <f>VLOOKUP($A902,Orders!$A$1:$H$361,MATCH(OrderLines!$M$1,Orders!$A$1:$H$1,0),0)</f>
        <v>UPI</v>
      </c>
      <c r="N902" t="str">
        <f t="shared" si="42"/>
        <v>Combo</v>
      </c>
      <c r="O902" t="str" cm="1">
        <f t="array" ref="O902">IF((SUMPRODUCT((OrderID=OrderLines!$A902)*Qty*UnitPrice*DiscountPct))&gt;40,"HighDisc","OK")</f>
        <v>OK</v>
      </c>
      <c r="P902">
        <f>(orderlinesTABLE[[#This Row],[UnitCost]]*orderlinesTABLE[[#This Row],[Qty]])</f>
        <v>13.89</v>
      </c>
      <c r="Q902">
        <f>(orderlinesTABLE[[#This Row],[LineNetAmount]]-orderlinesTABLE[[#This Row],[totalCOST]])</f>
        <v>12.265599999999999</v>
      </c>
      <c r="R902" t="str">
        <f>VLOOKUP($B902,Menu!$A$1:$F$20,MATCH(OrderLines!R$1,Menu!$A$1:$F$1,0),0)</f>
        <v>Bottled Water</v>
      </c>
      <c r="S902" t="str" cm="1">
        <f t="array" ref="S902">_xlfn.TEXTJOIN("+",TRUE,_xlfn._xlws.FILTER(orderlinesTABLE[ItemName],OrderID=orderlinesTABLE[[#This Row],[OrderID]]))</f>
        <v>Masala Chaas+Rajma Chawal+Bottled Water</v>
      </c>
      <c r="T902" s="54">
        <f>orderlinesTABLE[[#This Row],[Profit]]/orderlinesTABLE[[#This Row],[LineNetAmount]]</f>
        <v>0.46894737647004847</v>
      </c>
      <c r="U902" s="70">
        <f>(orderlinesTABLE[[#This Row],[Qty]]*orderlinesTABLE[[#This Row],[UnitCost]])</f>
        <v>13.89</v>
      </c>
    </row>
    <row r="903" spans="1:21" x14ac:dyDescent="0.3">
      <c r="A903" s="15" t="s">
        <v>388</v>
      </c>
      <c r="B903" s="15" t="s">
        <v>402</v>
      </c>
      <c r="C903" s="15">
        <v>2</v>
      </c>
      <c r="D903" s="36">
        <f>VLOOKUP($B903,Menu!$A$1:$F$20,MATCH($D$1,Menu!$A$1:$F$1,0),0)</f>
        <v>30.34</v>
      </c>
      <c r="E903" s="15" t="str">
        <f>VLOOKUP($B903,Menu!$A$1:$F$20,MATCH(OrderLines!E$1,Menu!$A$1:$F$1,0),0)</f>
        <v>Beverage</v>
      </c>
      <c r="F903" s="36">
        <f>VLOOKUP($B903,Menu!$A$1:$F$20,MATCH(OrderLines!F$1,Menu!$A$1:$F$1,0),0)</f>
        <v>14.18</v>
      </c>
      <c r="G903" s="27">
        <f>VLOOKUP($A903,Orders!$A$1:$H$361,MATCH($G$1,Orders!$A$1:$H$1,0),0)</f>
        <v>45865</v>
      </c>
      <c r="H903" s="15" t="str">
        <f>VLOOKUP($A903,Orders!$A$1:$H$361,MATCH(OrderLines!$H$1,Orders!$A$1:$H$1,0),0)</f>
        <v>Plant 1 Canteen</v>
      </c>
      <c r="I903" s="15">
        <f>VLOOKUP($A903,Orders!$A$1:$H$361,MATCH(OrderLines!$I$1,Orders!$A$1:$H$1,0),0)</f>
        <v>0.01</v>
      </c>
      <c r="J903" s="15">
        <f t="shared" si="43"/>
        <v>60.0732</v>
      </c>
      <c r="K903" s="27" t="str">
        <f t="shared" si="44"/>
        <v>July</v>
      </c>
      <c r="L903" s="15" t="str">
        <f>VLOOKUP(OrderLines!$A903,Orders!$A$1:$H$361,MATCH(OrderLines!$L$1,Orders!$A$1:$H$1,0),0)</f>
        <v>Dinner</v>
      </c>
      <c r="M903" t="str">
        <f>VLOOKUP($A903,Orders!$A$1:$H$361,MATCH(OrderLines!$M$1,Orders!$A$1:$H$1,0),0)</f>
        <v>Card</v>
      </c>
      <c r="N903" t="str">
        <f t="shared" si="42"/>
        <v>Single</v>
      </c>
      <c r="O903" t="str" cm="1">
        <f t="array" ref="O903">IF((SUMPRODUCT((OrderID=OrderLines!$A903)*Qty*UnitPrice*DiscountPct))&gt;40,"HighDisc","OK")</f>
        <v>OK</v>
      </c>
      <c r="P903">
        <f>(orderlinesTABLE[[#This Row],[UnitCost]]*orderlinesTABLE[[#This Row],[Qty]])</f>
        <v>28.36</v>
      </c>
      <c r="Q903">
        <f>(orderlinesTABLE[[#This Row],[LineNetAmount]]-orderlinesTABLE[[#This Row],[totalCOST]])</f>
        <v>31.713200000000001</v>
      </c>
      <c r="R903" t="str">
        <f>VLOOKUP($B903,Menu!$A$1:$F$20,MATCH(OrderLines!R$1,Menu!$A$1:$F$1,0),0)</f>
        <v>Tea</v>
      </c>
      <c r="S903" t="str" cm="1">
        <f t="array" ref="S903">_xlfn.TEXTJOIN("+",TRUE,_xlfn._xlws.FILTER(orderlinesTABLE[ItemName],OrderID=orderlinesTABLE[[#This Row],[OrderID]]))</f>
        <v>Tea</v>
      </c>
      <c r="T903" s="54">
        <f>orderlinesTABLE[[#This Row],[Profit]]/orderlinesTABLE[[#This Row],[LineNetAmount]]</f>
        <v>0.527909284006845</v>
      </c>
      <c r="U903" s="70">
        <f>(orderlinesTABLE[[#This Row],[Qty]]*orderlinesTABLE[[#This Row],[UnitCost]])</f>
        <v>28.36</v>
      </c>
    </row>
    <row r="904" spans="1:21" x14ac:dyDescent="0.3">
      <c r="A904" s="14" t="s">
        <v>389</v>
      </c>
      <c r="B904" s="14" t="s">
        <v>410</v>
      </c>
      <c r="C904" s="14">
        <v>1</v>
      </c>
      <c r="D904" s="37">
        <f>VLOOKUP($B904,Menu!$A$1:$F$20,MATCH($D$1,Menu!$A$1:$F$1,0),0)</f>
        <v>20.11</v>
      </c>
      <c r="E904" s="14" t="str">
        <f>VLOOKUP($B904,Menu!$A$1:$F$20,MATCH(OrderLines!E$1,Menu!$A$1:$F$1,0),0)</f>
        <v>Beverage</v>
      </c>
      <c r="F904" s="37">
        <f>VLOOKUP($B904,Menu!$A$1:$F$20,MATCH(OrderLines!F$1,Menu!$A$1:$F$1,0),0)</f>
        <v>8</v>
      </c>
      <c r="G904" s="28">
        <f>VLOOKUP($A904,Orders!$A$1:$H$361,MATCH($G$1,Orders!$A$1:$H$1,0),0)</f>
        <v>45881</v>
      </c>
      <c r="H904" s="14" t="str">
        <f>VLOOKUP($A904,Orders!$A$1:$H$361,MATCH(OrderLines!$H$1,Orders!$A$1:$H$1,0),0)</f>
        <v>Plant 2 Canteen</v>
      </c>
      <c r="I904" s="14">
        <f>VLOOKUP($A904,Orders!$A$1:$H$361,MATCH(OrderLines!$I$1,Orders!$A$1:$H$1,0),0)</f>
        <v>0.13</v>
      </c>
      <c r="J904" s="14">
        <f t="shared" si="43"/>
        <v>17.495699999999999</v>
      </c>
      <c r="K904" s="28" t="str">
        <f t="shared" si="44"/>
        <v>August</v>
      </c>
      <c r="L904" s="14" t="str">
        <f>VLOOKUP(OrderLines!$A904,Orders!$A$1:$H$361,MATCH(OrderLines!$L$1,Orders!$A$1:$H$1,0),0)</f>
        <v>Dinner</v>
      </c>
      <c r="M904" t="str">
        <f>VLOOKUP($A904,Orders!$A$1:$H$361,MATCH(OrderLines!$M$1,Orders!$A$1:$H$1,0),0)</f>
        <v>Cash</v>
      </c>
      <c r="N904" t="str">
        <f t="shared" si="42"/>
        <v>Single</v>
      </c>
      <c r="O904" t="str" cm="1">
        <f t="array" ref="O904">IF((SUMPRODUCT((OrderID=OrderLines!$A904)*Qty*UnitPrice*DiscountPct))&gt;40,"HighDisc","OK")</f>
        <v>OK</v>
      </c>
      <c r="P904">
        <f>(orderlinesTABLE[[#This Row],[UnitCost]]*orderlinesTABLE[[#This Row],[Qty]])</f>
        <v>8</v>
      </c>
      <c r="Q904">
        <f>(orderlinesTABLE[[#This Row],[LineNetAmount]]-orderlinesTABLE[[#This Row],[totalCOST]])</f>
        <v>9.4956999999999994</v>
      </c>
      <c r="R904" t="str">
        <f>VLOOKUP($B904,Menu!$A$1:$F$20,MATCH(OrderLines!R$1,Menu!$A$1:$F$1,0),0)</f>
        <v>Nimbu Pani</v>
      </c>
      <c r="S904" t="str" cm="1">
        <f t="array" ref="S904">_xlfn.TEXTJOIN("+",TRUE,_xlfn._xlws.FILTER(orderlinesTABLE[ItemName],OrderID=orderlinesTABLE[[#This Row],[OrderID]]))</f>
        <v>Nimbu Pani+Kheer Cup+Tea+Paneer Roll</v>
      </c>
      <c r="T904" s="54">
        <f>orderlinesTABLE[[#This Row],[Profit]]/orderlinesTABLE[[#This Row],[LineNetAmount]]</f>
        <v>0.54274478871951393</v>
      </c>
      <c r="U904" s="70">
        <f>(orderlinesTABLE[[#This Row],[Qty]]*orderlinesTABLE[[#This Row],[UnitCost]])</f>
        <v>8</v>
      </c>
    </row>
    <row r="905" spans="1:21" x14ac:dyDescent="0.3">
      <c r="A905" s="15" t="s">
        <v>389</v>
      </c>
      <c r="B905" s="15" t="s">
        <v>413</v>
      </c>
      <c r="C905" s="15">
        <v>2</v>
      </c>
      <c r="D905" s="36">
        <f>VLOOKUP($B905,Menu!$A$1:$F$20,MATCH($D$1,Menu!$A$1:$F$1,0),0)</f>
        <v>54.2</v>
      </c>
      <c r="E905" s="15" t="str">
        <f>VLOOKUP($B905,Menu!$A$1:$F$20,MATCH(OrderLines!E$1,Menu!$A$1:$F$1,0),0)</f>
        <v>Dessert</v>
      </c>
      <c r="F905" s="36">
        <f>VLOOKUP($B905,Menu!$A$1:$F$20,MATCH(OrderLines!F$1,Menu!$A$1:$F$1,0),0)</f>
        <v>21.95</v>
      </c>
      <c r="G905" s="27">
        <f>VLOOKUP($A905,Orders!$A$1:$H$361,MATCH($G$1,Orders!$A$1:$H$1,0),0)</f>
        <v>45881</v>
      </c>
      <c r="H905" s="15" t="str">
        <f>VLOOKUP($A905,Orders!$A$1:$H$361,MATCH(OrderLines!$H$1,Orders!$A$1:$H$1,0),0)</f>
        <v>Plant 2 Canteen</v>
      </c>
      <c r="I905" s="15">
        <f>VLOOKUP($A905,Orders!$A$1:$H$361,MATCH(OrderLines!$I$1,Orders!$A$1:$H$1,0),0)</f>
        <v>0.13</v>
      </c>
      <c r="J905" s="15">
        <f t="shared" si="43"/>
        <v>94.308000000000007</v>
      </c>
      <c r="K905" s="27" t="str">
        <f t="shared" si="44"/>
        <v>August</v>
      </c>
      <c r="L905" s="15" t="str">
        <f>VLOOKUP(OrderLines!$A905,Orders!$A$1:$H$361,MATCH(OrderLines!$L$1,Orders!$A$1:$H$1,0),0)</f>
        <v>Dinner</v>
      </c>
      <c r="M905" t="str">
        <f>VLOOKUP($A905,Orders!$A$1:$H$361,MATCH(OrderLines!$M$1,Orders!$A$1:$H$1,0),0)</f>
        <v>Cash</v>
      </c>
      <c r="N905" t="str">
        <f t="shared" si="42"/>
        <v>Single</v>
      </c>
      <c r="O905" t="str" cm="1">
        <f t="array" ref="O905">IF((SUMPRODUCT((OrderID=OrderLines!$A905)*Qty*UnitPrice*DiscountPct))&gt;40,"HighDisc","OK")</f>
        <v>OK</v>
      </c>
      <c r="P905">
        <f>(orderlinesTABLE[[#This Row],[UnitCost]]*orderlinesTABLE[[#This Row],[Qty]])</f>
        <v>43.9</v>
      </c>
      <c r="Q905">
        <f>(orderlinesTABLE[[#This Row],[LineNetAmount]]-orderlinesTABLE[[#This Row],[totalCOST]])</f>
        <v>50.408000000000008</v>
      </c>
      <c r="R905" t="str">
        <f>VLOOKUP($B905,Menu!$A$1:$F$20,MATCH(OrderLines!R$1,Menu!$A$1:$F$1,0),0)</f>
        <v>Kheer Cup</v>
      </c>
      <c r="S905" t="str" cm="1">
        <f t="array" ref="S905">_xlfn.TEXTJOIN("+",TRUE,_xlfn._xlws.FILTER(orderlinesTABLE[ItemName],OrderID=orderlinesTABLE[[#This Row],[OrderID]]))</f>
        <v>Nimbu Pani+Kheer Cup+Tea+Paneer Roll</v>
      </c>
      <c r="T905" s="54">
        <f>orderlinesTABLE[[#This Row],[Profit]]/orderlinesTABLE[[#This Row],[LineNetAmount]]</f>
        <v>0.53450396572931247</v>
      </c>
      <c r="U905" s="70">
        <f>(orderlinesTABLE[[#This Row],[Qty]]*orderlinesTABLE[[#This Row],[UnitCost]])</f>
        <v>43.9</v>
      </c>
    </row>
    <row r="906" spans="1:21" x14ac:dyDescent="0.3">
      <c r="A906" s="14" t="s">
        <v>389</v>
      </c>
      <c r="B906" s="14" t="s">
        <v>402</v>
      </c>
      <c r="C906" s="14">
        <v>1</v>
      </c>
      <c r="D906" s="37">
        <f>VLOOKUP($B906,Menu!$A$1:$F$20,MATCH($D$1,Menu!$A$1:$F$1,0),0)</f>
        <v>30.34</v>
      </c>
      <c r="E906" s="14" t="str">
        <f>VLOOKUP($B906,Menu!$A$1:$F$20,MATCH(OrderLines!E$1,Menu!$A$1:$F$1,0),0)</f>
        <v>Beverage</v>
      </c>
      <c r="F906" s="37">
        <f>VLOOKUP($B906,Menu!$A$1:$F$20,MATCH(OrderLines!F$1,Menu!$A$1:$F$1,0),0)</f>
        <v>14.18</v>
      </c>
      <c r="G906" s="28">
        <f>VLOOKUP($A906,Orders!$A$1:$H$361,MATCH($G$1,Orders!$A$1:$H$1,0),0)</f>
        <v>45881</v>
      </c>
      <c r="H906" s="14" t="str">
        <f>VLOOKUP($A906,Orders!$A$1:$H$361,MATCH(OrderLines!$H$1,Orders!$A$1:$H$1,0),0)</f>
        <v>Plant 2 Canteen</v>
      </c>
      <c r="I906" s="14">
        <f>VLOOKUP($A906,Orders!$A$1:$H$361,MATCH(OrderLines!$I$1,Orders!$A$1:$H$1,0),0)</f>
        <v>0.13</v>
      </c>
      <c r="J906" s="14">
        <f t="shared" si="43"/>
        <v>26.395800000000001</v>
      </c>
      <c r="K906" s="28" t="str">
        <f t="shared" si="44"/>
        <v>August</v>
      </c>
      <c r="L906" s="14" t="str">
        <f>VLOOKUP(OrderLines!$A906,Orders!$A$1:$H$361,MATCH(OrderLines!$L$1,Orders!$A$1:$H$1,0),0)</f>
        <v>Dinner</v>
      </c>
      <c r="M906" t="str">
        <f>VLOOKUP($A906,Orders!$A$1:$H$361,MATCH(OrderLines!$M$1,Orders!$A$1:$H$1,0),0)</f>
        <v>Cash</v>
      </c>
      <c r="N906" t="str">
        <f t="shared" si="42"/>
        <v>Single</v>
      </c>
      <c r="O906" t="str" cm="1">
        <f t="array" ref="O906">IF((SUMPRODUCT((OrderID=OrderLines!$A906)*Qty*UnitPrice*DiscountPct))&gt;40,"HighDisc","OK")</f>
        <v>OK</v>
      </c>
      <c r="P906">
        <f>(orderlinesTABLE[[#This Row],[UnitCost]]*orderlinesTABLE[[#This Row],[Qty]])</f>
        <v>14.18</v>
      </c>
      <c r="Q906">
        <f>(orderlinesTABLE[[#This Row],[LineNetAmount]]-orderlinesTABLE[[#This Row],[totalCOST]])</f>
        <v>12.215800000000002</v>
      </c>
      <c r="R906" t="str">
        <f>VLOOKUP($B906,Menu!$A$1:$F$20,MATCH(OrderLines!R$1,Menu!$A$1:$F$1,0),0)</f>
        <v>Tea</v>
      </c>
      <c r="S906" t="str" cm="1">
        <f t="array" ref="S906">_xlfn.TEXTJOIN("+",TRUE,_xlfn._xlws.FILTER(orderlinesTABLE[ItemName],OrderID=orderlinesTABLE[[#This Row],[OrderID]]))</f>
        <v>Nimbu Pani+Kheer Cup+Tea+Paneer Roll</v>
      </c>
      <c r="T906" s="54">
        <f>orderlinesTABLE[[#This Row],[Profit]]/orderlinesTABLE[[#This Row],[LineNetAmount]]</f>
        <v>0.46279332318020294</v>
      </c>
      <c r="U906" s="70">
        <f>(orderlinesTABLE[[#This Row],[Qty]]*orderlinesTABLE[[#This Row],[UnitCost]])</f>
        <v>14.18</v>
      </c>
    </row>
    <row r="907" spans="1:21" x14ac:dyDescent="0.3">
      <c r="A907" s="15" t="s">
        <v>389</v>
      </c>
      <c r="B907" s="15" t="s">
        <v>406</v>
      </c>
      <c r="C907" s="15">
        <v>2</v>
      </c>
      <c r="D907" s="36">
        <f>VLOOKUP($B907,Menu!$A$1:$F$20,MATCH($D$1,Menu!$A$1:$F$1,0),0)</f>
        <v>38.06</v>
      </c>
      <c r="E907" s="15" t="str">
        <f>VLOOKUP($B907,Menu!$A$1:$F$20,MATCH(OrderLines!E$1,Menu!$A$1:$F$1,0),0)</f>
        <v>Snack</v>
      </c>
      <c r="F907" s="36">
        <f>VLOOKUP($B907,Menu!$A$1:$F$20,MATCH(OrderLines!F$1,Menu!$A$1:$F$1,0),0)</f>
        <v>19.55</v>
      </c>
      <c r="G907" s="27">
        <f>VLOOKUP($A907,Orders!$A$1:$H$361,MATCH($G$1,Orders!$A$1:$H$1,0),0)</f>
        <v>45881</v>
      </c>
      <c r="H907" s="15" t="str">
        <f>VLOOKUP($A907,Orders!$A$1:$H$361,MATCH(OrderLines!$H$1,Orders!$A$1:$H$1,0),0)</f>
        <v>Plant 2 Canteen</v>
      </c>
      <c r="I907" s="15">
        <f>VLOOKUP($A907,Orders!$A$1:$H$361,MATCH(OrderLines!$I$1,Orders!$A$1:$H$1,0),0)</f>
        <v>0.13</v>
      </c>
      <c r="J907" s="15">
        <f t="shared" si="43"/>
        <v>66.224400000000003</v>
      </c>
      <c r="K907" s="27" t="str">
        <f t="shared" si="44"/>
        <v>August</v>
      </c>
      <c r="L907" s="15" t="str">
        <f>VLOOKUP(OrderLines!$A907,Orders!$A$1:$H$361,MATCH(OrderLines!$L$1,Orders!$A$1:$H$1,0),0)</f>
        <v>Dinner</v>
      </c>
      <c r="M907" t="str">
        <f>VLOOKUP($A907,Orders!$A$1:$H$361,MATCH(OrderLines!$M$1,Orders!$A$1:$H$1,0),0)</f>
        <v>Cash</v>
      </c>
      <c r="N907" t="str">
        <f t="shared" si="42"/>
        <v>Single</v>
      </c>
      <c r="O907" t="str" cm="1">
        <f t="array" ref="O907">IF((SUMPRODUCT((OrderID=OrderLines!$A907)*Qty*UnitPrice*DiscountPct))&gt;40,"HighDisc","OK")</f>
        <v>OK</v>
      </c>
      <c r="P907">
        <f>(orderlinesTABLE[[#This Row],[UnitCost]]*orderlinesTABLE[[#This Row],[Qty]])</f>
        <v>39.1</v>
      </c>
      <c r="Q907">
        <f>(orderlinesTABLE[[#This Row],[LineNetAmount]]-orderlinesTABLE[[#This Row],[totalCOST]])</f>
        <v>27.124400000000001</v>
      </c>
      <c r="R907" t="str">
        <f>VLOOKUP($B907,Menu!$A$1:$F$20,MATCH(OrderLines!R$1,Menu!$A$1:$F$1,0),0)</f>
        <v>Paneer Roll</v>
      </c>
      <c r="S907" t="str" cm="1">
        <f t="array" ref="S907">_xlfn.TEXTJOIN("+",TRUE,_xlfn._xlws.FILTER(orderlinesTABLE[ItemName],OrderID=orderlinesTABLE[[#This Row],[OrderID]]))</f>
        <v>Nimbu Pani+Kheer Cup+Tea+Paneer Roll</v>
      </c>
      <c r="T907" s="54">
        <f>orderlinesTABLE[[#This Row],[Profit]]/orderlinesTABLE[[#This Row],[LineNetAmount]]</f>
        <v>0.40958317478150047</v>
      </c>
      <c r="U907" s="70">
        <f>(orderlinesTABLE[[#This Row],[Qty]]*orderlinesTABLE[[#This Row],[UnitCost]])</f>
        <v>39.1</v>
      </c>
    </row>
    <row r="908" spans="1:21" x14ac:dyDescent="0.3">
      <c r="A908" s="14" t="s">
        <v>390</v>
      </c>
      <c r="B908" s="14" t="s">
        <v>403</v>
      </c>
      <c r="C908" s="14">
        <v>3</v>
      </c>
      <c r="D908" s="37">
        <f>VLOOKUP($B908,Menu!$A$1:$F$20,MATCH($D$1,Menu!$A$1:$F$1,0),0)</f>
        <v>76.55</v>
      </c>
      <c r="E908" s="14" t="str">
        <f>VLOOKUP($B908,Menu!$A$1:$F$20,MATCH(OrderLines!E$1,Menu!$A$1:$F$1,0),0)</f>
        <v>Dessert</v>
      </c>
      <c r="F908" s="37">
        <f>VLOOKUP($B908,Menu!$A$1:$F$20,MATCH(OrderLines!F$1,Menu!$A$1:$F$1,0),0)</f>
        <v>38.229999999999997</v>
      </c>
      <c r="G908" s="28">
        <f>VLOOKUP($A908,Orders!$A$1:$H$361,MATCH($G$1,Orders!$A$1:$H$1,0),0)</f>
        <v>45887</v>
      </c>
      <c r="H908" s="14" t="str">
        <f>VLOOKUP($A908,Orders!$A$1:$H$361,MATCH(OrderLines!$H$1,Orders!$A$1:$H$1,0),0)</f>
        <v>Plant 2 Canteen</v>
      </c>
      <c r="I908" s="14">
        <f>VLOOKUP($A908,Orders!$A$1:$H$361,MATCH(OrderLines!$I$1,Orders!$A$1:$H$1,0),0)</f>
        <v>0.11</v>
      </c>
      <c r="J908" s="14">
        <f t="shared" si="43"/>
        <v>204.38849999999999</v>
      </c>
      <c r="K908" s="28" t="str">
        <f t="shared" si="44"/>
        <v>August</v>
      </c>
      <c r="L908" s="14" t="str">
        <f>VLOOKUP(OrderLines!$A908,Orders!$A$1:$H$361,MATCH(OrderLines!$L$1,Orders!$A$1:$H$1,0),0)</f>
        <v>Lunch</v>
      </c>
      <c r="M908" t="str">
        <f>VLOOKUP($A908,Orders!$A$1:$H$361,MATCH(OrderLines!$M$1,Orders!$A$1:$H$1,0),0)</f>
        <v>Card</v>
      </c>
      <c r="N908" t="str">
        <f t="shared" si="42"/>
        <v>Single</v>
      </c>
      <c r="O908" t="str" cm="1">
        <f t="array" ref="O908">IF((SUMPRODUCT((OrderID=OrderLines!$A908)*Qty*UnitPrice*DiscountPct))&gt;40,"HighDisc","OK")</f>
        <v>OK</v>
      </c>
      <c r="P908">
        <f>(orderlinesTABLE[[#This Row],[UnitCost]]*orderlinesTABLE[[#This Row],[Qty]])</f>
        <v>114.69</v>
      </c>
      <c r="Q908">
        <f>(orderlinesTABLE[[#This Row],[LineNetAmount]]-orderlinesTABLE[[#This Row],[totalCOST]])</f>
        <v>89.698499999999996</v>
      </c>
      <c r="R908" t="str">
        <f>VLOOKUP($B908,Menu!$A$1:$F$20,MATCH(OrderLines!R$1,Menu!$A$1:$F$1,0),0)</f>
        <v>Gulab Jamun (2 pc)</v>
      </c>
      <c r="S908" t="str" cm="1">
        <f t="array" ref="S908">_xlfn.TEXTJOIN("+",TRUE,_xlfn._xlws.FILTER(orderlinesTABLE[ItemName],OrderID=orderlinesTABLE[[#This Row],[OrderID]]))</f>
        <v>Gulab Jamun (2 pc)</v>
      </c>
      <c r="T908" s="54">
        <f>orderlinesTABLE[[#This Row],[Profit]]/orderlinesTABLE[[#This Row],[LineNetAmount]]</f>
        <v>0.43886275401991792</v>
      </c>
      <c r="U908" s="70">
        <f>(orderlinesTABLE[[#This Row],[Qty]]*orderlinesTABLE[[#This Row],[UnitCost]])</f>
        <v>114.69</v>
      </c>
    </row>
    <row r="909" spans="1:21" x14ac:dyDescent="0.3">
      <c r="A909" s="15" t="s">
        <v>391</v>
      </c>
      <c r="B909" s="15" t="s">
        <v>403</v>
      </c>
      <c r="C909" s="15">
        <v>2</v>
      </c>
      <c r="D909" s="36">
        <f>VLOOKUP($B909,Menu!$A$1:$F$20,MATCH($D$1,Menu!$A$1:$F$1,0),0)</f>
        <v>76.55</v>
      </c>
      <c r="E909" s="15" t="str">
        <f>VLOOKUP($B909,Menu!$A$1:$F$20,MATCH(OrderLines!E$1,Menu!$A$1:$F$1,0),0)</f>
        <v>Dessert</v>
      </c>
      <c r="F909" s="36">
        <f>VLOOKUP($B909,Menu!$A$1:$F$20,MATCH(OrderLines!F$1,Menu!$A$1:$F$1,0),0)</f>
        <v>38.229999999999997</v>
      </c>
      <c r="G909" s="27">
        <f>VLOOKUP($A909,Orders!$A$1:$H$361,MATCH($G$1,Orders!$A$1:$H$1,0),0)</f>
        <v>45880</v>
      </c>
      <c r="H909" s="15" t="str">
        <f>VLOOKUP($A909,Orders!$A$1:$H$361,MATCH(OrderLines!$H$1,Orders!$A$1:$H$1,0),0)</f>
        <v>Plant 1 Canteen</v>
      </c>
      <c r="I909" s="15">
        <f>VLOOKUP($A909,Orders!$A$1:$H$361,MATCH(OrderLines!$I$1,Orders!$A$1:$H$1,0),0)</f>
        <v>0.04</v>
      </c>
      <c r="J909" s="15">
        <f t="shared" si="43"/>
        <v>146.976</v>
      </c>
      <c r="K909" s="27" t="str">
        <f t="shared" si="44"/>
        <v>August</v>
      </c>
      <c r="L909" s="15" t="str">
        <f>VLOOKUP(OrderLines!$A909,Orders!$A$1:$H$361,MATCH(OrderLines!$L$1,Orders!$A$1:$H$1,0),0)</f>
        <v>Lunch</v>
      </c>
      <c r="M909" t="str">
        <f>VLOOKUP($A909,Orders!$A$1:$H$361,MATCH(OrderLines!$M$1,Orders!$A$1:$H$1,0),0)</f>
        <v>UPI</v>
      </c>
      <c r="N909" t="str">
        <f t="shared" si="42"/>
        <v>Single</v>
      </c>
      <c r="O909" t="str" cm="1">
        <f t="array" ref="O909">IF((SUMPRODUCT((OrderID=OrderLines!$A909)*Qty*UnitPrice*DiscountPct))&gt;40,"HighDisc","OK")</f>
        <v>OK</v>
      </c>
      <c r="P909">
        <f>(orderlinesTABLE[[#This Row],[UnitCost]]*orderlinesTABLE[[#This Row],[Qty]])</f>
        <v>76.459999999999994</v>
      </c>
      <c r="Q909">
        <f>(orderlinesTABLE[[#This Row],[LineNetAmount]]-orderlinesTABLE[[#This Row],[totalCOST]])</f>
        <v>70.516000000000005</v>
      </c>
      <c r="R909" t="str">
        <f>VLOOKUP($B909,Menu!$A$1:$F$20,MATCH(OrderLines!R$1,Menu!$A$1:$F$1,0),0)</f>
        <v>Gulab Jamun (2 pc)</v>
      </c>
      <c r="S909" t="str" cm="1">
        <f t="array" ref="S909">_xlfn.TEXTJOIN("+",TRUE,_xlfn._xlws.FILTER(orderlinesTABLE[ItemName],OrderID=orderlinesTABLE[[#This Row],[OrderID]]))</f>
        <v>Gulab Jamun (2 pc)+Paneer Roll</v>
      </c>
      <c r="T909" s="54">
        <f>orderlinesTABLE[[#This Row],[Profit]]/orderlinesTABLE[[#This Row],[LineNetAmount]]</f>
        <v>0.47977901153929897</v>
      </c>
      <c r="U909" s="70">
        <f>(orderlinesTABLE[[#This Row],[Qty]]*orderlinesTABLE[[#This Row],[UnitCost]])</f>
        <v>76.459999999999994</v>
      </c>
    </row>
    <row r="910" spans="1:21" x14ac:dyDescent="0.3">
      <c r="A910" s="14" t="s">
        <v>391</v>
      </c>
      <c r="B910" s="14" t="s">
        <v>406</v>
      </c>
      <c r="C910" s="14">
        <v>1</v>
      </c>
      <c r="D910" s="37">
        <f>VLOOKUP($B910,Menu!$A$1:$F$20,MATCH($D$1,Menu!$A$1:$F$1,0),0)</f>
        <v>38.06</v>
      </c>
      <c r="E910" s="14" t="str">
        <f>VLOOKUP($B910,Menu!$A$1:$F$20,MATCH(OrderLines!E$1,Menu!$A$1:$F$1,0),0)</f>
        <v>Snack</v>
      </c>
      <c r="F910" s="37">
        <f>VLOOKUP($B910,Menu!$A$1:$F$20,MATCH(OrderLines!F$1,Menu!$A$1:$F$1,0),0)</f>
        <v>19.55</v>
      </c>
      <c r="G910" s="28">
        <f>VLOOKUP($A910,Orders!$A$1:$H$361,MATCH($G$1,Orders!$A$1:$H$1,0),0)</f>
        <v>45880</v>
      </c>
      <c r="H910" s="14" t="str">
        <f>VLOOKUP($A910,Orders!$A$1:$H$361,MATCH(OrderLines!$H$1,Orders!$A$1:$H$1,0),0)</f>
        <v>Plant 1 Canteen</v>
      </c>
      <c r="I910" s="14">
        <f>VLOOKUP($A910,Orders!$A$1:$H$361,MATCH(OrderLines!$I$1,Orders!$A$1:$H$1,0),0)</f>
        <v>0.04</v>
      </c>
      <c r="J910" s="14">
        <f t="shared" si="43"/>
        <v>36.537599999999998</v>
      </c>
      <c r="K910" s="28" t="str">
        <f t="shared" si="44"/>
        <v>August</v>
      </c>
      <c r="L910" s="14" t="str">
        <f>VLOOKUP(OrderLines!$A910,Orders!$A$1:$H$361,MATCH(OrderLines!$L$1,Orders!$A$1:$H$1,0),0)</f>
        <v>Lunch</v>
      </c>
      <c r="M910" t="str">
        <f>VLOOKUP($A910,Orders!$A$1:$H$361,MATCH(OrderLines!$M$1,Orders!$A$1:$H$1,0),0)</f>
        <v>UPI</v>
      </c>
      <c r="N910" t="str">
        <f t="shared" si="42"/>
        <v>Single</v>
      </c>
      <c r="O910" t="str" cm="1">
        <f t="array" ref="O910">IF((SUMPRODUCT((OrderID=OrderLines!$A910)*Qty*UnitPrice*DiscountPct))&gt;40,"HighDisc","OK")</f>
        <v>OK</v>
      </c>
      <c r="P910">
        <f>(orderlinesTABLE[[#This Row],[UnitCost]]*orderlinesTABLE[[#This Row],[Qty]])</f>
        <v>19.55</v>
      </c>
      <c r="Q910">
        <f>(orderlinesTABLE[[#This Row],[LineNetAmount]]-orderlinesTABLE[[#This Row],[totalCOST]])</f>
        <v>16.987599999999997</v>
      </c>
      <c r="R910" t="str">
        <f>VLOOKUP($B910,Menu!$A$1:$F$20,MATCH(OrderLines!R$1,Menu!$A$1:$F$1,0),0)</f>
        <v>Paneer Roll</v>
      </c>
      <c r="S910" t="str" cm="1">
        <f t="array" ref="S910">_xlfn.TEXTJOIN("+",TRUE,_xlfn._xlws.FILTER(orderlinesTABLE[ItemName],OrderID=orderlinesTABLE[[#This Row],[OrderID]]))</f>
        <v>Gulab Jamun (2 pc)+Paneer Roll</v>
      </c>
      <c r="T910" s="54">
        <f>orderlinesTABLE[[#This Row],[Profit]]/orderlinesTABLE[[#This Row],[LineNetAmount]]</f>
        <v>0.46493475214573476</v>
      </c>
      <c r="U910" s="70">
        <f>(orderlinesTABLE[[#This Row],[Qty]]*orderlinesTABLE[[#This Row],[UnitCost]])</f>
        <v>19.55</v>
      </c>
    </row>
    <row r="911" spans="1:21" x14ac:dyDescent="0.3">
      <c r="A911" s="15" t="s">
        <v>392</v>
      </c>
      <c r="B911" s="15" t="s">
        <v>412</v>
      </c>
      <c r="C911" s="15">
        <v>1</v>
      </c>
      <c r="D911" s="36">
        <f>VLOOKUP($B911,Menu!$A$1:$F$20,MATCH($D$1,Menu!$A$1:$F$1,0),0)</f>
        <v>57.07</v>
      </c>
      <c r="E911" s="15" t="str">
        <f>VLOOKUP($B911,Menu!$A$1:$F$20,MATCH(OrderLines!E$1,Menu!$A$1:$F$1,0),0)</f>
        <v>Dessert</v>
      </c>
      <c r="F911" s="36">
        <f>VLOOKUP($B911,Menu!$A$1:$F$20,MATCH(OrderLines!F$1,Menu!$A$1:$F$1,0),0)</f>
        <v>29.14</v>
      </c>
      <c r="G911" s="27">
        <f>VLOOKUP($A911,Orders!$A$1:$H$361,MATCH($G$1,Orders!$A$1:$H$1,0),0)</f>
        <v>45892</v>
      </c>
      <c r="H911" s="15" t="str">
        <f>VLOOKUP($A911,Orders!$A$1:$H$361,MATCH(OrderLines!$H$1,Orders!$A$1:$H$1,0),0)</f>
        <v>Plant 2 Canteen</v>
      </c>
      <c r="I911" s="15">
        <f>VLOOKUP($A911,Orders!$A$1:$H$361,MATCH(OrderLines!$I$1,Orders!$A$1:$H$1,0),0)</f>
        <v>0</v>
      </c>
      <c r="J911" s="15">
        <f t="shared" si="43"/>
        <v>57.07</v>
      </c>
      <c r="K911" s="27" t="str">
        <f t="shared" si="44"/>
        <v>August</v>
      </c>
      <c r="L911" s="15" t="str">
        <f>VLOOKUP(OrderLines!$A911,Orders!$A$1:$H$361,MATCH(OrderLines!$L$1,Orders!$A$1:$H$1,0),0)</f>
        <v>Breakfast</v>
      </c>
      <c r="M911" t="str">
        <f>VLOOKUP($A911,Orders!$A$1:$H$361,MATCH(OrderLines!$M$1,Orders!$A$1:$H$1,0),0)</f>
        <v>Cash</v>
      </c>
      <c r="N911" t="str">
        <f t="shared" si="42"/>
        <v>Single</v>
      </c>
      <c r="O911" t="str" cm="1">
        <f t="array" ref="O911">IF((SUMPRODUCT((OrderID=OrderLines!$A911)*Qty*UnitPrice*DiscountPct))&gt;40,"HighDisc","OK")</f>
        <v>OK</v>
      </c>
      <c r="P911">
        <f>(orderlinesTABLE[[#This Row],[UnitCost]]*orderlinesTABLE[[#This Row],[Qty]])</f>
        <v>29.14</v>
      </c>
      <c r="Q911">
        <f>(orderlinesTABLE[[#This Row],[LineNetAmount]]-orderlinesTABLE[[#This Row],[totalCOST]])</f>
        <v>27.93</v>
      </c>
      <c r="R911" t="str">
        <f>VLOOKUP($B911,Menu!$A$1:$F$20,MATCH(OrderLines!R$1,Menu!$A$1:$F$1,0),0)</f>
        <v>Fruit Cup</v>
      </c>
      <c r="S911" t="str" cm="1">
        <f t="array" ref="S911">_xlfn.TEXTJOIN("+",TRUE,_xlfn._xlws.FILTER(orderlinesTABLE[ItemName],OrderID=orderlinesTABLE[[#This Row],[OrderID]]))</f>
        <v>Fruit Cup+Tea</v>
      </c>
      <c r="T911" s="54">
        <f>orderlinesTABLE[[#This Row],[Profit]]/orderlinesTABLE[[#This Row],[LineNetAmount]]</f>
        <v>0.48939898370422286</v>
      </c>
      <c r="U911" s="70">
        <f>(orderlinesTABLE[[#This Row],[Qty]]*orderlinesTABLE[[#This Row],[UnitCost]])</f>
        <v>29.14</v>
      </c>
    </row>
    <row r="912" spans="1:21" x14ac:dyDescent="0.3">
      <c r="A912" s="14" t="s">
        <v>392</v>
      </c>
      <c r="B912" s="14" t="s">
        <v>402</v>
      </c>
      <c r="C912" s="14">
        <v>1</v>
      </c>
      <c r="D912" s="37">
        <f>VLOOKUP($B912,Menu!$A$1:$F$20,MATCH($D$1,Menu!$A$1:$F$1,0),0)</f>
        <v>30.34</v>
      </c>
      <c r="E912" s="14" t="str">
        <f>VLOOKUP($B912,Menu!$A$1:$F$20,MATCH(OrderLines!E$1,Menu!$A$1:$F$1,0),0)</f>
        <v>Beverage</v>
      </c>
      <c r="F912" s="37">
        <f>VLOOKUP($B912,Menu!$A$1:$F$20,MATCH(OrderLines!F$1,Menu!$A$1:$F$1,0),0)</f>
        <v>14.18</v>
      </c>
      <c r="G912" s="28">
        <f>VLOOKUP($A912,Orders!$A$1:$H$361,MATCH($G$1,Orders!$A$1:$H$1,0),0)</f>
        <v>45892</v>
      </c>
      <c r="H912" s="14" t="str">
        <f>VLOOKUP($A912,Orders!$A$1:$H$361,MATCH(OrderLines!$H$1,Orders!$A$1:$H$1,0),0)</f>
        <v>Plant 2 Canteen</v>
      </c>
      <c r="I912" s="14">
        <f>VLOOKUP($A912,Orders!$A$1:$H$361,MATCH(OrderLines!$I$1,Orders!$A$1:$H$1,0),0)</f>
        <v>0</v>
      </c>
      <c r="J912" s="14">
        <f t="shared" si="43"/>
        <v>30.34</v>
      </c>
      <c r="K912" s="28" t="str">
        <f t="shared" si="44"/>
        <v>August</v>
      </c>
      <c r="L912" s="14" t="str">
        <f>VLOOKUP(OrderLines!$A912,Orders!$A$1:$H$361,MATCH(OrderLines!$L$1,Orders!$A$1:$H$1,0),0)</f>
        <v>Breakfast</v>
      </c>
      <c r="M912" t="str">
        <f>VLOOKUP($A912,Orders!$A$1:$H$361,MATCH(OrderLines!$M$1,Orders!$A$1:$H$1,0),0)</f>
        <v>Cash</v>
      </c>
      <c r="N912" t="str">
        <f t="shared" si="42"/>
        <v>Single</v>
      </c>
      <c r="O912" t="str" cm="1">
        <f t="array" ref="O912">IF((SUMPRODUCT((OrderID=OrderLines!$A912)*Qty*UnitPrice*DiscountPct))&gt;40,"HighDisc","OK")</f>
        <v>OK</v>
      </c>
      <c r="P912">
        <f>(orderlinesTABLE[[#This Row],[UnitCost]]*orderlinesTABLE[[#This Row],[Qty]])</f>
        <v>14.18</v>
      </c>
      <c r="Q912">
        <f>(orderlinesTABLE[[#This Row],[LineNetAmount]]-orderlinesTABLE[[#This Row],[totalCOST]])</f>
        <v>16.16</v>
      </c>
      <c r="R912" t="str">
        <f>VLOOKUP($B912,Menu!$A$1:$F$20,MATCH(OrderLines!R$1,Menu!$A$1:$F$1,0),0)</f>
        <v>Tea</v>
      </c>
      <c r="S912" t="str" cm="1">
        <f t="array" ref="S912">_xlfn.TEXTJOIN("+",TRUE,_xlfn._xlws.FILTER(orderlinesTABLE[ItemName],OrderID=orderlinesTABLE[[#This Row],[OrderID]]))</f>
        <v>Fruit Cup+Tea</v>
      </c>
      <c r="T912" s="54">
        <f>orderlinesTABLE[[#This Row],[Profit]]/orderlinesTABLE[[#This Row],[LineNetAmount]]</f>
        <v>0.53263019116677657</v>
      </c>
      <c r="U912" s="70">
        <f>(orderlinesTABLE[[#This Row],[Qty]]*orderlinesTABLE[[#This Row],[UnitCost]])</f>
        <v>14.18</v>
      </c>
    </row>
    <row r="913" spans="1:21" x14ac:dyDescent="0.3">
      <c r="A913" s="15" t="s">
        <v>393</v>
      </c>
      <c r="B913" s="15" t="s">
        <v>419</v>
      </c>
      <c r="C913" s="15">
        <v>2</v>
      </c>
      <c r="D913" s="36">
        <f>VLOOKUP($B913,Menu!$A$1:$F$20,MATCH($D$1,Menu!$A$1:$F$1,0),0)</f>
        <v>50.19</v>
      </c>
      <c r="E913" s="15" t="str">
        <f>VLOOKUP($B913,Menu!$A$1:$F$20,MATCH(OrderLines!E$1,Menu!$A$1:$F$1,0),0)</f>
        <v>Snack</v>
      </c>
      <c r="F913" s="36">
        <f>VLOOKUP($B913,Menu!$A$1:$F$20,MATCH(OrderLines!F$1,Menu!$A$1:$F$1,0),0)</f>
        <v>22.61</v>
      </c>
      <c r="G913" s="27">
        <f>VLOOKUP($A913,Orders!$A$1:$H$361,MATCH($G$1,Orders!$A$1:$H$1,0),0)</f>
        <v>45871</v>
      </c>
      <c r="H913" s="15" t="str">
        <f>VLOOKUP($A913,Orders!$A$1:$H$361,MATCH(OrderLines!$H$1,Orders!$A$1:$H$1,0),0)</f>
        <v>Head Office Café</v>
      </c>
      <c r="I913" s="15">
        <f>VLOOKUP($A913,Orders!$A$1:$H$361,MATCH(OrderLines!$I$1,Orders!$A$1:$H$1,0),0)</f>
        <v>0.11</v>
      </c>
      <c r="J913" s="15">
        <f t="shared" si="43"/>
        <v>89.338200000000001</v>
      </c>
      <c r="K913" s="27" t="str">
        <f t="shared" si="44"/>
        <v>August</v>
      </c>
      <c r="L913" s="15" t="str">
        <f>VLOOKUP(OrderLines!$A913,Orders!$A$1:$H$361,MATCH(OrderLines!$L$1,Orders!$A$1:$H$1,0),0)</f>
        <v>Breakfast</v>
      </c>
      <c r="M913" t="str">
        <f>VLOOKUP($A913,Orders!$A$1:$H$361,MATCH(OrderLines!$M$1,Orders!$A$1:$H$1,0),0)</f>
        <v>Card</v>
      </c>
      <c r="N913" t="str">
        <f t="shared" si="42"/>
        <v>Combo</v>
      </c>
      <c r="O913" t="str" cm="1">
        <f t="array" ref="O913">IF((SUMPRODUCT((OrderID=OrderLines!$A913)*Qty*UnitPrice*DiscountPct))&gt;40,"HighDisc","OK")</f>
        <v>HighDisc</v>
      </c>
      <c r="P913">
        <f>(orderlinesTABLE[[#This Row],[UnitCost]]*orderlinesTABLE[[#This Row],[Qty]])</f>
        <v>45.22</v>
      </c>
      <c r="Q913">
        <f>(orderlinesTABLE[[#This Row],[LineNetAmount]]-orderlinesTABLE[[#This Row],[totalCOST]])</f>
        <v>44.118200000000002</v>
      </c>
      <c r="R913" t="str">
        <f>VLOOKUP($B913,Menu!$A$1:$F$20,MATCH(OrderLines!R$1,Menu!$A$1:$F$1,0),0)</f>
        <v>Masala Puff</v>
      </c>
      <c r="S913" t="str" cm="1">
        <f t="array" ref="S913">_xlfn.TEXTJOIN("+",TRUE,_xlfn._xlws.FILTER(orderlinesTABLE[ItemName],OrderID=orderlinesTABLE[[#This Row],[OrderID]]))</f>
        <v>Masala Puff+Veg Thali+Paneer Butter Masala + Naan+Tea</v>
      </c>
      <c r="T913" s="54">
        <f>orderlinesTABLE[[#This Row],[Profit]]/orderlinesTABLE[[#This Row],[LineNetAmount]]</f>
        <v>0.49383354488897246</v>
      </c>
      <c r="U913" s="70">
        <f>(orderlinesTABLE[[#This Row],[Qty]]*orderlinesTABLE[[#This Row],[UnitCost]])</f>
        <v>45.22</v>
      </c>
    </row>
    <row r="914" spans="1:21" x14ac:dyDescent="0.3">
      <c r="A914" s="14" t="s">
        <v>393</v>
      </c>
      <c r="B914" s="14" t="s">
        <v>416</v>
      </c>
      <c r="C914" s="14">
        <v>2</v>
      </c>
      <c r="D914" s="37">
        <f>VLOOKUP($B914,Menu!$A$1:$F$20,MATCH($D$1,Menu!$A$1:$F$1,0),0)</f>
        <v>227.61</v>
      </c>
      <c r="E914" s="14" t="str">
        <f>VLOOKUP($B914,Menu!$A$1:$F$20,MATCH(OrderLines!E$1,Menu!$A$1:$F$1,0),0)</f>
        <v>Hot Meal</v>
      </c>
      <c r="F914" s="37">
        <f>VLOOKUP($B914,Menu!$A$1:$F$20,MATCH(OrderLines!F$1,Menu!$A$1:$F$1,0),0)</f>
        <v>96.22</v>
      </c>
      <c r="G914" s="28">
        <f>VLOOKUP($A914,Orders!$A$1:$H$361,MATCH($G$1,Orders!$A$1:$H$1,0),0)</f>
        <v>45871</v>
      </c>
      <c r="H914" s="14" t="str">
        <f>VLOOKUP($A914,Orders!$A$1:$H$361,MATCH(OrderLines!$H$1,Orders!$A$1:$H$1,0),0)</f>
        <v>Head Office Café</v>
      </c>
      <c r="I914" s="14">
        <f>VLOOKUP($A914,Orders!$A$1:$H$361,MATCH(OrderLines!$I$1,Orders!$A$1:$H$1,0),0)</f>
        <v>0.11</v>
      </c>
      <c r="J914" s="14">
        <f t="shared" si="43"/>
        <v>405.14580000000001</v>
      </c>
      <c r="K914" s="28" t="str">
        <f t="shared" si="44"/>
        <v>August</v>
      </c>
      <c r="L914" s="14" t="str">
        <f>VLOOKUP(OrderLines!$A914,Orders!$A$1:$H$361,MATCH(OrderLines!$L$1,Orders!$A$1:$H$1,0),0)</f>
        <v>Breakfast</v>
      </c>
      <c r="M914" t="str">
        <f>VLOOKUP($A914,Orders!$A$1:$H$361,MATCH(OrderLines!$M$1,Orders!$A$1:$H$1,0),0)</f>
        <v>Card</v>
      </c>
      <c r="N914" t="str">
        <f t="shared" si="42"/>
        <v>Combo</v>
      </c>
      <c r="O914" t="str" cm="1">
        <f t="array" ref="O914">IF((SUMPRODUCT((OrderID=OrderLines!$A914)*Qty*UnitPrice*DiscountPct))&gt;40,"HighDisc","OK")</f>
        <v>HighDisc</v>
      </c>
      <c r="P914">
        <f>(orderlinesTABLE[[#This Row],[UnitCost]]*orderlinesTABLE[[#This Row],[Qty]])</f>
        <v>192.44</v>
      </c>
      <c r="Q914">
        <f>(orderlinesTABLE[[#This Row],[LineNetAmount]]-orderlinesTABLE[[#This Row],[totalCOST]])</f>
        <v>212.70580000000001</v>
      </c>
      <c r="R914" t="str">
        <f>VLOOKUP($B914,Menu!$A$1:$F$20,MATCH(OrderLines!R$1,Menu!$A$1:$F$1,0),0)</f>
        <v>Veg Thali</v>
      </c>
      <c r="S914" t="str" cm="1">
        <f t="array" ref="S914">_xlfn.TEXTJOIN("+",TRUE,_xlfn._xlws.FILTER(orderlinesTABLE[ItemName],OrderID=orderlinesTABLE[[#This Row],[OrderID]]))</f>
        <v>Masala Puff+Veg Thali+Paneer Butter Masala + Naan+Tea</v>
      </c>
      <c r="T914" s="54">
        <f>orderlinesTABLE[[#This Row],[Profit]]/orderlinesTABLE[[#This Row],[LineNetAmount]]</f>
        <v>0.52501050239197844</v>
      </c>
      <c r="U914" s="70">
        <f>(orderlinesTABLE[[#This Row],[Qty]]*orderlinesTABLE[[#This Row],[UnitCost]])</f>
        <v>192.44</v>
      </c>
    </row>
    <row r="915" spans="1:21" x14ac:dyDescent="0.3">
      <c r="A915" s="15" t="s">
        <v>393</v>
      </c>
      <c r="B915" s="15" t="s">
        <v>405</v>
      </c>
      <c r="C915" s="15">
        <v>1</v>
      </c>
      <c r="D915" s="36">
        <f>VLOOKUP($B915,Menu!$A$1:$F$20,MATCH($D$1,Menu!$A$1:$F$1,0),0)</f>
        <v>170.83</v>
      </c>
      <c r="E915" s="15" t="str">
        <f>VLOOKUP($B915,Menu!$A$1:$F$20,MATCH(OrderLines!E$1,Menu!$A$1:$F$1,0),0)</f>
        <v>Hot Meal</v>
      </c>
      <c r="F915" s="36">
        <f>VLOOKUP($B915,Menu!$A$1:$F$20,MATCH(OrderLines!F$1,Menu!$A$1:$F$1,0),0)</f>
        <v>74.069999999999993</v>
      </c>
      <c r="G915" s="27">
        <f>VLOOKUP($A915,Orders!$A$1:$H$361,MATCH($G$1,Orders!$A$1:$H$1,0),0)</f>
        <v>45871</v>
      </c>
      <c r="H915" s="15" t="str">
        <f>VLOOKUP($A915,Orders!$A$1:$H$361,MATCH(OrderLines!$H$1,Orders!$A$1:$H$1,0),0)</f>
        <v>Head Office Café</v>
      </c>
      <c r="I915" s="15">
        <f>VLOOKUP($A915,Orders!$A$1:$H$361,MATCH(OrderLines!$I$1,Orders!$A$1:$H$1,0),0)</f>
        <v>0.11</v>
      </c>
      <c r="J915" s="15">
        <f t="shared" si="43"/>
        <v>152.03870000000001</v>
      </c>
      <c r="K915" s="27" t="str">
        <f t="shared" si="44"/>
        <v>August</v>
      </c>
      <c r="L915" s="15" t="str">
        <f>VLOOKUP(OrderLines!$A915,Orders!$A$1:$H$361,MATCH(OrderLines!$L$1,Orders!$A$1:$H$1,0),0)</f>
        <v>Breakfast</v>
      </c>
      <c r="M915" t="str">
        <f>VLOOKUP($A915,Orders!$A$1:$H$361,MATCH(OrderLines!$M$1,Orders!$A$1:$H$1,0),0)</f>
        <v>Card</v>
      </c>
      <c r="N915" t="str">
        <f t="shared" si="42"/>
        <v>Combo</v>
      </c>
      <c r="O915" t="str" cm="1">
        <f t="array" ref="O915">IF((SUMPRODUCT((OrderID=OrderLines!$A915)*Qty*UnitPrice*DiscountPct))&gt;40,"HighDisc","OK")</f>
        <v>HighDisc</v>
      </c>
      <c r="P915">
        <f>(orderlinesTABLE[[#This Row],[UnitCost]]*orderlinesTABLE[[#This Row],[Qty]])</f>
        <v>74.069999999999993</v>
      </c>
      <c r="Q915">
        <f>(orderlinesTABLE[[#This Row],[LineNetAmount]]-orderlinesTABLE[[#This Row],[totalCOST]])</f>
        <v>77.968700000000013</v>
      </c>
      <c r="R915" t="str">
        <f>VLOOKUP($B915,Menu!$A$1:$F$20,MATCH(OrderLines!R$1,Menu!$A$1:$F$1,0),0)</f>
        <v>Paneer Butter Masala + Naan</v>
      </c>
      <c r="S915" t="str" cm="1">
        <f t="array" ref="S915">_xlfn.TEXTJOIN("+",TRUE,_xlfn._xlws.FILTER(orderlinesTABLE[ItemName],OrderID=orderlinesTABLE[[#This Row],[OrderID]]))</f>
        <v>Masala Puff+Veg Thali+Paneer Butter Masala + Naan+Tea</v>
      </c>
      <c r="T915" s="54">
        <f>orderlinesTABLE[[#This Row],[Profit]]/orderlinesTABLE[[#This Row],[LineNetAmount]]</f>
        <v>0.51282140665501619</v>
      </c>
      <c r="U915" s="70">
        <f>(orderlinesTABLE[[#This Row],[Qty]]*orderlinesTABLE[[#This Row],[UnitCost]])</f>
        <v>74.069999999999993</v>
      </c>
    </row>
    <row r="916" spans="1:21" x14ac:dyDescent="0.3">
      <c r="A916" s="14" t="s">
        <v>393</v>
      </c>
      <c r="B916" s="14" t="s">
        <v>402</v>
      </c>
      <c r="C916" s="14">
        <v>2</v>
      </c>
      <c r="D916" s="37">
        <f>VLOOKUP($B916,Menu!$A$1:$F$20,MATCH($D$1,Menu!$A$1:$F$1,0),0)</f>
        <v>30.34</v>
      </c>
      <c r="E916" s="14" t="str">
        <f>VLOOKUP($B916,Menu!$A$1:$F$20,MATCH(OrderLines!E$1,Menu!$A$1:$F$1,0),0)</f>
        <v>Beverage</v>
      </c>
      <c r="F916" s="37">
        <f>VLOOKUP($B916,Menu!$A$1:$F$20,MATCH(OrderLines!F$1,Menu!$A$1:$F$1,0),0)</f>
        <v>14.18</v>
      </c>
      <c r="G916" s="28">
        <f>VLOOKUP($A916,Orders!$A$1:$H$361,MATCH($G$1,Orders!$A$1:$H$1,0),0)</f>
        <v>45871</v>
      </c>
      <c r="H916" s="14" t="str">
        <f>VLOOKUP($A916,Orders!$A$1:$H$361,MATCH(OrderLines!$H$1,Orders!$A$1:$H$1,0),0)</f>
        <v>Head Office Café</v>
      </c>
      <c r="I916" s="14">
        <f>VLOOKUP($A916,Orders!$A$1:$H$361,MATCH(OrderLines!$I$1,Orders!$A$1:$H$1,0),0)</f>
        <v>0.11</v>
      </c>
      <c r="J916" s="14">
        <f t="shared" si="43"/>
        <v>54.005200000000002</v>
      </c>
      <c r="K916" s="28" t="str">
        <f t="shared" si="44"/>
        <v>August</v>
      </c>
      <c r="L916" s="14" t="str">
        <f>VLOOKUP(OrderLines!$A916,Orders!$A$1:$H$361,MATCH(OrderLines!$L$1,Orders!$A$1:$H$1,0),0)</f>
        <v>Breakfast</v>
      </c>
      <c r="M916" t="str">
        <f>VLOOKUP($A916,Orders!$A$1:$H$361,MATCH(OrderLines!$M$1,Orders!$A$1:$H$1,0),0)</f>
        <v>Card</v>
      </c>
      <c r="N916" t="str">
        <f t="shared" si="42"/>
        <v>Combo</v>
      </c>
      <c r="O916" t="str" cm="1">
        <f t="array" ref="O916">IF((SUMPRODUCT((OrderID=OrderLines!$A916)*Qty*UnitPrice*DiscountPct))&gt;40,"HighDisc","OK")</f>
        <v>HighDisc</v>
      </c>
      <c r="P916">
        <f>(orderlinesTABLE[[#This Row],[UnitCost]]*orderlinesTABLE[[#This Row],[Qty]])</f>
        <v>28.36</v>
      </c>
      <c r="Q916">
        <f>(orderlinesTABLE[[#This Row],[LineNetAmount]]-orderlinesTABLE[[#This Row],[totalCOST]])</f>
        <v>25.645200000000003</v>
      </c>
      <c r="R916" t="str">
        <f>VLOOKUP($B916,Menu!$A$1:$F$20,MATCH(OrderLines!R$1,Menu!$A$1:$F$1,0),0)</f>
        <v>Tea</v>
      </c>
      <c r="S916" t="str" cm="1">
        <f t="array" ref="S916">_xlfn.TEXTJOIN("+",TRUE,_xlfn._xlws.FILTER(orderlinesTABLE[ItemName],OrderID=orderlinesTABLE[[#This Row],[OrderID]]))</f>
        <v>Masala Puff+Veg Thali+Paneer Butter Masala + Naan+Tea</v>
      </c>
      <c r="T916" s="54">
        <f>orderlinesTABLE[[#This Row],[Profit]]/orderlinesTABLE[[#This Row],[LineNetAmount]]</f>
        <v>0.47486538333345679</v>
      </c>
      <c r="U916" s="70">
        <f>(orderlinesTABLE[[#This Row],[Qty]]*orderlinesTABLE[[#This Row],[UnitCost]])</f>
        <v>28.36</v>
      </c>
    </row>
    <row r="917" spans="1:21" x14ac:dyDescent="0.3">
      <c r="A917" s="15" t="s">
        <v>394</v>
      </c>
      <c r="B917" s="15" t="s">
        <v>410</v>
      </c>
      <c r="C917" s="15">
        <v>1</v>
      </c>
      <c r="D917" s="36">
        <f>VLOOKUP($B917,Menu!$A$1:$F$20,MATCH($D$1,Menu!$A$1:$F$1,0),0)</f>
        <v>20.11</v>
      </c>
      <c r="E917" s="15" t="str">
        <f>VLOOKUP($B917,Menu!$A$1:$F$20,MATCH(OrderLines!E$1,Menu!$A$1:$F$1,0),0)</f>
        <v>Beverage</v>
      </c>
      <c r="F917" s="36">
        <f>VLOOKUP($B917,Menu!$A$1:$F$20,MATCH(OrderLines!F$1,Menu!$A$1:$F$1,0),0)</f>
        <v>8</v>
      </c>
      <c r="G917" s="27">
        <f>VLOOKUP($A917,Orders!$A$1:$H$361,MATCH($G$1,Orders!$A$1:$H$1,0),0)</f>
        <v>45897</v>
      </c>
      <c r="H917" s="15" t="str">
        <f>VLOOKUP($A917,Orders!$A$1:$H$361,MATCH(OrderLines!$H$1,Orders!$A$1:$H$1,0),0)</f>
        <v>Head Office Café</v>
      </c>
      <c r="I917" s="15">
        <f>VLOOKUP($A917,Orders!$A$1:$H$361,MATCH(OrderLines!$I$1,Orders!$A$1:$H$1,0),0)</f>
        <v>0.06</v>
      </c>
      <c r="J917" s="15">
        <f t="shared" si="43"/>
        <v>18.903399999999998</v>
      </c>
      <c r="K917" s="27" t="str">
        <f t="shared" si="44"/>
        <v>August</v>
      </c>
      <c r="L917" s="15" t="str">
        <f>VLOOKUP(OrderLines!$A917,Orders!$A$1:$H$361,MATCH(OrderLines!$L$1,Orders!$A$1:$H$1,0),0)</f>
        <v>Dinner</v>
      </c>
      <c r="M917" t="str">
        <f>VLOOKUP($A917,Orders!$A$1:$H$361,MATCH(OrderLines!$M$1,Orders!$A$1:$H$1,0),0)</f>
        <v>Cash</v>
      </c>
      <c r="N917" t="str">
        <f t="shared" si="42"/>
        <v>Single</v>
      </c>
      <c r="O917" t="str" cm="1">
        <f t="array" ref="O917">IF((SUMPRODUCT((OrderID=OrderLines!$A917)*Qty*UnitPrice*DiscountPct))&gt;40,"HighDisc","OK")</f>
        <v>OK</v>
      </c>
      <c r="P917">
        <f>(orderlinesTABLE[[#This Row],[UnitCost]]*orderlinesTABLE[[#This Row],[Qty]])</f>
        <v>8</v>
      </c>
      <c r="Q917">
        <f>(orderlinesTABLE[[#This Row],[LineNetAmount]]-orderlinesTABLE[[#This Row],[totalCOST]])</f>
        <v>10.903399999999998</v>
      </c>
      <c r="R917" t="str">
        <f>VLOOKUP($B917,Menu!$A$1:$F$20,MATCH(OrderLines!R$1,Menu!$A$1:$F$1,0),0)</f>
        <v>Nimbu Pani</v>
      </c>
      <c r="S917" t="str" cm="1">
        <f t="array" ref="S917">_xlfn.TEXTJOIN("+",TRUE,_xlfn._xlws.FILTER(orderlinesTABLE[ItemName],OrderID=orderlinesTABLE[[#This Row],[OrderID]]))</f>
        <v>Nimbu Pani+Coffee+Fruit Cup</v>
      </c>
      <c r="T917" s="54">
        <f>orderlinesTABLE[[#This Row],[Profit]]/orderlinesTABLE[[#This Row],[LineNetAmount]]</f>
        <v>0.57679570870848629</v>
      </c>
      <c r="U917" s="70">
        <f>(orderlinesTABLE[[#This Row],[Qty]]*orderlinesTABLE[[#This Row],[UnitCost]])</f>
        <v>8</v>
      </c>
    </row>
    <row r="918" spans="1:21" x14ac:dyDescent="0.3">
      <c r="A918" s="14" t="s">
        <v>394</v>
      </c>
      <c r="B918" s="14" t="s">
        <v>411</v>
      </c>
      <c r="C918" s="14">
        <v>1</v>
      </c>
      <c r="D918" s="37">
        <f>VLOOKUP($B918,Menu!$A$1:$F$20,MATCH($D$1,Menu!$A$1:$F$1,0),0)</f>
        <v>22.2</v>
      </c>
      <c r="E918" s="14" t="str">
        <f>VLOOKUP($B918,Menu!$A$1:$F$20,MATCH(OrderLines!E$1,Menu!$A$1:$F$1,0),0)</f>
        <v>Beverage</v>
      </c>
      <c r="F918" s="37">
        <f>VLOOKUP($B918,Menu!$A$1:$F$20,MATCH(OrderLines!F$1,Menu!$A$1:$F$1,0),0)</f>
        <v>9.3800000000000008</v>
      </c>
      <c r="G918" s="28">
        <f>VLOOKUP($A918,Orders!$A$1:$H$361,MATCH($G$1,Orders!$A$1:$H$1,0),0)</f>
        <v>45897</v>
      </c>
      <c r="H918" s="14" t="str">
        <f>VLOOKUP($A918,Orders!$A$1:$H$361,MATCH(OrderLines!$H$1,Orders!$A$1:$H$1,0),0)</f>
        <v>Head Office Café</v>
      </c>
      <c r="I918" s="14">
        <f>VLOOKUP($A918,Orders!$A$1:$H$361,MATCH(OrderLines!$I$1,Orders!$A$1:$H$1,0),0)</f>
        <v>0.06</v>
      </c>
      <c r="J918" s="14">
        <f t="shared" si="43"/>
        <v>20.867999999999999</v>
      </c>
      <c r="K918" s="28" t="str">
        <f t="shared" si="44"/>
        <v>August</v>
      </c>
      <c r="L918" s="14" t="str">
        <f>VLOOKUP(OrderLines!$A918,Orders!$A$1:$H$361,MATCH(OrderLines!$L$1,Orders!$A$1:$H$1,0),0)</f>
        <v>Dinner</v>
      </c>
      <c r="M918" t="str">
        <f>VLOOKUP($A918,Orders!$A$1:$H$361,MATCH(OrderLines!$M$1,Orders!$A$1:$H$1,0),0)</f>
        <v>Cash</v>
      </c>
      <c r="N918" t="str">
        <f t="shared" si="42"/>
        <v>Single</v>
      </c>
      <c r="O918" t="str" cm="1">
        <f t="array" ref="O918">IF((SUMPRODUCT((OrderID=OrderLines!$A918)*Qty*UnitPrice*DiscountPct))&gt;40,"HighDisc","OK")</f>
        <v>OK</v>
      </c>
      <c r="P918">
        <f>(orderlinesTABLE[[#This Row],[UnitCost]]*orderlinesTABLE[[#This Row],[Qty]])</f>
        <v>9.3800000000000008</v>
      </c>
      <c r="Q918">
        <f>(orderlinesTABLE[[#This Row],[LineNetAmount]]-orderlinesTABLE[[#This Row],[totalCOST]])</f>
        <v>11.487999999999998</v>
      </c>
      <c r="R918" t="str">
        <f>VLOOKUP($B918,Menu!$A$1:$F$20,MATCH(OrderLines!R$1,Menu!$A$1:$F$1,0),0)</f>
        <v>Coffee</v>
      </c>
      <c r="S918" t="str" cm="1">
        <f t="array" ref="S918">_xlfn.TEXTJOIN("+",TRUE,_xlfn._xlws.FILTER(orderlinesTABLE[ItemName],OrderID=orderlinesTABLE[[#This Row],[OrderID]]))</f>
        <v>Nimbu Pani+Coffee+Fruit Cup</v>
      </c>
      <c r="T918" s="54">
        <f>orderlinesTABLE[[#This Row],[Profit]]/orderlinesTABLE[[#This Row],[LineNetAmount]]</f>
        <v>0.55050795476327385</v>
      </c>
      <c r="U918" s="70">
        <f>(orderlinesTABLE[[#This Row],[Qty]]*orderlinesTABLE[[#This Row],[UnitCost]])</f>
        <v>9.3800000000000008</v>
      </c>
    </row>
    <row r="919" spans="1:21" x14ac:dyDescent="0.3">
      <c r="A919" s="15" t="s">
        <v>394</v>
      </c>
      <c r="B919" s="15" t="s">
        <v>412</v>
      </c>
      <c r="C919" s="15">
        <v>1</v>
      </c>
      <c r="D919" s="36">
        <f>VLOOKUP($B919,Menu!$A$1:$F$20,MATCH($D$1,Menu!$A$1:$F$1,0),0)</f>
        <v>57.07</v>
      </c>
      <c r="E919" s="15" t="str">
        <f>VLOOKUP($B919,Menu!$A$1:$F$20,MATCH(OrderLines!E$1,Menu!$A$1:$F$1,0),0)</f>
        <v>Dessert</v>
      </c>
      <c r="F919" s="36">
        <f>VLOOKUP($B919,Menu!$A$1:$F$20,MATCH(OrderLines!F$1,Menu!$A$1:$F$1,0),0)</f>
        <v>29.14</v>
      </c>
      <c r="G919" s="27">
        <f>VLOOKUP($A919,Orders!$A$1:$H$361,MATCH($G$1,Orders!$A$1:$H$1,0),0)</f>
        <v>45897</v>
      </c>
      <c r="H919" s="15" t="str">
        <f>VLOOKUP($A919,Orders!$A$1:$H$361,MATCH(OrderLines!$H$1,Orders!$A$1:$H$1,0),0)</f>
        <v>Head Office Café</v>
      </c>
      <c r="I919" s="15">
        <f>VLOOKUP($A919,Orders!$A$1:$H$361,MATCH(OrderLines!$I$1,Orders!$A$1:$H$1,0),0)</f>
        <v>0.06</v>
      </c>
      <c r="J919" s="15">
        <f t="shared" si="43"/>
        <v>53.645799999999994</v>
      </c>
      <c r="K919" s="27" t="str">
        <f t="shared" si="44"/>
        <v>August</v>
      </c>
      <c r="L919" s="15" t="str">
        <f>VLOOKUP(OrderLines!$A919,Orders!$A$1:$H$361,MATCH(OrderLines!$L$1,Orders!$A$1:$H$1,0),0)</f>
        <v>Dinner</v>
      </c>
      <c r="M919" t="str">
        <f>VLOOKUP($A919,Orders!$A$1:$H$361,MATCH(OrderLines!$M$1,Orders!$A$1:$H$1,0),0)</f>
        <v>Cash</v>
      </c>
      <c r="N919" t="str">
        <f t="shared" si="42"/>
        <v>Single</v>
      </c>
      <c r="O919" t="str" cm="1">
        <f t="array" ref="O919">IF((SUMPRODUCT((OrderID=OrderLines!$A919)*Qty*UnitPrice*DiscountPct))&gt;40,"HighDisc","OK")</f>
        <v>OK</v>
      </c>
      <c r="P919">
        <f>(orderlinesTABLE[[#This Row],[UnitCost]]*orderlinesTABLE[[#This Row],[Qty]])</f>
        <v>29.14</v>
      </c>
      <c r="Q919">
        <f>(orderlinesTABLE[[#This Row],[LineNetAmount]]-orderlinesTABLE[[#This Row],[totalCOST]])</f>
        <v>24.505799999999994</v>
      </c>
      <c r="R919" t="str">
        <f>VLOOKUP($B919,Menu!$A$1:$F$20,MATCH(OrderLines!R$1,Menu!$A$1:$F$1,0),0)</f>
        <v>Fruit Cup</v>
      </c>
      <c r="S919" t="str" cm="1">
        <f t="array" ref="S919">_xlfn.TEXTJOIN("+",TRUE,_xlfn._xlws.FILTER(orderlinesTABLE[ItemName],OrderID=orderlinesTABLE[[#This Row],[OrderID]]))</f>
        <v>Nimbu Pani+Coffee+Fruit Cup</v>
      </c>
      <c r="T919" s="54">
        <f>orderlinesTABLE[[#This Row],[Profit]]/orderlinesTABLE[[#This Row],[LineNetAmount]]</f>
        <v>0.45680742947257746</v>
      </c>
      <c r="U919" s="70">
        <f>(orderlinesTABLE[[#This Row],[Qty]]*orderlinesTABLE[[#This Row],[UnitCost]])</f>
        <v>29.14</v>
      </c>
    </row>
    <row r="920" spans="1:21" x14ac:dyDescent="0.3">
      <c r="A920" s="14" t="s">
        <v>395</v>
      </c>
      <c r="B920" s="14" t="s">
        <v>408</v>
      </c>
      <c r="C920" s="14">
        <v>1</v>
      </c>
      <c r="D920" s="37">
        <f>VLOOKUP($B920,Menu!$A$1:$F$20,MATCH($D$1,Menu!$A$1:$F$1,0),0)</f>
        <v>70.540000000000006</v>
      </c>
      <c r="E920" s="14" t="str">
        <f>VLOOKUP($B920,Menu!$A$1:$F$20,MATCH(OrderLines!E$1,Menu!$A$1:$F$1,0),0)</f>
        <v>Snack</v>
      </c>
      <c r="F920" s="37">
        <f>VLOOKUP($B920,Menu!$A$1:$F$20,MATCH(OrderLines!F$1,Menu!$A$1:$F$1,0),0)</f>
        <v>35.81</v>
      </c>
      <c r="G920" s="28">
        <f>VLOOKUP($A920,Orders!$A$1:$H$361,MATCH($G$1,Orders!$A$1:$H$1,0),0)</f>
        <v>45873</v>
      </c>
      <c r="H920" s="14" t="str">
        <f>VLOOKUP($A920,Orders!$A$1:$H$361,MATCH(OrderLines!$H$1,Orders!$A$1:$H$1,0),0)</f>
        <v>Plant 2 Canteen</v>
      </c>
      <c r="I920" s="14">
        <f>VLOOKUP($A920,Orders!$A$1:$H$361,MATCH(OrderLines!$I$1,Orders!$A$1:$H$1,0),0)</f>
        <v>0.11</v>
      </c>
      <c r="J920" s="14">
        <f t="shared" si="43"/>
        <v>62.780600000000007</v>
      </c>
      <c r="K920" s="28" t="str">
        <f t="shared" si="44"/>
        <v>August</v>
      </c>
      <c r="L920" s="14" t="str">
        <f>VLOOKUP(OrderLines!$A920,Orders!$A$1:$H$361,MATCH(OrderLines!$L$1,Orders!$A$1:$H$1,0),0)</f>
        <v>Breakfast</v>
      </c>
      <c r="M920" t="str">
        <f>VLOOKUP($A920,Orders!$A$1:$H$361,MATCH(OrderLines!$M$1,Orders!$A$1:$H$1,0),0)</f>
        <v>UPI</v>
      </c>
      <c r="N920" t="str">
        <f t="shared" si="42"/>
        <v>Single</v>
      </c>
      <c r="O920" t="str" cm="1">
        <f t="array" ref="O920">IF((SUMPRODUCT((OrderID=OrderLines!$A920)*Qty*UnitPrice*DiscountPct))&gt;40,"HighDisc","OK")</f>
        <v>OK</v>
      </c>
      <c r="P920">
        <f>(orderlinesTABLE[[#This Row],[UnitCost]]*orderlinesTABLE[[#This Row],[Qty]])</f>
        <v>35.81</v>
      </c>
      <c r="Q920">
        <f>(orderlinesTABLE[[#This Row],[LineNetAmount]]-orderlinesTABLE[[#This Row],[totalCOST]])</f>
        <v>26.970600000000005</v>
      </c>
      <c r="R920" t="str">
        <f>VLOOKUP($B920,Menu!$A$1:$F$20,MATCH(OrderLines!R$1,Menu!$A$1:$F$1,0),0)</f>
        <v>Veg Sandwich</v>
      </c>
      <c r="S920" t="str" cm="1">
        <f t="array" ref="S920">_xlfn.TEXTJOIN("+",TRUE,_xlfn._xlws.FILTER(orderlinesTABLE[ItemName],OrderID=orderlinesTABLE[[#This Row],[OrderID]]))</f>
        <v>Veg Sandwich+Tea</v>
      </c>
      <c r="T920" s="54">
        <f>orderlinesTABLE[[#This Row],[Profit]]/orderlinesTABLE[[#This Row],[LineNetAmount]]</f>
        <v>0.42960086396115998</v>
      </c>
      <c r="U920" s="70">
        <f>(orderlinesTABLE[[#This Row],[Qty]]*orderlinesTABLE[[#This Row],[UnitCost]])</f>
        <v>35.81</v>
      </c>
    </row>
    <row r="921" spans="1:21" x14ac:dyDescent="0.3">
      <c r="A921" s="15" t="s">
        <v>395</v>
      </c>
      <c r="B921" s="15" t="s">
        <v>402</v>
      </c>
      <c r="C921" s="15">
        <v>1</v>
      </c>
      <c r="D921" s="36">
        <f>VLOOKUP($B921,Menu!$A$1:$F$20,MATCH($D$1,Menu!$A$1:$F$1,0),0)</f>
        <v>30.34</v>
      </c>
      <c r="E921" s="15" t="str">
        <f>VLOOKUP($B921,Menu!$A$1:$F$20,MATCH(OrderLines!E$1,Menu!$A$1:$F$1,0),0)</f>
        <v>Beverage</v>
      </c>
      <c r="F921" s="36">
        <f>VLOOKUP($B921,Menu!$A$1:$F$20,MATCH(OrderLines!F$1,Menu!$A$1:$F$1,0),0)</f>
        <v>14.18</v>
      </c>
      <c r="G921" s="27">
        <f>VLOOKUP($A921,Orders!$A$1:$H$361,MATCH($G$1,Orders!$A$1:$H$1,0),0)</f>
        <v>45873</v>
      </c>
      <c r="H921" s="15" t="str">
        <f>VLOOKUP($A921,Orders!$A$1:$H$361,MATCH(OrderLines!$H$1,Orders!$A$1:$H$1,0),0)</f>
        <v>Plant 2 Canteen</v>
      </c>
      <c r="I921" s="15">
        <f>VLOOKUP($A921,Orders!$A$1:$H$361,MATCH(OrderLines!$I$1,Orders!$A$1:$H$1,0),0)</f>
        <v>0.11</v>
      </c>
      <c r="J921" s="15">
        <f t="shared" si="43"/>
        <v>27.002600000000001</v>
      </c>
      <c r="K921" s="27" t="str">
        <f t="shared" si="44"/>
        <v>August</v>
      </c>
      <c r="L921" s="15" t="str">
        <f>VLOOKUP(OrderLines!$A921,Orders!$A$1:$H$361,MATCH(OrderLines!$L$1,Orders!$A$1:$H$1,0),0)</f>
        <v>Breakfast</v>
      </c>
      <c r="M921" t="str">
        <f>VLOOKUP($A921,Orders!$A$1:$H$361,MATCH(OrderLines!$M$1,Orders!$A$1:$H$1,0),0)</f>
        <v>UPI</v>
      </c>
      <c r="N921" t="str">
        <f t="shared" si="42"/>
        <v>Single</v>
      </c>
      <c r="O921" t="str" cm="1">
        <f t="array" ref="O921">IF((SUMPRODUCT((OrderID=OrderLines!$A921)*Qty*UnitPrice*DiscountPct))&gt;40,"HighDisc","OK")</f>
        <v>OK</v>
      </c>
      <c r="P921">
        <f>(orderlinesTABLE[[#This Row],[UnitCost]]*orderlinesTABLE[[#This Row],[Qty]])</f>
        <v>14.18</v>
      </c>
      <c r="Q921">
        <f>(orderlinesTABLE[[#This Row],[LineNetAmount]]-orderlinesTABLE[[#This Row],[totalCOST]])</f>
        <v>12.822600000000001</v>
      </c>
      <c r="R921" t="str">
        <f>VLOOKUP($B921,Menu!$A$1:$F$20,MATCH(OrderLines!R$1,Menu!$A$1:$F$1,0),0)</f>
        <v>Tea</v>
      </c>
      <c r="S921" t="str" cm="1">
        <f t="array" ref="S921">_xlfn.TEXTJOIN("+",TRUE,_xlfn._xlws.FILTER(orderlinesTABLE[ItemName],OrderID=orderlinesTABLE[[#This Row],[OrderID]]))</f>
        <v>Veg Sandwich+Tea</v>
      </c>
      <c r="T921" s="54">
        <f>orderlinesTABLE[[#This Row],[Profit]]/orderlinesTABLE[[#This Row],[LineNetAmount]]</f>
        <v>0.47486538333345679</v>
      </c>
      <c r="U921" s="70">
        <f>(orderlinesTABLE[[#This Row],[Qty]]*orderlinesTABLE[[#This Row],[UnitCost]])</f>
        <v>14.18</v>
      </c>
    </row>
    <row r="922" spans="1:21" x14ac:dyDescent="0.3">
      <c r="A922" s="14" t="s">
        <v>396</v>
      </c>
      <c r="B922" s="14" t="s">
        <v>416</v>
      </c>
      <c r="C922" s="14">
        <v>2</v>
      </c>
      <c r="D922" s="37">
        <f>VLOOKUP($B922,Menu!$A$1:$F$20,MATCH($D$1,Menu!$A$1:$F$1,0),0)</f>
        <v>227.61</v>
      </c>
      <c r="E922" s="14" t="str">
        <f>VLOOKUP($B922,Menu!$A$1:$F$20,MATCH(OrderLines!E$1,Menu!$A$1:$F$1,0),0)</f>
        <v>Hot Meal</v>
      </c>
      <c r="F922" s="37">
        <f>VLOOKUP($B922,Menu!$A$1:$F$20,MATCH(OrderLines!F$1,Menu!$A$1:$F$1,0),0)</f>
        <v>96.22</v>
      </c>
      <c r="G922" s="28">
        <f>VLOOKUP($A922,Orders!$A$1:$H$361,MATCH($G$1,Orders!$A$1:$H$1,0),0)</f>
        <v>45881</v>
      </c>
      <c r="H922" s="14" t="str">
        <f>VLOOKUP($A922,Orders!$A$1:$H$361,MATCH(OrderLines!$H$1,Orders!$A$1:$H$1,0),0)</f>
        <v>Plant 2 Canteen</v>
      </c>
      <c r="I922" s="14">
        <f>VLOOKUP($A922,Orders!$A$1:$H$361,MATCH(OrderLines!$I$1,Orders!$A$1:$H$1,0),0)</f>
        <v>0</v>
      </c>
      <c r="J922" s="14">
        <f t="shared" si="43"/>
        <v>455.22</v>
      </c>
      <c r="K922" s="28" t="str">
        <f t="shared" si="44"/>
        <v>August</v>
      </c>
      <c r="L922" s="14" t="str">
        <f>VLOOKUP(OrderLines!$A922,Orders!$A$1:$H$361,MATCH(OrderLines!$L$1,Orders!$A$1:$H$1,0),0)</f>
        <v>Lunch</v>
      </c>
      <c r="M922" t="str">
        <f>VLOOKUP($A922,Orders!$A$1:$H$361,MATCH(OrderLines!$M$1,Orders!$A$1:$H$1,0),0)</f>
        <v>Cash</v>
      </c>
      <c r="N922" t="str">
        <f t="shared" si="42"/>
        <v>Single</v>
      </c>
      <c r="O922" t="str" cm="1">
        <f t="array" ref="O922">IF((SUMPRODUCT((OrderID=OrderLines!$A922)*Qty*UnitPrice*DiscountPct))&gt;40,"HighDisc","OK")</f>
        <v>OK</v>
      </c>
      <c r="P922">
        <f>(orderlinesTABLE[[#This Row],[UnitCost]]*orderlinesTABLE[[#This Row],[Qty]])</f>
        <v>192.44</v>
      </c>
      <c r="Q922">
        <f>(orderlinesTABLE[[#This Row],[LineNetAmount]]-orderlinesTABLE[[#This Row],[totalCOST]])</f>
        <v>262.78000000000003</v>
      </c>
      <c r="R922" t="str">
        <f>VLOOKUP($B922,Menu!$A$1:$F$20,MATCH(OrderLines!R$1,Menu!$A$1:$F$1,0),0)</f>
        <v>Veg Thali</v>
      </c>
      <c r="S922" t="str" cm="1">
        <f t="array" ref="S922">_xlfn.TEXTJOIN("+",TRUE,_xlfn._xlws.FILTER(orderlinesTABLE[ItemName],OrderID=orderlinesTABLE[[#This Row],[OrderID]]))</f>
        <v>Veg Thali</v>
      </c>
      <c r="T922" s="54">
        <f>orderlinesTABLE[[#This Row],[Profit]]/orderlinesTABLE[[#This Row],[LineNetAmount]]</f>
        <v>0.57725934712886084</v>
      </c>
      <c r="U922" s="70">
        <f>(orderlinesTABLE[[#This Row],[Qty]]*orderlinesTABLE[[#This Row],[UnitCost]])</f>
        <v>192.44</v>
      </c>
    </row>
    <row r="923" spans="1:21" x14ac:dyDescent="0.3">
      <c r="A923" s="15" t="s">
        <v>397</v>
      </c>
      <c r="B923" s="15" t="s">
        <v>405</v>
      </c>
      <c r="C923" s="15">
        <v>1</v>
      </c>
      <c r="D923" s="36">
        <f>VLOOKUP($B923,Menu!$A$1:$F$20,MATCH($D$1,Menu!$A$1:$F$1,0),0)</f>
        <v>170.83</v>
      </c>
      <c r="E923" s="15" t="str">
        <f>VLOOKUP($B923,Menu!$A$1:$F$20,MATCH(OrderLines!E$1,Menu!$A$1:$F$1,0),0)</f>
        <v>Hot Meal</v>
      </c>
      <c r="F923" s="36">
        <f>VLOOKUP($B923,Menu!$A$1:$F$20,MATCH(OrderLines!F$1,Menu!$A$1:$F$1,0),0)</f>
        <v>74.069999999999993</v>
      </c>
      <c r="G923" s="27">
        <f>VLOOKUP($A923,Orders!$A$1:$H$361,MATCH($G$1,Orders!$A$1:$H$1,0),0)</f>
        <v>45878</v>
      </c>
      <c r="H923" s="15" t="str">
        <f>VLOOKUP($A923,Orders!$A$1:$H$361,MATCH(OrderLines!$H$1,Orders!$A$1:$H$1,0),0)</f>
        <v>Plant 2 Canteen</v>
      </c>
      <c r="I923" s="15">
        <f>VLOOKUP($A923,Orders!$A$1:$H$361,MATCH(OrderLines!$I$1,Orders!$A$1:$H$1,0),0)</f>
        <v>0.04</v>
      </c>
      <c r="J923" s="15">
        <f t="shared" si="43"/>
        <v>163.99680000000001</v>
      </c>
      <c r="K923" s="27" t="str">
        <f t="shared" si="44"/>
        <v>August</v>
      </c>
      <c r="L923" s="15" t="str">
        <f>VLOOKUP(OrderLines!$A923,Orders!$A$1:$H$361,MATCH(OrderLines!$L$1,Orders!$A$1:$H$1,0),0)</f>
        <v>Dinner</v>
      </c>
      <c r="M923" t="str">
        <f>VLOOKUP($A923,Orders!$A$1:$H$361,MATCH(OrderLines!$M$1,Orders!$A$1:$H$1,0),0)</f>
        <v>UPI</v>
      </c>
      <c r="N923" t="str">
        <f t="shared" si="42"/>
        <v>Combo</v>
      </c>
      <c r="O923" t="str" cm="1">
        <f t="array" ref="O923">IF((SUMPRODUCT((OrderID=OrderLines!$A923)*Qty*UnitPrice*DiscountPct))&gt;40,"HighDisc","OK")</f>
        <v>HighDisc</v>
      </c>
      <c r="P923">
        <f>(orderlinesTABLE[[#This Row],[UnitCost]]*orderlinesTABLE[[#This Row],[Qty]])</f>
        <v>74.069999999999993</v>
      </c>
      <c r="Q923">
        <f>(orderlinesTABLE[[#This Row],[LineNetAmount]]-orderlinesTABLE[[#This Row],[totalCOST]])</f>
        <v>89.926800000000014</v>
      </c>
      <c r="R923" t="str">
        <f>VLOOKUP($B923,Menu!$A$1:$F$20,MATCH(OrderLines!R$1,Menu!$A$1:$F$1,0),0)</f>
        <v>Paneer Butter Masala + Naan</v>
      </c>
      <c r="S923" t="str" cm="1">
        <f t="array" ref="S923">_xlfn.TEXTJOIN("+",TRUE,_xlfn._xlws.FILTER(orderlinesTABLE[ItemName],OrderID=orderlinesTABLE[[#This Row],[OrderID]]))</f>
        <v>Paneer Butter Masala + Naan+Chicken Thali+Tea</v>
      </c>
      <c r="T923" s="54">
        <f>orderlinesTABLE[[#This Row],[Profit]]/orderlinesTABLE[[#This Row],[LineNetAmount]]</f>
        <v>0.54834484575308795</v>
      </c>
      <c r="U923" s="70">
        <f>(orderlinesTABLE[[#This Row],[Qty]]*orderlinesTABLE[[#This Row],[UnitCost]])</f>
        <v>74.069999999999993</v>
      </c>
    </row>
    <row r="924" spans="1:21" x14ac:dyDescent="0.3">
      <c r="A924" s="14" t="s">
        <v>397</v>
      </c>
      <c r="B924" s="14" t="s">
        <v>415</v>
      </c>
      <c r="C924" s="14">
        <v>3</v>
      </c>
      <c r="D924" s="37">
        <f>VLOOKUP($B924,Menu!$A$1:$F$20,MATCH($D$1,Menu!$A$1:$F$1,0),0)</f>
        <v>256.91000000000003</v>
      </c>
      <c r="E924" s="14" t="str">
        <f>VLOOKUP($B924,Menu!$A$1:$F$20,MATCH(OrderLines!E$1,Menu!$A$1:$F$1,0),0)</f>
        <v>Hot Meal</v>
      </c>
      <c r="F924" s="37">
        <f>VLOOKUP($B924,Menu!$A$1:$F$20,MATCH(OrderLines!F$1,Menu!$A$1:$F$1,0),0)</f>
        <v>121.24</v>
      </c>
      <c r="G924" s="28">
        <f>VLOOKUP($A924,Orders!$A$1:$H$361,MATCH($G$1,Orders!$A$1:$H$1,0),0)</f>
        <v>45878</v>
      </c>
      <c r="H924" s="14" t="str">
        <f>VLOOKUP($A924,Orders!$A$1:$H$361,MATCH(OrderLines!$H$1,Orders!$A$1:$H$1,0),0)</f>
        <v>Plant 2 Canteen</v>
      </c>
      <c r="I924" s="14">
        <f>VLOOKUP($A924,Orders!$A$1:$H$361,MATCH(OrderLines!$I$1,Orders!$A$1:$H$1,0),0)</f>
        <v>0.04</v>
      </c>
      <c r="J924" s="14">
        <f t="shared" si="43"/>
        <v>739.9008</v>
      </c>
      <c r="K924" s="28" t="str">
        <f t="shared" si="44"/>
        <v>August</v>
      </c>
      <c r="L924" s="14" t="str">
        <f>VLOOKUP(OrderLines!$A924,Orders!$A$1:$H$361,MATCH(OrderLines!$L$1,Orders!$A$1:$H$1,0),0)</f>
        <v>Dinner</v>
      </c>
      <c r="M924" t="str">
        <f>VLOOKUP($A924,Orders!$A$1:$H$361,MATCH(OrderLines!$M$1,Orders!$A$1:$H$1,0),0)</f>
        <v>UPI</v>
      </c>
      <c r="N924" t="str">
        <f t="shared" si="42"/>
        <v>Combo</v>
      </c>
      <c r="O924" t="str" cm="1">
        <f t="array" ref="O924">IF((SUMPRODUCT((OrderID=OrderLines!$A924)*Qty*UnitPrice*DiscountPct))&gt;40,"HighDisc","OK")</f>
        <v>HighDisc</v>
      </c>
      <c r="P924">
        <f>(orderlinesTABLE[[#This Row],[UnitCost]]*orderlinesTABLE[[#This Row],[Qty]])</f>
        <v>363.71999999999997</v>
      </c>
      <c r="Q924">
        <f>(orderlinesTABLE[[#This Row],[LineNetAmount]]-orderlinesTABLE[[#This Row],[totalCOST]])</f>
        <v>376.18080000000003</v>
      </c>
      <c r="R924" t="str">
        <f>VLOOKUP($B924,Menu!$A$1:$F$20,MATCH(OrderLines!R$1,Menu!$A$1:$F$1,0),0)</f>
        <v>Chicken Thali</v>
      </c>
      <c r="S924" t="str" cm="1">
        <f t="array" ref="S924">_xlfn.TEXTJOIN("+",TRUE,_xlfn._xlws.FILTER(orderlinesTABLE[ItemName],OrderID=orderlinesTABLE[[#This Row],[OrderID]]))</f>
        <v>Paneer Butter Masala + Naan+Chicken Thali+Tea</v>
      </c>
      <c r="T924" s="54">
        <f>orderlinesTABLE[[#This Row],[Profit]]/orderlinesTABLE[[#This Row],[LineNetAmount]]</f>
        <v>0.50842058827345504</v>
      </c>
      <c r="U924" s="70">
        <f>(orderlinesTABLE[[#This Row],[Qty]]*orderlinesTABLE[[#This Row],[UnitCost]])</f>
        <v>363.71999999999997</v>
      </c>
    </row>
    <row r="925" spans="1:21" x14ac:dyDescent="0.3">
      <c r="A925" s="29" t="s">
        <v>397</v>
      </c>
      <c r="B925" s="29" t="s">
        <v>402</v>
      </c>
      <c r="C925" s="29">
        <v>2</v>
      </c>
      <c r="D925" s="38">
        <f>VLOOKUP($B925,Menu!$A$1:$F$20,MATCH($D$1,Menu!$A$1:$F$1,0),0)</f>
        <v>30.34</v>
      </c>
      <c r="E925" s="29" t="str">
        <f>VLOOKUP($B925,Menu!$A$1:$F$20,MATCH(OrderLines!E$1,Menu!$A$1:$F$1,0),0)</f>
        <v>Beverage</v>
      </c>
      <c r="F925" s="38">
        <f>VLOOKUP($B925,Menu!$A$1:$F$20,MATCH(OrderLines!F$1,Menu!$A$1:$F$1,0),0)</f>
        <v>14.18</v>
      </c>
      <c r="G925" s="30">
        <f>VLOOKUP($A925,Orders!$A$1:$H$361,MATCH($G$1,Orders!$A$1:$H$1,0),0)</f>
        <v>45878</v>
      </c>
      <c r="H925" s="29" t="str">
        <f>VLOOKUP($A925,Orders!$A$1:$H$361,MATCH(OrderLines!$H$1,Orders!$A$1:$H$1,0),0)</f>
        <v>Plant 2 Canteen</v>
      </c>
      <c r="I925" s="29">
        <f>VLOOKUP($A925,Orders!$A$1:$H$361,MATCH(OrderLines!$I$1,Orders!$A$1:$H$1,0),0)</f>
        <v>0.04</v>
      </c>
      <c r="J925" s="29">
        <f t="shared" si="43"/>
        <v>58.252800000000001</v>
      </c>
      <c r="K925" s="30" t="str">
        <f t="shared" si="44"/>
        <v>August</v>
      </c>
      <c r="L925" s="29" t="str">
        <f>VLOOKUP(OrderLines!$A925,Orders!$A$1:$H$361,MATCH(OrderLines!$L$1,Orders!$A$1:$H$1,0),0)</f>
        <v>Dinner</v>
      </c>
      <c r="M925" t="str">
        <f>VLOOKUP($A925,Orders!$A$1:$H$361,MATCH(OrderLines!$M$1,Orders!$A$1:$H$1,0),0)</f>
        <v>UPI</v>
      </c>
      <c r="N925" t="str">
        <f t="shared" si="42"/>
        <v>Combo</v>
      </c>
      <c r="O925" t="str" cm="1">
        <f t="array" ref="O925">IF((SUMPRODUCT((OrderID=OrderLines!$A925)*Qty*UnitPrice*DiscountPct))&gt;40,"HighDisc","OK")</f>
        <v>HighDisc</v>
      </c>
      <c r="P925">
        <f>(orderlinesTABLE[[#This Row],[UnitCost]]*orderlinesTABLE[[#This Row],[Qty]])</f>
        <v>28.36</v>
      </c>
      <c r="Q925">
        <f>(orderlinesTABLE[[#This Row],[LineNetAmount]]-orderlinesTABLE[[#This Row],[totalCOST]])</f>
        <v>29.892800000000001</v>
      </c>
      <c r="R925" t="str">
        <f>VLOOKUP($B925,Menu!$A$1:$F$20,MATCH(OrderLines!R$1,Menu!$A$1:$F$1,0),0)</f>
        <v>Tea</v>
      </c>
      <c r="S925" t="str" cm="1">
        <f t="array" ref="S925">_xlfn.TEXTJOIN("+",TRUE,_xlfn._xlws.FILTER(orderlinesTABLE[ItemName],OrderID=orderlinesTABLE[[#This Row],[OrderID]]))</f>
        <v>Paneer Butter Masala + Naan+Chicken Thali+Tea</v>
      </c>
      <c r="T925" s="54">
        <f>orderlinesTABLE[[#This Row],[Profit]]/orderlinesTABLE[[#This Row],[LineNetAmount]]</f>
        <v>0.51315644913205893</v>
      </c>
      <c r="U925" s="70">
        <f>(orderlinesTABLE[[#This Row],[Qty]]*orderlinesTABLE[[#This Row],[UnitCost]])</f>
        <v>28.36</v>
      </c>
    </row>
  </sheetData>
  <mergeCells count="1">
    <mergeCell ref="W1:Y1"/>
  </mergeCells>
  <pageMargins left="0.7" right="0.7" top="0.75" bottom="0.75" header="0.3" footer="0.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C4E6E-2BBA-4EA1-B6A3-07FA667D51C8}">
  <sheetPr>
    <tabColor theme="3" tint="-0.249977111117893"/>
  </sheetPr>
  <dimension ref="A1:M139"/>
  <sheetViews>
    <sheetView topLeftCell="A120" zoomScale="101" workbookViewId="0">
      <selection activeCell="I138" sqref="I138"/>
    </sheetView>
  </sheetViews>
  <sheetFormatPr defaultRowHeight="14.4" x14ac:dyDescent="0.3"/>
  <cols>
    <col min="1" max="1" width="16" bestFit="1" customWidth="1"/>
    <col min="2" max="2" width="9" bestFit="1" customWidth="1"/>
    <col min="3" max="3" width="7" bestFit="1" customWidth="1"/>
    <col min="4" max="4" width="10.88671875" bestFit="1" customWidth="1"/>
    <col min="5" max="6" width="18" bestFit="1" customWidth="1"/>
    <col min="7" max="7" width="22.77734375" bestFit="1" customWidth="1"/>
    <col min="8" max="8" width="20.21875" bestFit="1" customWidth="1"/>
    <col min="9" max="9" width="21.6640625" bestFit="1" customWidth="1"/>
    <col min="10" max="356" width="15.5546875" bestFit="1" customWidth="1"/>
    <col min="357" max="357" width="10.77734375" bestFit="1" customWidth="1"/>
  </cols>
  <sheetData>
    <row r="1" spans="1:13" x14ac:dyDescent="0.3">
      <c r="M1" s="13" t="s">
        <v>571</v>
      </c>
    </row>
    <row r="2" spans="1:13" x14ac:dyDescent="0.3">
      <c r="A2" s="13" t="s">
        <v>592</v>
      </c>
      <c r="B2" cm="1">
        <f t="array" ref="B2">ROWS(_xlfn.UNIQUE(_xlfn._xlws.FILTER([0]!OrderID,ComboFlag="combo")))</f>
        <v>86</v>
      </c>
      <c r="M2" t="s">
        <v>572</v>
      </c>
    </row>
    <row r="3" spans="1:13" x14ac:dyDescent="0.3">
      <c r="A3" t="s">
        <v>573</v>
      </c>
      <c r="B3">
        <f>ROWS(Orders!OrderID)</f>
        <v>360</v>
      </c>
    </row>
    <row r="4" spans="1:13" x14ac:dyDescent="0.3">
      <c r="A4" s="13" t="s">
        <v>587</v>
      </c>
      <c r="B4" s="54">
        <f>(B2/B3)</f>
        <v>0.2388888888888889</v>
      </c>
    </row>
    <row r="6" spans="1:13" x14ac:dyDescent="0.3">
      <c r="A6" s="13" t="s">
        <v>593</v>
      </c>
      <c r="B6" s="85" cm="1">
        <f t="array" ref="B6">AVERAGE(SUMIFS([0]!LineNetAmount,ComboFlag,"combo",OrderID,_xlfn.UNIQUE(_xlfn._xlws.FILTER(OrderID,ComboFlag="combo"))))</f>
        <v>544.19233372093049</v>
      </c>
      <c r="C6" s="85"/>
      <c r="D6" s="85"/>
      <c r="E6" s="85"/>
    </row>
    <row r="7" spans="1:13" x14ac:dyDescent="0.3">
      <c r="A7" s="84" t="s">
        <v>594</v>
      </c>
      <c r="B7" s="84"/>
      <c r="C7" cm="1">
        <f t="array" ref="C7">AVERAGE(SUMIFS([0]!Profit,ComboFlag,"combo",OrderID,_xlfn.UNIQUE(_xlfn._xlws.FILTER(OrderID,ComboFlag="combo"))))</f>
        <v>278.7976825581394</v>
      </c>
    </row>
    <row r="11" spans="1:13" x14ac:dyDescent="0.3">
      <c r="B11" t="s">
        <v>582</v>
      </c>
      <c r="C11" t="s">
        <v>583</v>
      </c>
      <c r="D11" t="s">
        <v>584</v>
      </c>
      <c r="M11" s="13" t="s">
        <v>576</v>
      </c>
    </row>
    <row r="12" spans="1:13" x14ac:dyDescent="0.3">
      <c r="A12" t="s">
        <v>578</v>
      </c>
      <c r="B12" s="57" cm="1">
        <f t="array" ref="B12">AVERAGE(SUMIFS([0]!LineNetAmount,ComboFlag,"combo",OrderID,_xlfn.UNIQUE(_xlfn._xlws.FILTER(OrderID,ComboFlag="combo"))))</f>
        <v>544.19233372093049</v>
      </c>
      <c r="C12" s="57" cm="1">
        <f t="array" ref="C12">AVERAGE(SUMIFS([0]!LineNetAmount,ComboFlag,"single",OrderID,_xlfn.UNIQUE(_xlfn._xlws.FILTER(OrderID,ComboFlag="single"))))</f>
        <v>313.31054708029222</v>
      </c>
      <c r="D12" s="57">
        <f>(B12-C12)</f>
        <v>230.88178664063827</v>
      </c>
      <c r="M12" t="s">
        <v>577</v>
      </c>
    </row>
    <row r="13" spans="1:13" x14ac:dyDescent="0.3">
      <c r="A13" t="s">
        <v>579</v>
      </c>
      <c r="B13" s="57" cm="1">
        <f t="array" ref="B13">AVERAGE(SUMIFS([0]!totalCOST,ComboFlag,"combo",OrderID,_xlfn.UNIQUE(_xlfn._xlws.FILTER(OrderID,ComboFlag="combo"))))</f>
        <v>265.39465116279069</v>
      </c>
      <c r="C13" s="57" cm="1">
        <f t="array" ref="C13">AVERAGE(SUMIFS([0]!totalCOST,ComboFlag,"single",OrderID,_xlfn.UNIQUE(_xlfn._xlws.FILTER(OrderID,ComboFlag="single"))))</f>
        <v>154.4721167883211</v>
      </c>
      <c r="D13" s="57">
        <f>B13-C13</f>
        <v>110.92253437446959</v>
      </c>
    </row>
    <row r="14" spans="1:13" x14ac:dyDescent="0.3">
      <c r="A14" t="s">
        <v>580</v>
      </c>
      <c r="B14" s="57" cm="1">
        <f t="array" ref="B14">AVERAGE(SUMIFS([0]!Profit,ComboFlag,"combo",OrderID,_xlfn.UNIQUE(_xlfn._xlws.FILTER(OrderID,ComboFlag="combo"))))</f>
        <v>278.7976825581394</v>
      </c>
      <c r="C14" s="57" cm="1">
        <f t="array" ref="C14">AVERAGE(SUMIFS([0]!Profit,ComboFlag,"single",OrderID,_xlfn.UNIQUE(_xlfn._xlws.FILTER(OrderID,ComboFlag="single"))))</f>
        <v>158.83843029197089</v>
      </c>
      <c r="D14" s="57">
        <f>B14-C14</f>
        <v>119.95925226616851</v>
      </c>
    </row>
    <row r="15" spans="1:13" x14ac:dyDescent="0.3">
      <c r="A15" t="s">
        <v>581</v>
      </c>
      <c r="B15" s="56">
        <f>SUMIFS([0]!Profit,ComboFlag,"combo")/SUMIFS([0]!LineNetAmount,ComboFlag,"combo")</f>
        <v>0.51231460879254287</v>
      </c>
      <c r="C15" s="56">
        <f>SUMIFS([0]!Profit,ComboFlag,"single")/SUMIFS([0]!LineNetAmount,ComboFlag,"single")</f>
        <v>0.50696802827791632</v>
      </c>
      <c r="D15" s="56">
        <f>B15-C15</f>
        <v>5.3465805146265533E-3</v>
      </c>
    </row>
    <row r="20" spans="2:13" x14ac:dyDescent="0.3">
      <c r="C20" t="s">
        <v>587</v>
      </c>
    </row>
    <row r="21" spans="2:13" x14ac:dyDescent="0.3">
      <c r="B21" t="s">
        <v>9</v>
      </c>
      <c r="C21" s="56" cm="1">
        <f t="array" ref="C21">ROWS(_xlfn.UNIQUE(_xlfn._xlws.FILTER([0]!OrderID,([0]!ComboFlag="combo")*([0]!Branch=$B21))))/ROWS(_xlfn.UNIQUE(_xlfn._xlws.FILTER([0]!OrderID,Branch=$B21)))</f>
        <v>0.28925619834710742</v>
      </c>
      <c r="M21" s="13" t="s">
        <v>585</v>
      </c>
    </row>
    <row r="22" spans="2:13" x14ac:dyDescent="0.3">
      <c r="B22" t="s">
        <v>27</v>
      </c>
      <c r="C22" s="56" cm="1">
        <f t="array" ref="C22">ROWS(_xlfn.UNIQUE(_xlfn._xlws.FILTER([0]!OrderID,([0]!ComboFlag="combo")*([0]!Branch=$B22))))/ROWS(_xlfn.UNIQUE(_xlfn._xlws.FILTER([0]!OrderID,Branch=$B22)))</f>
        <v>0.13761467889908258</v>
      </c>
      <c r="M22" t="s">
        <v>586</v>
      </c>
    </row>
    <row r="23" spans="2:13" x14ac:dyDescent="0.3">
      <c r="B23" t="s">
        <v>15</v>
      </c>
      <c r="C23" s="56" cm="1">
        <f t="array" ref="C23">ROWS(_xlfn.UNIQUE(_xlfn._xlws.FILTER([0]!OrderID,([0]!ComboFlag="combo")*([0]!Branch=$B23))))/ROWS(_xlfn.UNIQUE(_xlfn._xlws.FILTER([0]!OrderID,Branch=$B23)))</f>
        <v>0.27692307692307694</v>
      </c>
    </row>
    <row r="30" spans="2:13" x14ac:dyDescent="0.3">
      <c r="C30" t="s">
        <v>587</v>
      </c>
      <c r="M30" s="13" t="s">
        <v>588</v>
      </c>
    </row>
    <row r="31" spans="2:13" x14ac:dyDescent="0.3">
      <c r="B31" t="s">
        <v>12</v>
      </c>
      <c r="C31" s="58" cm="1">
        <f t="array" ref="C31">ROWS(_xlfn.UNIQUE(_xlfn._xlws.FILTER([0]!OrderID,([0]!ComboFlag="combo")*([0]!Shift=$B31))))/ROWS(_xlfn.UNIQUE(_xlfn._xlws.FILTER([0]!OrderID,Shift=$B31)))</f>
        <v>0.22598870056497175</v>
      </c>
      <c r="M31" t="s">
        <v>589</v>
      </c>
    </row>
    <row r="32" spans="2:13" x14ac:dyDescent="0.3">
      <c r="B32" t="s">
        <v>22</v>
      </c>
      <c r="C32" s="58" cm="1">
        <f t="array" ref="C32">ROWS(_xlfn.UNIQUE(_xlfn._xlws.FILTER([0]!OrderID,([0]!ComboFlag="combo")*([0]!Shift=$B32))))/ROWS(_xlfn.UNIQUE(_xlfn._xlws.FILTER([0]!OrderID,Shift=$B32)))</f>
        <v>0.20547945205479451</v>
      </c>
    </row>
    <row r="33" spans="1:6" x14ac:dyDescent="0.3">
      <c r="B33" t="s">
        <v>18</v>
      </c>
      <c r="C33" s="58" cm="1">
        <f t="array" ref="C33">ROWS(_xlfn.UNIQUE(_xlfn._xlws.FILTER([0]!OrderID,([0]!ComboFlag="combo")*([0]!Shift=$B33))))/ROWS(_xlfn.UNIQUE(_xlfn._xlws.FILTER([0]!OrderID,Shift=$B33)))</f>
        <v>0.2818181818181818</v>
      </c>
    </row>
    <row r="39" spans="1:6" x14ac:dyDescent="0.3">
      <c r="A39" s="11" t="s">
        <v>526</v>
      </c>
      <c r="B39" t="s">
        <v>537</v>
      </c>
      <c r="C39" t="s">
        <v>597</v>
      </c>
      <c r="F39" t="s">
        <v>639</v>
      </c>
    </row>
    <row r="40" spans="1:6" x14ac:dyDescent="0.3">
      <c r="A40" s="12" t="s">
        <v>595</v>
      </c>
      <c r="B40">
        <v>86</v>
      </c>
      <c r="C40" s="40">
        <v>0.2388888888888889</v>
      </c>
    </row>
    <row r="41" spans="1:6" x14ac:dyDescent="0.3">
      <c r="A41" s="12" t="s">
        <v>596</v>
      </c>
      <c r="B41">
        <v>274</v>
      </c>
      <c r="C41" s="40">
        <v>0.76111111111111107</v>
      </c>
    </row>
    <row r="42" spans="1:6" x14ac:dyDescent="0.3">
      <c r="A42" s="12" t="s">
        <v>527</v>
      </c>
      <c r="B42">
        <v>360</v>
      </c>
      <c r="C42" s="40">
        <v>1</v>
      </c>
    </row>
    <row r="47" spans="1:6" x14ac:dyDescent="0.3">
      <c r="A47" t="s">
        <v>598</v>
      </c>
      <c r="B47" t="s">
        <v>582</v>
      </c>
      <c r="C47" t="s">
        <v>583</v>
      </c>
      <c r="D47" t="s">
        <v>584</v>
      </c>
    </row>
    <row r="48" spans="1:6" x14ac:dyDescent="0.3">
      <c r="A48" t="s">
        <v>578</v>
      </c>
      <c r="B48" s="57" cm="1">
        <f t="array" ref="B48">AVERAGE(SUMIFS([0]!LineNetAmount,ComboFlag,"combo",OrderID,_xlfn.UNIQUE(_xlfn._xlws.FILTER(OrderID,ComboFlag="combo"))))</f>
        <v>544.19233372093049</v>
      </c>
      <c r="C48" s="57" cm="1">
        <f t="array" ref="C48">AVERAGE(SUMIFS([0]!LineNetAmount,ComboFlag,"single",OrderID,_xlfn.UNIQUE(_xlfn._xlws.FILTER(OrderID,ComboFlag="single"))))</f>
        <v>313.31054708029222</v>
      </c>
      <c r="D48" s="57">
        <f>(B48-C48)</f>
        <v>230.88178664063827</v>
      </c>
    </row>
    <row r="49" spans="1:13" x14ac:dyDescent="0.3">
      <c r="A49" t="s">
        <v>579</v>
      </c>
      <c r="B49" s="57" cm="1">
        <f t="array" ref="B49">AVERAGE(SUMIFS([0]!totalCOST,ComboFlag,"combo",OrderID,_xlfn.UNIQUE(_xlfn._xlws.FILTER(OrderID,ComboFlag="combo"))))</f>
        <v>265.39465116279069</v>
      </c>
      <c r="C49" s="57" cm="1">
        <f t="array" ref="C49">AVERAGE(SUMIFS([0]!totalCOST,ComboFlag,"single",OrderID,_xlfn.UNIQUE(_xlfn._xlws.FILTER(OrderID,ComboFlag="single"))))</f>
        <v>154.4721167883211</v>
      </c>
      <c r="D49" s="57">
        <f>B49-C49</f>
        <v>110.92253437446959</v>
      </c>
    </row>
    <row r="50" spans="1:13" x14ac:dyDescent="0.3">
      <c r="A50" t="s">
        <v>580</v>
      </c>
      <c r="B50" s="57" cm="1">
        <f t="array" ref="B50">AVERAGE(SUMIFS([0]!Profit,ComboFlag,"combo",OrderID,_xlfn.UNIQUE(_xlfn._xlws.FILTER(OrderID,ComboFlag="combo"))))</f>
        <v>278.7976825581394</v>
      </c>
      <c r="C50" s="57" cm="1">
        <f t="array" ref="C50">AVERAGE(SUMIFS([0]!Profit,ComboFlag,"single",OrderID,_xlfn.UNIQUE(_xlfn._xlws.FILTER(OrderID,ComboFlag="single"))))</f>
        <v>158.83843029197089</v>
      </c>
      <c r="D50" s="57">
        <f>B50-C50</f>
        <v>119.95925226616851</v>
      </c>
    </row>
    <row r="51" spans="1:13" x14ac:dyDescent="0.3">
      <c r="A51" t="s">
        <v>581</v>
      </c>
      <c r="B51" s="56">
        <f>SUMIFS([0]!Profit,ComboFlag,"combo")/SUMIFS([0]!LineNetAmount,ComboFlag,"combo")</f>
        <v>0.51231460879254287</v>
      </c>
      <c r="C51" s="56">
        <f>SUMIFS([0]!Profit,ComboFlag,"single")/SUMIFS([0]!LineNetAmount,ComboFlag,"single")</f>
        <v>0.50696802827791632</v>
      </c>
      <c r="D51" s="56">
        <f>B51-C51</f>
        <v>5.3465805146265533E-3</v>
      </c>
    </row>
    <row r="53" spans="1:13" ht="25.2" x14ac:dyDescent="0.5">
      <c r="A53" s="86" t="s">
        <v>638</v>
      </c>
      <c r="B53" s="86"/>
      <c r="C53" s="86"/>
      <c r="D53" s="86"/>
      <c r="E53" s="86"/>
    </row>
    <row r="55" spans="1:13" x14ac:dyDescent="0.3">
      <c r="M55" s="13"/>
    </row>
    <row r="58" spans="1:13" x14ac:dyDescent="0.3">
      <c r="A58" s="11" t="s">
        <v>616</v>
      </c>
      <c r="B58" t="s">
        <v>582</v>
      </c>
    </row>
    <row r="60" spans="1:13" x14ac:dyDescent="0.3">
      <c r="A60" t="s">
        <v>619</v>
      </c>
    </row>
    <row r="61" spans="1:13" x14ac:dyDescent="0.3">
      <c r="A61" s="97">
        <v>86</v>
      </c>
    </row>
    <row r="67" spans="1:2" x14ac:dyDescent="0.3">
      <c r="A67" s="11" t="s">
        <v>526</v>
      </c>
      <c r="B67" t="s">
        <v>619</v>
      </c>
    </row>
    <row r="68" spans="1:2" x14ac:dyDescent="0.3">
      <c r="A68" s="12" t="s">
        <v>582</v>
      </c>
      <c r="B68" s="40">
        <v>0.2388888888888889</v>
      </c>
    </row>
    <row r="69" spans="1:2" x14ac:dyDescent="0.3">
      <c r="A69" s="12" t="s">
        <v>583</v>
      </c>
      <c r="B69" s="40">
        <v>0.76111111111111107</v>
      </c>
    </row>
    <row r="70" spans="1:2" x14ac:dyDescent="0.3">
      <c r="A70" s="12" t="s">
        <v>527</v>
      </c>
      <c r="B70" s="40">
        <v>1</v>
      </c>
    </row>
    <row r="76" spans="1:2" x14ac:dyDescent="0.3">
      <c r="A76" s="11" t="s">
        <v>526</v>
      </c>
      <c r="B76" t="s">
        <v>620</v>
      </c>
    </row>
    <row r="77" spans="1:2" x14ac:dyDescent="0.3">
      <c r="A77" s="12" t="s">
        <v>582</v>
      </c>
      <c r="B77" s="39">
        <v>544.19233372093049</v>
      </c>
    </row>
    <row r="78" spans="1:2" x14ac:dyDescent="0.3">
      <c r="A78" s="12" t="s">
        <v>583</v>
      </c>
      <c r="B78" s="39">
        <v>313.31054708029222</v>
      </c>
    </row>
    <row r="79" spans="1:2" x14ac:dyDescent="0.3">
      <c r="A79" s="12" t="s">
        <v>527</v>
      </c>
      <c r="B79" s="39">
        <v>368.46564055555575</v>
      </c>
    </row>
    <row r="85" spans="1:4" x14ac:dyDescent="0.3">
      <c r="A85" s="11" t="s">
        <v>526</v>
      </c>
      <c r="B85" t="s">
        <v>621</v>
      </c>
    </row>
    <row r="86" spans="1:4" x14ac:dyDescent="0.3">
      <c r="A86" s="12" t="s">
        <v>582</v>
      </c>
      <c r="B86" s="39">
        <v>278.79768255813946</v>
      </c>
    </row>
    <row r="87" spans="1:4" x14ac:dyDescent="0.3">
      <c r="A87" s="12" t="s">
        <v>583</v>
      </c>
      <c r="B87" s="39">
        <v>158.83843029197089</v>
      </c>
    </row>
    <row r="88" spans="1:4" x14ac:dyDescent="0.3">
      <c r="A88" s="12" t="s">
        <v>527</v>
      </c>
      <c r="B88" s="39">
        <v>187.4953627777777</v>
      </c>
    </row>
    <row r="93" spans="1:4" x14ac:dyDescent="0.3">
      <c r="B93" s="11" t="s">
        <v>618</v>
      </c>
    </row>
    <row r="94" spans="1:4" x14ac:dyDescent="0.3">
      <c r="A94" s="11" t="s">
        <v>622</v>
      </c>
      <c r="B94" t="s">
        <v>582</v>
      </c>
      <c r="C94" t="s">
        <v>583</v>
      </c>
      <c r="D94" t="s">
        <v>625</v>
      </c>
    </row>
    <row r="95" spans="1:4" x14ac:dyDescent="0.3">
      <c r="A95" s="12" t="s">
        <v>620</v>
      </c>
      <c r="B95" s="39">
        <v>544.19233372093049</v>
      </c>
      <c r="C95" s="39">
        <v>313.31054708029222</v>
      </c>
      <c r="D95" s="40">
        <f>($B95-$C95)/$C95</f>
        <v>0.73691035553128093</v>
      </c>
    </row>
    <row r="96" spans="1:4" x14ac:dyDescent="0.3">
      <c r="A96" s="12" t="s">
        <v>623</v>
      </c>
      <c r="B96" s="39">
        <v>265.39465116279069</v>
      </c>
      <c r="C96" s="39">
        <v>154.4721167883211</v>
      </c>
      <c r="D96" s="40">
        <f t="shared" ref="D96:D97" si="0">($B96-$C96)/$C96</f>
        <v>0.7180748000396141</v>
      </c>
    </row>
    <row r="97" spans="1:4" x14ac:dyDescent="0.3">
      <c r="A97" s="12" t="s">
        <v>621</v>
      </c>
      <c r="B97" s="39">
        <v>278.79768255813946</v>
      </c>
      <c r="C97" s="39">
        <v>158.83843029197089</v>
      </c>
      <c r="D97" s="40">
        <f t="shared" si="0"/>
        <v>0.75522813997635163</v>
      </c>
    </row>
    <row r="98" spans="1:4" x14ac:dyDescent="0.3">
      <c r="A98" s="12" t="s">
        <v>624</v>
      </c>
      <c r="B98" s="72">
        <v>51.231460879254357</v>
      </c>
      <c r="C98" s="72">
        <v>50.696802827791664</v>
      </c>
      <c r="D98" s="70">
        <f>(B98-C98)</f>
        <v>0.53465805146269219</v>
      </c>
    </row>
    <row r="99" spans="1:4" x14ac:dyDescent="0.3">
      <c r="D99" s="72"/>
    </row>
    <row r="104" spans="1:4" x14ac:dyDescent="0.3">
      <c r="A104" s="11" t="s">
        <v>619</v>
      </c>
      <c r="B104" s="11" t="s">
        <v>618</v>
      </c>
    </row>
    <row r="105" spans="1:4" x14ac:dyDescent="0.3">
      <c r="A105" s="11" t="s">
        <v>526</v>
      </c>
      <c r="B105" s="97" t="s">
        <v>582</v>
      </c>
      <c r="C105" t="s">
        <v>583</v>
      </c>
    </row>
    <row r="106" spans="1:4" x14ac:dyDescent="0.3">
      <c r="A106" s="12" t="s">
        <v>9</v>
      </c>
      <c r="B106" s="40">
        <v>0.28925619834710742</v>
      </c>
      <c r="C106" s="40">
        <v>0.71074380165289253</v>
      </c>
    </row>
    <row r="107" spans="1:4" x14ac:dyDescent="0.3">
      <c r="A107" s="12" t="s">
        <v>27</v>
      </c>
      <c r="B107" s="40">
        <v>0.13761467889908258</v>
      </c>
      <c r="C107" s="40">
        <v>0.86238532110091748</v>
      </c>
    </row>
    <row r="108" spans="1:4" x14ac:dyDescent="0.3">
      <c r="A108" s="12" t="s">
        <v>15</v>
      </c>
      <c r="B108" s="40">
        <v>0.27692307692307694</v>
      </c>
      <c r="C108" s="40">
        <v>0.72307692307692306</v>
      </c>
    </row>
    <row r="115" spans="1:3" x14ac:dyDescent="0.3">
      <c r="A115" s="11" t="s">
        <v>619</v>
      </c>
      <c r="B115" s="11" t="s">
        <v>618</v>
      </c>
    </row>
    <row r="116" spans="1:3" x14ac:dyDescent="0.3">
      <c r="A116" s="11" t="s">
        <v>526</v>
      </c>
      <c r="B116" t="s">
        <v>582</v>
      </c>
      <c r="C116" t="s">
        <v>583</v>
      </c>
    </row>
    <row r="117" spans="1:3" x14ac:dyDescent="0.3">
      <c r="A117" s="12" t="s">
        <v>12</v>
      </c>
      <c r="B117" s="40">
        <v>0.22598870056497175</v>
      </c>
      <c r="C117" s="40">
        <v>0.77401129943502822</v>
      </c>
    </row>
    <row r="118" spans="1:3" x14ac:dyDescent="0.3">
      <c r="A118" s="12" t="s">
        <v>18</v>
      </c>
      <c r="B118" s="40">
        <v>0.2818181818181818</v>
      </c>
      <c r="C118" s="40">
        <v>0.71818181818181814</v>
      </c>
    </row>
    <row r="119" spans="1:3" x14ac:dyDescent="0.3">
      <c r="A119" s="12" t="s">
        <v>22</v>
      </c>
      <c r="B119" s="40">
        <v>0.20547945205479451</v>
      </c>
      <c r="C119" s="40">
        <v>0.79452054794520544</v>
      </c>
    </row>
    <row r="127" spans="1:3" x14ac:dyDescent="0.3">
      <c r="A127" s="11" t="s">
        <v>526</v>
      </c>
      <c r="B127" t="s">
        <v>637</v>
      </c>
    </row>
    <row r="128" spans="1:3" x14ac:dyDescent="0.3">
      <c r="A128" s="12" t="s">
        <v>628</v>
      </c>
      <c r="B128" s="97">
        <v>9</v>
      </c>
    </row>
    <row r="129" spans="1:2" x14ac:dyDescent="0.3">
      <c r="A129" s="12" t="s">
        <v>635</v>
      </c>
      <c r="B129" s="97">
        <v>18</v>
      </c>
    </row>
    <row r="130" spans="1:2" x14ac:dyDescent="0.3">
      <c r="A130" s="12" t="s">
        <v>629</v>
      </c>
      <c r="B130" s="97">
        <v>22</v>
      </c>
    </row>
    <row r="131" spans="1:2" x14ac:dyDescent="0.3">
      <c r="A131" s="12" t="s">
        <v>634</v>
      </c>
      <c r="B131" s="97">
        <v>23</v>
      </c>
    </row>
    <row r="132" spans="1:2" x14ac:dyDescent="0.3">
      <c r="A132" s="12" t="s">
        <v>626</v>
      </c>
      <c r="B132" s="97">
        <v>23</v>
      </c>
    </row>
    <row r="133" spans="1:2" x14ac:dyDescent="0.3">
      <c r="A133" s="12" t="s">
        <v>631</v>
      </c>
      <c r="B133" s="97">
        <v>25</v>
      </c>
    </row>
    <row r="134" spans="1:2" x14ac:dyDescent="0.3">
      <c r="A134" s="12" t="s">
        <v>630</v>
      </c>
      <c r="B134" s="97">
        <v>25</v>
      </c>
    </row>
    <row r="135" spans="1:2" x14ac:dyDescent="0.3">
      <c r="A135" s="12" t="s">
        <v>633</v>
      </c>
      <c r="B135" s="97">
        <v>27</v>
      </c>
    </row>
    <row r="136" spans="1:2" x14ac:dyDescent="0.3">
      <c r="A136" s="12" t="s">
        <v>627</v>
      </c>
      <c r="B136" s="97">
        <v>27</v>
      </c>
    </row>
    <row r="137" spans="1:2" x14ac:dyDescent="0.3">
      <c r="A137" s="12" t="s">
        <v>636</v>
      </c>
      <c r="B137" s="97">
        <v>28</v>
      </c>
    </row>
    <row r="138" spans="1:2" x14ac:dyDescent="0.3">
      <c r="A138" s="12" t="s">
        <v>632</v>
      </c>
      <c r="B138" s="97">
        <v>31</v>
      </c>
    </row>
    <row r="139" spans="1:2" x14ac:dyDescent="0.3">
      <c r="A139" s="12" t="s">
        <v>527</v>
      </c>
      <c r="B139" s="97">
        <v>258</v>
      </c>
    </row>
  </sheetData>
  <mergeCells count="3">
    <mergeCell ref="A7:B7"/>
    <mergeCell ref="B6:E6"/>
    <mergeCell ref="A53:E53"/>
  </mergeCells>
  <pageMargins left="0.7" right="0.7" top="0.75" bottom="0.75" header="0.3" footer="0.3"/>
  <pageSetup orientation="portrait" r:id="rId10"/>
  <drawing r:id="rId11"/>
  <tableParts count="1">
    <tablePart r:id="rId12"/>
  </tableParts>
  <extLst>
    <ext xmlns:x14="http://schemas.microsoft.com/office/spreadsheetml/2009/9/main" uri="{A8765BA9-456A-4dab-B4F3-ACF838C121DE}">
      <x14:slicerList>
        <x14:slicer r:id="rId1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05D27-54B3-48DC-8166-9AFD6EB63689}">
  <dimension ref="A1:S22"/>
  <sheetViews>
    <sheetView showGridLines="0" tabSelected="1" workbookViewId="0">
      <selection activeCell="P18" sqref="P18"/>
    </sheetView>
  </sheetViews>
  <sheetFormatPr defaultRowHeight="14.4" x14ac:dyDescent="0.3"/>
  <cols>
    <col min="5" max="5" width="12.21875" customWidth="1"/>
    <col min="10" max="10" width="21.109375" customWidth="1"/>
    <col min="18" max="18" width="21.109375" customWidth="1"/>
  </cols>
  <sheetData>
    <row r="1" spans="1:19" ht="21" x14ac:dyDescent="0.4">
      <c r="A1" s="79" t="s">
        <v>640</v>
      </c>
      <c r="B1" s="79"/>
      <c r="C1" s="79"/>
      <c r="D1" s="79"/>
      <c r="E1" s="79"/>
      <c r="F1" s="79"/>
      <c r="G1" s="79"/>
      <c r="H1" s="79"/>
      <c r="I1" s="79"/>
      <c r="J1" s="79"/>
      <c r="K1" s="79"/>
      <c r="L1" s="79"/>
      <c r="M1" s="79"/>
      <c r="N1" s="79"/>
      <c r="O1" s="79"/>
      <c r="P1" s="79"/>
      <c r="Q1" s="79"/>
    </row>
    <row r="3" spans="1:19" ht="15.6" x14ac:dyDescent="0.3">
      <c r="E3" s="90" t="s">
        <v>641</v>
      </c>
      <c r="F3" s="74"/>
      <c r="G3" s="92" t="s">
        <v>642</v>
      </c>
      <c r="H3" s="92"/>
      <c r="I3" s="74"/>
      <c r="J3" s="94" t="s">
        <v>643</v>
      </c>
      <c r="K3" s="74"/>
      <c r="L3" s="92" t="s">
        <v>644</v>
      </c>
      <c r="M3" s="92"/>
    </row>
    <row r="4" spans="1:19" ht="15.6" x14ac:dyDescent="0.3">
      <c r="E4" s="91">
        <f>GETPIVOTDATA("OrderID",pivots!$A$60)</f>
        <v>86</v>
      </c>
      <c r="F4" s="74"/>
      <c r="G4" s="93">
        <f>GETPIVOTDATA("OrderID",pivots!$A$67,"combo flag","combo")</f>
        <v>0.2388888888888889</v>
      </c>
      <c r="H4" s="93"/>
      <c r="I4" s="74"/>
      <c r="J4" s="95">
        <f>GETPIVOTDATA("LineAmount",pivots!$A$76,"combo flag","combo")</f>
        <v>544.19233372093049</v>
      </c>
      <c r="K4" s="74"/>
      <c r="L4" s="96">
        <f>GETPIVOTDATA("GrossProfit",pivots!$A$85,"combo flag","combo")</f>
        <v>278.79768255813946</v>
      </c>
      <c r="M4" s="96"/>
    </row>
    <row r="6" spans="1:19" ht="25.8" x14ac:dyDescent="0.5">
      <c r="K6" s="73"/>
    </row>
    <row r="7" spans="1:19" x14ac:dyDescent="0.3">
      <c r="R7" s="75" t="s">
        <v>645</v>
      </c>
      <c r="S7" s="9" t="s">
        <v>646</v>
      </c>
    </row>
    <row r="8" spans="1:19" x14ac:dyDescent="0.3">
      <c r="R8" s="76" t="s">
        <v>425</v>
      </c>
      <c r="S8" t="s">
        <v>424</v>
      </c>
    </row>
    <row r="9" spans="1:19" x14ac:dyDescent="0.3">
      <c r="R9" s="76" t="s">
        <v>444</v>
      </c>
      <c r="S9" t="s">
        <v>446</v>
      </c>
    </row>
    <row r="10" spans="1:19" x14ac:dyDescent="0.3">
      <c r="R10" t="s">
        <v>647</v>
      </c>
      <c r="S10" s="62">
        <v>0.1</v>
      </c>
    </row>
    <row r="11" spans="1:19" x14ac:dyDescent="0.3">
      <c r="R11" t="s">
        <v>648</v>
      </c>
      <c r="S11" s="39">
        <f>((_xlfn.XLOOKUP(S8,[0]!ItemName,Menu!UnitPrice)+_xlfn.XLOOKUP('Correct Dashboard'!S9,[0]!ItemName,Menu!UnitPrice))*(1-'Correct Dashboard'!S10))</f>
        <v>234.53100000000003</v>
      </c>
    </row>
    <row r="12" spans="1:19" x14ac:dyDescent="0.3">
      <c r="R12" t="s">
        <v>649</v>
      </c>
      <c r="S12">
        <f>_xlfn.XLOOKUP(S8,[0]!ItemName,Menu!UnitCost)+_xlfn.XLOOKUP(S9,[0]!ItemName,Menu!UnitCost)</f>
        <v>108.06</v>
      </c>
    </row>
    <row r="13" spans="1:19" x14ac:dyDescent="0.3">
      <c r="R13" t="s">
        <v>650</v>
      </c>
      <c r="S13" s="39">
        <f>S11-S12</f>
        <v>126.47100000000003</v>
      </c>
    </row>
    <row r="14" spans="1:19" x14ac:dyDescent="0.3">
      <c r="R14" t="s">
        <v>651</v>
      </c>
      <c r="S14" s="40">
        <f>(S11-S12)/S11</f>
        <v>0.53925067475088584</v>
      </c>
    </row>
    <row r="15" spans="1:19" x14ac:dyDescent="0.3">
      <c r="R15" t="s">
        <v>652</v>
      </c>
      <c r="S15">
        <f>_xlfn.XLOOKUP(_xlfn.XLOOKUP(S9,[0]!ItemName,Menu!SKU),Inventory!SKU,[0]!OnHandQty)</f>
        <v>174</v>
      </c>
    </row>
    <row r="18" spans="4:7" ht="15.6" x14ac:dyDescent="0.3">
      <c r="D18" s="77" t="s">
        <v>622</v>
      </c>
      <c r="E18" t="str">
        <f>pivots!B94</f>
        <v>combo</v>
      </c>
      <c r="F18" t="str">
        <f>pivots!C94</f>
        <v>single</v>
      </c>
      <c r="G18" t="str">
        <f>pivots!D94</f>
        <v>Difference%</v>
      </c>
    </row>
    <row r="19" spans="4:7" ht="15.6" x14ac:dyDescent="0.3">
      <c r="D19" s="78" t="s">
        <v>653</v>
      </c>
      <c r="E19">
        <f>pivots!B95</f>
        <v>544.19233372093049</v>
      </c>
      <c r="F19">
        <f>pivots!C95</f>
        <v>313.31054708029222</v>
      </c>
      <c r="G19">
        <f>pivots!D95</f>
        <v>0.73691035553128093</v>
      </c>
    </row>
    <row r="20" spans="4:7" ht="15.6" x14ac:dyDescent="0.3">
      <c r="D20" s="78" t="s">
        <v>654</v>
      </c>
      <c r="E20">
        <f>pivots!B96</f>
        <v>265.39465116279069</v>
      </c>
      <c r="F20">
        <f>pivots!C96</f>
        <v>154.4721167883211</v>
      </c>
      <c r="G20">
        <f>pivots!D96</f>
        <v>0.7180748000396141</v>
      </c>
    </row>
    <row r="21" spans="4:7" ht="15.6" x14ac:dyDescent="0.3">
      <c r="D21" s="78" t="s">
        <v>655</v>
      </c>
      <c r="E21">
        <f>pivots!B97</f>
        <v>278.79768255813946</v>
      </c>
      <c r="F21">
        <f>pivots!C97</f>
        <v>158.83843029197089</v>
      </c>
      <c r="G21">
        <f>pivots!D97</f>
        <v>0.75522813997635163</v>
      </c>
    </row>
    <row r="22" spans="4:7" ht="15.6" x14ac:dyDescent="0.3">
      <c r="D22" s="78" t="s">
        <v>558</v>
      </c>
      <c r="E22">
        <f>pivots!B98</f>
        <v>51.231460879254357</v>
      </c>
      <c r="F22">
        <f>pivots!C98</f>
        <v>50.696802827791664</v>
      </c>
      <c r="G22">
        <f>pivots!D98</f>
        <v>0.53465805146269219</v>
      </c>
    </row>
  </sheetData>
  <mergeCells count="5">
    <mergeCell ref="A1:Q1"/>
    <mergeCell ref="G3:H3"/>
    <mergeCell ref="L3:M3"/>
    <mergeCell ref="G4:H4"/>
    <mergeCell ref="L4:M4"/>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966B935E-1875-4D74-A7D3-C1A685B56F2B}">
          <x14:formula1>
            <xm:f>Menu!$B$2:$B$6</xm:f>
          </x14:formula1>
          <xm:sqref>S8</xm:sqref>
        </x14:dataValidation>
        <x14:dataValidation type="list" allowBlank="1" showInputMessage="1" showErrorMessage="1" xr:uid="{C577126E-9816-430E-914C-2A7BCA2A778E}">
          <x14:formula1>
            <xm:f>Menu!$B$12:$B$16</xm:f>
          </x14:formula1>
          <xm:sqref>S9</xm:sqref>
        </x14:dataValidation>
      </x14:dataValidations>
    </ex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06766-1A60-45C6-AE54-61A947889DFB}">
  <dimension ref="A13:I56"/>
  <sheetViews>
    <sheetView showGridLines="0" workbookViewId="0">
      <selection activeCell="F11" sqref="F11"/>
    </sheetView>
  </sheetViews>
  <sheetFormatPr defaultRowHeight="14.4" x14ac:dyDescent="0.3"/>
  <cols>
    <col min="1" max="1" width="19.88671875" customWidth="1"/>
    <col min="2" max="2" width="16.109375" customWidth="1"/>
    <col min="3" max="3" width="26" customWidth="1"/>
    <col min="4" max="4" width="24" customWidth="1"/>
    <col min="5" max="5" width="13.109375" customWidth="1"/>
    <col min="6" max="6" width="27.6640625" customWidth="1"/>
    <col min="7" max="7" width="11.6640625" customWidth="1"/>
    <col min="8" max="8" width="7.88671875" customWidth="1"/>
    <col min="9" max="9" width="17.6640625" customWidth="1"/>
    <col min="10" max="10" width="18.6640625" customWidth="1"/>
    <col min="11" max="11" width="10.6640625" customWidth="1"/>
    <col min="12" max="12" width="15.6640625" customWidth="1"/>
    <col min="13" max="13" width="17.6640625" customWidth="1"/>
    <col min="14" max="14" width="7.88671875" bestFit="1" customWidth="1"/>
    <col min="15" max="15" width="20.77734375" bestFit="1" customWidth="1"/>
    <col min="16" max="16" width="66.109375" bestFit="1" customWidth="1"/>
    <col min="17" max="17" width="16.5546875" bestFit="1" customWidth="1"/>
    <col min="18" max="18" width="44.109375" bestFit="1" customWidth="1"/>
    <col min="19" max="19" width="41.5546875" bestFit="1" customWidth="1"/>
    <col min="20" max="20" width="38.5546875" bestFit="1" customWidth="1"/>
    <col min="21" max="21" width="17.77734375" bestFit="1" customWidth="1"/>
    <col min="22" max="22" width="20.5546875" bestFit="1" customWidth="1"/>
    <col min="23" max="23" width="31.5546875" bestFit="1" customWidth="1"/>
    <col min="24" max="24" width="47.77734375" bestFit="1" customWidth="1"/>
    <col min="25" max="25" width="43.6640625" bestFit="1" customWidth="1"/>
    <col min="26" max="26" width="21" bestFit="1" customWidth="1"/>
    <col min="27" max="27" width="25.109375" bestFit="1" customWidth="1"/>
    <col min="28" max="28" width="11.88671875" bestFit="1" customWidth="1"/>
    <col min="29" max="29" width="16.6640625" bestFit="1" customWidth="1"/>
    <col min="30" max="30" width="47.33203125" bestFit="1" customWidth="1"/>
    <col min="31" max="31" width="12.109375" bestFit="1" customWidth="1"/>
    <col min="32" max="32" width="47.21875" bestFit="1" customWidth="1"/>
    <col min="33" max="33" width="20.21875" bestFit="1" customWidth="1"/>
    <col min="34" max="34" width="41.6640625" bestFit="1" customWidth="1"/>
    <col min="35" max="35" width="26.88671875" bestFit="1" customWidth="1"/>
    <col min="36" max="36" width="29.77734375" bestFit="1" customWidth="1"/>
    <col min="37" max="37" width="44.88671875" bestFit="1" customWidth="1"/>
    <col min="38" max="38" width="27.5546875" bestFit="1" customWidth="1"/>
    <col min="39" max="39" width="64.44140625" bestFit="1" customWidth="1"/>
    <col min="40" max="40" width="19.88671875" bestFit="1" customWidth="1"/>
    <col min="41" max="41" width="33.109375" bestFit="1" customWidth="1"/>
    <col min="42" max="42" width="25.21875" bestFit="1" customWidth="1"/>
    <col min="43" max="43" width="38.33203125" bestFit="1" customWidth="1"/>
    <col min="44" max="44" width="6.5546875" bestFit="1" customWidth="1"/>
    <col min="45" max="45" width="21.109375" bestFit="1" customWidth="1"/>
    <col min="46" max="46" width="51.88671875" bestFit="1" customWidth="1"/>
    <col min="47" max="47" width="19.33203125" bestFit="1" customWidth="1"/>
    <col min="48" max="48" width="34" bestFit="1" customWidth="1"/>
    <col min="49" max="49" width="25.21875" bestFit="1" customWidth="1"/>
    <col min="50" max="50" width="19.21875" bestFit="1" customWidth="1"/>
    <col min="51" max="51" width="35.77734375" bestFit="1" customWidth="1"/>
    <col min="52" max="52" width="41.21875" bestFit="1" customWidth="1"/>
    <col min="53" max="53" width="32.33203125" bestFit="1" customWidth="1"/>
    <col min="54" max="54" width="23.21875" bestFit="1" customWidth="1"/>
    <col min="55" max="55" width="42" bestFit="1" customWidth="1"/>
    <col min="56" max="56" width="17.21875" bestFit="1" customWidth="1"/>
    <col min="57" max="57" width="25.109375" bestFit="1" customWidth="1"/>
    <col min="58" max="58" width="25" bestFit="1" customWidth="1"/>
    <col min="59" max="59" width="34" bestFit="1" customWidth="1"/>
    <col min="60" max="60" width="40.77734375" bestFit="1" customWidth="1"/>
    <col min="61" max="61" width="30.109375" bestFit="1" customWidth="1"/>
    <col min="62" max="62" width="14.44140625" bestFit="1" customWidth="1"/>
    <col min="63" max="63" width="40.109375" bestFit="1" customWidth="1"/>
    <col min="64" max="64" width="65.6640625" bestFit="1" customWidth="1"/>
    <col min="65" max="65" width="40" bestFit="1" customWidth="1"/>
    <col min="66" max="66" width="53.21875" bestFit="1" customWidth="1"/>
    <col min="67" max="67" width="42.33203125" bestFit="1" customWidth="1"/>
    <col min="68" max="68" width="23.21875" bestFit="1" customWidth="1"/>
    <col min="69" max="69" width="42" bestFit="1" customWidth="1"/>
    <col min="70" max="70" width="48.21875" bestFit="1" customWidth="1"/>
    <col min="71" max="71" width="54.77734375" bestFit="1" customWidth="1"/>
    <col min="72" max="72" width="31.21875" bestFit="1" customWidth="1"/>
    <col min="73" max="73" width="27.5546875" bestFit="1" customWidth="1"/>
    <col min="74" max="74" width="8.5546875" bestFit="1" customWidth="1"/>
    <col min="75" max="75" width="32.21875" bestFit="1" customWidth="1"/>
    <col min="76" max="76" width="16.5546875" bestFit="1" customWidth="1"/>
    <col min="77" max="77" width="43.88671875" bestFit="1" customWidth="1"/>
    <col min="78" max="78" width="15.21875" bestFit="1" customWidth="1"/>
    <col min="79" max="79" width="24.109375" bestFit="1" customWidth="1"/>
    <col min="80" max="80" width="34.109375" bestFit="1" customWidth="1"/>
    <col min="81" max="81" width="43.21875" bestFit="1" customWidth="1"/>
    <col min="82" max="82" width="26.5546875" bestFit="1" customWidth="1"/>
    <col min="83" max="83" width="32.33203125" bestFit="1" customWidth="1"/>
    <col min="84" max="84" width="21.77734375" bestFit="1" customWidth="1"/>
    <col min="85" max="85" width="12.5546875" bestFit="1" customWidth="1"/>
    <col min="86" max="86" width="36" bestFit="1" customWidth="1"/>
    <col min="87" max="87" width="43.44140625" bestFit="1" customWidth="1"/>
    <col min="88" max="88" width="22.88671875" bestFit="1" customWidth="1"/>
    <col min="89" max="89" width="17.33203125" bestFit="1" customWidth="1"/>
    <col min="90" max="90" width="51.21875" bestFit="1" customWidth="1"/>
    <col min="91" max="91" width="25.44140625" bestFit="1" customWidth="1"/>
    <col min="92" max="92" width="36.109375" bestFit="1" customWidth="1"/>
    <col min="93" max="93" width="50.21875" bestFit="1" customWidth="1"/>
    <col min="94" max="94" width="42.88671875" bestFit="1" customWidth="1"/>
    <col min="95" max="95" width="39.6640625" bestFit="1" customWidth="1"/>
    <col min="96" max="96" width="36.109375" bestFit="1" customWidth="1"/>
    <col min="97" max="97" width="30.109375" bestFit="1" customWidth="1"/>
    <col min="98" max="98" width="34.109375" bestFit="1" customWidth="1"/>
    <col min="99" max="99" width="43.33203125" bestFit="1" customWidth="1"/>
    <col min="100" max="100" width="28" bestFit="1" customWidth="1"/>
    <col min="101" max="101" width="38.33203125" bestFit="1" customWidth="1"/>
    <col min="102" max="102" width="42" bestFit="1" customWidth="1"/>
    <col min="103" max="103" width="36.109375" bestFit="1" customWidth="1"/>
    <col min="104" max="104" width="9.6640625" bestFit="1" customWidth="1"/>
    <col min="105" max="105" width="35.109375" bestFit="1" customWidth="1"/>
    <col min="106" max="106" width="43.77734375" bestFit="1" customWidth="1"/>
    <col min="107" max="107" width="29.33203125" bestFit="1" customWidth="1"/>
    <col min="108" max="108" width="29.88671875" bestFit="1" customWidth="1"/>
    <col min="109" max="109" width="20.88671875" bestFit="1" customWidth="1"/>
    <col min="110" max="110" width="34.21875" bestFit="1" customWidth="1"/>
    <col min="111" max="111" width="15.109375" bestFit="1" customWidth="1"/>
    <col min="112" max="112" width="52.44140625" bestFit="1" customWidth="1"/>
    <col min="113" max="113" width="31" bestFit="1" customWidth="1"/>
    <col min="114" max="114" width="28.33203125" bestFit="1" customWidth="1"/>
    <col min="115" max="115" width="48.88671875" bestFit="1" customWidth="1"/>
    <col min="116" max="116" width="12.44140625" bestFit="1" customWidth="1"/>
    <col min="117" max="117" width="25.5546875" bestFit="1" customWidth="1"/>
    <col min="118" max="118" width="42.109375" bestFit="1" customWidth="1"/>
    <col min="119" max="119" width="29.33203125" bestFit="1" customWidth="1"/>
    <col min="120" max="120" width="30.109375" bestFit="1" customWidth="1"/>
    <col min="121" max="121" width="23.5546875" bestFit="1" customWidth="1"/>
    <col min="122" max="122" width="38.5546875" bestFit="1" customWidth="1"/>
    <col min="123" max="123" width="23.21875" bestFit="1" customWidth="1"/>
    <col min="124" max="124" width="54.77734375" bestFit="1" customWidth="1"/>
    <col min="125" max="125" width="38.77734375" bestFit="1" customWidth="1"/>
    <col min="126" max="126" width="42.44140625" bestFit="1" customWidth="1"/>
    <col min="127" max="127" width="27" bestFit="1" customWidth="1"/>
    <col min="128" max="128" width="25.6640625" bestFit="1" customWidth="1"/>
    <col min="129" max="129" width="51.88671875" bestFit="1" customWidth="1"/>
    <col min="130" max="130" width="11" bestFit="1" customWidth="1"/>
    <col min="131" max="131" width="44.88671875" bestFit="1" customWidth="1"/>
    <col min="132" max="132" width="32.109375" bestFit="1" customWidth="1"/>
    <col min="133" max="133" width="43.33203125" bestFit="1" customWidth="1"/>
    <col min="134" max="134" width="23.44140625" bestFit="1" customWidth="1"/>
    <col min="135" max="135" width="32.21875" bestFit="1" customWidth="1"/>
    <col min="136" max="136" width="19.77734375" bestFit="1" customWidth="1"/>
    <col min="137" max="137" width="20.88671875" bestFit="1" customWidth="1"/>
    <col min="138" max="138" width="23.77734375" bestFit="1" customWidth="1"/>
    <col min="139" max="139" width="35.109375" bestFit="1" customWidth="1"/>
    <col min="140" max="140" width="61.33203125" bestFit="1" customWidth="1"/>
    <col min="141" max="141" width="37" bestFit="1" customWidth="1"/>
    <col min="142" max="142" width="38.6640625" bestFit="1" customWidth="1"/>
    <col min="143" max="143" width="30.6640625" bestFit="1" customWidth="1"/>
    <col min="144" max="144" width="52.88671875" bestFit="1" customWidth="1"/>
    <col min="145" max="145" width="18.77734375" bestFit="1" customWidth="1"/>
    <col min="146" max="146" width="15.109375" bestFit="1" customWidth="1"/>
    <col min="147" max="147" width="43.44140625" bestFit="1" customWidth="1"/>
    <col min="148" max="148" width="19.88671875" bestFit="1" customWidth="1"/>
    <col min="149" max="149" width="50.109375" bestFit="1" customWidth="1"/>
    <col min="150" max="150" width="10.77734375" bestFit="1" customWidth="1"/>
    <col min="151" max="151" width="23.77734375" bestFit="1" customWidth="1"/>
    <col min="152" max="152" width="32.109375" bestFit="1" customWidth="1"/>
    <col min="153" max="153" width="17.5546875" bestFit="1" customWidth="1"/>
    <col min="154" max="154" width="26.33203125" bestFit="1" customWidth="1"/>
    <col min="155" max="155" width="25.5546875" bestFit="1" customWidth="1"/>
    <col min="156" max="156" width="32.21875" bestFit="1" customWidth="1"/>
    <col min="157" max="157" width="19.5546875" bestFit="1" customWidth="1"/>
    <col min="158" max="158" width="30.88671875" bestFit="1" customWidth="1"/>
    <col min="159" max="159" width="28.33203125" bestFit="1" customWidth="1"/>
    <col min="160" max="160" width="54.21875" bestFit="1" customWidth="1"/>
    <col min="161" max="161" width="41.5546875" bestFit="1" customWidth="1"/>
    <col min="162" max="162" width="40.21875" bestFit="1" customWidth="1"/>
    <col min="163" max="163" width="35.5546875" bestFit="1" customWidth="1"/>
    <col min="164" max="164" width="31.6640625" bestFit="1" customWidth="1"/>
    <col min="165" max="165" width="49.21875" bestFit="1" customWidth="1"/>
    <col min="166" max="166" width="32.88671875" bestFit="1" customWidth="1"/>
    <col min="167" max="167" width="14.88671875" bestFit="1" customWidth="1"/>
    <col min="168" max="168" width="28" bestFit="1" customWidth="1"/>
    <col min="169" max="169" width="23.88671875" bestFit="1" customWidth="1"/>
    <col min="170" max="170" width="45.44140625" bestFit="1" customWidth="1"/>
    <col min="171" max="171" width="43.21875" bestFit="1" customWidth="1"/>
    <col min="172" max="172" width="25.77734375" bestFit="1" customWidth="1"/>
    <col min="173" max="173" width="38.77734375" bestFit="1" customWidth="1"/>
    <col min="174" max="174" width="47.109375" bestFit="1" customWidth="1"/>
    <col min="175" max="175" width="51.44140625" bestFit="1" customWidth="1"/>
    <col min="176" max="176" width="42.33203125" bestFit="1" customWidth="1"/>
    <col min="177" max="177" width="51.33203125" bestFit="1" customWidth="1"/>
    <col min="178" max="178" width="60.109375" bestFit="1" customWidth="1"/>
    <col min="179" max="179" width="40.44140625" bestFit="1" customWidth="1"/>
    <col min="180" max="180" width="49.21875" bestFit="1" customWidth="1"/>
    <col min="181" max="181" width="49.33203125" bestFit="1" customWidth="1"/>
    <col min="182" max="182" width="45.21875" bestFit="1" customWidth="1"/>
    <col min="183" max="183" width="43.33203125" bestFit="1" customWidth="1"/>
    <col min="184" max="184" width="35.6640625" bestFit="1" customWidth="1"/>
    <col min="185" max="185" width="50.44140625" bestFit="1" customWidth="1"/>
    <col min="186" max="186" width="57" bestFit="1" customWidth="1"/>
    <col min="187" max="187" width="56.109375" bestFit="1" customWidth="1"/>
    <col min="188" max="188" width="54.44140625" bestFit="1" customWidth="1"/>
    <col min="189" max="189" width="38" bestFit="1" customWidth="1"/>
    <col min="190" max="190" width="42.88671875" bestFit="1" customWidth="1"/>
    <col min="191" max="191" width="38" bestFit="1" customWidth="1"/>
    <col min="192" max="192" width="53.33203125" bestFit="1" customWidth="1"/>
    <col min="193" max="193" width="10.44140625" bestFit="1" customWidth="1"/>
    <col min="194" max="194" width="23.44140625" bestFit="1" customWidth="1"/>
    <col min="195" max="195" width="35.88671875" bestFit="1" customWidth="1"/>
    <col min="196" max="196" width="34.77734375" bestFit="1" customWidth="1"/>
    <col min="197" max="197" width="18.5546875" bestFit="1" customWidth="1"/>
    <col min="198" max="198" width="42.88671875" bestFit="1" customWidth="1"/>
    <col min="199" max="199" width="45.33203125" bestFit="1" customWidth="1"/>
    <col min="200" max="200" width="31.77734375" bestFit="1" customWidth="1"/>
    <col min="201" max="201" width="40.88671875" bestFit="1" customWidth="1"/>
    <col min="202" max="202" width="36.21875" bestFit="1" customWidth="1"/>
    <col min="203" max="203" width="41.6640625" bestFit="1" customWidth="1"/>
    <col min="204" max="204" width="31.6640625" bestFit="1" customWidth="1"/>
    <col min="205" max="205" width="34.77734375" bestFit="1" customWidth="1"/>
    <col min="206" max="206" width="30.5546875" bestFit="1" customWidth="1"/>
    <col min="207" max="207" width="29.6640625" bestFit="1" customWidth="1"/>
    <col min="208" max="208" width="50.21875" bestFit="1" customWidth="1"/>
    <col min="209" max="209" width="18.21875" bestFit="1" customWidth="1"/>
    <col min="210" max="210" width="5.33203125" bestFit="1" customWidth="1"/>
    <col min="211" max="211" width="18.21875" bestFit="1" customWidth="1"/>
    <col min="212" max="212" width="39.5546875" bestFit="1" customWidth="1"/>
    <col min="213" max="213" width="25" bestFit="1" customWidth="1"/>
    <col min="214" max="214" width="32" bestFit="1" customWidth="1"/>
    <col min="215" max="215" width="15.88671875" bestFit="1" customWidth="1"/>
    <col min="216" max="216" width="18.44140625" bestFit="1" customWidth="1"/>
    <col min="217" max="217" width="27.21875" bestFit="1" customWidth="1"/>
    <col min="218" max="218" width="24.21875" bestFit="1" customWidth="1"/>
    <col min="219" max="219" width="29.88671875" bestFit="1" customWidth="1"/>
    <col min="220" max="220" width="14.109375" bestFit="1" customWidth="1"/>
    <col min="221" max="221" width="12.88671875" bestFit="1" customWidth="1"/>
    <col min="222" max="222" width="25.44140625" bestFit="1" customWidth="1"/>
    <col min="223" max="223" width="30.44140625" bestFit="1" customWidth="1"/>
    <col min="224" max="224" width="43.109375" bestFit="1" customWidth="1"/>
    <col min="225" max="225" width="22.88671875" bestFit="1" customWidth="1"/>
    <col min="226" max="226" width="36.77734375" bestFit="1" customWidth="1"/>
    <col min="227" max="227" width="41.88671875" bestFit="1" customWidth="1"/>
    <col min="228" max="228" width="55.88671875" bestFit="1" customWidth="1"/>
    <col min="229" max="229" width="30.33203125" bestFit="1" customWidth="1"/>
    <col min="230" max="230" width="17" bestFit="1" customWidth="1"/>
    <col min="231" max="231" width="38.5546875" bestFit="1" customWidth="1"/>
    <col min="232" max="232" width="52.109375" bestFit="1" customWidth="1"/>
    <col min="233" max="233" width="7.5546875" bestFit="1" customWidth="1"/>
    <col min="234" max="234" width="15.5546875" bestFit="1" customWidth="1"/>
    <col min="235" max="235" width="32.6640625" bestFit="1" customWidth="1"/>
    <col min="236" max="236" width="25.44140625" bestFit="1" customWidth="1"/>
    <col min="237" max="237" width="22.21875" bestFit="1" customWidth="1"/>
    <col min="238" max="238" width="31" bestFit="1" customWidth="1"/>
    <col min="239" max="239" width="38.21875" bestFit="1" customWidth="1"/>
    <col min="240" max="240" width="39.44140625" bestFit="1" customWidth="1"/>
    <col min="241" max="241" width="48.109375" bestFit="1" customWidth="1"/>
    <col min="242" max="242" width="38.33203125" bestFit="1" customWidth="1"/>
    <col min="243" max="243" width="32.5546875" bestFit="1" customWidth="1"/>
    <col min="244" max="244" width="18.21875" bestFit="1" customWidth="1"/>
    <col min="245" max="245" width="34.21875" bestFit="1" customWidth="1"/>
    <col min="246" max="246" width="24.6640625" bestFit="1" customWidth="1"/>
    <col min="247" max="247" width="16.33203125" bestFit="1" customWidth="1"/>
    <col min="248" max="248" width="28.77734375" bestFit="1" customWidth="1"/>
    <col min="249" max="249" width="4" bestFit="1" customWidth="1"/>
    <col min="250" max="250" width="11.88671875" bestFit="1" customWidth="1"/>
    <col min="251" max="251" width="28.5546875" bestFit="1" customWidth="1"/>
    <col min="252" max="252" width="16.21875" bestFit="1" customWidth="1"/>
    <col min="253" max="253" width="21.44140625" bestFit="1" customWidth="1"/>
    <col min="254" max="254" width="26.88671875" bestFit="1" customWidth="1"/>
    <col min="255" max="255" width="16.5546875" bestFit="1" customWidth="1"/>
    <col min="256" max="256" width="29.6640625" bestFit="1" customWidth="1"/>
    <col min="257" max="257" width="49.21875" bestFit="1" customWidth="1"/>
    <col min="258" max="258" width="17" bestFit="1" customWidth="1"/>
    <col min="259" max="259" width="34.6640625" bestFit="1" customWidth="1"/>
    <col min="260" max="260" width="11.5546875" bestFit="1" customWidth="1"/>
    <col min="261" max="261" width="24.6640625" bestFit="1" customWidth="1"/>
    <col min="262" max="262" width="36.21875" bestFit="1" customWidth="1"/>
    <col min="263" max="263" width="12.77734375" bestFit="1" customWidth="1"/>
    <col min="264" max="264" width="25.88671875" bestFit="1" customWidth="1"/>
    <col min="265" max="265" width="42.44140625" bestFit="1" customWidth="1"/>
    <col min="266" max="267" width="38.109375" bestFit="1" customWidth="1"/>
    <col min="268" max="268" width="21.6640625" bestFit="1" customWidth="1"/>
    <col min="269" max="269" width="32.6640625" bestFit="1" customWidth="1"/>
    <col min="270" max="270" width="39.21875" bestFit="1" customWidth="1"/>
    <col min="271" max="271" width="61.5546875" bestFit="1" customWidth="1"/>
    <col min="272" max="272" width="38.6640625" bestFit="1" customWidth="1"/>
    <col min="273" max="273" width="41.44140625" bestFit="1" customWidth="1"/>
    <col min="274" max="274" width="68.88671875" bestFit="1" customWidth="1"/>
    <col min="275" max="275" width="64.6640625" bestFit="1" customWidth="1"/>
    <col min="276" max="276" width="39.21875" bestFit="1" customWidth="1"/>
    <col min="277" max="277" width="18.33203125" bestFit="1" customWidth="1"/>
    <col min="278" max="278" width="16.88671875" bestFit="1" customWidth="1"/>
    <col min="279" max="279" width="8.6640625" bestFit="1" customWidth="1"/>
    <col min="280" max="280" width="44.5546875" bestFit="1" customWidth="1"/>
    <col min="281" max="281" width="47.44140625" bestFit="1" customWidth="1"/>
    <col min="282" max="282" width="26.21875" bestFit="1" customWidth="1"/>
    <col min="283" max="283" width="42.6640625" bestFit="1" customWidth="1"/>
    <col min="284" max="284" width="21.44140625" bestFit="1" customWidth="1"/>
    <col min="285" max="285" width="28.109375" bestFit="1" customWidth="1"/>
    <col min="286" max="286" width="45.5546875" bestFit="1" customWidth="1"/>
    <col min="287" max="287" width="38.6640625" bestFit="1" customWidth="1"/>
    <col min="288" max="288" width="33" bestFit="1" customWidth="1"/>
    <col min="289" max="289" width="14.109375" bestFit="1" customWidth="1"/>
    <col min="290" max="290" width="21.88671875" bestFit="1" customWidth="1"/>
    <col min="291" max="291" width="36.5546875" bestFit="1" customWidth="1"/>
    <col min="292" max="292" width="46.5546875" bestFit="1" customWidth="1"/>
    <col min="293" max="293" width="12.6640625" bestFit="1" customWidth="1"/>
    <col min="294" max="294" width="21.77734375" bestFit="1" customWidth="1"/>
    <col min="295" max="295" width="10.77734375" bestFit="1" customWidth="1"/>
    <col min="296" max="296" width="7.109375" bestFit="1" customWidth="1"/>
    <col min="297" max="297" width="6" bestFit="1" customWidth="1"/>
    <col min="298" max="298" width="25.44140625" bestFit="1" customWidth="1"/>
    <col min="299" max="299" width="6" bestFit="1" customWidth="1"/>
    <col min="300" max="300" width="34.21875" bestFit="1" customWidth="1"/>
    <col min="301" max="301" width="8.6640625" bestFit="1" customWidth="1"/>
    <col min="302" max="302" width="6" bestFit="1" customWidth="1"/>
    <col min="303" max="303" width="21.77734375" bestFit="1" customWidth="1"/>
    <col min="304" max="304" width="6" bestFit="1" customWidth="1"/>
    <col min="305" max="305" width="22.88671875" bestFit="1" customWidth="1"/>
    <col min="306" max="306" width="6" bestFit="1" customWidth="1"/>
    <col min="307" max="307" width="25.77734375" bestFit="1" customWidth="1"/>
    <col min="308" max="308" width="6" bestFit="1" customWidth="1"/>
    <col min="309" max="309" width="37.109375" bestFit="1" customWidth="1"/>
    <col min="310" max="310" width="6" bestFit="1" customWidth="1"/>
    <col min="311" max="311" width="63.33203125" bestFit="1" customWidth="1"/>
    <col min="312" max="312" width="8.6640625" bestFit="1" customWidth="1"/>
    <col min="313" max="313" width="6" bestFit="1" customWidth="1"/>
    <col min="314" max="314" width="39" bestFit="1" customWidth="1"/>
    <col min="315" max="315" width="6" bestFit="1" customWidth="1"/>
    <col min="316" max="316" width="40.6640625" bestFit="1" customWidth="1"/>
    <col min="317" max="317" width="6" bestFit="1" customWidth="1"/>
    <col min="318" max="318" width="32.6640625" bestFit="1" customWidth="1"/>
    <col min="319" max="319" width="6" bestFit="1" customWidth="1"/>
    <col min="320" max="320" width="54.88671875" bestFit="1" customWidth="1"/>
    <col min="321" max="321" width="7.109375" bestFit="1" customWidth="1"/>
    <col min="322" max="322" width="8.6640625" bestFit="1" customWidth="1"/>
    <col min="323" max="323" width="6" bestFit="1" customWidth="1"/>
    <col min="324" max="324" width="20.77734375" bestFit="1" customWidth="1"/>
    <col min="325" max="325" width="17.109375" bestFit="1" customWidth="1"/>
    <col min="326" max="326" width="6" bestFit="1" customWidth="1"/>
    <col min="327" max="327" width="45.44140625" bestFit="1" customWidth="1"/>
    <col min="328" max="328" width="7.109375" bestFit="1" customWidth="1"/>
    <col min="329" max="329" width="6" bestFit="1" customWidth="1"/>
    <col min="330" max="330" width="21.88671875" bestFit="1" customWidth="1"/>
    <col min="331" max="331" width="6" bestFit="1" customWidth="1"/>
    <col min="332" max="332" width="52.109375" bestFit="1" customWidth="1"/>
    <col min="333" max="333" width="8.6640625" bestFit="1" customWidth="1"/>
    <col min="334" max="334" width="6" bestFit="1" customWidth="1"/>
    <col min="335" max="335" width="12.77734375" bestFit="1" customWidth="1"/>
    <col min="336" max="336" width="25.77734375" bestFit="1" customWidth="1"/>
    <col min="337" max="337" width="34.109375" bestFit="1" customWidth="1"/>
    <col min="338" max="338" width="8.6640625" bestFit="1" customWidth="1"/>
    <col min="339" max="339" width="19.5546875" bestFit="1" customWidth="1"/>
    <col min="340" max="340" width="28.33203125" bestFit="1" customWidth="1"/>
    <col min="341" max="341" width="7.109375" bestFit="1" customWidth="1"/>
    <col min="342" max="342" width="27.5546875" bestFit="1" customWidth="1"/>
    <col min="343" max="343" width="8.6640625" bestFit="1" customWidth="1"/>
    <col min="344" max="344" width="34.21875" bestFit="1" customWidth="1"/>
    <col min="345" max="345" width="8.6640625" bestFit="1" customWidth="1"/>
    <col min="346" max="346" width="21.5546875" bestFit="1" customWidth="1"/>
    <col min="347" max="347" width="7.109375" bestFit="1" customWidth="1"/>
    <col min="348" max="348" width="32.88671875" bestFit="1" customWidth="1"/>
    <col min="349" max="349" width="7.109375" bestFit="1" customWidth="1"/>
    <col min="350" max="350" width="6" bestFit="1" customWidth="1"/>
    <col min="351" max="351" width="30.33203125" bestFit="1" customWidth="1"/>
    <col min="352" max="352" width="7.109375" bestFit="1" customWidth="1"/>
    <col min="353" max="353" width="56.21875" bestFit="1" customWidth="1"/>
    <col min="354" max="354" width="7.109375" bestFit="1" customWidth="1"/>
    <col min="355" max="355" width="43.5546875" bestFit="1" customWidth="1"/>
    <col min="356" max="356" width="7.109375" bestFit="1" customWidth="1"/>
    <col min="357" max="357" width="8.6640625" bestFit="1" customWidth="1"/>
    <col min="358" max="358" width="42.21875" bestFit="1" customWidth="1"/>
    <col min="359" max="359" width="7.109375" bestFit="1" customWidth="1"/>
    <col min="360" max="360" width="6" bestFit="1" customWidth="1"/>
    <col min="361" max="361" width="37.5546875" bestFit="1" customWidth="1"/>
    <col min="362" max="362" width="7.109375" bestFit="1" customWidth="1"/>
    <col min="363" max="363" width="6" bestFit="1" customWidth="1"/>
    <col min="364" max="364" width="33.6640625" bestFit="1" customWidth="1"/>
    <col min="365" max="365" width="7.109375" bestFit="1" customWidth="1"/>
    <col min="366" max="366" width="51.21875" bestFit="1" customWidth="1"/>
    <col min="367" max="367" width="8.6640625" bestFit="1" customWidth="1"/>
    <col min="368" max="368" width="34.88671875" bestFit="1" customWidth="1"/>
    <col min="369" max="369" width="8.6640625" bestFit="1" customWidth="1"/>
    <col min="370" max="370" width="6" bestFit="1" customWidth="1"/>
    <col min="371" max="371" width="16.88671875" bestFit="1" customWidth="1"/>
    <col min="372" max="372" width="30" bestFit="1" customWidth="1"/>
    <col min="373" max="373" width="6" bestFit="1" customWidth="1"/>
    <col min="374" max="374" width="25.88671875" bestFit="1" customWidth="1"/>
    <col min="375" max="375" width="6" bestFit="1" customWidth="1"/>
    <col min="376" max="376" width="47.44140625" bestFit="1" customWidth="1"/>
    <col min="377" max="377" width="7.109375" bestFit="1" customWidth="1"/>
    <col min="378" max="378" width="6" bestFit="1" customWidth="1"/>
    <col min="379" max="379" width="45.21875" bestFit="1" customWidth="1"/>
    <col min="380" max="380" width="7.109375" bestFit="1" customWidth="1"/>
    <col min="381" max="381" width="8.6640625" bestFit="1" customWidth="1"/>
    <col min="382" max="382" width="27.77734375" bestFit="1" customWidth="1"/>
    <col min="383" max="383" width="40.77734375" bestFit="1" customWidth="1"/>
    <col min="384" max="384" width="8.6640625" bestFit="1" customWidth="1"/>
    <col min="385" max="385" width="49.109375" bestFit="1" customWidth="1"/>
    <col min="386" max="386" width="8.6640625" bestFit="1" customWidth="1"/>
    <col min="387" max="387" width="53.44140625" bestFit="1" customWidth="1"/>
    <col min="388" max="388" width="6" bestFit="1" customWidth="1"/>
    <col min="389" max="389" width="44.33203125" bestFit="1" customWidth="1"/>
    <col min="390" max="390" width="8.6640625" bestFit="1" customWidth="1"/>
    <col min="391" max="391" width="53.33203125" bestFit="1" customWidth="1"/>
    <col min="392" max="392" width="6" bestFit="1" customWidth="1"/>
    <col min="393" max="393" width="62.109375" bestFit="1" customWidth="1"/>
    <col min="394" max="394" width="8.6640625" bestFit="1" customWidth="1"/>
    <col min="395" max="395" width="6" bestFit="1" customWidth="1"/>
    <col min="396" max="396" width="42.44140625" bestFit="1" customWidth="1"/>
    <col min="397" max="397" width="51.21875" bestFit="1" customWidth="1"/>
    <col min="398" max="398" width="8.6640625" bestFit="1" customWidth="1"/>
    <col min="399" max="399" width="51.33203125" bestFit="1" customWidth="1"/>
    <col min="400" max="400" width="47.21875" bestFit="1" customWidth="1"/>
    <col min="401" max="401" width="8.6640625" bestFit="1" customWidth="1"/>
    <col min="402" max="402" width="6" bestFit="1" customWidth="1"/>
    <col min="403" max="403" width="45.33203125" bestFit="1" customWidth="1"/>
    <col min="404" max="404" width="8.6640625" bestFit="1" customWidth="1"/>
    <col min="405" max="405" width="37.6640625" bestFit="1" customWidth="1"/>
    <col min="406" max="406" width="8.6640625" bestFit="1" customWidth="1"/>
    <col min="407" max="407" width="52.44140625" bestFit="1" customWidth="1"/>
    <col min="408" max="408" width="8.6640625" bestFit="1" customWidth="1"/>
    <col min="409" max="409" width="59" bestFit="1" customWidth="1"/>
    <col min="410" max="410" width="8.6640625" bestFit="1" customWidth="1"/>
    <col min="411" max="411" width="58.109375" bestFit="1" customWidth="1"/>
    <col min="412" max="412" width="7.109375" bestFit="1" customWidth="1"/>
    <col min="413" max="413" width="8.6640625" bestFit="1" customWidth="1"/>
    <col min="414" max="414" width="56.44140625" bestFit="1" customWidth="1"/>
    <col min="415" max="415" width="8.6640625" bestFit="1" customWidth="1"/>
    <col min="416" max="416" width="6" bestFit="1" customWidth="1"/>
    <col min="417" max="417" width="40" bestFit="1" customWidth="1"/>
    <col min="418" max="418" width="8.6640625" bestFit="1" customWidth="1"/>
    <col min="419" max="419" width="6" bestFit="1" customWidth="1"/>
    <col min="420" max="420" width="44.88671875" bestFit="1" customWidth="1"/>
    <col min="421" max="421" width="8.6640625" bestFit="1" customWidth="1"/>
    <col min="422" max="422" width="40" bestFit="1" customWidth="1"/>
    <col min="423" max="423" width="7.109375" bestFit="1" customWidth="1"/>
    <col min="424" max="424" width="8.6640625" bestFit="1" customWidth="1"/>
    <col min="425" max="425" width="55.33203125" bestFit="1" customWidth="1"/>
    <col min="426" max="426" width="7.109375" bestFit="1" customWidth="1"/>
    <col min="427" max="427" width="8.6640625" bestFit="1" customWidth="1"/>
    <col min="428" max="428" width="12.44140625" bestFit="1" customWidth="1"/>
    <col min="429" max="429" width="25.44140625" bestFit="1" customWidth="1"/>
    <col min="430" max="430" width="6" bestFit="1" customWidth="1"/>
    <col min="431" max="431" width="37.88671875" bestFit="1" customWidth="1"/>
    <col min="432" max="432" width="8.6640625" bestFit="1" customWidth="1"/>
    <col min="433" max="433" width="6" bestFit="1" customWidth="1"/>
    <col min="434" max="434" width="36.77734375" bestFit="1" customWidth="1"/>
    <col min="435" max="435" width="6" bestFit="1" customWidth="1"/>
    <col min="436" max="436" width="20.5546875" bestFit="1" customWidth="1"/>
    <col min="437" max="437" width="6" bestFit="1" customWidth="1"/>
    <col min="438" max="438" width="44.88671875" bestFit="1" customWidth="1"/>
    <col min="439" max="439" width="7.109375" bestFit="1" customWidth="1"/>
    <col min="440" max="440" width="8.6640625" bestFit="1" customWidth="1"/>
    <col min="441" max="441" width="6" bestFit="1" customWidth="1"/>
    <col min="442" max="442" width="47.33203125" bestFit="1" customWidth="1"/>
    <col min="443" max="443" width="6" bestFit="1" customWidth="1"/>
    <col min="444" max="444" width="33.77734375" bestFit="1" customWidth="1"/>
    <col min="445" max="445" width="6" bestFit="1" customWidth="1"/>
    <col min="446" max="446" width="42.88671875" bestFit="1" customWidth="1"/>
    <col min="447" max="447" width="8.6640625" bestFit="1" customWidth="1"/>
    <col min="448" max="448" width="6" bestFit="1" customWidth="1"/>
    <col min="449" max="449" width="38.21875" bestFit="1" customWidth="1"/>
    <col min="450" max="450" width="6" bestFit="1" customWidth="1"/>
    <col min="451" max="451" width="43.6640625" bestFit="1" customWidth="1"/>
    <col min="452" max="452" width="8.6640625" bestFit="1" customWidth="1"/>
    <col min="453" max="453" width="6" bestFit="1" customWidth="1"/>
    <col min="454" max="454" width="33.6640625" bestFit="1" customWidth="1"/>
    <col min="455" max="455" width="6" bestFit="1" customWidth="1"/>
    <col min="456" max="456" width="36.77734375" bestFit="1" customWidth="1"/>
    <col min="457" max="457" width="6" bestFit="1" customWidth="1"/>
    <col min="458" max="458" width="32.5546875" bestFit="1" customWidth="1"/>
    <col min="459" max="459" width="6" bestFit="1" customWidth="1"/>
    <col min="460" max="460" width="31.6640625" bestFit="1" customWidth="1"/>
    <col min="461" max="461" width="7.109375" bestFit="1" customWidth="1"/>
    <col min="462" max="462" width="6" bestFit="1" customWidth="1"/>
    <col min="463" max="463" width="52.21875" bestFit="1" customWidth="1"/>
    <col min="464" max="464" width="8.6640625" bestFit="1" customWidth="1"/>
    <col min="465" max="465" width="6" bestFit="1" customWidth="1"/>
    <col min="466" max="466" width="20.21875" bestFit="1" customWidth="1"/>
    <col min="467" max="467" width="7.33203125" bestFit="1" customWidth="1"/>
    <col min="468" max="468" width="20.21875" bestFit="1" customWidth="1"/>
    <col min="469" max="469" width="6" bestFit="1" customWidth="1"/>
    <col min="470" max="470" width="41.5546875" bestFit="1" customWidth="1"/>
    <col min="471" max="471" width="7.109375" bestFit="1" customWidth="1"/>
    <col min="472" max="472" width="8.6640625" bestFit="1" customWidth="1"/>
    <col min="473" max="473" width="6" bestFit="1" customWidth="1"/>
    <col min="474" max="474" width="27" bestFit="1" customWidth="1"/>
    <col min="475" max="475" width="6" bestFit="1" customWidth="1"/>
    <col min="476" max="476" width="34" bestFit="1" customWidth="1"/>
    <col min="477" max="477" width="7.109375" bestFit="1" customWidth="1"/>
    <col min="478" max="478" width="6" bestFit="1" customWidth="1"/>
    <col min="479" max="479" width="17.88671875" bestFit="1" customWidth="1"/>
    <col min="480" max="480" width="20.44140625" bestFit="1" customWidth="1"/>
    <col min="481" max="481" width="6" bestFit="1" customWidth="1"/>
    <col min="482" max="482" width="29.21875" bestFit="1" customWidth="1"/>
    <col min="483" max="483" width="8.6640625" bestFit="1" customWidth="1"/>
    <col min="484" max="484" width="6" bestFit="1" customWidth="1"/>
    <col min="485" max="485" width="26.21875" bestFit="1" customWidth="1"/>
    <col min="486" max="486" width="31.88671875" bestFit="1" customWidth="1"/>
    <col min="487" max="487" width="6" bestFit="1" customWidth="1"/>
    <col min="488" max="488" width="16.109375" bestFit="1" customWidth="1"/>
    <col min="489" max="489" width="6" bestFit="1" customWidth="1"/>
    <col min="490" max="490" width="14.88671875" bestFit="1" customWidth="1"/>
    <col min="491" max="491" width="27.44140625" bestFit="1" customWidth="1"/>
    <col min="492" max="492" width="32.44140625" bestFit="1" customWidth="1"/>
    <col min="493" max="493" width="8.6640625" bestFit="1" customWidth="1"/>
    <col min="494" max="494" width="6" bestFit="1" customWidth="1"/>
    <col min="495" max="495" width="45.109375" bestFit="1" customWidth="1"/>
    <col min="496" max="496" width="8.6640625" bestFit="1" customWidth="1"/>
    <col min="497" max="497" width="6" bestFit="1" customWidth="1"/>
    <col min="498" max="498" width="24.88671875" bestFit="1" customWidth="1"/>
    <col min="499" max="499" width="8.6640625" bestFit="1" customWidth="1"/>
    <col min="500" max="500" width="38.77734375" bestFit="1" customWidth="1"/>
    <col min="501" max="501" width="8.6640625" bestFit="1" customWidth="1"/>
    <col min="502" max="502" width="43.88671875" bestFit="1" customWidth="1"/>
    <col min="503" max="503" width="8.6640625" bestFit="1" customWidth="1"/>
    <col min="504" max="504" width="6" bestFit="1" customWidth="1"/>
    <col min="505" max="505" width="57.88671875" bestFit="1" customWidth="1"/>
    <col min="506" max="506" width="8.6640625" bestFit="1" customWidth="1"/>
    <col min="507" max="507" width="32.33203125" bestFit="1" customWidth="1"/>
    <col min="508" max="508" width="8.6640625" bestFit="1" customWidth="1"/>
    <col min="509" max="509" width="6" bestFit="1" customWidth="1"/>
    <col min="510" max="510" width="19" bestFit="1" customWidth="1"/>
    <col min="511" max="511" width="8.6640625" bestFit="1" customWidth="1"/>
    <col min="512" max="512" width="40.5546875" bestFit="1" customWidth="1"/>
    <col min="513" max="513" width="6" bestFit="1" customWidth="1"/>
    <col min="514" max="514" width="54.109375" bestFit="1" customWidth="1"/>
    <col min="515" max="515" width="6" bestFit="1" customWidth="1"/>
    <col min="516" max="516" width="9.5546875" bestFit="1" customWidth="1"/>
    <col min="517" max="517" width="17.5546875" bestFit="1" customWidth="1"/>
    <col min="518" max="518" width="6" bestFit="1" customWidth="1"/>
    <col min="519" max="519" width="34.6640625" bestFit="1" customWidth="1"/>
    <col min="520" max="520" width="8.6640625" bestFit="1" customWidth="1"/>
    <col min="521" max="521" width="6" bestFit="1" customWidth="1"/>
    <col min="522" max="522" width="27.44140625" bestFit="1" customWidth="1"/>
    <col min="523" max="523" width="6" bestFit="1" customWidth="1"/>
    <col min="524" max="524" width="24.21875" bestFit="1" customWidth="1"/>
    <col min="525" max="525" width="6" bestFit="1" customWidth="1"/>
    <col min="526" max="526" width="33" bestFit="1" customWidth="1"/>
    <col min="527" max="527" width="8.6640625" bestFit="1" customWidth="1"/>
    <col min="528" max="528" width="6" bestFit="1" customWidth="1"/>
    <col min="529" max="529" width="40.21875" bestFit="1" customWidth="1"/>
    <col min="530" max="530" width="7.109375" bestFit="1" customWidth="1"/>
    <col min="531" max="531" width="8.6640625" bestFit="1" customWidth="1"/>
    <col min="532" max="532" width="6" bestFit="1" customWidth="1"/>
    <col min="533" max="533" width="41.44140625" bestFit="1" customWidth="1"/>
    <col min="534" max="534" width="8.6640625" bestFit="1" customWidth="1"/>
    <col min="535" max="535" width="6" bestFit="1" customWidth="1"/>
    <col min="536" max="536" width="50.109375" bestFit="1" customWidth="1"/>
    <col min="537" max="537" width="6" bestFit="1" customWidth="1"/>
    <col min="538" max="538" width="40.33203125" bestFit="1" customWidth="1"/>
    <col min="539" max="539" width="8.6640625" bestFit="1" customWidth="1"/>
    <col min="540" max="540" width="6" bestFit="1" customWidth="1"/>
    <col min="541" max="541" width="34.5546875" bestFit="1" customWidth="1"/>
    <col min="542" max="542" width="7.109375" bestFit="1" customWidth="1"/>
    <col min="543" max="543" width="6" bestFit="1" customWidth="1"/>
    <col min="544" max="544" width="20.21875" bestFit="1" customWidth="1"/>
    <col min="545" max="545" width="36.21875" bestFit="1" customWidth="1"/>
    <col min="546" max="546" width="8.6640625" bestFit="1" customWidth="1"/>
    <col min="547" max="547" width="6" bestFit="1" customWidth="1"/>
    <col min="548" max="548" width="26.6640625" bestFit="1" customWidth="1"/>
    <col min="549" max="549" width="6" bestFit="1" customWidth="1"/>
    <col min="550" max="550" width="18.33203125" bestFit="1" customWidth="1"/>
    <col min="551" max="551" width="6" bestFit="1" customWidth="1"/>
    <col min="552" max="552" width="30.77734375" bestFit="1" customWidth="1"/>
    <col min="553" max="553" width="6" bestFit="1" customWidth="1"/>
    <col min="554" max="554" width="8.77734375" bestFit="1" customWidth="1"/>
    <col min="555" max="555" width="13.88671875" bestFit="1" customWidth="1"/>
    <col min="556" max="556" width="7.109375" bestFit="1" customWidth="1"/>
    <col min="557" max="557" width="30.5546875" bestFit="1" customWidth="1"/>
    <col min="558" max="558" width="7.109375" bestFit="1" customWidth="1"/>
    <col min="559" max="559" width="8.6640625" bestFit="1" customWidth="1"/>
    <col min="560" max="560" width="6" bestFit="1" customWidth="1"/>
    <col min="561" max="561" width="18.21875" bestFit="1" customWidth="1"/>
    <col min="562" max="562" width="8.6640625" bestFit="1" customWidth="1"/>
    <col min="563" max="563" width="23.44140625" bestFit="1" customWidth="1"/>
    <col min="564" max="564" width="7.109375" bestFit="1" customWidth="1"/>
    <col min="565" max="565" width="28.88671875" bestFit="1" customWidth="1"/>
    <col min="566" max="566" width="7.109375" bestFit="1" customWidth="1"/>
    <col min="567" max="567" width="6" bestFit="1" customWidth="1"/>
    <col min="568" max="568" width="18.5546875" bestFit="1" customWidth="1"/>
    <col min="569" max="569" width="31.6640625" bestFit="1" customWidth="1"/>
    <col min="570" max="570" width="8.6640625" bestFit="1" customWidth="1"/>
    <col min="571" max="571" width="51.21875" bestFit="1" customWidth="1"/>
    <col min="572" max="572" width="7.109375" bestFit="1" customWidth="1"/>
    <col min="573" max="573" width="8.6640625" bestFit="1" customWidth="1"/>
    <col min="574" max="574" width="6" bestFit="1" customWidth="1"/>
    <col min="575" max="575" width="19" bestFit="1" customWidth="1"/>
    <col min="576" max="576" width="8.6640625" bestFit="1" customWidth="1"/>
    <col min="577" max="577" width="36.6640625" bestFit="1" customWidth="1"/>
    <col min="578" max="578" width="7.109375" bestFit="1" customWidth="1"/>
    <col min="579" max="579" width="8.6640625" bestFit="1" customWidth="1"/>
    <col min="580" max="580" width="13.5546875" bestFit="1" customWidth="1"/>
    <col min="581" max="581" width="6" bestFit="1" customWidth="1"/>
    <col min="582" max="582" width="26.6640625" bestFit="1" customWidth="1"/>
    <col min="583" max="583" width="6" bestFit="1" customWidth="1"/>
    <col min="584" max="584" width="38.21875" bestFit="1" customWidth="1"/>
    <col min="585" max="585" width="7.109375" bestFit="1" customWidth="1"/>
    <col min="586" max="586" width="8.6640625" bestFit="1" customWidth="1"/>
    <col min="587" max="587" width="14.77734375" bestFit="1" customWidth="1"/>
    <col min="588" max="588" width="27.88671875" bestFit="1" customWidth="1"/>
    <col min="589" max="589" width="6" bestFit="1" customWidth="1"/>
    <col min="590" max="590" width="44.44140625" bestFit="1" customWidth="1"/>
    <col min="591" max="591" width="8.6640625" bestFit="1" customWidth="1"/>
    <col min="592" max="592" width="6" bestFit="1" customWidth="1"/>
    <col min="593" max="593" width="40.109375" bestFit="1" customWidth="1"/>
    <col min="594" max="594" width="7.109375" bestFit="1" customWidth="1"/>
    <col min="595" max="595" width="6" bestFit="1" customWidth="1"/>
    <col min="596" max="596" width="40.109375" bestFit="1" customWidth="1"/>
    <col min="597" max="597" width="8.6640625" bestFit="1" customWidth="1"/>
    <col min="598" max="598" width="6" bestFit="1" customWidth="1"/>
    <col min="599" max="599" width="23.6640625" bestFit="1" customWidth="1"/>
    <col min="600" max="600" width="6" bestFit="1" customWidth="1"/>
    <col min="601" max="601" width="34.6640625" bestFit="1" customWidth="1"/>
    <col min="602" max="602" width="7.109375" bestFit="1" customWidth="1"/>
    <col min="603" max="603" width="6" bestFit="1" customWidth="1"/>
    <col min="604" max="604" width="41.21875" bestFit="1" customWidth="1"/>
    <col min="605" max="605" width="6" bestFit="1" customWidth="1"/>
    <col min="606" max="606" width="63.5546875" bestFit="1" customWidth="1"/>
    <col min="607" max="607" width="7.109375" bestFit="1" customWidth="1"/>
    <col min="608" max="608" width="8.6640625" bestFit="1" customWidth="1"/>
    <col min="609" max="609" width="6" bestFit="1" customWidth="1"/>
    <col min="610" max="610" width="40.6640625" bestFit="1" customWidth="1"/>
    <col min="611" max="611" width="8.6640625" bestFit="1" customWidth="1"/>
    <col min="612" max="612" width="6" bestFit="1" customWidth="1"/>
    <col min="613" max="613" width="43.44140625" bestFit="1" customWidth="1"/>
    <col min="614" max="614" width="7.109375" bestFit="1" customWidth="1"/>
    <col min="615" max="615" width="6" bestFit="1" customWidth="1"/>
    <col min="616" max="616" width="70.88671875" bestFit="1" customWidth="1"/>
    <col min="617" max="617" width="8.6640625" bestFit="1" customWidth="1"/>
    <col min="618" max="618" width="6" bestFit="1" customWidth="1"/>
    <col min="619" max="619" width="66.6640625" bestFit="1" customWidth="1"/>
    <col min="620" max="620" width="8.6640625" bestFit="1" customWidth="1"/>
    <col min="621" max="621" width="6" bestFit="1" customWidth="1"/>
    <col min="622" max="622" width="41.21875" bestFit="1" customWidth="1"/>
    <col min="623" max="623" width="8.6640625" bestFit="1" customWidth="1"/>
    <col min="624" max="624" width="6" bestFit="1" customWidth="1"/>
    <col min="625" max="625" width="20.33203125" bestFit="1" customWidth="1"/>
    <col min="626" max="626" width="18.88671875" bestFit="1" customWidth="1"/>
    <col min="627" max="627" width="6" bestFit="1" customWidth="1"/>
    <col min="628" max="628" width="10.6640625" bestFit="1" customWidth="1"/>
    <col min="629" max="629" width="46.5546875" bestFit="1" customWidth="1"/>
    <col min="630" max="630" width="8.6640625" bestFit="1" customWidth="1"/>
    <col min="631" max="631" width="49.44140625" bestFit="1" customWidth="1"/>
    <col min="632" max="632" width="8.6640625" bestFit="1" customWidth="1"/>
    <col min="633" max="633" width="28.21875" bestFit="1" customWidth="1"/>
    <col min="634" max="634" width="8.6640625" bestFit="1" customWidth="1"/>
    <col min="635" max="635" width="44.6640625" bestFit="1" customWidth="1"/>
    <col min="636" max="636" width="7.109375" bestFit="1" customWidth="1"/>
    <col min="637" max="637" width="8.6640625" bestFit="1" customWidth="1"/>
    <col min="638" max="638" width="6" bestFit="1" customWidth="1"/>
    <col min="639" max="639" width="23.44140625" bestFit="1" customWidth="1"/>
    <col min="640" max="640" width="8.6640625" bestFit="1" customWidth="1"/>
    <col min="641" max="641" width="30.109375" bestFit="1" customWidth="1"/>
    <col min="642" max="642" width="8.6640625" bestFit="1" customWidth="1"/>
    <col min="643" max="643" width="47.5546875" bestFit="1" customWidth="1"/>
    <col min="644" max="644" width="6" bestFit="1" customWidth="1"/>
    <col min="645" max="645" width="40.6640625" bestFit="1" customWidth="1"/>
    <col min="646" max="646" width="6" bestFit="1" customWidth="1"/>
    <col min="647" max="647" width="35" bestFit="1" customWidth="1"/>
    <col min="648" max="648" width="6" bestFit="1" customWidth="1"/>
    <col min="649" max="649" width="16.109375" bestFit="1" customWidth="1"/>
    <col min="650" max="650" width="6" bestFit="1" customWidth="1"/>
    <col min="651" max="651" width="23.88671875" bestFit="1" customWidth="1"/>
    <col min="652" max="652" width="38.5546875" bestFit="1" customWidth="1"/>
    <col min="653" max="653" width="48.5546875" bestFit="1" customWidth="1"/>
    <col min="654" max="654" width="8.6640625" bestFit="1" customWidth="1"/>
    <col min="655" max="655" width="6" bestFit="1" customWidth="1"/>
    <col min="656" max="656" width="14.6640625" bestFit="1" customWidth="1"/>
    <col min="657" max="657" width="8.6640625" bestFit="1" customWidth="1"/>
    <col min="658" max="658" width="23.77734375" bestFit="1" customWidth="1"/>
    <col min="659" max="659" width="6" bestFit="1" customWidth="1"/>
    <col min="660" max="660" width="10.77734375" bestFit="1" customWidth="1"/>
  </cols>
  <sheetData>
    <row r="13" spans="1:5" x14ac:dyDescent="0.3">
      <c r="A13" s="11" t="s">
        <v>546</v>
      </c>
      <c r="B13" t="s" vm="1">
        <v>595</v>
      </c>
      <c r="D13" s="11" t="s">
        <v>546</v>
      </c>
      <c r="E13" t="s" vm="1">
        <v>595</v>
      </c>
    </row>
    <row r="15" spans="1:5" x14ac:dyDescent="0.3">
      <c r="A15" s="11" t="s">
        <v>526</v>
      </c>
      <c r="B15" t="s">
        <v>537</v>
      </c>
      <c r="D15" s="11" t="s">
        <v>526</v>
      </c>
      <c r="E15" t="s">
        <v>537</v>
      </c>
    </row>
    <row r="16" spans="1:5" x14ac:dyDescent="0.3">
      <c r="A16" s="12" t="s">
        <v>12</v>
      </c>
      <c r="B16" s="40">
        <v>0.46511627906976744</v>
      </c>
      <c r="D16" s="12" t="s">
        <v>9</v>
      </c>
      <c r="E16" s="40">
        <v>0.40697674418604651</v>
      </c>
    </row>
    <row r="17" spans="1:9" x14ac:dyDescent="0.3">
      <c r="A17" s="12" t="s">
        <v>18</v>
      </c>
      <c r="B17" s="40">
        <v>0.36046511627906974</v>
      </c>
      <c r="D17" s="12" t="s">
        <v>27</v>
      </c>
      <c r="E17" s="40">
        <v>0.1744186046511628</v>
      </c>
    </row>
    <row r="18" spans="1:9" x14ac:dyDescent="0.3">
      <c r="A18" s="12" t="s">
        <v>22</v>
      </c>
      <c r="B18" s="40">
        <v>0.1744186046511628</v>
      </c>
      <c r="D18" s="12" t="s">
        <v>15</v>
      </c>
      <c r="E18" s="40">
        <v>0.41860465116279072</v>
      </c>
    </row>
    <row r="19" spans="1:9" x14ac:dyDescent="0.3">
      <c r="A19" s="12" t="s">
        <v>527</v>
      </c>
      <c r="B19" s="40">
        <v>1</v>
      </c>
      <c r="D19" s="12" t="s">
        <v>527</v>
      </c>
      <c r="E19" s="40">
        <v>1</v>
      </c>
    </row>
    <row r="23" spans="1:9" x14ac:dyDescent="0.3">
      <c r="F23" s="60"/>
      <c r="G23" s="60"/>
    </row>
    <row r="24" spans="1:9" x14ac:dyDescent="0.3">
      <c r="A24" s="11" t="s">
        <v>526</v>
      </c>
      <c r="B24" t="s">
        <v>599</v>
      </c>
      <c r="C24" t="s">
        <v>600</v>
      </c>
      <c r="D24" t="s">
        <v>601</v>
      </c>
      <c r="E24" t="s">
        <v>602</v>
      </c>
      <c r="G24" s="65" t="s">
        <v>603</v>
      </c>
      <c r="H24" s="65"/>
      <c r="I24" s="65"/>
    </row>
    <row r="25" spans="1:9" x14ac:dyDescent="0.3">
      <c r="A25" s="12" t="s">
        <v>595</v>
      </c>
      <c r="B25" s="59">
        <v>158.10993479729743</v>
      </c>
      <c r="C25" s="59">
        <v>77.107905405405319</v>
      </c>
      <c r="D25" s="59">
        <v>81.002029391891895</v>
      </c>
      <c r="E25" s="62">
        <v>0.51578884695897875</v>
      </c>
      <c r="G25" s="63" t="s">
        <v>578</v>
      </c>
      <c r="H25" s="57">
        <f>(B$25-B$26)</f>
        <v>21.410747058443832</v>
      </c>
    </row>
    <row r="26" spans="1:9" x14ac:dyDescent="0.3">
      <c r="A26" s="12" t="s">
        <v>596</v>
      </c>
      <c r="B26" s="59">
        <v>136.6991877388536</v>
      </c>
      <c r="C26" s="59">
        <v>67.397070063694215</v>
      </c>
      <c r="D26" s="59">
        <v>69.302117675159309</v>
      </c>
      <c r="E26" s="62">
        <v>0.50905882931789981</v>
      </c>
      <c r="G26" s="63" t="s">
        <v>579</v>
      </c>
      <c r="H26" s="57">
        <f>(C$25-C$26)</f>
        <v>9.7108353417111033</v>
      </c>
    </row>
    <row r="27" spans="1:9" x14ac:dyDescent="0.3">
      <c r="A27" s="12" t="s">
        <v>527</v>
      </c>
      <c r="B27" s="59">
        <v>143.55804177489185</v>
      </c>
      <c r="C27" s="59">
        <v>70.507900432900428</v>
      </c>
      <c r="D27" s="59">
        <v>73.050141341991377</v>
      </c>
      <c r="E27" s="62">
        <v>0.51121476570508517</v>
      </c>
      <c r="G27" s="63" t="s">
        <v>580</v>
      </c>
      <c r="H27" s="57">
        <f>(D$25-D$26)</f>
        <v>11.699911716732586</v>
      </c>
    </row>
    <row r="28" spans="1:9" x14ac:dyDescent="0.3">
      <c r="G28" s="63" t="s">
        <v>581</v>
      </c>
      <c r="H28" s="64">
        <f>(E$25-E$26)</f>
        <v>6.7300176410789447E-3</v>
      </c>
    </row>
    <row r="32" spans="1:9" x14ac:dyDescent="0.3">
      <c r="A32" s="11" t="s">
        <v>526</v>
      </c>
      <c r="B32" t="s">
        <v>537</v>
      </c>
    </row>
    <row r="33" spans="1:2" x14ac:dyDescent="0.3">
      <c r="A33" s="12" t="s">
        <v>444</v>
      </c>
    </row>
    <row r="34" spans="1:2" x14ac:dyDescent="0.3">
      <c r="A34" s="49" t="s">
        <v>443</v>
      </c>
      <c r="B34">
        <v>56</v>
      </c>
    </row>
    <row r="35" spans="1:2" x14ac:dyDescent="0.3">
      <c r="A35" s="49" t="s">
        <v>448</v>
      </c>
      <c r="B35">
        <v>54</v>
      </c>
    </row>
    <row r="36" spans="1:2" x14ac:dyDescent="0.3">
      <c r="A36" s="49" t="s">
        <v>446</v>
      </c>
      <c r="B36">
        <v>53</v>
      </c>
    </row>
    <row r="37" spans="1:2" x14ac:dyDescent="0.3">
      <c r="A37" s="49" t="s">
        <v>447</v>
      </c>
      <c r="B37">
        <v>46</v>
      </c>
    </row>
    <row r="38" spans="1:2" x14ac:dyDescent="0.3">
      <c r="A38" s="49" t="s">
        <v>445</v>
      </c>
      <c r="B38">
        <v>41</v>
      </c>
    </row>
    <row r="39" spans="1:2" x14ac:dyDescent="0.3">
      <c r="A39" s="12" t="s">
        <v>450</v>
      </c>
    </row>
    <row r="40" spans="1:2" x14ac:dyDescent="0.3">
      <c r="A40" s="49" t="s">
        <v>455</v>
      </c>
      <c r="B40">
        <v>52</v>
      </c>
    </row>
    <row r="41" spans="1:2" x14ac:dyDescent="0.3">
      <c r="A41" s="49" t="s">
        <v>454</v>
      </c>
      <c r="B41">
        <v>50</v>
      </c>
    </row>
    <row r="42" spans="1:2" x14ac:dyDescent="0.3">
      <c r="A42" s="49" t="s">
        <v>449</v>
      </c>
      <c r="B42">
        <v>50</v>
      </c>
    </row>
    <row r="43" spans="1:2" x14ac:dyDescent="0.3">
      <c r="A43" s="49" t="s">
        <v>452</v>
      </c>
      <c r="B43">
        <v>45</v>
      </c>
    </row>
    <row r="44" spans="1:2" x14ac:dyDescent="0.3">
      <c r="A44" s="12" t="s">
        <v>425</v>
      </c>
    </row>
    <row r="45" spans="1:2" x14ac:dyDescent="0.3">
      <c r="A45" s="49" t="s">
        <v>429</v>
      </c>
      <c r="B45">
        <v>55</v>
      </c>
    </row>
    <row r="46" spans="1:2" x14ac:dyDescent="0.3">
      <c r="A46" s="49" t="s">
        <v>427</v>
      </c>
      <c r="B46">
        <v>51</v>
      </c>
    </row>
    <row r="47" spans="1:2" x14ac:dyDescent="0.3">
      <c r="A47" s="49" t="s">
        <v>424</v>
      </c>
      <c r="B47">
        <v>49</v>
      </c>
    </row>
    <row r="48" spans="1:2" x14ac:dyDescent="0.3">
      <c r="A48" s="49" t="s">
        <v>433</v>
      </c>
      <c r="B48">
        <v>45</v>
      </c>
    </row>
    <row r="49" spans="1:2" x14ac:dyDescent="0.3">
      <c r="A49" s="49" t="s">
        <v>431</v>
      </c>
      <c r="B49">
        <v>45</v>
      </c>
    </row>
    <row r="50" spans="1:2" x14ac:dyDescent="0.3">
      <c r="A50" s="12" t="s">
        <v>436</v>
      </c>
    </row>
    <row r="51" spans="1:2" x14ac:dyDescent="0.3">
      <c r="A51" s="49" t="s">
        <v>438</v>
      </c>
      <c r="B51">
        <v>56</v>
      </c>
    </row>
    <row r="52" spans="1:2" x14ac:dyDescent="0.3">
      <c r="A52" s="49" t="s">
        <v>441</v>
      </c>
      <c r="B52">
        <v>53</v>
      </c>
    </row>
    <row r="53" spans="1:2" x14ac:dyDescent="0.3">
      <c r="A53" s="49" t="s">
        <v>442</v>
      </c>
      <c r="B53">
        <v>45</v>
      </c>
    </row>
    <row r="54" spans="1:2" x14ac:dyDescent="0.3">
      <c r="A54" s="49" t="s">
        <v>435</v>
      </c>
      <c r="B54">
        <v>40</v>
      </c>
    </row>
    <row r="55" spans="1:2" x14ac:dyDescent="0.3">
      <c r="A55" s="49" t="s">
        <v>440</v>
      </c>
      <c r="B55">
        <v>38</v>
      </c>
    </row>
    <row r="56" spans="1:2" x14ac:dyDescent="0.3">
      <c r="A56" s="12" t="s">
        <v>527</v>
      </c>
      <c r="B56">
        <v>360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514E-22F7-41E8-AB6F-1387D08886DB}">
  <dimension ref="A1:L20"/>
  <sheetViews>
    <sheetView workbookViewId="0">
      <selection activeCell="K15" sqref="K15"/>
    </sheetView>
  </sheetViews>
  <sheetFormatPr defaultRowHeight="14.4" x14ac:dyDescent="0.3"/>
  <cols>
    <col min="2" max="2" width="25.88671875" customWidth="1"/>
    <col min="3" max="3" width="10.88671875" customWidth="1"/>
    <col min="4" max="4" width="11.5546875" customWidth="1"/>
    <col min="5" max="5" width="10.33203125" customWidth="1"/>
    <col min="6" max="6" width="10.5546875" customWidth="1"/>
    <col min="11" max="11" width="21" bestFit="1" customWidth="1"/>
    <col min="12" max="12" width="17.21875" bestFit="1" customWidth="1"/>
  </cols>
  <sheetData>
    <row r="1" spans="1:12" x14ac:dyDescent="0.3">
      <c r="A1" s="87" t="s">
        <v>398</v>
      </c>
      <c r="B1" s="88" t="s">
        <v>420</v>
      </c>
      <c r="C1" s="89" t="s">
        <v>421</v>
      </c>
      <c r="D1" s="87" t="s">
        <v>422</v>
      </c>
      <c r="E1" s="89" t="s">
        <v>423</v>
      </c>
      <c r="F1" s="87" t="s">
        <v>400</v>
      </c>
      <c r="K1" s="11" t="s">
        <v>5</v>
      </c>
      <c r="L1" t="s" vm="2">
        <v>22</v>
      </c>
    </row>
    <row r="2" spans="1:12" x14ac:dyDescent="0.3">
      <c r="A2" t="s">
        <v>416</v>
      </c>
      <c r="B2" t="s">
        <v>424</v>
      </c>
      <c r="C2" t="s">
        <v>425</v>
      </c>
      <c r="D2" t="s">
        <v>426</v>
      </c>
      <c r="E2">
        <v>96.22</v>
      </c>
      <c r="F2">
        <v>227.61</v>
      </c>
      <c r="K2" s="11" t="s">
        <v>2</v>
      </c>
      <c r="L2" t="s" vm="3">
        <v>9</v>
      </c>
    </row>
    <row r="3" spans="1:12" x14ac:dyDescent="0.3">
      <c r="A3" t="s">
        <v>415</v>
      </c>
      <c r="B3" t="s">
        <v>427</v>
      </c>
      <c r="C3" t="s">
        <v>425</v>
      </c>
      <c r="D3" t="s">
        <v>428</v>
      </c>
      <c r="E3">
        <v>121.24</v>
      </c>
      <c r="F3">
        <v>256.91000000000003</v>
      </c>
      <c r="K3" s="11" t="s">
        <v>525</v>
      </c>
      <c r="L3" t="s" vm="4">
        <v>529</v>
      </c>
    </row>
    <row r="4" spans="1:12" x14ac:dyDescent="0.3">
      <c r="A4" t="s">
        <v>417</v>
      </c>
      <c r="B4" t="s">
        <v>429</v>
      </c>
      <c r="C4" t="s">
        <v>425</v>
      </c>
      <c r="D4" t="s">
        <v>430</v>
      </c>
      <c r="E4">
        <v>80.92</v>
      </c>
      <c r="F4">
        <v>146.4</v>
      </c>
    </row>
    <row r="5" spans="1:12" x14ac:dyDescent="0.3">
      <c r="A5" t="s">
        <v>405</v>
      </c>
      <c r="B5" t="s">
        <v>431</v>
      </c>
      <c r="C5" t="s">
        <v>425</v>
      </c>
      <c r="D5" t="s">
        <v>432</v>
      </c>
      <c r="E5">
        <v>74.069999999999993</v>
      </c>
      <c r="F5">
        <v>170.83</v>
      </c>
      <c r="K5" t="s">
        <v>524</v>
      </c>
    </row>
    <row r="6" spans="1:12" x14ac:dyDescent="0.3">
      <c r="A6" t="s">
        <v>407</v>
      </c>
      <c r="B6" t="s">
        <v>433</v>
      </c>
      <c r="C6" t="s">
        <v>425</v>
      </c>
      <c r="D6" t="s">
        <v>434</v>
      </c>
      <c r="E6">
        <v>112.08</v>
      </c>
      <c r="F6">
        <v>246.09</v>
      </c>
      <c r="K6">
        <v>7403.6595000000016</v>
      </c>
    </row>
    <row r="7" spans="1:12" x14ac:dyDescent="0.3">
      <c r="A7" t="s">
        <v>418</v>
      </c>
      <c r="B7" t="s">
        <v>435</v>
      </c>
      <c r="C7" t="s">
        <v>436</v>
      </c>
      <c r="D7" t="s">
        <v>437</v>
      </c>
      <c r="E7">
        <v>15.51</v>
      </c>
      <c r="F7">
        <v>39.950000000000003</v>
      </c>
    </row>
    <row r="8" spans="1:12" x14ac:dyDescent="0.3">
      <c r="A8" t="s">
        <v>408</v>
      </c>
      <c r="B8" t="s">
        <v>438</v>
      </c>
      <c r="C8" t="s">
        <v>436</v>
      </c>
      <c r="D8" t="s">
        <v>439</v>
      </c>
      <c r="E8">
        <v>35.81</v>
      </c>
      <c r="F8">
        <v>70.540000000000006</v>
      </c>
    </row>
    <row r="9" spans="1:12" x14ac:dyDescent="0.3">
      <c r="A9" t="s">
        <v>406</v>
      </c>
      <c r="B9" t="s">
        <v>440</v>
      </c>
      <c r="C9" t="s">
        <v>436</v>
      </c>
      <c r="D9" t="s">
        <v>439</v>
      </c>
      <c r="E9">
        <v>19.55</v>
      </c>
      <c r="F9">
        <v>38.06</v>
      </c>
    </row>
    <row r="10" spans="1:12" x14ac:dyDescent="0.3">
      <c r="A10" t="s">
        <v>419</v>
      </c>
      <c r="B10" t="s">
        <v>441</v>
      </c>
      <c r="C10" t="s">
        <v>436</v>
      </c>
      <c r="D10" t="s">
        <v>434</v>
      </c>
      <c r="E10">
        <v>22.61</v>
      </c>
      <c r="F10">
        <v>50.19</v>
      </c>
    </row>
    <row r="11" spans="1:12" x14ac:dyDescent="0.3">
      <c r="A11" t="s">
        <v>401</v>
      </c>
      <c r="B11" t="s">
        <v>442</v>
      </c>
      <c r="C11" t="s">
        <v>436</v>
      </c>
      <c r="D11" t="s">
        <v>432</v>
      </c>
      <c r="E11">
        <v>25.8</v>
      </c>
      <c r="F11">
        <v>52.45</v>
      </c>
    </row>
    <row r="12" spans="1:12" x14ac:dyDescent="0.3">
      <c r="A12" t="s">
        <v>402</v>
      </c>
      <c r="B12" t="s">
        <v>443</v>
      </c>
      <c r="C12" t="s">
        <v>444</v>
      </c>
      <c r="D12" t="s">
        <v>426</v>
      </c>
      <c r="E12">
        <v>14.18</v>
      </c>
      <c r="F12">
        <v>30.34</v>
      </c>
    </row>
    <row r="13" spans="1:12" x14ac:dyDescent="0.3">
      <c r="A13" t="s">
        <v>411</v>
      </c>
      <c r="B13" t="s">
        <v>445</v>
      </c>
      <c r="C13" t="s">
        <v>444</v>
      </c>
      <c r="D13" t="s">
        <v>434</v>
      </c>
      <c r="E13">
        <v>9.3800000000000008</v>
      </c>
      <c r="F13">
        <v>22.2</v>
      </c>
    </row>
    <row r="14" spans="1:12" x14ac:dyDescent="0.3">
      <c r="A14" t="s">
        <v>404</v>
      </c>
      <c r="B14" t="s">
        <v>446</v>
      </c>
      <c r="C14" t="s">
        <v>444</v>
      </c>
      <c r="D14" t="s">
        <v>439</v>
      </c>
      <c r="E14">
        <v>11.84</v>
      </c>
      <c r="F14">
        <v>32.979999999999997</v>
      </c>
    </row>
    <row r="15" spans="1:12" x14ac:dyDescent="0.3">
      <c r="A15" t="s">
        <v>410</v>
      </c>
      <c r="B15" t="s">
        <v>447</v>
      </c>
      <c r="C15" t="s">
        <v>444</v>
      </c>
      <c r="D15" t="s">
        <v>439</v>
      </c>
      <c r="E15">
        <v>8</v>
      </c>
      <c r="F15">
        <v>20.11</v>
      </c>
    </row>
    <row r="16" spans="1:12" x14ac:dyDescent="0.3">
      <c r="A16" t="s">
        <v>409</v>
      </c>
      <c r="B16" t="s">
        <v>448</v>
      </c>
      <c r="C16" t="s">
        <v>444</v>
      </c>
      <c r="D16" t="s">
        <v>434</v>
      </c>
      <c r="E16">
        <v>13.89</v>
      </c>
      <c r="F16">
        <v>28.43</v>
      </c>
    </row>
    <row r="17" spans="1:6" x14ac:dyDescent="0.3">
      <c r="A17" t="s">
        <v>403</v>
      </c>
      <c r="B17" t="s">
        <v>449</v>
      </c>
      <c r="C17" t="s">
        <v>450</v>
      </c>
      <c r="D17" t="s">
        <v>451</v>
      </c>
      <c r="E17">
        <v>38.229999999999997</v>
      </c>
      <c r="F17">
        <v>76.55</v>
      </c>
    </row>
    <row r="18" spans="1:6" x14ac:dyDescent="0.3">
      <c r="A18" t="s">
        <v>413</v>
      </c>
      <c r="B18" t="s">
        <v>452</v>
      </c>
      <c r="C18" t="s">
        <v>450</v>
      </c>
      <c r="D18" t="s">
        <v>453</v>
      </c>
      <c r="E18">
        <v>21.95</v>
      </c>
      <c r="F18">
        <v>54.2</v>
      </c>
    </row>
    <row r="19" spans="1:6" x14ac:dyDescent="0.3">
      <c r="A19" t="s">
        <v>414</v>
      </c>
      <c r="B19" t="s">
        <v>454</v>
      </c>
      <c r="C19" t="s">
        <v>450</v>
      </c>
      <c r="D19" t="s">
        <v>451</v>
      </c>
      <c r="E19">
        <v>48.97</v>
      </c>
      <c r="F19">
        <v>116.8</v>
      </c>
    </row>
    <row r="20" spans="1:6" x14ac:dyDescent="0.3">
      <c r="A20" t="s">
        <v>412</v>
      </c>
      <c r="B20" t="s">
        <v>455</v>
      </c>
      <c r="C20" t="s">
        <v>450</v>
      </c>
      <c r="D20" t="s">
        <v>437</v>
      </c>
      <c r="E20">
        <v>29.14</v>
      </c>
      <c r="F20">
        <v>57.07</v>
      </c>
    </row>
  </sheetData>
  <pageMargins left="0.7" right="0.7" top="0.75" bottom="0.75" header="0.3" footer="0.3"/>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5B3F-1AFC-418A-A212-79072EA13445}">
  <dimension ref="A1:E19"/>
  <sheetViews>
    <sheetView workbookViewId="0">
      <selection activeCell="D4" sqref="D4"/>
    </sheetView>
  </sheetViews>
  <sheetFormatPr defaultRowHeight="14.4" x14ac:dyDescent="0.3"/>
  <cols>
    <col min="4" max="4" width="14.77734375" bestFit="1" customWidth="1"/>
    <col min="5" max="5" width="13.21875" bestFit="1" customWidth="1"/>
  </cols>
  <sheetData>
    <row r="1" spans="1:5" x14ac:dyDescent="0.3">
      <c r="A1" s="1" t="s">
        <v>6</v>
      </c>
      <c r="B1" s="1" t="s">
        <v>456</v>
      </c>
      <c r="C1" s="1" t="s">
        <v>457</v>
      </c>
      <c r="D1" s="1" t="s">
        <v>2</v>
      </c>
      <c r="E1" s="1" t="s">
        <v>458</v>
      </c>
    </row>
    <row r="2" spans="1:5" x14ac:dyDescent="0.3">
      <c r="A2" t="s">
        <v>69</v>
      </c>
      <c r="B2" t="s">
        <v>459</v>
      </c>
      <c r="C2" t="s">
        <v>460</v>
      </c>
      <c r="D2" t="s">
        <v>27</v>
      </c>
      <c r="E2">
        <v>151.58000000000001</v>
      </c>
    </row>
    <row r="3" spans="1:5" x14ac:dyDescent="0.3">
      <c r="A3" t="s">
        <v>41</v>
      </c>
      <c r="B3" t="s">
        <v>461</v>
      </c>
      <c r="C3" t="s">
        <v>460</v>
      </c>
      <c r="D3" t="s">
        <v>9</v>
      </c>
      <c r="E3">
        <v>129.61000000000001</v>
      </c>
    </row>
    <row r="4" spans="1:5" x14ac:dyDescent="0.3">
      <c r="A4" t="s">
        <v>33</v>
      </c>
      <c r="B4" t="s">
        <v>462</v>
      </c>
      <c r="C4" t="s">
        <v>460</v>
      </c>
      <c r="D4" t="s">
        <v>9</v>
      </c>
      <c r="E4">
        <v>100.98</v>
      </c>
    </row>
    <row r="5" spans="1:5" x14ac:dyDescent="0.3">
      <c r="A5" t="s">
        <v>19</v>
      </c>
      <c r="B5" t="s">
        <v>461</v>
      </c>
      <c r="C5" t="s">
        <v>463</v>
      </c>
      <c r="D5" t="s">
        <v>27</v>
      </c>
      <c r="E5">
        <v>134.57</v>
      </c>
    </row>
    <row r="6" spans="1:5" x14ac:dyDescent="0.3">
      <c r="A6" t="s">
        <v>72</v>
      </c>
      <c r="B6" t="s">
        <v>464</v>
      </c>
      <c r="C6" t="s">
        <v>463</v>
      </c>
      <c r="D6" t="s">
        <v>9</v>
      </c>
      <c r="E6">
        <v>93.09</v>
      </c>
    </row>
    <row r="7" spans="1:5" x14ac:dyDescent="0.3">
      <c r="A7" t="s">
        <v>95</v>
      </c>
      <c r="B7" t="s">
        <v>465</v>
      </c>
      <c r="C7" t="s">
        <v>460</v>
      </c>
      <c r="D7" t="s">
        <v>9</v>
      </c>
      <c r="E7">
        <v>171.84</v>
      </c>
    </row>
    <row r="8" spans="1:5" x14ac:dyDescent="0.3">
      <c r="A8" t="s">
        <v>55</v>
      </c>
      <c r="B8" t="s">
        <v>466</v>
      </c>
      <c r="C8" t="s">
        <v>463</v>
      </c>
      <c r="D8" t="s">
        <v>15</v>
      </c>
      <c r="E8">
        <v>113.29</v>
      </c>
    </row>
    <row r="9" spans="1:5" x14ac:dyDescent="0.3">
      <c r="A9" t="s">
        <v>48</v>
      </c>
      <c r="B9" t="s">
        <v>467</v>
      </c>
      <c r="C9" t="s">
        <v>463</v>
      </c>
      <c r="D9" t="s">
        <v>9</v>
      </c>
      <c r="E9">
        <v>149.63</v>
      </c>
    </row>
    <row r="10" spans="1:5" x14ac:dyDescent="0.3">
      <c r="A10" t="s">
        <v>64</v>
      </c>
      <c r="B10" t="s">
        <v>468</v>
      </c>
      <c r="C10" t="s">
        <v>469</v>
      </c>
      <c r="D10" t="s">
        <v>9</v>
      </c>
      <c r="E10">
        <v>118.05</v>
      </c>
    </row>
    <row r="11" spans="1:5" x14ac:dyDescent="0.3">
      <c r="A11" t="s">
        <v>38</v>
      </c>
      <c r="B11" t="s">
        <v>470</v>
      </c>
      <c r="C11" t="s">
        <v>460</v>
      </c>
      <c r="D11" t="s">
        <v>27</v>
      </c>
      <c r="E11">
        <v>136.81</v>
      </c>
    </row>
    <row r="12" spans="1:5" x14ac:dyDescent="0.3">
      <c r="A12" t="s">
        <v>43</v>
      </c>
      <c r="B12" t="s">
        <v>471</v>
      </c>
      <c r="C12" t="s">
        <v>460</v>
      </c>
      <c r="D12" t="s">
        <v>15</v>
      </c>
      <c r="E12">
        <v>139.19999999999999</v>
      </c>
    </row>
    <row r="13" spans="1:5" x14ac:dyDescent="0.3">
      <c r="A13" t="s">
        <v>74</v>
      </c>
      <c r="B13" t="s">
        <v>472</v>
      </c>
      <c r="C13" t="s">
        <v>463</v>
      </c>
      <c r="D13" t="s">
        <v>9</v>
      </c>
      <c r="E13">
        <v>106.64</v>
      </c>
    </row>
    <row r="14" spans="1:5" x14ac:dyDescent="0.3">
      <c r="A14" t="s">
        <v>36</v>
      </c>
      <c r="B14" t="s">
        <v>471</v>
      </c>
      <c r="C14" t="s">
        <v>463</v>
      </c>
      <c r="D14" t="s">
        <v>27</v>
      </c>
      <c r="E14">
        <v>177.26</v>
      </c>
    </row>
    <row r="15" spans="1:5" x14ac:dyDescent="0.3">
      <c r="A15" t="s">
        <v>23</v>
      </c>
      <c r="B15" t="s">
        <v>472</v>
      </c>
      <c r="C15" t="s">
        <v>460</v>
      </c>
      <c r="D15" t="s">
        <v>9</v>
      </c>
      <c r="E15">
        <v>159.76</v>
      </c>
    </row>
    <row r="16" spans="1:5" x14ac:dyDescent="0.3">
      <c r="A16" t="s">
        <v>29</v>
      </c>
      <c r="B16" t="s">
        <v>473</v>
      </c>
      <c r="C16" t="s">
        <v>460</v>
      </c>
      <c r="D16" t="s">
        <v>27</v>
      </c>
      <c r="E16">
        <v>174.55</v>
      </c>
    </row>
    <row r="17" spans="1:5" x14ac:dyDescent="0.3">
      <c r="A17" t="s">
        <v>13</v>
      </c>
      <c r="B17" t="s">
        <v>473</v>
      </c>
      <c r="C17" t="s">
        <v>469</v>
      </c>
      <c r="D17" t="s">
        <v>27</v>
      </c>
      <c r="E17">
        <v>170.53</v>
      </c>
    </row>
    <row r="18" spans="1:5" x14ac:dyDescent="0.3">
      <c r="A18" t="s">
        <v>45</v>
      </c>
      <c r="B18" t="s">
        <v>474</v>
      </c>
      <c r="C18" t="s">
        <v>460</v>
      </c>
      <c r="D18" t="s">
        <v>15</v>
      </c>
      <c r="E18">
        <v>143.81</v>
      </c>
    </row>
    <row r="19" spans="1:5" x14ac:dyDescent="0.3">
      <c r="A19" t="s">
        <v>61</v>
      </c>
      <c r="B19" t="s">
        <v>461</v>
      </c>
      <c r="C19" t="s">
        <v>460</v>
      </c>
      <c r="D19" t="s">
        <v>9</v>
      </c>
      <c r="E19">
        <v>172.97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1494-AC1D-4983-9724-9AC52BF59D23}">
  <dimension ref="A1:I20"/>
  <sheetViews>
    <sheetView workbookViewId="0">
      <selection activeCell="H17" sqref="H17"/>
    </sheetView>
  </sheetViews>
  <sheetFormatPr defaultRowHeight="14.4" x14ac:dyDescent="0.3"/>
  <cols>
    <col min="1" max="1" width="10" customWidth="1"/>
    <col min="2" max="2" width="12.77734375" customWidth="1"/>
    <col min="3" max="3" width="14" customWidth="1"/>
    <col min="4" max="4" width="15" customWidth="1"/>
    <col min="5" max="5" width="16.6640625" customWidth="1"/>
  </cols>
  <sheetData>
    <row r="1" spans="1:9" x14ac:dyDescent="0.3">
      <c r="A1" s="87" t="s">
        <v>398</v>
      </c>
      <c r="B1" s="87" t="s">
        <v>475</v>
      </c>
      <c r="C1" s="87" t="s">
        <v>476</v>
      </c>
      <c r="D1" s="87" t="s">
        <v>477</v>
      </c>
      <c r="E1" s="87" t="s">
        <v>478</v>
      </c>
      <c r="I1" s="9" t="s">
        <v>564</v>
      </c>
    </row>
    <row r="2" spans="1:9" x14ac:dyDescent="0.3">
      <c r="A2" t="s">
        <v>416</v>
      </c>
      <c r="B2">
        <v>198</v>
      </c>
      <c r="C2">
        <v>36</v>
      </c>
      <c r="D2">
        <v>3</v>
      </c>
      <c r="E2" s="2">
        <v>45876</v>
      </c>
    </row>
    <row r="3" spans="1:9" x14ac:dyDescent="0.3">
      <c r="A3" t="s">
        <v>415</v>
      </c>
      <c r="B3">
        <v>152</v>
      </c>
      <c r="C3">
        <v>30</v>
      </c>
      <c r="D3">
        <v>6</v>
      </c>
      <c r="E3" s="2">
        <v>45861</v>
      </c>
    </row>
    <row r="4" spans="1:9" x14ac:dyDescent="0.3">
      <c r="A4" t="s">
        <v>417</v>
      </c>
      <c r="B4">
        <v>120</v>
      </c>
      <c r="C4">
        <v>25</v>
      </c>
      <c r="D4">
        <v>6</v>
      </c>
      <c r="E4" s="2">
        <v>45882</v>
      </c>
    </row>
    <row r="5" spans="1:9" x14ac:dyDescent="0.3">
      <c r="A5" t="s">
        <v>405</v>
      </c>
      <c r="B5">
        <v>130</v>
      </c>
      <c r="C5">
        <v>42</v>
      </c>
      <c r="D5">
        <v>4</v>
      </c>
      <c r="E5" s="2">
        <v>45864</v>
      </c>
    </row>
    <row r="6" spans="1:9" x14ac:dyDescent="0.3">
      <c r="A6" t="s">
        <v>407</v>
      </c>
      <c r="B6">
        <v>176</v>
      </c>
      <c r="C6">
        <v>46</v>
      </c>
      <c r="D6">
        <v>3</v>
      </c>
      <c r="E6" s="2">
        <v>45871</v>
      </c>
    </row>
    <row r="7" spans="1:9" x14ac:dyDescent="0.3">
      <c r="A7" t="s">
        <v>418</v>
      </c>
      <c r="B7">
        <v>81</v>
      </c>
      <c r="C7">
        <v>25</v>
      </c>
      <c r="D7">
        <v>3</v>
      </c>
      <c r="E7" s="2">
        <v>45868</v>
      </c>
    </row>
    <row r="8" spans="1:9" x14ac:dyDescent="0.3">
      <c r="A8" t="s">
        <v>408</v>
      </c>
      <c r="B8">
        <v>45</v>
      </c>
      <c r="C8">
        <v>57</v>
      </c>
      <c r="D8">
        <v>4</v>
      </c>
      <c r="E8" s="2">
        <v>45840</v>
      </c>
    </row>
    <row r="9" spans="1:9" x14ac:dyDescent="0.3">
      <c r="A9" t="s">
        <v>406</v>
      </c>
      <c r="B9">
        <v>89</v>
      </c>
      <c r="C9">
        <v>21</v>
      </c>
      <c r="D9">
        <v>5</v>
      </c>
      <c r="E9" s="2">
        <v>45864</v>
      </c>
    </row>
    <row r="10" spans="1:9" x14ac:dyDescent="0.3">
      <c r="A10" t="s">
        <v>419</v>
      </c>
      <c r="B10">
        <v>85</v>
      </c>
      <c r="C10">
        <v>41</v>
      </c>
      <c r="D10">
        <v>3</v>
      </c>
      <c r="E10" s="2">
        <v>45873</v>
      </c>
    </row>
    <row r="11" spans="1:9" x14ac:dyDescent="0.3">
      <c r="A11" t="s">
        <v>401</v>
      </c>
      <c r="B11">
        <v>80</v>
      </c>
      <c r="C11">
        <v>39</v>
      </c>
      <c r="D11">
        <v>2</v>
      </c>
      <c r="E11" s="2">
        <v>45861</v>
      </c>
    </row>
    <row r="12" spans="1:9" x14ac:dyDescent="0.3">
      <c r="A12" t="s">
        <v>402</v>
      </c>
      <c r="B12">
        <v>84</v>
      </c>
      <c r="C12">
        <v>44</v>
      </c>
      <c r="D12">
        <v>4</v>
      </c>
      <c r="E12" s="2">
        <v>45845</v>
      </c>
    </row>
    <row r="13" spans="1:9" x14ac:dyDescent="0.3">
      <c r="A13" t="s">
        <v>411</v>
      </c>
      <c r="B13">
        <v>55</v>
      </c>
      <c r="C13">
        <v>34</v>
      </c>
      <c r="D13">
        <v>3</v>
      </c>
      <c r="E13" s="2">
        <v>45850</v>
      </c>
    </row>
    <row r="14" spans="1:9" x14ac:dyDescent="0.3">
      <c r="A14" t="s">
        <v>404</v>
      </c>
      <c r="B14">
        <v>174</v>
      </c>
      <c r="C14">
        <v>48</v>
      </c>
      <c r="D14">
        <v>5</v>
      </c>
      <c r="E14" s="2">
        <v>45884</v>
      </c>
    </row>
    <row r="15" spans="1:9" x14ac:dyDescent="0.3">
      <c r="A15" t="s">
        <v>410</v>
      </c>
      <c r="B15">
        <v>34</v>
      </c>
      <c r="C15">
        <v>27</v>
      </c>
      <c r="D15">
        <v>3</v>
      </c>
      <c r="E15" s="2">
        <v>45868</v>
      </c>
    </row>
    <row r="16" spans="1:9" x14ac:dyDescent="0.3">
      <c r="A16" t="s">
        <v>409</v>
      </c>
      <c r="B16">
        <v>199</v>
      </c>
      <c r="C16">
        <v>56</v>
      </c>
      <c r="D16">
        <v>6</v>
      </c>
      <c r="E16" s="2">
        <v>45854</v>
      </c>
    </row>
    <row r="17" spans="1:5" x14ac:dyDescent="0.3">
      <c r="A17" t="s">
        <v>403</v>
      </c>
      <c r="B17">
        <v>192</v>
      </c>
      <c r="C17">
        <v>52</v>
      </c>
      <c r="D17">
        <v>2</v>
      </c>
      <c r="E17" s="2">
        <v>45878</v>
      </c>
    </row>
    <row r="18" spans="1:5" x14ac:dyDescent="0.3">
      <c r="A18" t="s">
        <v>413</v>
      </c>
      <c r="B18">
        <v>167</v>
      </c>
      <c r="C18">
        <v>41</v>
      </c>
      <c r="D18">
        <v>4</v>
      </c>
      <c r="E18" s="2">
        <v>45887</v>
      </c>
    </row>
    <row r="19" spans="1:5" x14ac:dyDescent="0.3">
      <c r="A19" t="s">
        <v>414</v>
      </c>
      <c r="B19">
        <v>154</v>
      </c>
      <c r="C19">
        <v>24</v>
      </c>
      <c r="D19">
        <v>6</v>
      </c>
      <c r="E19" s="2">
        <v>45869</v>
      </c>
    </row>
    <row r="20" spans="1:5" x14ac:dyDescent="0.3">
      <c r="A20" t="s">
        <v>412</v>
      </c>
      <c r="B20">
        <v>53</v>
      </c>
      <c r="C20">
        <v>58</v>
      </c>
      <c r="D20">
        <v>5</v>
      </c>
      <c r="E20" s="2">
        <v>45850</v>
      </c>
    </row>
  </sheetData>
  <conditionalFormatting sqref="A2:E20">
    <cfRule type="expression" dxfId="18" priority="1">
      <formula>$B2&lt;$C2</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919B-2562-4EC6-B640-5F3C0D162820}">
  <dimension ref="A1:D11"/>
  <sheetViews>
    <sheetView workbookViewId="0">
      <selection activeCell="H17" sqref="H17"/>
    </sheetView>
  </sheetViews>
  <sheetFormatPr defaultRowHeight="14.4" x14ac:dyDescent="0.3"/>
  <sheetData>
    <row r="1" spans="1:4" x14ac:dyDescent="0.3">
      <c r="A1" s="1" t="s">
        <v>422</v>
      </c>
      <c r="B1" s="1" t="s">
        <v>479</v>
      </c>
      <c r="C1" s="1" t="s">
        <v>480</v>
      </c>
      <c r="D1" s="1" t="s">
        <v>481</v>
      </c>
    </row>
    <row r="2" spans="1:4" x14ac:dyDescent="0.3">
      <c r="A2" t="s">
        <v>428</v>
      </c>
      <c r="B2" t="s">
        <v>482</v>
      </c>
      <c r="C2" t="s">
        <v>483</v>
      </c>
      <c r="D2" t="s">
        <v>484</v>
      </c>
    </row>
    <row r="3" spans="1:4" x14ac:dyDescent="0.3">
      <c r="A3" t="s">
        <v>451</v>
      </c>
      <c r="B3" t="s">
        <v>485</v>
      </c>
      <c r="C3" t="s">
        <v>486</v>
      </c>
      <c r="D3" t="s">
        <v>487</v>
      </c>
    </row>
    <row r="4" spans="1:4" x14ac:dyDescent="0.3">
      <c r="A4" t="s">
        <v>432</v>
      </c>
      <c r="B4" t="s">
        <v>488</v>
      </c>
      <c r="C4" t="s">
        <v>486</v>
      </c>
      <c r="D4" t="s">
        <v>489</v>
      </c>
    </row>
    <row r="5" spans="1:4" x14ac:dyDescent="0.3">
      <c r="A5" t="s">
        <v>439</v>
      </c>
      <c r="B5" t="s">
        <v>490</v>
      </c>
      <c r="C5" t="s">
        <v>491</v>
      </c>
      <c r="D5" t="s">
        <v>492</v>
      </c>
    </row>
    <row r="6" spans="1:4" x14ac:dyDescent="0.3">
      <c r="A6" t="s">
        <v>430</v>
      </c>
      <c r="B6" t="s">
        <v>493</v>
      </c>
      <c r="C6" t="s">
        <v>486</v>
      </c>
      <c r="D6" t="s">
        <v>494</v>
      </c>
    </row>
    <row r="7" spans="1:4" x14ac:dyDescent="0.3">
      <c r="A7" t="s">
        <v>434</v>
      </c>
      <c r="B7" t="s">
        <v>495</v>
      </c>
      <c r="C7" t="s">
        <v>483</v>
      </c>
      <c r="D7" t="s">
        <v>496</v>
      </c>
    </row>
    <row r="8" spans="1:4" x14ac:dyDescent="0.3">
      <c r="A8" t="s">
        <v>437</v>
      </c>
      <c r="B8" t="s">
        <v>497</v>
      </c>
      <c r="C8" t="s">
        <v>483</v>
      </c>
      <c r="D8" t="s">
        <v>498</v>
      </c>
    </row>
    <row r="9" spans="1:4" x14ac:dyDescent="0.3">
      <c r="A9" t="s">
        <v>499</v>
      </c>
      <c r="B9" t="s">
        <v>500</v>
      </c>
      <c r="C9" t="s">
        <v>501</v>
      </c>
      <c r="D9" t="s">
        <v>502</v>
      </c>
    </row>
    <row r="10" spans="1:4" x14ac:dyDescent="0.3">
      <c r="A10" t="s">
        <v>426</v>
      </c>
      <c r="B10" t="s">
        <v>503</v>
      </c>
      <c r="C10" t="s">
        <v>483</v>
      </c>
      <c r="D10" t="s">
        <v>504</v>
      </c>
    </row>
    <row r="11" spans="1:4" x14ac:dyDescent="0.3">
      <c r="A11" t="s">
        <v>453</v>
      </c>
      <c r="B11" t="s">
        <v>505</v>
      </c>
      <c r="C11" t="s">
        <v>491</v>
      </c>
      <c r="D11" t="s">
        <v>506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0431B-FB71-4BDB-8109-D4938E111231}">
  <dimension ref="A1:E121"/>
  <sheetViews>
    <sheetView workbookViewId="0">
      <selection activeCell="K4" sqref="K4"/>
    </sheetView>
  </sheetViews>
  <sheetFormatPr defaultRowHeight="14.4" x14ac:dyDescent="0.3"/>
  <cols>
    <col min="1" max="1" width="10.33203125" style="3" bestFit="1" customWidth="1"/>
  </cols>
  <sheetData>
    <row r="1" spans="1:5" x14ac:dyDescent="0.3">
      <c r="A1" s="52" t="s">
        <v>507</v>
      </c>
      <c r="B1" s="1" t="s">
        <v>398</v>
      </c>
      <c r="C1" s="1" t="s">
        <v>399</v>
      </c>
      <c r="D1" s="1" t="s">
        <v>508</v>
      </c>
      <c r="E1" s="51" t="s">
        <v>568</v>
      </c>
    </row>
    <row r="2" spans="1:5" x14ac:dyDescent="0.3">
      <c r="A2" s="3">
        <v>45867</v>
      </c>
      <c r="B2" t="s">
        <v>411</v>
      </c>
      <c r="C2">
        <v>2</v>
      </c>
      <c r="D2" t="s">
        <v>509</v>
      </c>
      <c r="E2">
        <f>_xlfn.XLOOKUP($B2,[0]!SKU,UnitCost)</f>
        <v>9.3800000000000008</v>
      </c>
    </row>
    <row r="3" spans="1:5" x14ac:dyDescent="0.3">
      <c r="A3" s="3">
        <v>45860</v>
      </c>
      <c r="B3" t="s">
        <v>407</v>
      </c>
      <c r="C3">
        <v>4</v>
      </c>
      <c r="D3" t="s">
        <v>510</v>
      </c>
      <c r="E3">
        <f>_xlfn.XLOOKUP($B3,[0]!SKU,UnitCost)</f>
        <v>112.08</v>
      </c>
    </row>
    <row r="4" spans="1:5" x14ac:dyDescent="0.3">
      <c r="A4" s="3">
        <v>45853</v>
      </c>
      <c r="B4" t="s">
        <v>409</v>
      </c>
      <c r="C4">
        <v>2</v>
      </c>
      <c r="D4" t="s">
        <v>511</v>
      </c>
      <c r="E4">
        <f>_xlfn.XLOOKUP($B4,[0]!SKU,UnitCost)</f>
        <v>13.89</v>
      </c>
    </row>
    <row r="5" spans="1:5" x14ac:dyDescent="0.3">
      <c r="A5" s="3">
        <v>45879</v>
      </c>
      <c r="B5" t="s">
        <v>414</v>
      </c>
      <c r="C5">
        <v>2</v>
      </c>
      <c r="D5" t="s">
        <v>510</v>
      </c>
      <c r="E5">
        <f>_xlfn.XLOOKUP($B5,[0]!SKU,UnitCost)</f>
        <v>48.97</v>
      </c>
    </row>
    <row r="6" spans="1:5" x14ac:dyDescent="0.3">
      <c r="A6" s="3">
        <v>45891</v>
      </c>
      <c r="B6" t="s">
        <v>408</v>
      </c>
      <c r="C6">
        <v>2</v>
      </c>
      <c r="D6" t="s">
        <v>509</v>
      </c>
      <c r="E6">
        <f>_xlfn.XLOOKUP($B6,[0]!SKU,UnitCost)</f>
        <v>35.81</v>
      </c>
    </row>
    <row r="7" spans="1:5" x14ac:dyDescent="0.3">
      <c r="A7" s="3">
        <v>45896</v>
      </c>
      <c r="B7" t="s">
        <v>417</v>
      </c>
      <c r="C7">
        <v>1</v>
      </c>
      <c r="D7" t="s">
        <v>510</v>
      </c>
      <c r="E7">
        <f>_xlfn.XLOOKUP($B7,[0]!SKU,UnitCost)</f>
        <v>80.92</v>
      </c>
    </row>
    <row r="8" spans="1:5" x14ac:dyDescent="0.3">
      <c r="A8" s="3">
        <v>45890</v>
      </c>
      <c r="B8" t="s">
        <v>411</v>
      </c>
      <c r="C8">
        <v>3</v>
      </c>
      <c r="D8" t="s">
        <v>512</v>
      </c>
      <c r="E8">
        <f>_xlfn.XLOOKUP($B8,[0]!SKU,UnitCost)</f>
        <v>9.3800000000000008</v>
      </c>
    </row>
    <row r="9" spans="1:5" x14ac:dyDescent="0.3">
      <c r="A9" s="3">
        <v>45893</v>
      </c>
      <c r="B9" t="s">
        <v>405</v>
      </c>
      <c r="C9">
        <v>1</v>
      </c>
      <c r="D9" t="s">
        <v>512</v>
      </c>
      <c r="E9">
        <f>_xlfn.XLOOKUP($B9,[0]!SKU,UnitCost)</f>
        <v>74.069999999999993</v>
      </c>
    </row>
    <row r="10" spans="1:5" x14ac:dyDescent="0.3">
      <c r="A10" s="3">
        <v>45892</v>
      </c>
      <c r="B10" t="s">
        <v>413</v>
      </c>
      <c r="C10">
        <v>2</v>
      </c>
      <c r="D10" t="s">
        <v>509</v>
      </c>
      <c r="E10">
        <f>_xlfn.XLOOKUP($B10,[0]!SKU,UnitCost)</f>
        <v>21.95</v>
      </c>
    </row>
    <row r="11" spans="1:5" x14ac:dyDescent="0.3">
      <c r="A11" s="3">
        <v>45894</v>
      </c>
      <c r="B11" t="s">
        <v>414</v>
      </c>
      <c r="C11">
        <v>1</v>
      </c>
      <c r="D11" t="s">
        <v>509</v>
      </c>
      <c r="E11">
        <f>_xlfn.XLOOKUP($B11,[0]!SKU,UnitCost)</f>
        <v>48.97</v>
      </c>
    </row>
    <row r="12" spans="1:5" x14ac:dyDescent="0.3">
      <c r="A12" s="3">
        <v>45854</v>
      </c>
      <c r="B12" t="s">
        <v>402</v>
      </c>
      <c r="C12">
        <v>1</v>
      </c>
      <c r="D12" t="s">
        <v>510</v>
      </c>
      <c r="E12">
        <f>_xlfn.XLOOKUP($B12,[0]!SKU,UnitCost)</f>
        <v>14.18</v>
      </c>
    </row>
    <row r="13" spans="1:5" x14ac:dyDescent="0.3">
      <c r="A13" s="3">
        <v>45850</v>
      </c>
      <c r="B13" t="s">
        <v>408</v>
      </c>
      <c r="C13">
        <v>4</v>
      </c>
      <c r="D13" t="s">
        <v>510</v>
      </c>
      <c r="E13">
        <f>_xlfn.XLOOKUP($B13,[0]!SKU,UnitCost)</f>
        <v>35.81</v>
      </c>
    </row>
    <row r="14" spans="1:5" x14ac:dyDescent="0.3">
      <c r="A14" s="3">
        <v>45847</v>
      </c>
      <c r="B14" t="s">
        <v>413</v>
      </c>
      <c r="C14">
        <v>1</v>
      </c>
      <c r="D14" t="s">
        <v>510</v>
      </c>
      <c r="E14">
        <f>_xlfn.XLOOKUP($B14,[0]!SKU,UnitCost)</f>
        <v>21.95</v>
      </c>
    </row>
    <row r="15" spans="1:5" x14ac:dyDescent="0.3">
      <c r="A15" s="3">
        <v>45844</v>
      </c>
      <c r="B15" t="s">
        <v>409</v>
      </c>
      <c r="C15">
        <v>4</v>
      </c>
      <c r="D15" t="s">
        <v>509</v>
      </c>
      <c r="E15">
        <f>_xlfn.XLOOKUP($B15,[0]!SKU,UnitCost)</f>
        <v>13.89</v>
      </c>
    </row>
    <row r="16" spans="1:5" x14ac:dyDescent="0.3">
      <c r="A16" s="3">
        <v>45888</v>
      </c>
      <c r="B16" t="s">
        <v>410</v>
      </c>
      <c r="C16">
        <v>2</v>
      </c>
      <c r="D16" t="s">
        <v>510</v>
      </c>
      <c r="E16">
        <f>_xlfn.XLOOKUP($B16,[0]!SKU,UnitCost)</f>
        <v>8</v>
      </c>
    </row>
    <row r="17" spans="1:5" x14ac:dyDescent="0.3">
      <c r="A17" s="3">
        <v>45893</v>
      </c>
      <c r="B17" t="s">
        <v>415</v>
      </c>
      <c r="C17">
        <v>1</v>
      </c>
      <c r="D17" t="s">
        <v>510</v>
      </c>
      <c r="E17">
        <f>_xlfn.XLOOKUP($B17,[0]!SKU,UnitCost)</f>
        <v>121.24</v>
      </c>
    </row>
    <row r="18" spans="1:5" x14ac:dyDescent="0.3">
      <c r="A18" s="3">
        <v>45868</v>
      </c>
      <c r="B18" t="s">
        <v>416</v>
      </c>
      <c r="C18">
        <v>3</v>
      </c>
      <c r="D18" t="s">
        <v>510</v>
      </c>
      <c r="E18">
        <f>_xlfn.XLOOKUP($B18,[0]!SKU,UnitCost)</f>
        <v>96.22</v>
      </c>
    </row>
    <row r="19" spans="1:5" x14ac:dyDescent="0.3">
      <c r="A19" s="3">
        <v>45863</v>
      </c>
      <c r="B19" t="s">
        <v>416</v>
      </c>
      <c r="C19">
        <v>2</v>
      </c>
      <c r="D19" t="s">
        <v>509</v>
      </c>
      <c r="E19">
        <f>_xlfn.XLOOKUP($B19,[0]!SKU,UnitCost)</f>
        <v>96.22</v>
      </c>
    </row>
    <row r="20" spans="1:5" x14ac:dyDescent="0.3">
      <c r="A20" s="3">
        <v>45895</v>
      </c>
      <c r="B20" t="s">
        <v>417</v>
      </c>
      <c r="C20">
        <v>4</v>
      </c>
      <c r="D20" t="s">
        <v>512</v>
      </c>
      <c r="E20">
        <f>_xlfn.XLOOKUP($B20,[0]!SKU,UnitCost)</f>
        <v>80.92</v>
      </c>
    </row>
    <row r="21" spans="1:5" x14ac:dyDescent="0.3">
      <c r="A21" s="3">
        <v>45880</v>
      </c>
      <c r="B21" t="s">
        <v>411</v>
      </c>
      <c r="C21">
        <v>2</v>
      </c>
      <c r="D21" t="s">
        <v>512</v>
      </c>
      <c r="E21">
        <f>_xlfn.XLOOKUP($B21,[0]!SKU,UnitCost)</f>
        <v>9.3800000000000008</v>
      </c>
    </row>
    <row r="22" spans="1:5" x14ac:dyDescent="0.3">
      <c r="A22" s="3">
        <v>45891</v>
      </c>
      <c r="B22" t="s">
        <v>415</v>
      </c>
      <c r="C22">
        <v>1</v>
      </c>
      <c r="D22" t="s">
        <v>512</v>
      </c>
      <c r="E22">
        <f>_xlfn.XLOOKUP($B22,[0]!SKU,UnitCost)</f>
        <v>121.24</v>
      </c>
    </row>
    <row r="23" spans="1:5" x14ac:dyDescent="0.3">
      <c r="A23" s="3">
        <v>45884</v>
      </c>
      <c r="B23" t="s">
        <v>415</v>
      </c>
      <c r="C23">
        <v>2</v>
      </c>
      <c r="D23" t="s">
        <v>511</v>
      </c>
      <c r="E23">
        <f>_xlfn.XLOOKUP($B23,[0]!SKU,UnitCost)</f>
        <v>121.24</v>
      </c>
    </row>
    <row r="24" spans="1:5" x14ac:dyDescent="0.3">
      <c r="A24" s="3">
        <v>45878</v>
      </c>
      <c r="B24" t="s">
        <v>418</v>
      </c>
      <c r="C24">
        <v>4</v>
      </c>
      <c r="D24" t="s">
        <v>509</v>
      </c>
      <c r="E24">
        <f>_xlfn.XLOOKUP($B24,[0]!SKU,UnitCost)</f>
        <v>15.51</v>
      </c>
    </row>
    <row r="25" spans="1:5" x14ac:dyDescent="0.3">
      <c r="A25" s="3">
        <v>45879</v>
      </c>
      <c r="B25" t="s">
        <v>411</v>
      </c>
      <c r="C25">
        <v>1</v>
      </c>
      <c r="D25" t="s">
        <v>510</v>
      </c>
      <c r="E25">
        <f>_xlfn.XLOOKUP($B25,[0]!SKU,UnitCost)</f>
        <v>9.3800000000000008</v>
      </c>
    </row>
    <row r="26" spans="1:5" x14ac:dyDescent="0.3">
      <c r="A26" s="3">
        <v>45882</v>
      </c>
      <c r="B26" t="s">
        <v>404</v>
      </c>
      <c r="C26">
        <v>4</v>
      </c>
      <c r="D26" t="s">
        <v>510</v>
      </c>
      <c r="E26">
        <f>_xlfn.XLOOKUP($B26,[0]!SKU,UnitCost)</f>
        <v>11.84</v>
      </c>
    </row>
    <row r="27" spans="1:5" x14ac:dyDescent="0.3">
      <c r="A27" s="3">
        <v>45846</v>
      </c>
      <c r="B27" t="s">
        <v>414</v>
      </c>
      <c r="C27">
        <v>1</v>
      </c>
      <c r="D27" t="s">
        <v>509</v>
      </c>
      <c r="E27">
        <f>_xlfn.XLOOKUP($B27,[0]!SKU,UnitCost)</f>
        <v>48.97</v>
      </c>
    </row>
    <row r="28" spans="1:5" x14ac:dyDescent="0.3">
      <c r="A28" s="3">
        <v>45872</v>
      </c>
      <c r="B28" t="s">
        <v>405</v>
      </c>
      <c r="C28">
        <v>1</v>
      </c>
      <c r="D28" t="s">
        <v>509</v>
      </c>
      <c r="E28">
        <f>_xlfn.XLOOKUP($B28,[0]!SKU,UnitCost)</f>
        <v>74.069999999999993</v>
      </c>
    </row>
    <row r="29" spans="1:5" x14ac:dyDescent="0.3">
      <c r="A29" s="3">
        <v>45891</v>
      </c>
      <c r="B29" t="s">
        <v>404</v>
      </c>
      <c r="C29">
        <v>2</v>
      </c>
      <c r="D29" t="s">
        <v>509</v>
      </c>
      <c r="E29">
        <f>_xlfn.XLOOKUP($B29,[0]!SKU,UnitCost)</f>
        <v>11.84</v>
      </c>
    </row>
    <row r="30" spans="1:5" x14ac:dyDescent="0.3">
      <c r="A30" s="3">
        <v>45860</v>
      </c>
      <c r="B30" t="s">
        <v>416</v>
      </c>
      <c r="C30">
        <v>3</v>
      </c>
      <c r="D30" t="s">
        <v>512</v>
      </c>
      <c r="E30">
        <f>_xlfn.XLOOKUP($B30,[0]!SKU,UnitCost)</f>
        <v>96.22</v>
      </c>
    </row>
    <row r="31" spans="1:5" x14ac:dyDescent="0.3">
      <c r="A31" s="3">
        <v>45867</v>
      </c>
      <c r="B31" t="s">
        <v>409</v>
      </c>
      <c r="C31">
        <v>2</v>
      </c>
      <c r="D31" t="s">
        <v>510</v>
      </c>
      <c r="E31">
        <f>_xlfn.XLOOKUP($B31,[0]!SKU,UnitCost)</f>
        <v>13.89</v>
      </c>
    </row>
    <row r="32" spans="1:5" x14ac:dyDescent="0.3">
      <c r="A32" s="3">
        <v>45890</v>
      </c>
      <c r="B32" t="s">
        <v>404</v>
      </c>
      <c r="C32">
        <v>1</v>
      </c>
      <c r="D32" t="s">
        <v>509</v>
      </c>
      <c r="E32">
        <f>_xlfn.XLOOKUP($B32,[0]!SKU,UnitCost)</f>
        <v>11.84</v>
      </c>
    </row>
    <row r="33" spans="1:5" x14ac:dyDescent="0.3">
      <c r="A33" s="3">
        <v>45863</v>
      </c>
      <c r="B33" t="s">
        <v>409</v>
      </c>
      <c r="C33">
        <v>1</v>
      </c>
      <c r="D33" t="s">
        <v>511</v>
      </c>
      <c r="E33">
        <f>_xlfn.XLOOKUP($B33,[0]!SKU,UnitCost)</f>
        <v>13.89</v>
      </c>
    </row>
    <row r="34" spans="1:5" x14ac:dyDescent="0.3">
      <c r="A34" s="3">
        <v>45854</v>
      </c>
      <c r="B34" t="s">
        <v>419</v>
      </c>
      <c r="C34">
        <v>4</v>
      </c>
      <c r="D34" t="s">
        <v>509</v>
      </c>
      <c r="E34">
        <f>_xlfn.XLOOKUP($B34,[0]!SKU,UnitCost)</f>
        <v>22.61</v>
      </c>
    </row>
    <row r="35" spans="1:5" x14ac:dyDescent="0.3">
      <c r="A35" s="3">
        <v>45849</v>
      </c>
      <c r="B35" t="s">
        <v>415</v>
      </c>
      <c r="C35">
        <v>2</v>
      </c>
      <c r="D35" t="s">
        <v>510</v>
      </c>
      <c r="E35">
        <f>_xlfn.XLOOKUP($B35,[0]!SKU,UnitCost)</f>
        <v>121.24</v>
      </c>
    </row>
    <row r="36" spans="1:5" x14ac:dyDescent="0.3">
      <c r="A36" s="3">
        <v>45840</v>
      </c>
      <c r="B36" t="s">
        <v>406</v>
      </c>
      <c r="C36">
        <v>3</v>
      </c>
      <c r="D36" t="s">
        <v>509</v>
      </c>
      <c r="E36">
        <f>_xlfn.XLOOKUP($B36,[0]!SKU,UnitCost)</f>
        <v>19.55</v>
      </c>
    </row>
    <row r="37" spans="1:5" x14ac:dyDescent="0.3">
      <c r="A37" s="3">
        <v>45845</v>
      </c>
      <c r="B37" t="s">
        <v>405</v>
      </c>
      <c r="C37">
        <v>1</v>
      </c>
      <c r="D37" t="s">
        <v>512</v>
      </c>
      <c r="E37">
        <f>_xlfn.XLOOKUP($B37,[0]!SKU,UnitCost)</f>
        <v>74.069999999999993</v>
      </c>
    </row>
    <row r="38" spans="1:5" x14ac:dyDescent="0.3">
      <c r="A38" s="3">
        <v>45882</v>
      </c>
      <c r="B38" t="s">
        <v>415</v>
      </c>
      <c r="C38">
        <v>2</v>
      </c>
      <c r="D38" t="s">
        <v>509</v>
      </c>
      <c r="E38">
        <f>_xlfn.XLOOKUP($B38,[0]!SKU,UnitCost)</f>
        <v>121.24</v>
      </c>
    </row>
    <row r="39" spans="1:5" x14ac:dyDescent="0.3">
      <c r="A39" s="3">
        <v>45843</v>
      </c>
      <c r="B39" t="s">
        <v>404</v>
      </c>
      <c r="C39">
        <v>2</v>
      </c>
      <c r="D39" t="s">
        <v>510</v>
      </c>
      <c r="E39">
        <f>_xlfn.XLOOKUP($B39,[0]!SKU,UnitCost)</f>
        <v>11.84</v>
      </c>
    </row>
    <row r="40" spans="1:5" x14ac:dyDescent="0.3">
      <c r="A40" s="3">
        <v>45861</v>
      </c>
      <c r="B40" t="s">
        <v>414</v>
      </c>
      <c r="C40">
        <v>1</v>
      </c>
      <c r="D40" t="s">
        <v>509</v>
      </c>
      <c r="E40">
        <f>_xlfn.XLOOKUP($B40,[0]!SKU,UnitCost)</f>
        <v>48.97</v>
      </c>
    </row>
    <row r="41" spans="1:5" x14ac:dyDescent="0.3">
      <c r="A41" s="3">
        <v>45844</v>
      </c>
      <c r="B41" t="s">
        <v>407</v>
      </c>
      <c r="C41">
        <v>1</v>
      </c>
      <c r="D41" t="s">
        <v>511</v>
      </c>
      <c r="E41">
        <f>_xlfn.XLOOKUP($B41,[0]!SKU,UnitCost)</f>
        <v>112.08</v>
      </c>
    </row>
    <row r="42" spans="1:5" x14ac:dyDescent="0.3">
      <c r="A42" s="3">
        <v>45861</v>
      </c>
      <c r="B42" t="s">
        <v>412</v>
      </c>
      <c r="C42">
        <v>3</v>
      </c>
      <c r="D42" t="s">
        <v>511</v>
      </c>
      <c r="E42">
        <f>_xlfn.XLOOKUP($B42,[0]!SKU,UnitCost)</f>
        <v>29.14</v>
      </c>
    </row>
    <row r="43" spans="1:5" x14ac:dyDescent="0.3">
      <c r="A43" s="3">
        <v>45895</v>
      </c>
      <c r="B43" t="s">
        <v>402</v>
      </c>
      <c r="C43">
        <v>1</v>
      </c>
      <c r="D43" t="s">
        <v>509</v>
      </c>
      <c r="E43">
        <f>_xlfn.XLOOKUP($B43,[0]!SKU,UnitCost)</f>
        <v>14.18</v>
      </c>
    </row>
    <row r="44" spans="1:5" x14ac:dyDescent="0.3">
      <c r="A44" s="3">
        <v>45868</v>
      </c>
      <c r="B44" t="s">
        <v>407</v>
      </c>
      <c r="C44">
        <v>1</v>
      </c>
      <c r="D44" t="s">
        <v>509</v>
      </c>
      <c r="E44">
        <f>_xlfn.XLOOKUP($B44,[0]!SKU,UnitCost)</f>
        <v>112.08</v>
      </c>
    </row>
    <row r="45" spans="1:5" x14ac:dyDescent="0.3">
      <c r="A45" s="3">
        <v>45879</v>
      </c>
      <c r="B45" t="s">
        <v>401</v>
      </c>
      <c r="C45">
        <v>1</v>
      </c>
      <c r="D45" t="s">
        <v>511</v>
      </c>
      <c r="E45">
        <f>_xlfn.XLOOKUP($B45,[0]!SKU,UnitCost)</f>
        <v>25.8</v>
      </c>
    </row>
    <row r="46" spans="1:5" x14ac:dyDescent="0.3">
      <c r="A46" s="3">
        <v>45844</v>
      </c>
      <c r="B46" t="s">
        <v>414</v>
      </c>
      <c r="C46">
        <v>1</v>
      </c>
      <c r="D46" t="s">
        <v>509</v>
      </c>
      <c r="E46">
        <f>_xlfn.XLOOKUP($B46,[0]!SKU,UnitCost)</f>
        <v>48.97</v>
      </c>
    </row>
    <row r="47" spans="1:5" x14ac:dyDescent="0.3">
      <c r="A47" s="3">
        <v>45880</v>
      </c>
      <c r="B47" t="s">
        <v>414</v>
      </c>
      <c r="C47">
        <v>2</v>
      </c>
      <c r="D47" t="s">
        <v>510</v>
      </c>
      <c r="E47">
        <f>_xlfn.XLOOKUP($B47,[0]!SKU,UnitCost)</f>
        <v>48.97</v>
      </c>
    </row>
    <row r="48" spans="1:5" x14ac:dyDescent="0.3">
      <c r="A48" s="3">
        <v>45843</v>
      </c>
      <c r="B48" t="s">
        <v>411</v>
      </c>
      <c r="C48">
        <v>4</v>
      </c>
      <c r="D48" t="s">
        <v>510</v>
      </c>
      <c r="E48">
        <f>_xlfn.XLOOKUP($B48,[0]!SKU,UnitCost)</f>
        <v>9.3800000000000008</v>
      </c>
    </row>
    <row r="49" spans="1:5" x14ac:dyDescent="0.3">
      <c r="A49" s="3">
        <v>45889</v>
      </c>
      <c r="B49" t="s">
        <v>402</v>
      </c>
      <c r="C49">
        <v>4</v>
      </c>
      <c r="D49" t="s">
        <v>510</v>
      </c>
      <c r="E49">
        <f>_xlfn.XLOOKUP($B49,[0]!SKU,UnitCost)</f>
        <v>14.18</v>
      </c>
    </row>
    <row r="50" spans="1:5" x14ac:dyDescent="0.3">
      <c r="A50" s="3">
        <v>45878</v>
      </c>
      <c r="B50" t="s">
        <v>407</v>
      </c>
      <c r="C50">
        <v>3</v>
      </c>
      <c r="D50" t="s">
        <v>511</v>
      </c>
      <c r="E50">
        <f>_xlfn.XLOOKUP($B50,[0]!SKU,UnitCost)</f>
        <v>112.08</v>
      </c>
    </row>
    <row r="51" spans="1:5" x14ac:dyDescent="0.3">
      <c r="A51" s="3">
        <v>45875</v>
      </c>
      <c r="B51" t="s">
        <v>418</v>
      </c>
      <c r="C51">
        <v>3</v>
      </c>
      <c r="D51" t="s">
        <v>510</v>
      </c>
      <c r="E51">
        <f>_xlfn.XLOOKUP($B51,[0]!SKU,UnitCost)</f>
        <v>15.51</v>
      </c>
    </row>
    <row r="52" spans="1:5" x14ac:dyDescent="0.3">
      <c r="A52" s="3">
        <v>45862</v>
      </c>
      <c r="B52" t="s">
        <v>406</v>
      </c>
      <c r="C52">
        <v>1</v>
      </c>
      <c r="D52" t="s">
        <v>511</v>
      </c>
      <c r="E52">
        <f>_xlfn.XLOOKUP($B52,[0]!SKU,UnitCost)</f>
        <v>19.55</v>
      </c>
    </row>
    <row r="53" spans="1:5" x14ac:dyDescent="0.3">
      <c r="A53" s="3">
        <v>45853</v>
      </c>
      <c r="B53" t="s">
        <v>409</v>
      </c>
      <c r="C53">
        <v>1</v>
      </c>
      <c r="D53" t="s">
        <v>512</v>
      </c>
      <c r="E53">
        <f>_xlfn.XLOOKUP($B53,[0]!SKU,UnitCost)</f>
        <v>13.89</v>
      </c>
    </row>
    <row r="54" spans="1:5" x14ac:dyDescent="0.3">
      <c r="A54" s="3">
        <v>45893</v>
      </c>
      <c r="B54" t="s">
        <v>410</v>
      </c>
      <c r="C54">
        <v>2</v>
      </c>
      <c r="D54" t="s">
        <v>510</v>
      </c>
      <c r="E54">
        <f>_xlfn.XLOOKUP($B54,[0]!SKU,UnitCost)</f>
        <v>8</v>
      </c>
    </row>
    <row r="55" spans="1:5" x14ac:dyDescent="0.3">
      <c r="A55" s="3">
        <v>45893</v>
      </c>
      <c r="B55" t="s">
        <v>413</v>
      </c>
      <c r="C55">
        <v>1</v>
      </c>
      <c r="D55" t="s">
        <v>509</v>
      </c>
      <c r="E55">
        <f>_xlfn.XLOOKUP($B55,[0]!SKU,UnitCost)</f>
        <v>21.95</v>
      </c>
    </row>
    <row r="56" spans="1:5" x14ac:dyDescent="0.3">
      <c r="A56" s="3">
        <v>45876</v>
      </c>
      <c r="B56" t="s">
        <v>406</v>
      </c>
      <c r="C56">
        <v>4</v>
      </c>
      <c r="D56" t="s">
        <v>511</v>
      </c>
      <c r="E56">
        <f>_xlfn.XLOOKUP($B56,[0]!SKU,UnitCost)</f>
        <v>19.55</v>
      </c>
    </row>
    <row r="57" spans="1:5" x14ac:dyDescent="0.3">
      <c r="A57" s="3">
        <v>45858</v>
      </c>
      <c r="B57" t="s">
        <v>402</v>
      </c>
      <c r="C57">
        <v>1</v>
      </c>
      <c r="D57" t="s">
        <v>512</v>
      </c>
      <c r="E57">
        <f>_xlfn.XLOOKUP($B57,[0]!SKU,UnitCost)</f>
        <v>14.18</v>
      </c>
    </row>
    <row r="58" spans="1:5" x14ac:dyDescent="0.3">
      <c r="A58" s="3">
        <v>45882</v>
      </c>
      <c r="B58" t="s">
        <v>411</v>
      </c>
      <c r="C58">
        <v>1</v>
      </c>
      <c r="D58" t="s">
        <v>512</v>
      </c>
      <c r="E58">
        <f>_xlfn.XLOOKUP($B58,[0]!SKU,UnitCost)</f>
        <v>9.3800000000000008</v>
      </c>
    </row>
    <row r="59" spans="1:5" x14ac:dyDescent="0.3">
      <c r="A59" s="3">
        <v>45891</v>
      </c>
      <c r="B59" t="s">
        <v>408</v>
      </c>
      <c r="C59">
        <v>1</v>
      </c>
      <c r="D59" t="s">
        <v>512</v>
      </c>
      <c r="E59">
        <f>_xlfn.XLOOKUP($B59,[0]!SKU,UnitCost)</f>
        <v>35.81</v>
      </c>
    </row>
    <row r="60" spans="1:5" x14ac:dyDescent="0.3">
      <c r="A60" s="3">
        <v>45865</v>
      </c>
      <c r="B60" t="s">
        <v>404</v>
      </c>
      <c r="C60">
        <v>4</v>
      </c>
      <c r="D60" t="s">
        <v>512</v>
      </c>
      <c r="E60">
        <f>_xlfn.XLOOKUP($B60,[0]!SKU,UnitCost)</f>
        <v>11.84</v>
      </c>
    </row>
    <row r="61" spans="1:5" x14ac:dyDescent="0.3">
      <c r="A61" s="3">
        <v>45846</v>
      </c>
      <c r="B61" t="s">
        <v>408</v>
      </c>
      <c r="C61">
        <v>1</v>
      </c>
      <c r="D61" t="s">
        <v>509</v>
      </c>
      <c r="E61">
        <f>_xlfn.XLOOKUP($B61,[0]!SKU,UnitCost)</f>
        <v>35.81</v>
      </c>
    </row>
    <row r="62" spans="1:5" x14ac:dyDescent="0.3">
      <c r="A62" s="3">
        <v>45885</v>
      </c>
      <c r="B62" t="s">
        <v>408</v>
      </c>
      <c r="C62">
        <v>1</v>
      </c>
      <c r="D62" t="s">
        <v>511</v>
      </c>
      <c r="E62">
        <f>_xlfn.XLOOKUP($B62,[0]!SKU,UnitCost)</f>
        <v>35.81</v>
      </c>
    </row>
    <row r="63" spans="1:5" x14ac:dyDescent="0.3">
      <c r="A63" s="3">
        <v>45868</v>
      </c>
      <c r="B63" t="s">
        <v>416</v>
      </c>
      <c r="C63">
        <v>4</v>
      </c>
      <c r="D63" t="s">
        <v>509</v>
      </c>
      <c r="E63">
        <f>_xlfn.XLOOKUP($B63,[0]!SKU,UnitCost)</f>
        <v>96.22</v>
      </c>
    </row>
    <row r="64" spans="1:5" x14ac:dyDescent="0.3">
      <c r="A64" s="3">
        <v>45857</v>
      </c>
      <c r="B64" t="s">
        <v>405</v>
      </c>
      <c r="C64">
        <v>2</v>
      </c>
      <c r="D64" t="s">
        <v>510</v>
      </c>
      <c r="E64">
        <f>_xlfn.XLOOKUP($B64,[0]!SKU,UnitCost)</f>
        <v>74.069999999999993</v>
      </c>
    </row>
    <row r="65" spans="1:5" x14ac:dyDescent="0.3">
      <c r="A65" s="3">
        <v>45862</v>
      </c>
      <c r="B65" t="s">
        <v>408</v>
      </c>
      <c r="C65">
        <v>4</v>
      </c>
      <c r="D65" t="s">
        <v>510</v>
      </c>
      <c r="E65">
        <f>_xlfn.XLOOKUP($B65,[0]!SKU,UnitCost)</f>
        <v>35.81</v>
      </c>
    </row>
    <row r="66" spans="1:5" x14ac:dyDescent="0.3">
      <c r="A66" s="3">
        <v>45862</v>
      </c>
      <c r="B66" t="s">
        <v>414</v>
      </c>
      <c r="C66">
        <v>1</v>
      </c>
      <c r="D66" t="s">
        <v>511</v>
      </c>
      <c r="E66">
        <f>_xlfn.XLOOKUP($B66,[0]!SKU,UnitCost)</f>
        <v>48.97</v>
      </c>
    </row>
    <row r="67" spans="1:5" x14ac:dyDescent="0.3">
      <c r="A67" s="3">
        <v>45866</v>
      </c>
      <c r="B67" t="s">
        <v>404</v>
      </c>
      <c r="C67">
        <v>1</v>
      </c>
      <c r="D67" t="s">
        <v>510</v>
      </c>
      <c r="E67">
        <f>_xlfn.XLOOKUP($B67,[0]!SKU,UnitCost)</f>
        <v>11.84</v>
      </c>
    </row>
    <row r="68" spans="1:5" x14ac:dyDescent="0.3">
      <c r="A68" s="3">
        <v>45890</v>
      </c>
      <c r="B68" t="s">
        <v>411</v>
      </c>
      <c r="C68">
        <v>1</v>
      </c>
      <c r="D68" t="s">
        <v>511</v>
      </c>
      <c r="E68">
        <f>_xlfn.XLOOKUP($B68,[0]!SKU,UnitCost)</f>
        <v>9.3800000000000008</v>
      </c>
    </row>
    <row r="69" spans="1:5" x14ac:dyDescent="0.3">
      <c r="A69" s="3">
        <v>45864</v>
      </c>
      <c r="B69" t="s">
        <v>411</v>
      </c>
      <c r="C69">
        <v>3</v>
      </c>
      <c r="D69" t="s">
        <v>510</v>
      </c>
      <c r="E69">
        <f>_xlfn.XLOOKUP($B69,[0]!SKU,UnitCost)</f>
        <v>9.3800000000000008</v>
      </c>
    </row>
    <row r="70" spans="1:5" x14ac:dyDescent="0.3">
      <c r="A70" s="3">
        <v>45884</v>
      </c>
      <c r="B70" t="s">
        <v>405</v>
      </c>
      <c r="C70">
        <v>2</v>
      </c>
      <c r="D70" t="s">
        <v>510</v>
      </c>
      <c r="E70">
        <f>_xlfn.XLOOKUP($B70,[0]!SKU,UnitCost)</f>
        <v>74.069999999999993</v>
      </c>
    </row>
    <row r="71" spans="1:5" x14ac:dyDescent="0.3">
      <c r="A71" s="3">
        <v>45870</v>
      </c>
      <c r="B71" t="s">
        <v>408</v>
      </c>
      <c r="C71">
        <v>1</v>
      </c>
      <c r="D71" t="s">
        <v>511</v>
      </c>
      <c r="E71">
        <f>_xlfn.XLOOKUP($B71,[0]!SKU,UnitCost)</f>
        <v>35.81</v>
      </c>
    </row>
    <row r="72" spans="1:5" x14ac:dyDescent="0.3">
      <c r="A72" s="3">
        <v>45869</v>
      </c>
      <c r="B72" t="s">
        <v>410</v>
      </c>
      <c r="C72">
        <v>4</v>
      </c>
      <c r="D72" t="s">
        <v>512</v>
      </c>
      <c r="E72">
        <f>_xlfn.XLOOKUP($B72,[0]!SKU,UnitCost)</f>
        <v>8</v>
      </c>
    </row>
    <row r="73" spans="1:5" x14ac:dyDescent="0.3">
      <c r="A73" s="3">
        <v>45893</v>
      </c>
      <c r="B73" t="s">
        <v>406</v>
      </c>
      <c r="C73">
        <v>1</v>
      </c>
      <c r="D73" t="s">
        <v>509</v>
      </c>
      <c r="E73">
        <f>_xlfn.XLOOKUP($B73,[0]!SKU,UnitCost)</f>
        <v>19.55</v>
      </c>
    </row>
    <row r="74" spans="1:5" x14ac:dyDescent="0.3">
      <c r="A74" s="3">
        <v>45840</v>
      </c>
      <c r="B74" t="s">
        <v>419</v>
      </c>
      <c r="C74">
        <v>1</v>
      </c>
      <c r="D74" t="s">
        <v>510</v>
      </c>
      <c r="E74">
        <f>_xlfn.XLOOKUP($B74,[0]!SKU,UnitCost)</f>
        <v>22.61</v>
      </c>
    </row>
    <row r="75" spans="1:5" x14ac:dyDescent="0.3">
      <c r="A75" s="3">
        <v>45867</v>
      </c>
      <c r="B75" t="s">
        <v>407</v>
      </c>
      <c r="C75">
        <v>1</v>
      </c>
      <c r="D75" t="s">
        <v>509</v>
      </c>
      <c r="E75">
        <f>_xlfn.XLOOKUP($B75,[0]!SKU,UnitCost)</f>
        <v>112.08</v>
      </c>
    </row>
    <row r="76" spans="1:5" x14ac:dyDescent="0.3">
      <c r="A76" s="3">
        <v>45871</v>
      </c>
      <c r="B76" t="s">
        <v>406</v>
      </c>
      <c r="C76">
        <v>3</v>
      </c>
      <c r="D76" t="s">
        <v>510</v>
      </c>
      <c r="E76">
        <f>_xlfn.XLOOKUP($B76,[0]!SKU,UnitCost)</f>
        <v>19.55</v>
      </c>
    </row>
    <row r="77" spans="1:5" x14ac:dyDescent="0.3">
      <c r="A77" s="3">
        <v>45894</v>
      </c>
      <c r="B77" t="s">
        <v>406</v>
      </c>
      <c r="C77">
        <v>2</v>
      </c>
      <c r="D77" t="s">
        <v>510</v>
      </c>
      <c r="E77">
        <f>_xlfn.XLOOKUP($B77,[0]!SKU,UnitCost)</f>
        <v>19.55</v>
      </c>
    </row>
    <row r="78" spans="1:5" x14ac:dyDescent="0.3">
      <c r="A78" s="3">
        <v>45892</v>
      </c>
      <c r="B78" t="s">
        <v>402</v>
      </c>
      <c r="C78">
        <v>2</v>
      </c>
      <c r="D78" t="s">
        <v>511</v>
      </c>
      <c r="E78">
        <f>_xlfn.XLOOKUP($B78,[0]!SKU,UnitCost)</f>
        <v>14.18</v>
      </c>
    </row>
    <row r="79" spans="1:5" x14ac:dyDescent="0.3">
      <c r="A79" s="3">
        <v>45886</v>
      </c>
      <c r="B79" t="s">
        <v>403</v>
      </c>
      <c r="C79">
        <v>1</v>
      </c>
      <c r="D79" t="s">
        <v>510</v>
      </c>
      <c r="E79">
        <f>_xlfn.XLOOKUP($B79,[0]!SKU,UnitCost)</f>
        <v>38.229999999999997</v>
      </c>
    </row>
    <row r="80" spans="1:5" x14ac:dyDescent="0.3">
      <c r="A80" s="3">
        <v>45855</v>
      </c>
      <c r="B80" t="s">
        <v>411</v>
      </c>
      <c r="C80">
        <v>2</v>
      </c>
      <c r="D80" t="s">
        <v>509</v>
      </c>
      <c r="E80">
        <f>_xlfn.XLOOKUP($B80,[0]!SKU,UnitCost)</f>
        <v>9.3800000000000008</v>
      </c>
    </row>
    <row r="81" spans="1:5" x14ac:dyDescent="0.3">
      <c r="A81" s="3">
        <v>45852</v>
      </c>
      <c r="B81" t="s">
        <v>414</v>
      </c>
      <c r="C81">
        <v>1</v>
      </c>
      <c r="D81" t="s">
        <v>510</v>
      </c>
      <c r="E81">
        <f>_xlfn.XLOOKUP($B81,[0]!SKU,UnitCost)</f>
        <v>48.97</v>
      </c>
    </row>
    <row r="82" spans="1:5" x14ac:dyDescent="0.3">
      <c r="A82" s="3">
        <v>45856</v>
      </c>
      <c r="B82" t="s">
        <v>414</v>
      </c>
      <c r="C82">
        <v>1</v>
      </c>
      <c r="D82" t="s">
        <v>512</v>
      </c>
      <c r="E82">
        <f>_xlfn.XLOOKUP($B82,[0]!SKU,UnitCost)</f>
        <v>48.97</v>
      </c>
    </row>
    <row r="83" spans="1:5" x14ac:dyDescent="0.3">
      <c r="A83" s="3">
        <v>45889</v>
      </c>
      <c r="B83" t="s">
        <v>415</v>
      </c>
      <c r="C83">
        <v>1</v>
      </c>
      <c r="D83" t="s">
        <v>512</v>
      </c>
      <c r="E83">
        <f>_xlfn.XLOOKUP($B83,[0]!SKU,UnitCost)</f>
        <v>121.24</v>
      </c>
    </row>
    <row r="84" spans="1:5" x14ac:dyDescent="0.3">
      <c r="A84" s="3">
        <v>45843</v>
      </c>
      <c r="B84" t="s">
        <v>416</v>
      </c>
      <c r="C84">
        <v>2</v>
      </c>
      <c r="D84" t="s">
        <v>510</v>
      </c>
      <c r="E84">
        <f>_xlfn.XLOOKUP($B84,[0]!SKU,UnitCost)</f>
        <v>96.22</v>
      </c>
    </row>
    <row r="85" spans="1:5" x14ac:dyDescent="0.3">
      <c r="A85" s="3">
        <v>45852</v>
      </c>
      <c r="B85" t="s">
        <v>406</v>
      </c>
      <c r="C85">
        <v>3</v>
      </c>
      <c r="D85" t="s">
        <v>512</v>
      </c>
      <c r="E85">
        <f>_xlfn.XLOOKUP($B85,[0]!SKU,UnitCost)</f>
        <v>19.55</v>
      </c>
    </row>
    <row r="86" spans="1:5" x14ac:dyDescent="0.3">
      <c r="A86" s="3">
        <v>45853</v>
      </c>
      <c r="B86" t="s">
        <v>416</v>
      </c>
      <c r="C86">
        <v>2</v>
      </c>
      <c r="D86" t="s">
        <v>509</v>
      </c>
      <c r="E86">
        <f>_xlfn.XLOOKUP($B86,[0]!SKU,UnitCost)</f>
        <v>96.22</v>
      </c>
    </row>
    <row r="87" spans="1:5" x14ac:dyDescent="0.3">
      <c r="A87" s="3">
        <v>45888</v>
      </c>
      <c r="B87" t="s">
        <v>409</v>
      </c>
      <c r="C87">
        <v>4</v>
      </c>
      <c r="D87" t="s">
        <v>511</v>
      </c>
      <c r="E87">
        <f>_xlfn.XLOOKUP($B87,[0]!SKU,UnitCost)</f>
        <v>13.89</v>
      </c>
    </row>
    <row r="88" spans="1:5" x14ac:dyDescent="0.3">
      <c r="A88" s="3">
        <v>45844</v>
      </c>
      <c r="B88" t="s">
        <v>403</v>
      </c>
      <c r="C88">
        <v>1</v>
      </c>
      <c r="D88" t="s">
        <v>510</v>
      </c>
      <c r="E88">
        <f>_xlfn.XLOOKUP($B88,[0]!SKU,UnitCost)</f>
        <v>38.229999999999997</v>
      </c>
    </row>
    <row r="89" spans="1:5" x14ac:dyDescent="0.3">
      <c r="A89" s="3">
        <v>45840</v>
      </c>
      <c r="B89" t="s">
        <v>416</v>
      </c>
      <c r="C89">
        <v>1</v>
      </c>
      <c r="D89" t="s">
        <v>510</v>
      </c>
      <c r="E89">
        <f>_xlfn.XLOOKUP($B89,[0]!SKU,UnitCost)</f>
        <v>96.22</v>
      </c>
    </row>
    <row r="90" spans="1:5" x14ac:dyDescent="0.3">
      <c r="A90" s="3">
        <v>45840</v>
      </c>
      <c r="B90" t="s">
        <v>416</v>
      </c>
      <c r="C90">
        <v>2</v>
      </c>
      <c r="D90" t="s">
        <v>511</v>
      </c>
      <c r="E90">
        <f>_xlfn.XLOOKUP($B90,[0]!SKU,UnitCost)</f>
        <v>96.22</v>
      </c>
    </row>
    <row r="91" spans="1:5" x14ac:dyDescent="0.3">
      <c r="A91" s="3">
        <v>45891</v>
      </c>
      <c r="B91" t="s">
        <v>401</v>
      </c>
      <c r="C91">
        <v>2</v>
      </c>
      <c r="D91" t="s">
        <v>512</v>
      </c>
      <c r="E91">
        <f>_xlfn.XLOOKUP($B91,[0]!SKU,UnitCost)</f>
        <v>25.8</v>
      </c>
    </row>
    <row r="92" spans="1:5" x14ac:dyDescent="0.3">
      <c r="A92" s="3">
        <v>45887</v>
      </c>
      <c r="B92" t="s">
        <v>410</v>
      </c>
      <c r="C92">
        <v>3</v>
      </c>
      <c r="D92" t="s">
        <v>509</v>
      </c>
      <c r="E92">
        <f>_xlfn.XLOOKUP($B92,[0]!SKU,UnitCost)</f>
        <v>8</v>
      </c>
    </row>
    <row r="93" spans="1:5" x14ac:dyDescent="0.3">
      <c r="A93" s="3">
        <v>45849</v>
      </c>
      <c r="B93" t="s">
        <v>405</v>
      </c>
      <c r="C93">
        <v>2</v>
      </c>
      <c r="D93" t="s">
        <v>509</v>
      </c>
      <c r="E93">
        <f>_xlfn.XLOOKUP($B93,[0]!SKU,UnitCost)</f>
        <v>74.069999999999993</v>
      </c>
    </row>
    <row r="94" spans="1:5" x14ac:dyDescent="0.3">
      <c r="A94" s="3">
        <v>45862</v>
      </c>
      <c r="B94" t="s">
        <v>408</v>
      </c>
      <c r="C94">
        <v>1</v>
      </c>
      <c r="D94" t="s">
        <v>511</v>
      </c>
      <c r="E94">
        <f>_xlfn.XLOOKUP($B94,[0]!SKU,UnitCost)</f>
        <v>35.81</v>
      </c>
    </row>
    <row r="95" spans="1:5" x14ac:dyDescent="0.3">
      <c r="A95" s="3">
        <v>45873</v>
      </c>
      <c r="B95" t="s">
        <v>419</v>
      </c>
      <c r="C95">
        <v>4</v>
      </c>
      <c r="D95" t="s">
        <v>510</v>
      </c>
      <c r="E95">
        <f>_xlfn.XLOOKUP($B95,[0]!SKU,UnitCost)</f>
        <v>22.61</v>
      </c>
    </row>
    <row r="96" spans="1:5" x14ac:dyDescent="0.3">
      <c r="A96" s="3">
        <v>45846</v>
      </c>
      <c r="B96" t="s">
        <v>411</v>
      </c>
      <c r="C96">
        <v>3</v>
      </c>
      <c r="D96" t="s">
        <v>510</v>
      </c>
      <c r="E96">
        <f>_xlfn.XLOOKUP($B96,[0]!SKU,UnitCost)</f>
        <v>9.3800000000000008</v>
      </c>
    </row>
    <row r="97" spans="1:5" x14ac:dyDescent="0.3">
      <c r="A97" s="3">
        <v>45883</v>
      </c>
      <c r="B97" t="s">
        <v>412</v>
      </c>
      <c r="C97">
        <v>1</v>
      </c>
      <c r="D97" t="s">
        <v>509</v>
      </c>
      <c r="E97">
        <f>_xlfn.XLOOKUP($B97,[0]!SKU,UnitCost)</f>
        <v>29.14</v>
      </c>
    </row>
    <row r="98" spans="1:5" x14ac:dyDescent="0.3">
      <c r="A98" s="3">
        <v>45860</v>
      </c>
      <c r="B98" t="s">
        <v>401</v>
      </c>
      <c r="C98">
        <v>1</v>
      </c>
      <c r="D98" t="s">
        <v>512</v>
      </c>
      <c r="E98">
        <f>_xlfn.XLOOKUP($B98,[0]!SKU,UnitCost)</f>
        <v>25.8</v>
      </c>
    </row>
    <row r="99" spans="1:5" x14ac:dyDescent="0.3">
      <c r="A99" s="3">
        <v>45842</v>
      </c>
      <c r="B99" t="s">
        <v>417</v>
      </c>
      <c r="C99">
        <v>1</v>
      </c>
      <c r="D99" t="s">
        <v>510</v>
      </c>
      <c r="E99">
        <f>_xlfn.XLOOKUP($B99,[0]!SKU,UnitCost)</f>
        <v>80.92</v>
      </c>
    </row>
    <row r="100" spans="1:5" x14ac:dyDescent="0.3">
      <c r="A100" s="3">
        <v>45875</v>
      </c>
      <c r="B100" t="s">
        <v>404</v>
      </c>
      <c r="C100">
        <v>2</v>
      </c>
      <c r="D100" t="s">
        <v>510</v>
      </c>
      <c r="E100">
        <f>_xlfn.XLOOKUP($B100,[0]!SKU,UnitCost)</f>
        <v>11.84</v>
      </c>
    </row>
    <row r="101" spans="1:5" x14ac:dyDescent="0.3">
      <c r="A101" s="3">
        <v>45844</v>
      </c>
      <c r="B101" t="s">
        <v>416</v>
      </c>
      <c r="C101">
        <v>3</v>
      </c>
      <c r="D101" t="s">
        <v>509</v>
      </c>
      <c r="E101">
        <f>_xlfn.XLOOKUP($B101,[0]!SKU,UnitCost)</f>
        <v>96.22</v>
      </c>
    </row>
    <row r="102" spans="1:5" x14ac:dyDescent="0.3">
      <c r="A102" s="3">
        <v>45847</v>
      </c>
      <c r="B102" t="s">
        <v>403</v>
      </c>
      <c r="C102">
        <v>1</v>
      </c>
      <c r="D102" t="s">
        <v>510</v>
      </c>
      <c r="E102">
        <f>_xlfn.XLOOKUP($B102,[0]!SKU,UnitCost)</f>
        <v>38.229999999999997</v>
      </c>
    </row>
    <row r="103" spans="1:5" x14ac:dyDescent="0.3">
      <c r="A103" s="3">
        <v>45871</v>
      </c>
      <c r="B103" t="s">
        <v>412</v>
      </c>
      <c r="C103">
        <v>2</v>
      </c>
      <c r="D103" t="s">
        <v>512</v>
      </c>
      <c r="E103">
        <f>_xlfn.XLOOKUP($B103,[0]!SKU,UnitCost)</f>
        <v>29.14</v>
      </c>
    </row>
    <row r="104" spans="1:5" x14ac:dyDescent="0.3">
      <c r="A104" s="3">
        <v>45890</v>
      </c>
      <c r="B104" t="s">
        <v>415</v>
      </c>
      <c r="C104">
        <v>2</v>
      </c>
      <c r="D104" t="s">
        <v>509</v>
      </c>
      <c r="E104">
        <f>_xlfn.XLOOKUP($B104,[0]!SKU,UnitCost)</f>
        <v>121.24</v>
      </c>
    </row>
    <row r="105" spans="1:5" x14ac:dyDescent="0.3">
      <c r="A105" s="3">
        <v>45859</v>
      </c>
      <c r="B105" t="s">
        <v>412</v>
      </c>
      <c r="C105">
        <v>2</v>
      </c>
      <c r="D105" t="s">
        <v>510</v>
      </c>
      <c r="E105">
        <f>_xlfn.XLOOKUP($B105,[0]!SKU,UnitCost)</f>
        <v>29.14</v>
      </c>
    </row>
    <row r="106" spans="1:5" x14ac:dyDescent="0.3">
      <c r="A106" s="3">
        <v>45865</v>
      </c>
      <c r="B106" t="s">
        <v>415</v>
      </c>
      <c r="C106">
        <v>1</v>
      </c>
      <c r="D106" t="s">
        <v>512</v>
      </c>
      <c r="E106">
        <f>_xlfn.XLOOKUP($B106,[0]!SKU,UnitCost)</f>
        <v>121.24</v>
      </c>
    </row>
    <row r="107" spans="1:5" x14ac:dyDescent="0.3">
      <c r="A107" s="3">
        <v>45866</v>
      </c>
      <c r="B107" t="s">
        <v>414</v>
      </c>
      <c r="C107">
        <v>3</v>
      </c>
      <c r="D107" t="s">
        <v>512</v>
      </c>
      <c r="E107">
        <f>_xlfn.XLOOKUP($B107,[0]!SKU,UnitCost)</f>
        <v>48.97</v>
      </c>
    </row>
    <row r="108" spans="1:5" x14ac:dyDescent="0.3">
      <c r="A108" s="3">
        <v>45856</v>
      </c>
      <c r="B108" t="s">
        <v>402</v>
      </c>
      <c r="C108">
        <v>4</v>
      </c>
      <c r="D108" t="s">
        <v>512</v>
      </c>
      <c r="E108">
        <f>_xlfn.XLOOKUP($B108,[0]!SKU,UnitCost)</f>
        <v>14.18</v>
      </c>
    </row>
    <row r="109" spans="1:5" x14ac:dyDescent="0.3">
      <c r="A109" s="3">
        <v>45859</v>
      </c>
      <c r="B109" t="s">
        <v>412</v>
      </c>
      <c r="C109">
        <v>2</v>
      </c>
      <c r="D109" t="s">
        <v>509</v>
      </c>
      <c r="E109">
        <f>_xlfn.XLOOKUP($B109,[0]!SKU,UnitCost)</f>
        <v>29.14</v>
      </c>
    </row>
    <row r="110" spans="1:5" x14ac:dyDescent="0.3">
      <c r="A110" s="3">
        <v>45877</v>
      </c>
      <c r="B110" t="s">
        <v>417</v>
      </c>
      <c r="C110">
        <v>1</v>
      </c>
      <c r="D110" t="s">
        <v>511</v>
      </c>
      <c r="E110">
        <f>_xlfn.XLOOKUP($B110,[0]!SKU,UnitCost)</f>
        <v>80.92</v>
      </c>
    </row>
    <row r="111" spans="1:5" x14ac:dyDescent="0.3">
      <c r="A111" s="3">
        <v>45854</v>
      </c>
      <c r="B111" t="s">
        <v>412</v>
      </c>
      <c r="C111">
        <v>2</v>
      </c>
      <c r="D111" t="s">
        <v>509</v>
      </c>
      <c r="E111">
        <f>_xlfn.XLOOKUP($B111,[0]!SKU,UnitCost)</f>
        <v>29.14</v>
      </c>
    </row>
    <row r="112" spans="1:5" x14ac:dyDescent="0.3">
      <c r="A112" s="3">
        <v>45894</v>
      </c>
      <c r="B112" t="s">
        <v>404</v>
      </c>
      <c r="C112">
        <v>3</v>
      </c>
      <c r="D112" t="s">
        <v>511</v>
      </c>
      <c r="E112">
        <f>_xlfn.XLOOKUP($B112,[0]!SKU,UnitCost)</f>
        <v>11.84</v>
      </c>
    </row>
    <row r="113" spans="1:5" x14ac:dyDescent="0.3">
      <c r="A113" s="3">
        <v>45876</v>
      </c>
      <c r="B113" t="s">
        <v>407</v>
      </c>
      <c r="C113">
        <v>4</v>
      </c>
      <c r="D113" t="s">
        <v>512</v>
      </c>
      <c r="E113">
        <f>_xlfn.XLOOKUP($B113,[0]!SKU,UnitCost)</f>
        <v>112.08</v>
      </c>
    </row>
    <row r="114" spans="1:5" x14ac:dyDescent="0.3">
      <c r="A114" s="3">
        <v>45887</v>
      </c>
      <c r="B114" t="s">
        <v>411</v>
      </c>
      <c r="C114">
        <v>1</v>
      </c>
      <c r="D114" t="s">
        <v>512</v>
      </c>
      <c r="E114">
        <f>_xlfn.XLOOKUP($B114,[0]!SKU,UnitCost)</f>
        <v>9.3800000000000008</v>
      </c>
    </row>
    <row r="115" spans="1:5" x14ac:dyDescent="0.3">
      <c r="A115" s="3">
        <v>45848</v>
      </c>
      <c r="B115" t="s">
        <v>410</v>
      </c>
      <c r="C115">
        <v>1</v>
      </c>
      <c r="D115" t="s">
        <v>509</v>
      </c>
      <c r="E115">
        <f>_xlfn.XLOOKUP($B115,[0]!SKU,UnitCost)</f>
        <v>8</v>
      </c>
    </row>
    <row r="116" spans="1:5" x14ac:dyDescent="0.3">
      <c r="A116" s="3">
        <v>45846</v>
      </c>
      <c r="B116" t="s">
        <v>402</v>
      </c>
      <c r="C116">
        <v>2</v>
      </c>
      <c r="D116" t="s">
        <v>510</v>
      </c>
      <c r="E116">
        <f>_xlfn.XLOOKUP($B116,[0]!SKU,UnitCost)</f>
        <v>14.18</v>
      </c>
    </row>
    <row r="117" spans="1:5" x14ac:dyDescent="0.3">
      <c r="A117" s="3">
        <v>45870</v>
      </c>
      <c r="B117" t="s">
        <v>416</v>
      </c>
      <c r="C117">
        <v>1</v>
      </c>
      <c r="D117" t="s">
        <v>511</v>
      </c>
      <c r="E117">
        <f>_xlfn.XLOOKUP($B117,[0]!SKU,UnitCost)</f>
        <v>96.22</v>
      </c>
    </row>
    <row r="118" spans="1:5" x14ac:dyDescent="0.3">
      <c r="A118" s="3">
        <v>45882</v>
      </c>
      <c r="B118" t="s">
        <v>403</v>
      </c>
      <c r="C118">
        <v>2</v>
      </c>
      <c r="D118" t="s">
        <v>509</v>
      </c>
      <c r="E118">
        <f>_xlfn.XLOOKUP($B118,[0]!SKU,UnitCost)</f>
        <v>38.229999999999997</v>
      </c>
    </row>
    <row r="119" spans="1:5" x14ac:dyDescent="0.3">
      <c r="A119" s="3">
        <v>45873</v>
      </c>
      <c r="B119" t="s">
        <v>414</v>
      </c>
      <c r="C119">
        <v>4</v>
      </c>
      <c r="D119" t="s">
        <v>510</v>
      </c>
      <c r="E119">
        <f>_xlfn.XLOOKUP($B119,[0]!SKU,UnitCost)</f>
        <v>48.97</v>
      </c>
    </row>
    <row r="120" spans="1:5" x14ac:dyDescent="0.3">
      <c r="A120" s="3">
        <v>45880</v>
      </c>
      <c r="B120" t="s">
        <v>418</v>
      </c>
      <c r="C120">
        <v>4</v>
      </c>
      <c r="D120" t="s">
        <v>510</v>
      </c>
      <c r="E120">
        <f>_xlfn.XLOOKUP($B120,[0]!SKU,UnitCost)</f>
        <v>15.51</v>
      </c>
    </row>
    <row r="121" spans="1:5" x14ac:dyDescent="0.3">
      <c r="A121" s="3">
        <v>45847</v>
      </c>
      <c r="B121" t="s">
        <v>401</v>
      </c>
      <c r="C121">
        <v>2</v>
      </c>
      <c r="D121" t="s">
        <v>509</v>
      </c>
      <c r="E121">
        <f>_xlfn.XLOOKUP($B121,[0]!SKU,UnitCost)</f>
        <v>25.8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CD37-1DDD-40DA-AF88-A74D78294EE7}">
  <dimension ref="A1:D221"/>
  <sheetViews>
    <sheetView workbookViewId="0">
      <selection activeCell="F9" sqref="F9"/>
    </sheetView>
  </sheetViews>
  <sheetFormatPr defaultRowHeight="14.4" x14ac:dyDescent="0.3"/>
  <cols>
    <col min="1" max="1" width="10.109375" bestFit="1" customWidth="1"/>
    <col min="2" max="2" width="14.77734375" bestFit="1" customWidth="1"/>
    <col min="13" max="13" width="19" bestFit="1" customWidth="1"/>
  </cols>
  <sheetData>
    <row r="1" spans="1:4" x14ac:dyDescent="0.3">
      <c r="A1" s="1" t="s">
        <v>507</v>
      </c>
      <c r="B1" s="1" t="s">
        <v>2</v>
      </c>
      <c r="C1" s="1" t="s">
        <v>513</v>
      </c>
      <c r="D1" s="1" t="s">
        <v>514</v>
      </c>
    </row>
    <row r="2" spans="1:4" x14ac:dyDescent="0.3">
      <c r="A2" s="2">
        <v>45846</v>
      </c>
      <c r="B2" t="s">
        <v>27</v>
      </c>
      <c r="C2">
        <v>4</v>
      </c>
      <c r="D2" t="s">
        <v>515</v>
      </c>
    </row>
    <row r="3" spans="1:4" x14ac:dyDescent="0.3">
      <c r="A3" s="2">
        <v>45875</v>
      </c>
      <c r="B3" t="s">
        <v>9</v>
      </c>
      <c r="C3">
        <v>3</v>
      </c>
      <c r="D3" t="s">
        <v>516</v>
      </c>
    </row>
    <row r="4" spans="1:4" x14ac:dyDescent="0.3">
      <c r="A4" s="2">
        <v>45869</v>
      </c>
      <c r="B4" t="s">
        <v>15</v>
      </c>
      <c r="C4">
        <v>2</v>
      </c>
      <c r="D4" t="s">
        <v>517</v>
      </c>
    </row>
    <row r="5" spans="1:4" x14ac:dyDescent="0.3">
      <c r="A5" s="2">
        <v>45839</v>
      </c>
      <c r="B5" t="s">
        <v>15</v>
      </c>
      <c r="C5">
        <v>5</v>
      </c>
      <c r="D5" t="s">
        <v>518</v>
      </c>
    </row>
    <row r="6" spans="1:4" x14ac:dyDescent="0.3">
      <c r="A6" s="2">
        <v>45865</v>
      </c>
      <c r="B6" t="s">
        <v>27</v>
      </c>
      <c r="C6">
        <v>3</v>
      </c>
      <c r="D6" t="s">
        <v>517</v>
      </c>
    </row>
    <row r="7" spans="1:4" x14ac:dyDescent="0.3">
      <c r="A7" s="2">
        <v>45857</v>
      </c>
      <c r="B7" t="s">
        <v>15</v>
      </c>
      <c r="C7">
        <v>5</v>
      </c>
      <c r="D7" t="s">
        <v>516</v>
      </c>
    </row>
    <row r="8" spans="1:4" x14ac:dyDescent="0.3">
      <c r="A8" s="2">
        <v>45849</v>
      </c>
      <c r="B8" t="s">
        <v>27</v>
      </c>
      <c r="C8">
        <v>2</v>
      </c>
      <c r="D8" t="s">
        <v>518</v>
      </c>
    </row>
    <row r="9" spans="1:4" x14ac:dyDescent="0.3">
      <c r="A9" s="2">
        <v>45892</v>
      </c>
      <c r="B9" t="s">
        <v>27</v>
      </c>
      <c r="C9">
        <v>4</v>
      </c>
      <c r="D9" t="s">
        <v>516</v>
      </c>
    </row>
    <row r="10" spans="1:4" x14ac:dyDescent="0.3">
      <c r="A10" s="2">
        <v>45840</v>
      </c>
      <c r="B10" t="s">
        <v>15</v>
      </c>
      <c r="C10">
        <v>5</v>
      </c>
      <c r="D10" t="s">
        <v>516</v>
      </c>
    </row>
    <row r="11" spans="1:4" x14ac:dyDescent="0.3">
      <c r="A11" s="2">
        <v>45847</v>
      </c>
      <c r="B11" t="s">
        <v>9</v>
      </c>
      <c r="C11">
        <v>3</v>
      </c>
      <c r="D11" t="s">
        <v>515</v>
      </c>
    </row>
    <row r="12" spans="1:4" x14ac:dyDescent="0.3">
      <c r="A12" s="2">
        <v>45875</v>
      </c>
      <c r="B12" t="s">
        <v>27</v>
      </c>
      <c r="C12">
        <v>3</v>
      </c>
      <c r="D12" t="s">
        <v>519</v>
      </c>
    </row>
    <row r="13" spans="1:4" x14ac:dyDescent="0.3">
      <c r="A13" s="2">
        <v>45868</v>
      </c>
      <c r="B13" t="s">
        <v>15</v>
      </c>
      <c r="C13">
        <v>5</v>
      </c>
      <c r="D13" t="s">
        <v>515</v>
      </c>
    </row>
    <row r="14" spans="1:4" x14ac:dyDescent="0.3">
      <c r="A14" s="2">
        <v>45845</v>
      </c>
      <c r="B14" t="s">
        <v>27</v>
      </c>
      <c r="C14">
        <v>5</v>
      </c>
      <c r="D14" t="s">
        <v>519</v>
      </c>
    </row>
    <row r="15" spans="1:4" x14ac:dyDescent="0.3">
      <c r="A15" s="2">
        <v>45879</v>
      </c>
      <c r="B15" t="s">
        <v>15</v>
      </c>
      <c r="C15">
        <v>5</v>
      </c>
      <c r="D15" t="s">
        <v>517</v>
      </c>
    </row>
    <row r="16" spans="1:4" x14ac:dyDescent="0.3">
      <c r="A16" s="2">
        <v>45874</v>
      </c>
      <c r="B16" t="s">
        <v>15</v>
      </c>
      <c r="C16">
        <v>3</v>
      </c>
      <c r="D16" t="s">
        <v>520</v>
      </c>
    </row>
    <row r="17" spans="1:4" x14ac:dyDescent="0.3">
      <c r="A17" s="2">
        <v>45896</v>
      </c>
      <c r="B17" t="s">
        <v>9</v>
      </c>
      <c r="C17">
        <v>3</v>
      </c>
      <c r="D17" t="s">
        <v>520</v>
      </c>
    </row>
    <row r="18" spans="1:4" x14ac:dyDescent="0.3">
      <c r="A18" s="2">
        <v>45849</v>
      </c>
      <c r="B18" t="s">
        <v>27</v>
      </c>
      <c r="C18">
        <v>4</v>
      </c>
    </row>
    <row r="19" spans="1:4" x14ac:dyDescent="0.3">
      <c r="A19" s="2">
        <v>45877</v>
      </c>
      <c r="B19" t="s">
        <v>15</v>
      </c>
      <c r="C19">
        <v>5</v>
      </c>
      <c r="D19" t="s">
        <v>518</v>
      </c>
    </row>
    <row r="20" spans="1:4" x14ac:dyDescent="0.3">
      <c r="A20" s="2">
        <v>45881</v>
      </c>
      <c r="B20" t="s">
        <v>15</v>
      </c>
      <c r="C20">
        <v>5</v>
      </c>
      <c r="D20" t="s">
        <v>515</v>
      </c>
    </row>
    <row r="21" spans="1:4" x14ac:dyDescent="0.3">
      <c r="A21" s="2">
        <v>45868</v>
      </c>
      <c r="B21" t="s">
        <v>15</v>
      </c>
      <c r="C21">
        <v>3</v>
      </c>
      <c r="D21" t="s">
        <v>520</v>
      </c>
    </row>
    <row r="22" spans="1:4" x14ac:dyDescent="0.3">
      <c r="A22" s="2">
        <v>45869</v>
      </c>
      <c r="B22" t="s">
        <v>27</v>
      </c>
      <c r="C22">
        <v>5</v>
      </c>
      <c r="D22" t="s">
        <v>518</v>
      </c>
    </row>
    <row r="23" spans="1:4" x14ac:dyDescent="0.3">
      <c r="A23" s="2">
        <v>45867</v>
      </c>
      <c r="B23" t="s">
        <v>9</v>
      </c>
      <c r="C23">
        <v>5</v>
      </c>
      <c r="D23" t="s">
        <v>521</v>
      </c>
    </row>
    <row r="24" spans="1:4" x14ac:dyDescent="0.3">
      <c r="A24" s="2">
        <v>45870</v>
      </c>
      <c r="B24" t="s">
        <v>15</v>
      </c>
      <c r="C24">
        <v>4</v>
      </c>
      <c r="D24" t="s">
        <v>516</v>
      </c>
    </row>
    <row r="25" spans="1:4" x14ac:dyDescent="0.3">
      <c r="A25" s="2">
        <v>45874</v>
      </c>
      <c r="B25" t="s">
        <v>27</v>
      </c>
      <c r="C25">
        <v>3</v>
      </c>
      <c r="D25" t="s">
        <v>515</v>
      </c>
    </row>
    <row r="26" spans="1:4" x14ac:dyDescent="0.3">
      <c r="A26" s="2">
        <v>45892</v>
      </c>
      <c r="B26" t="s">
        <v>27</v>
      </c>
      <c r="C26">
        <v>5</v>
      </c>
      <c r="D26" t="s">
        <v>521</v>
      </c>
    </row>
    <row r="27" spans="1:4" x14ac:dyDescent="0.3">
      <c r="A27" s="2">
        <v>45881</v>
      </c>
      <c r="B27" t="s">
        <v>15</v>
      </c>
      <c r="C27">
        <v>2</v>
      </c>
      <c r="D27" t="s">
        <v>516</v>
      </c>
    </row>
    <row r="28" spans="1:4" x14ac:dyDescent="0.3">
      <c r="A28" s="2">
        <v>45887</v>
      </c>
      <c r="B28" t="s">
        <v>27</v>
      </c>
      <c r="C28">
        <v>4</v>
      </c>
      <c r="D28" t="s">
        <v>521</v>
      </c>
    </row>
    <row r="29" spans="1:4" x14ac:dyDescent="0.3">
      <c r="A29" s="2">
        <v>45863</v>
      </c>
      <c r="B29" t="s">
        <v>9</v>
      </c>
      <c r="C29">
        <v>3</v>
      </c>
      <c r="D29" t="s">
        <v>516</v>
      </c>
    </row>
    <row r="30" spans="1:4" x14ac:dyDescent="0.3">
      <c r="A30" s="2">
        <v>45875</v>
      </c>
      <c r="B30" t="s">
        <v>27</v>
      </c>
      <c r="C30">
        <v>5</v>
      </c>
      <c r="D30" t="s">
        <v>520</v>
      </c>
    </row>
    <row r="31" spans="1:4" x14ac:dyDescent="0.3">
      <c r="A31" s="2">
        <v>45895</v>
      </c>
      <c r="B31" t="s">
        <v>15</v>
      </c>
      <c r="C31">
        <v>5</v>
      </c>
    </row>
    <row r="32" spans="1:4" x14ac:dyDescent="0.3">
      <c r="A32" s="2">
        <v>45873</v>
      </c>
      <c r="B32" t="s">
        <v>9</v>
      </c>
      <c r="C32">
        <v>2</v>
      </c>
      <c r="D32" t="s">
        <v>517</v>
      </c>
    </row>
    <row r="33" spans="1:4" x14ac:dyDescent="0.3">
      <c r="A33" s="2">
        <v>45863</v>
      </c>
      <c r="B33" t="s">
        <v>9</v>
      </c>
      <c r="C33">
        <v>4</v>
      </c>
      <c r="D33" t="s">
        <v>515</v>
      </c>
    </row>
    <row r="34" spans="1:4" x14ac:dyDescent="0.3">
      <c r="A34" s="2">
        <v>45843</v>
      </c>
      <c r="B34" t="s">
        <v>9</v>
      </c>
      <c r="C34">
        <v>5</v>
      </c>
      <c r="D34" t="s">
        <v>518</v>
      </c>
    </row>
    <row r="35" spans="1:4" x14ac:dyDescent="0.3">
      <c r="A35" s="2">
        <v>45880</v>
      </c>
      <c r="B35" t="s">
        <v>27</v>
      </c>
      <c r="C35">
        <v>2</v>
      </c>
      <c r="D35" t="s">
        <v>517</v>
      </c>
    </row>
    <row r="36" spans="1:4" x14ac:dyDescent="0.3">
      <c r="A36" s="2">
        <v>45864</v>
      </c>
      <c r="B36" t="s">
        <v>27</v>
      </c>
      <c r="C36">
        <v>3</v>
      </c>
      <c r="D36" t="s">
        <v>520</v>
      </c>
    </row>
    <row r="37" spans="1:4" x14ac:dyDescent="0.3">
      <c r="A37" s="2">
        <v>45875</v>
      </c>
      <c r="B37" t="s">
        <v>15</v>
      </c>
      <c r="C37">
        <v>5</v>
      </c>
      <c r="D37" t="s">
        <v>515</v>
      </c>
    </row>
    <row r="38" spans="1:4" x14ac:dyDescent="0.3">
      <c r="A38" s="2">
        <v>45872</v>
      </c>
      <c r="B38" t="s">
        <v>27</v>
      </c>
      <c r="C38">
        <v>5</v>
      </c>
      <c r="D38" t="s">
        <v>517</v>
      </c>
    </row>
    <row r="39" spans="1:4" x14ac:dyDescent="0.3">
      <c r="A39" s="2">
        <v>45867</v>
      </c>
      <c r="B39" t="s">
        <v>15</v>
      </c>
      <c r="C39">
        <v>2</v>
      </c>
      <c r="D39" t="s">
        <v>517</v>
      </c>
    </row>
    <row r="40" spans="1:4" x14ac:dyDescent="0.3">
      <c r="A40" s="2">
        <v>45852</v>
      </c>
      <c r="B40" t="s">
        <v>15</v>
      </c>
      <c r="C40">
        <v>4</v>
      </c>
      <c r="D40" t="s">
        <v>518</v>
      </c>
    </row>
    <row r="41" spans="1:4" x14ac:dyDescent="0.3">
      <c r="A41" s="2">
        <v>45883</v>
      </c>
      <c r="B41" t="s">
        <v>27</v>
      </c>
      <c r="C41">
        <v>5</v>
      </c>
      <c r="D41" t="s">
        <v>518</v>
      </c>
    </row>
    <row r="42" spans="1:4" x14ac:dyDescent="0.3">
      <c r="A42" s="2">
        <v>45885</v>
      </c>
      <c r="B42" t="s">
        <v>27</v>
      </c>
      <c r="C42">
        <v>5</v>
      </c>
      <c r="D42" t="s">
        <v>520</v>
      </c>
    </row>
    <row r="43" spans="1:4" x14ac:dyDescent="0.3">
      <c r="A43" s="2">
        <v>45869</v>
      </c>
      <c r="B43" t="s">
        <v>27</v>
      </c>
      <c r="C43">
        <v>4</v>
      </c>
    </row>
    <row r="44" spans="1:4" x14ac:dyDescent="0.3">
      <c r="A44" s="2">
        <v>45850</v>
      </c>
      <c r="B44" t="s">
        <v>27</v>
      </c>
      <c r="C44">
        <v>4</v>
      </c>
      <c r="D44" t="s">
        <v>517</v>
      </c>
    </row>
    <row r="45" spans="1:4" x14ac:dyDescent="0.3">
      <c r="A45" s="2">
        <v>45854</v>
      </c>
      <c r="B45" t="s">
        <v>9</v>
      </c>
      <c r="C45">
        <v>3</v>
      </c>
      <c r="D45" t="s">
        <v>515</v>
      </c>
    </row>
    <row r="46" spans="1:4" x14ac:dyDescent="0.3">
      <c r="A46" s="2">
        <v>45892</v>
      </c>
      <c r="B46" t="s">
        <v>27</v>
      </c>
      <c r="C46">
        <v>4</v>
      </c>
      <c r="D46" t="s">
        <v>516</v>
      </c>
    </row>
    <row r="47" spans="1:4" x14ac:dyDescent="0.3">
      <c r="A47" s="2">
        <v>45883</v>
      </c>
      <c r="B47" t="s">
        <v>27</v>
      </c>
      <c r="C47">
        <v>5</v>
      </c>
      <c r="D47" t="s">
        <v>515</v>
      </c>
    </row>
    <row r="48" spans="1:4" x14ac:dyDescent="0.3">
      <c r="A48" s="2">
        <v>45857</v>
      </c>
      <c r="B48" t="s">
        <v>9</v>
      </c>
      <c r="C48">
        <v>5</v>
      </c>
      <c r="D48" t="s">
        <v>516</v>
      </c>
    </row>
    <row r="49" spans="1:4" x14ac:dyDescent="0.3">
      <c r="A49" s="2">
        <v>45841</v>
      </c>
      <c r="B49" t="s">
        <v>9</v>
      </c>
      <c r="C49">
        <v>3</v>
      </c>
      <c r="D49" t="s">
        <v>520</v>
      </c>
    </row>
    <row r="50" spans="1:4" x14ac:dyDescent="0.3">
      <c r="A50" s="2">
        <v>45896</v>
      </c>
      <c r="B50" t="s">
        <v>15</v>
      </c>
      <c r="C50">
        <v>5</v>
      </c>
    </row>
    <row r="51" spans="1:4" x14ac:dyDescent="0.3">
      <c r="A51" s="2">
        <v>45859</v>
      </c>
      <c r="B51" t="s">
        <v>27</v>
      </c>
      <c r="C51">
        <v>4</v>
      </c>
      <c r="D51" t="s">
        <v>517</v>
      </c>
    </row>
    <row r="52" spans="1:4" x14ac:dyDescent="0.3">
      <c r="A52" s="2">
        <v>45895</v>
      </c>
      <c r="B52" t="s">
        <v>27</v>
      </c>
      <c r="C52">
        <v>3</v>
      </c>
      <c r="D52" t="s">
        <v>518</v>
      </c>
    </row>
    <row r="53" spans="1:4" x14ac:dyDescent="0.3">
      <c r="A53" s="2">
        <v>45870</v>
      </c>
      <c r="B53" t="s">
        <v>27</v>
      </c>
      <c r="C53">
        <v>5</v>
      </c>
      <c r="D53" t="s">
        <v>517</v>
      </c>
    </row>
    <row r="54" spans="1:4" x14ac:dyDescent="0.3">
      <c r="A54" s="2">
        <v>45864</v>
      </c>
      <c r="B54" t="s">
        <v>9</v>
      </c>
      <c r="C54">
        <v>5</v>
      </c>
      <c r="D54" t="s">
        <v>518</v>
      </c>
    </row>
    <row r="55" spans="1:4" x14ac:dyDescent="0.3">
      <c r="A55" s="2">
        <v>45896</v>
      </c>
      <c r="B55" t="s">
        <v>15</v>
      </c>
      <c r="C55">
        <v>5</v>
      </c>
      <c r="D55" t="s">
        <v>517</v>
      </c>
    </row>
    <row r="56" spans="1:4" x14ac:dyDescent="0.3">
      <c r="A56" s="2">
        <v>45872</v>
      </c>
      <c r="B56" t="s">
        <v>15</v>
      </c>
      <c r="C56">
        <v>5</v>
      </c>
      <c r="D56" t="s">
        <v>515</v>
      </c>
    </row>
    <row r="57" spans="1:4" x14ac:dyDescent="0.3">
      <c r="A57" s="2">
        <v>45867</v>
      </c>
      <c r="B57" t="s">
        <v>9</v>
      </c>
      <c r="C57">
        <v>2</v>
      </c>
      <c r="D57" t="s">
        <v>515</v>
      </c>
    </row>
    <row r="58" spans="1:4" x14ac:dyDescent="0.3">
      <c r="A58" s="2">
        <v>45869</v>
      </c>
      <c r="B58" t="s">
        <v>27</v>
      </c>
      <c r="C58">
        <v>3</v>
      </c>
      <c r="D58" t="s">
        <v>519</v>
      </c>
    </row>
    <row r="59" spans="1:4" x14ac:dyDescent="0.3">
      <c r="A59" s="2">
        <v>45850</v>
      </c>
      <c r="B59" t="s">
        <v>27</v>
      </c>
      <c r="C59">
        <v>4</v>
      </c>
      <c r="D59" t="s">
        <v>515</v>
      </c>
    </row>
    <row r="60" spans="1:4" x14ac:dyDescent="0.3">
      <c r="A60" s="2">
        <v>45888</v>
      </c>
      <c r="B60" t="s">
        <v>15</v>
      </c>
      <c r="C60">
        <v>5</v>
      </c>
      <c r="D60" t="s">
        <v>515</v>
      </c>
    </row>
    <row r="61" spans="1:4" x14ac:dyDescent="0.3">
      <c r="A61" s="2">
        <v>45894</v>
      </c>
      <c r="B61" t="s">
        <v>15</v>
      </c>
      <c r="C61">
        <v>5</v>
      </c>
      <c r="D61" t="s">
        <v>515</v>
      </c>
    </row>
    <row r="62" spans="1:4" x14ac:dyDescent="0.3">
      <c r="A62" s="2">
        <v>45886</v>
      </c>
      <c r="B62" t="s">
        <v>9</v>
      </c>
      <c r="C62">
        <v>3</v>
      </c>
      <c r="D62" t="s">
        <v>515</v>
      </c>
    </row>
    <row r="63" spans="1:4" x14ac:dyDescent="0.3">
      <c r="A63" s="2">
        <v>45886</v>
      </c>
      <c r="B63" t="s">
        <v>15</v>
      </c>
      <c r="C63">
        <v>3</v>
      </c>
      <c r="D63" t="s">
        <v>515</v>
      </c>
    </row>
    <row r="64" spans="1:4" x14ac:dyDescent="0.3">
      <c r="A64" s="2">
        <v>45869</v>
      </c>
      <c r="B64" t="s">
        <v>15</v>
      </c>
      <c r="C64">
        <v>2</v>
      </c>
      <c r="D64" t="s">
        <v>518</v>
      </c>
    </row>
    <row r="65" spans="1:4" x14ac:dyDescent="0.3">
      <c r="A65" s="2">
        <v>45839</v>
      </c>
      <c r="B65" t="s">
        <v>15</v>
      </c>
      <c r="C65">
        <v>3</v>
      </c>
      <c r="D65" t="s">
        <v>521</v>
      </c>
    </row>
    <row r="66" spans="1:4" x14ac:dyDescent="0.3">
      <c r="A66" s="2">
        <v>45876</v>
      </c>
      <c r="B66" t="s">
        <v>9</v>
      </c>
      <c r="C66">
        <v>5</v>
      </c>
      <c r="D66" t="s">
        <v>516</v>
      </c>
    </row>
    <row r="67" spans="1:4" x14ac:dyDescent="0.3">
      <c r="A67" s="2">
        <v>45886</v>
      </c>
      <c r="B67" t="s">
        <v>15</v>
      </c>
      <c r="C67">
        <v>5</v>
      </c>
      <c r="D67" t="s">
        <v>520</v>
      </c>
    </row>
    <row r="68" spans="1:4" x14ac:dyDescent="0.3">
      <c r="A68" s="2">
        <v>45855</v>
      </c>
      <c r="B68" t="s">
        <v>27</v>
      </c>
      <c r="C68">
        <v>2</v>
      </c>
      <c r="D68" t="s">
        <v>521</v>
      </c>
    </row>
    <row r="69" spans="1:4" x14ac:dyDescent="0.3">
      <c r="A69" s="2">
        <v>45867</v>
      </c>
      <c r="B69" t="s">
        <v>27</v>
      </c>
      <c r="C69">
        <v>4</v>
      </c>
      <c r="D69" t="s">
        <v>521</v>
      </c>
    </row>
    <row r="70" spans="1:4" x14ac:dyDescent="0.3">
      <c r="A70" s="2">
        <v>45891</v>
      </c>
      <c r="B70" t="s">
        <v>15</v>
      </c>
      <c r="C70">
        <v>3</v>
      </c>
      <c r="D70" t="s">
        <v>520</v>
      </c>
    </row>
    <row r="71" spans="1:4" x14ac:dyDescent="0.3">
      <c r="A71" s="2">
        <v>45893</v>
      </c>
      <c r="B71" t="s">
        <v>9</v>
      </c>
      <c r="C71">
        <v>5</v>
      </c>
      <c r="D71" t="s">
        <v>517</v>
      </c>
    </row>
    <row r="72" spans="1:4" x14ac:dyDescent="0.3">
      <c r="A72" s="2">
        <v>45894</v>
      </c>
      <c r="B72" t="s">
        <v>27</v>
      </c>
      <c r="C72">
        <v>4</v>
      </c>
      <c r="D72" t="s">
        <v>518</v>
      </c>
    </row>
    <row r="73" spans="1:4" x14ac:dyDescent="0.3">
      <c r="A73" s="2">
        <v>45891</v>
      </c>
      <c r="B73" t="s">
        <v>27</v>
      </c>
      <c r="C73">
        <v>5</v>
      </c>
      <c r="D73" t="s">
        <v>521</v>
      </c>
    </row>
    <row r="74" spans="1:4" x14ac:dyDescent="0.3">
      <c r="A74" s="2">
        <v>45880</v>
      </c>
      <c r="B74" t="s">
        <v>27</v>
      </c>
      <c r="C74">
        <v>3</v>
      </c>
      <c r="D74" t="s">
        <v>519</v>
      </c>
    </row>
    <row r="75" spans="1:4" x14ac:dyDescent="0.3">
      <c r="A75" s="2">
        <v>45842</v>
      </c>
      <c r="B75" t="s">
        <v>15</v>
      </c>
      <c r="C75">
        <v>4</v>
      </c>
      <c r="D75" t="s">
        <v>518</v>
      </c>
    </row>
    <row r="76" spans="1:4" x14ac:dyDescent="0.3">
      <c r="A76" s="2">
        <v>45847</v>
      </c>
      <c r="B76" t="s">
        <v>15</v>
      </c>
      <c r="C76">
        <v>2</v>
      </c>
      <c r="D76" t="s">
        <v>521</v>
      </c>
    </row>
    <row r="77" spans="1:4" x14ac:dyDescent="0.3">
      <c r="A77" s="2">
        <v>45859</v>
      </c>
      <c r="B77" t="s">
        <v>9</v>
      </c>
      <c r="C77">
        <v>4</v>
      </c>
      <c r="D77" t="s">
        <v>516</v>
      </c>
    </row>
    <row r="78" spans="1:4" x14ac:dyDescent="0.3">
      <c r="A78" s="2">
        <v>45855</v>
      </c>
      <c r="B78" t="s">
        <v>9</v>
      </c>
      <c r="C78">
        <v>3</v>
      </c>
      <c r="D78" t="s">
        <v>521</v>
      </c>
    </row>
    <row r="79" spans="1:4" x14ac:dyDescent="0.3">
      <c r="A79" s="2">
        <v>45859</v>
      </c>
      <c r="B79" t="s">
        <v>27</v>
      </c>
      <c r="C79">
        <v>4</v>
      </c>
      <c r="D79" t="s">
        <v>519</v>
      </c>
    </row>
    <row r="80" spans="1:4" x14ac:dyDescent="0.3">
      <c r="A80" s="2">
        <v>45896</v>
      </c>
      <c r="B80" t="s">
        <v>9</v>
      </c>
      <c r="C80">
        <v>3</v>
      </c>
      <c r="D80" t="s">
        <v>518</v>
      </c>
    </row>
    <row r="81" spans="1:4" x14ac:dyDescent="0.3">
      <c r="A81" s="2">
        <v>45867</v>
      </c>
      <c r="B81" t="s">
        <v>15</v>
      </c>
      <c r="C81">
        <v>4</v>
      </c>
      <c r="D81" t="s">
        <v>517</v>
      </c>
    </row>
    <row r="82" spans="1:4" x14ac:dyDescent="0.3">
      <c r="A82" s="2">
        <v>45852</v>
      </c>
      <c r="B82" t="s">
        <v>15</v>
      </c>
      <c r="C82">
        <v>2</v>
      </c>
      <c r="D82" t="s">
        <v>519</v>
      </c>
    </row>
    <row r="83" spans="1:4" x14ac:dyDescent="0.3">
      <c r="A83" s="2">
        <v>45851</v>
      </c>
      <c r="B83" t="s">
        <v>9</v>
      </c>
      <c r="C83">
        <v>3</v>
      </c>
      <c r="D83" t="s">
        <v>521</v>
      </c>
    </row>
    <row r="84" spans="1:4" x14ac:dyDescent="0.3">
      <c r="A84" s="2">
        <v>45853</v>
      </c>
      <c r="B84" t="s">
        <v>9</v>
      </c>
      <c r="C84">
        <v>4</v>
      </c>
      <c r="D84" t="s">
        <v>521</v>
      </c>
    </row>
    <row r="85" spans="1:4" x14ac:dyDescent="0.3">
      <c r="A85" s="2">
        <v>45877</v>
      </c>
      <c r="B85" t="s">
        <v>15</v>
      </c>
      <c r="C85">
        <v>3</v>
      </c>
      <c r="D85" t="s">
        <v>519</v>
      </c>
    </row>
    <row r="86" spans="1:4" x14ac:dyDescent="0.3">
      <c r="A86" s="2">
        <v>45879</v>
      </c>
      <c r="B86" t="s">
        <v>15</v>
      </c>
      <c r="C86">
        <v>5</v>
      </c>
      <c r="D86" t="s">
        <v>517</v>
      </c>
    </row>
    <row r="87" spans="1:4" x14ac:dyDescent="0.3">
      <c r="A87" s="2">
        <v>45848</v>
      </c>
      <c r="B87" t="s">
        <v>15</v>
      </c>
      <c r="C87">
        <v>4</v>
      </c>
      <c r="D87" t="s">
        <v>518</v>
      </c>
    </row>
    <row r="88" spans="1:4" x14ac:dyDescent="0.3">
      <c r="A88" s="2">
        <v>45883</v>
      </c>
      <c r="B88" t="s">
        <v>15</v>
      </c>
      <c r="C88">
        <v>4</v>
      </c>
    </row>
    <row r="89" spans="1:4" x14ac:dyDescent="0.3">
      <c r="A89" s="2">
        <v>45848</v>
      </c>
      <c r="B89" t="s">
        <v>9</v>
      </c>
      <c r="C89">
        <v>5</v>
      </c>
      <c r="D89" t="s">
        <v>518</v>
      </c>
    </row>
    <row r="90" spans="1:4" x14ac:dyDescent="0.3">
      <c r="A90" s="2">
        <v>45845</v>
      </c>
      <c r="B90" t="s">
        <v>9</v>
      </c>
      <c r="C90">
        <v>5</v>
      </c>
      <c r="D90" t="s">
        <v>521</v>
      </c>
    </row>
    <row r="91" spans="1:4" x14ac:dyDescent="0.3">
      <c r="A91" s="2">
        <v>45880</v>
      </c>
      <c r="B91" t="s">
        <v>27</v>
      </c>
      <c r="C91">
        <v>5</v>
      </c>
      <c r="D91" t="s">
        <v>519</v>
      </c>
    </row>
    <row r="92" spans="1:4" x14ac:dyDescent="0.3">
      <c r="A92" s="2">
        <v>45870</v>
      </c>
      <c r="B92" t="s">
        <v>15</v>
      </c>
      <c r="C92">
        <v>4</v>
      </c>
      <c r="D92" t="s">
        <v>515</v>
      </c>
    </row>
    <row r="93" spans="1:4" x14ac:dyDescent="0.3">
      <c r="A93" s="2">
        <v>45893</v>
      </c>
      <c r="B93" t="s">
        <v>15</v>
      </c>
      <c r="C93">
        <v>4</v>
      </c>
    </row>
    <row r="94" spans="1:4" x14ac:dyDescent="0.3">
      <c r="A94" s="2">
        <v>45843</v>
      </c>
      <c r="B94" t="s">
        <v>27</v>
      </c>
      <c r="C94">
        <v>5</v>
      </c>
    </row>
    <row r="95" spans="1:4" x14ac:dyDescent="0.3">
      <c r="A95" s="2">
        <v>45851</v>
      </c>
      <c r="B95" t="s">
        <v>27</v>
      </c>
      <c r="C95">
        <v>5</v>
      </c>
      <c r="D95" t="s">
        <v>520</v>
      </c>
    </row>
    <row r="96" spans="1:4" x14ac:dyDescent="0.3">
      <c r="A96" s="2">
        <v>45839</v>
      </c>
      <c r="B96" t="s">
        <v>15</v>
      </c>
      <c r="C96">
        <v>3</v>
      </c>
      <c r="D96" t="s">
        <v>515</v>
      </c>
    </row>
    <row r="97" spans="1:4" x14ac:dyDescent="0.3">
      <c r="A97" s="2">
        <v>45868</v>
      </c>
      <c r="B97" t="s">
        <v>27</v>
      </c>
      <c r="C97">
        <v>4</v>
      </c>
      <c r="D97" t="s">
        <v>517</v>
      </c>
    </row>
    <row r="98" spans="1:4" x14ac:dyDescent="0.3">
      <c r="A98" s="2">
        <v>45873</v>
      </c>
      <c r="B98" t="s">
        <v>15</v>
      </c>
      <c r="C98">
        <v>2</v>
      </c>
      <c r="D98" t="s">
        <v>518</v>
      </c>
    </row>
    <row r="99" spans="1:4" x14ac:dyDescent="0.3">
      <c r="A99" s="2">
        <v>45855</v>
      </c>
      <c r="B99" t="s">
        <v>27</v>
      </c>
      <c r="C99">
        <v>5</v>
      </c>
      <c r="D99" t="s">
        <v>519</v>
      </c>
    </row>
    <row r="100" spans="1:4" x14ac:dyDescent="0.3">
      <c r="A100" s="2">
        <v>45861</v>
      </c>
      <c r="B100" t="s">
        <v>15</v>
      </c>
      <c r="C100">
        <v>2</v>
      </c>
      <c r="D100" t="s">
        <v>517</v>
      </c>
    </row>
    <row r="101" spans="1:4" x14ac:dyDescent="0.3">
      <c r="A101" s="2">
        <v>45839</v>
      </c>
      <c r="B101" t="s">
        <v>27</v>
      </c>
      <c r="C101">
        <v>5</v>
      </c>
      <c r="D101" t="s">
        <v>517</v>
      </c>
    </row>
    <row r="102" spans="1:4" x14ac:dyDescent="0.3">
      <c r="A102" s="2">
        <v>45851</v>
      </c>
      <c r="B102" t="s">
        <v>9</v>
      </c>
      <c r="C102">
        <v>3</v>
      </c>
      <c r="D102" t="s">
        <v>520</v>
      </c>
    </row>
    <row r="103" spans="1:4" x14ac:dyDescent="0.3">
      <c r="A103" s="2">
        <v>45839</v>
      </c>
      <c r="B103" t="s">
        <v>27</v>
      </c>
      <c r="C103">
        <v>4</v>
      </c>
      <c r="D103" t="s">
        <v>517</v>
      </c>
    </row>
    <row r="104" spans="1:4" x14ac:dyDescent="0.3">
      <c r="A104" s="2">
        <v>45880</v>
      </c>
      <c r="B104" t="s">
        <v>9</v>
      </c>
      <c r="C104">
        <v>3</v>
      </c>
      <c r="D104" t="s">
        <v>520</v>
      </c>
    </row>
    <row r="105" spans="1:4" x14ac:dyDescent="0.3">
      <c r="A105" s="2">
        <v>45845</v>
      </c>
      <c r="B105" t="s">
        <v>27</v>
      </c>
      <c r="C105">
        <v>5</v>
      </c>
      <c r="D105" t="s">
        <v>517</v>
      </c>
    </row>
    <row r="106" spans="1:4" x14ac:dyDescent="0.3">
      <c r="A106" s="2">
        <v>45848</v>
      </c>
      <c r="B106" t="s">
        <v>27</v>
      </c>
      <c r="C106">
        <v>4</v>
      </c>
      <c r="D106" t="s">
        <v>518</v>
      </c>
    </row>
    <row r="107" spans="1:4" x14ac:dyDescent="0.3">
      <c r="A107" s="2">
        <v>45868</v>
      </c>
      <c r="B107" t="s">
        <v>27</v>
      </c>
      <c r="C107">
        <v>5</v>
      </c>
      <c r="D107" t="s">
        <v>515</v>
      </c>
    </row>
    <row r="108" spans="1:4" x14ac:dyDescent="0.3">
      <c r="A108" s="2">
        <v>45852</v>
      </c>
      <c r="B108" t="s">
        <v>27</v>
      </c>
      <c r="C108">
        <v>2</v>
      </c>
      <c r="D108" t="s">
        <v>515</v>
      </c>
    </row>
    <row r="109" spans="1:4" x14ac:dyDescent="0.3">
      <c r="A109" s="2">
        <v>45881</v>
      </c>
      <c r="B109" t="s">
        <v>15</v>
      </c>
      <c r="C109">
        <v>3</v>
      </c>
      <c r="D109" t="s">
        <v>515</v>
      </c>
    </row>
    <row r="110" spans="1:4" x14ac:dyDescent="0.3">
      <c r="A110" s="2">
        <v>45878</v>
      </c>
      <c r="B110" t="s">
        <v>9</v>
      </c>
      <c r="C110">
        <v>5</v>
      </c>
      <c r="D110" t="s">
        <v>521</v>
      </c>
    </row>
    <row r="111" spans="1:4" x14ac:dyDescent="0.3">
      <c r="A111" s="2">
        <v>45847</v>
      </c>
      <c r="B111" t="s">
        <v>27</v>
      </c>
      <c r="C111">
        <v>3</v>
      </c>
      <c r="D111" t="s">
        <v>517</v>
      </c>
    </row>
    <row r="112" spans="1:4" x14ac:dyDescent="0.3">
      <c r="A112" s="2">
        <v>45896</v>
      </c>
      <c r="B112" t="s">
        <v>9</v>
      </c>
      <c r="C112">
        <v>5</v>
      </c>
      <c r="D112" t="s">
        <v>518</v>
      </c>
    </row>
    <row r="113" spans="1:4" x14ac:dyDescent="0.3">
      <c r="A113" s="2">
        <v>45880</v>
      </c>
      <c r="B113" t="s">
        <v>15</v>
      </c>
      <c r="C113">
        <v>3</v>
      </c>
      <c r="D113" t="s">
        <v>521</v>
      </c>
    </row>
    <row r="114" spans="1:4" x14ac:dyDescent="0.3">
      <c r="A114" s="2">
        <v>45865</v>
      </c>
      <c r="B114" t="s">
        <v>9</v>
      </c>
      <c r="C114">
        <v>2</v>
      </c>
      <c r="D114" t="s">
        <v>521</v>
      </c>
    </row>
    <row r="115" spans="1:4" x14ac:dyDescent="0.3">
      <c r="A115" s="2">
        <v>45892</v>
      </c>
      <c r="B115" t="s">
        <v>9</v>
      </c>
      <c r="C115">
        <v>4</v>
      </c>
    </row>
    <row r="116" spans="1:4" x14ac:dyDescent="0.3">
      <c r="A116" s="2">
        <v>45868</v>
      </c>
      <c r="B116" t="s">
        <v>27</v>
      </c>
      <c r="C116">
        <v>3</v>
      </c>
      <c r="D116" t="s">
        <v>516</v>
      </c>
    </row>
    <row r="117" spans="1:4" x14ac:dyDescent="0.3">
      <c r="A117" s="2">
        <v>45867</v>
      </c>
      <c r="B117" t="s">
        <v>9</v>
      </c>
      <c r="C117">
        <v>2</v>
      </c>
      <c r="D117" t="s">
        <v>521</v>
      </c>
    </row>
    <row r="118" spans="1:4" x14ac:dyDescent="0.3">
      <c r="A118" s="2">
        <v>45887</v>
      </c>
      <c r="B118" t="s">
        <v>15</v>
      </c>
      <c r="C118">
        <v>2</v>
      </c>
      <c r="D118" t="s">
        <v>521</v>
      </c>
    </row>
    <row r="119" spans="1:4" x14ac:dyDescent="0.3">
      <c r="A119" s="2">
        <v>45887</v>
      </c>
      <c r="B119" t="s">
        <v>9</v>
      </c>
      <c r="C119">
        <v>2</v>
      </c>
    </row>
    <row r="120" spans="1:4" x14ac:dyDescent="0.3">
      <c r="A120" s="2">
        <v>45874</v>
      </c>
      <c r="B120" t="s">
        <v>15</v>
      </c>
      <c r="C120">
        <v>3</v>
      </c>
      <c r="D120" t="s">
        <v>516</v>
      </c>
    </row>
    <row r="121" spans="1:4" x14ac:dyDescent="0.3">
      <c r="A121" s="2">
        <v>45894</v>
      </c>
      <c r="B121" t="s">
        <v>15</v>
      </c>
      <c r="C121">
        <v>4</v>
      </c>
      <c r="D121" t="s">
        <v>515</v>
      </c>
    </row>
    <row r="122" spans="1:4" x14ac:dyDescent="0.3">
      <c r="A122" s="2">
        <v>45884</v>
      </c>
      <c r="B122" t="s">
        <v>27</v>
      </c>
      <c r="C122">
        <v>2</v>
      </c>
      <c r="D122" t="s">
        <v>517</v>
      </c>
    </row>
    <row r="123" spans="1:4" x14ac:dyDescent="0.3">
      <c r="A123" s="2">
        <v>45840</v>
      </c>
      <c r="B123" t="s">
        <v>15</v>
      </c>
      <c r="C123">
        <v>3</v>
      </c>
    </row>
    <row r="124" spans="1:4" x14ac:dyDescent="0.3">
      <c r="A124" s="2">
        <v>45844</v>
      </c>
      <c r="B124" t="s">
        <v>15</v>
      </c>
      <c r="C124">
        <v>4</v>
      </c>
      <c r="D124" t="s">
        <v>516</v>
      </c>
    </row>
    <row r="125" spans="1:4" x14ac:dyDescent="0.3">
      <c r="A125" s="2">
        <v>45880</v>
      </c>
      <c r="B125" t="s">
        <v>9</v>
      </c>
      <c r="C125">
        <v>5</v>
      </c>
      <c r="D125" t="s">
        <v>517</v>
      </c>
    </row>
    <row r="126" spans="1:4" x14ac:dyDescent="0.3">
      <c r="A126" s="2">
        <v>45891</v>
      </c>
      <c r="B126" t="s">
        <v>9</v>
      </c>
      <c r="C126">
        <v>3</v>
      </c>
      <c r="D126" t="s">
        <v>519</v>
      </c>
    </row>
    <row r="127" spans="1:4" x14ac:dyDescent="0.3">
      <c r="A127" s="2">
        <v>45847</v>
      </c>
      <c r="B127" t="s">
        <v>15</v>
      </c>
      <c r="C127">
        <v>2</v>
      </c>
      <c r="D127" t="s">
        <v>521</v>
      </c>
    </row>
    <row r="128" spans="1:4" x14ac:dyDescent="0.3">
      <c r="A128" s="2">
        <v>45854</v>
      </c>
      <c r="B128" t="s">
        <v>9</v>
      </c>
      <c r="C128">
        <v>4</v>
      </c>
      <c r="D128" t="s">
        <v>516</v>
      </c>
    </row>
    <row r="129" spans="1:4" x14ac:dyDescent="0.3">
      <c r="A129" s="2">
        <v>45895</v>
      </c>
      <c r="B129" t="s">
        <v>9</v>
      </c>
      <c r="C129">
        <v>2</v>
      </c>
      <c r="D129" t="s">
        <v>519</v>
      </c>
    </row>
    <row r="130" spans="1:4" x14ac:dyDescent="0.3">
      <c r="A130" s="2">
        <v>45881</v>
      </c>
      <c r="B130" t="s">
        <v>9</v>
      </c>
      <c r="C130">
        <v>3</v>
      </c>
    </row>
    <row r="131" spans="1:4" x14ac:dyDescent="0.3">
      <c r="A131" s="2">
        <v>45862</v>
      </c>
      <c r="B131" t="s">
        <v>27</v>
      </c>
      <c r="C131">
        <v>5</v>
      </c>
      <c r="D131" t="s">
        <v>517</v>
      </c>
    </row>
    <row r="132" spans="1:4" x14ac:dyDescent="0.3">
      <c r="A132" s="2">
        <v>45883</v>
      </c>
      <c r="B132" t="s">
        <v>9</v>
      </c>
      <c r="C132">
        <v>2</v>
      </c>
      <c r="D132" t="s">
        <v>519</v>
      </c>
    </row>
    <row r="133" spans="1:4" x14ac:dyDescent="0.3">
      <c r="A133" s="2">
        <v>45856</v>
      </c>
      <c r="B133" t="s">
        <v>27</v>
      </c>
      <c r="C133">
        <v>2</v>
      </c>
      <c r="D133" t="s">
        <v>515</v>
      </c>
    </row>
    <row r="134" spans="1:4" x14ac:dyDescent="0.3">
      <c r="A134" s="2">
        <v>45840</v>
      </c>
      <c r="B134" t="s">
        <v>27</v>
      </c>
      <c r="C134">
        <v>5</v>
      </c>
      <c r="D134" t="s">
        <v>518</v>
      </c>
    </row>
    <row r="135" spans="1:4" x14ac:dyDescent="0.3">
      <c r="A135" s="2">
        <v>45889</v>
      </c>
      <c r="B135" t="s">
        <v>9</v>
      </c>
      <c r="C135">
        <v>4</v>
      </c>
      <c r="D135" t="s">
        <v>515</v>
      </c>
    </row>
    <row r="136" spans="1:4" x14ac:dyDescent="0.3">
      <c r="A136" s="2">
        <v>45875</v>
      </c>
      <c r="B136" t="s">
        <v>27</v>
      </c>
      <c r="C136">
        <v>4</v>
      </c>
      <c r="D136" t="s">
        <v>517</v>
      </c>
    </row>
    <row r="137" spans="1:4" x14ac:dyDescent="0.3">
      <c r="A137" s="2">
        <v>45841</v>
      </c>
      <c r="B137" t="s">
        <v>15</v>
      </c>
      <c r="C137">
        <v>5</v>
      </c>
      <c r="D137" t="s">
        <v>519</v>
      </c>
    </row>
    <row r="138" spans="1:4" x14ac:dyDescent="0.3">
      <c r="A138" s="2">
        <v>45889</v>
      </c>
      <c r="B138" t="s">
        <v>27</v>
      </c>
      <c r="C138">
        <v>4</v>
      </c>
      <c r="D138" t="s">
        <v>517</v>
      </c>
    </row>
    <row r="139" spans="1:4" x14ac:dyDescent="0.3">
      <c r="A139" s="2">
        <v>45887</v>
      </c>
      <c r="B139" t="s">
        <v>15</v>
      </c>
      <c r="C139">
        <v>4</v>
      </c>
    </row>
    <row r="140" spans="1:4" x14ac:dyDescent="0.3">
      <c r="A140" s="2">
        <v>45887</v>
      </c>
      <c r="B140" t="s">
        <v>9</v>
      </c>
      <c r="C140">
        <v>3</v>
      </c>
      <c r="D140" t="s">
        <v>518</v>
      </c>
    </row>
    <row r="141" spans="1:4" x14ac:dyDescent="0.3">
      <c r="A141" s="2">
        <v>45854</v>
      </c>
      <c r="B141" t="s">
        <v>15</v>
      </c>
      <c r="C141">
        <v>2</v>
      </c>
      <c r="D141" t="s">
        <v>517</v>
      </c>
    </row>
    <row r="142" spans="1:4" x14ac:dyDescent="0.3">
      <c r="A142" s="2">
        <v>45861</v>
      </c>
      <c r="B142" t="s">
        <v>9</v>
      </c>
      <c r="C142">
        <v>2</v>
      </c>
    </row>
    <row r="143" spans="1:4" x14ac:dyDescent="0.3">
      <c r="A143" s="2">
        <v>45840</v>
      </c>
      <c r="B143" t="s">
        <v>27</v>
      </c>
      <c r="C143">
        <v>2</v>
      </c>
      <c r="D143" t="s">
        <v>520</v>
      </c>
    </row>
    <row r="144" spans="1:4" x14ac:dyDescent="0.3">
      <c r="A144" s="2">
        <v>45874</v>
      </c>
      <c r="B144" t="s">
        <v>15</v>
      </c>
      <c r="C144">
        <v>3</v>
      </c>
      <c r="D144" t="s">
        <v>515</v>
      </c>
    </row>
    <row r="145" spans="1:4" x14ac:dyDescent="0.3">
      <c r="A145" s="2">
        <v>45842</v>
      </c>
      <c r="B145" t="s">
        <v>9</v>
      </c>
      <c r="C145">
        <v>5</v>
      </c>
      <c r="D145" t="s">
        <v>521</v>
      </c>
    </row>
    <row r="146" spans="1:4" x14ac:dyDescent="0.3">
      <c r="A146" s="2">
        <v>45870</v>
      </c>
      <c r="B146" t="s">
        <v>27</v>
      </c>
      <c r="C146">
        <v>5</v>
      </c>
      <c r="D146" t="s">
        <v>518</v>
      </c>
    </row>
    <row r="147" spans="1:4" x14ac:dyDescent="0.3">
      <c r="A147" s="2">
        <v>45865</v>
      </c>
      <c r="B147" t="s">
        <v>27</v>
      </c>
      <c r="C147">
        <v>4</v>
      </c>
      <c r="D147" t="s">
        <v>517</v>
      </c>
    </row>
    <row r="148" spans="1:4" x14ac:dyDescent="0.3">
      <c r="A148" s="2">
        <v>45887</v>
      </c>
      <c r="B148" t="s">
        <v>9</v>
      </c>
      <c r="C148">
        <v>2</v>
      </c>
      <c r="D148" t="s">
        <v>515</v>
      </c>
    </row>
    <row r="149" spans="1:4" x14ac:dyDescent="0.3">
      <c r="A149" s="2">
        <v>45860</v>
      </c>
      <c r="B149" t="s">
        <v>9</v>
      </c>
      <c r="C149">
        <v>2</v>
      </c>
      <c r="D149" t="s">
        <v>516</v>
      </c>
    </row>
    <row r="150" spans="1:4" x14ac:dyDescent="0.3">
      <c r="A150" s="2">
        <v>45845</v>
      </c>
      <c r="B150" t="s">
        <v>15</v>
      </c>
      <c r="C150">
        <v>4</v>
      </c>
      <c r="D150" t="s">
        <v>519</v>
      </c>
    </row>
    <row r="151" spans="1:4" x14ac:dyDescent="0.3">
      <c r="A151" s="2">
        <v>45870</v>
      </c>
      <c r="B151" t="s">
        <v>27</v>
      </c>
      <c r="C151">
        <v>5</v>
      </c>
    </row>
    <row r="152" spans="1:4" x14ac:dyDescent="0.3">
      <c r="A152" s="2">
        <v>45874</v>
      </c>
      <c r="B152" t="s">
        <v>27</v>
      </c>
      <c r="C152">
        <v>4</v>
      </c>
      <c r="D152" t="s">
        <v>519</v>
      </c>
    </row>
    <row r="153" spans="1:4" x14ac:dyDescent="0.3">
      <c r="A153" s="2">
        <v>45862</v>
      </c>
      <c r="B153" t="s">
        <v>15</v>
      </c>
      <c r="C153">
        <v>4</v>
      </c>
      <c r="D153" t="s">
        <v>520</v>
      </c>
    </row>
    <row r="154" spans="1:4" x14ac:dyDescent="0.3">
      <c r="A154" s="2">
        <v>45857</v>
      </c>
      <c r="B154" t="s">
        <v>9</v>
      </c>
      <c r="C154">
        <v>3</v>
      </c>
      <c r="D154" t="s">
        <v>515</v>
      </c>
    </row>
    <row r="155" spans="1:4" x14ac:dyDescent="0.3">
      <c r="A155" s="2">
        <v>45839</v>
      </c>
      <c r="B155" t="s">
        <v>15</v>
      </c>
      <c r="C155">
        <v>2</v>
      </c>
      <c r="D155" t="s">
        <v>521</v>
      </c>
    </row>
    <row r="156" spans="1:4" x14ac:dyDescent="0.3">
      <c r="A156" s="2">
        <v>45891</v>
      </c>
      <c r="B156" t="s">
        <v>15</v>
      </c>
      <c r="C156">
        <v>2</v>
      </c>
      <c r="D156" t="s">
        <v>518</v>
      </c>
    </row>
    <row r="157" spans="1:4" x14ac:dyDescent="0.3">
      <c r="A157" s="2">
        <v>45839</v>
      </c>
      <c r="B157" t="s">
        <v>9</v>
      </c>
      <c r="C157">
        <v>5</v>
      </c>
      <c r="D157" t="s">
        <v>519</v>
      </c>
    </row>
    <row r="158" spans="1:4" x14ac:dyDescent="0.3">
      <c r="A158" s="2">
        <v>45849</v>
      </c>
      <c r="B158" t="s">
        <v>27</v>
      </c>
      <c r="C158">
        <v>3</v>
      </c>
      <c r="D158" t="s">
        <v>516</v>
      </c>
    </row>
    <row r="159" spans="1:4" x14ac:dyDescent="0.3">
      <c r="A159" s="2">
        <v>45886</v>
      </c>
      <c r="B159" t="s">
        <v>27</v>
      </c>
      <c r="C159">
        <v>3</v>
      </c>
      <c r="D159" t="s">
        <v>519</v>
      </c>
    </row>
    <row r="160" spans="1:4" x14ac:dyDescent="0.3">
      <c r="A160" s="2">
        <v>45848</v>
      </c>
      <c r="B160" t="s">
        <v>27</v>
      </c>
      <c r="C160">
        <v>3</v>
      </c>
      <c r="D160" t="s">
        <v>516</v>
      </c>
    </row>
    <row r="161" spans="1:4" x14ac:dyDescent="0.3">
      <c r="A161" s="2">
        <v>45875</v>
      </c>
      <c r="B161" t="s">
        <v>15</v>
      </c>
      <c r="C161">
        <v>2</v>
      </c>
      <c r="D161" t="s">
        <v>517</v>
      </c>
    </row>
    <row r="162" spans="1:4" x14ac:dyDescent="0.3">
      <c r="A162" s="2">
        <v>45888</v>
      </c>
      <c r="B162" t="s">
        <v>27</v>
      </c>
      <c r="C162">
        <v>5</v>
      </c>
      <c r="D162" t="s">
        <v>517</v>
      </c>
    </row>
    <row r="163" spans="1:4" x14ac:dyDescent="0.3">
      <c r="A163" s="2">
        <v>45896</v>
      </c>
      <c r="B163" t="s">
        <v>9</v>
      </c>
      <c r="C163">
        <v>2</v>
      </c>
      <c r="D163" t="s">
        <v>516</v>
      </c>
    </row>
    <row r="164" spans="1:4" x14ac:dyDescent="0.3">
      <c r="A164" s="2">
        <v>45851</v>
      </c>
      <c r="B164" t="s">
        <v>27</v>
      </c>
      <c r="C164">
        <v>4</v>
      </c>
      <c r="D164" t="s">
        <v>519</v>
      </c>
    </row>
    <row r="165" spans="1:4" x14ac:dyDescent="0.3">
      <c r="A165" s="2">
        <v>45869</v>
      </c>
      <c r="B165" t="s">
        <v>15</v>
      </c>
      <c r="C165">
        <v>4</v>
      </c>
      <c r="D165" t="s">
        <v>518</v>
      </c>
    </row>
    <row r="166" spans="1:4" x14ac:dyDescent="0.3">
      <c r="A166" s="2">
        <v>45882</v>
      </c>
      <c r="B166" t="s">
        <v>15</v>
      </c>
      <c r="C166">
        <v>3</v>
      </c>
      <c r="D166" t="s">
        <v>517</v>
      </c>
    </row>
    <row r="167" spans="1:4" x14ac:dyDescent="0.3">
      <c r="A167" s="2">
        <v>45858</v>
      </c>
      <c r="B167" t="s">
        <v>27</v>
      </c>
      <c r="C167">
        <v>2</v>
      </c>
      <c r="D167" t="s">
        <v>515</v>
      </c>
    </row>
    <row r="168" spans="1:4" x14ac:dyDescent="0.3">
      <c r="A168" s="2">
        <v>45849</v>
      </c>
      <c r="B168" t="s">
        <v>27</v>
      </c>
      <c r="C168">
        <v>5</v>
      </c>
      <c r="D168" t="s">
        <v>520</v>
      </c>
    </row>
    <row r="169" spans="1:4" x14ac:dyDescent="0.3">
      <c r="A169" s="2">
        <v>45869</v>
      </c>
      <c r="B169" t="s">
        <v>15</v>
      </c>
      <c r="C169">
        <v>2</v>
      </c>
      <c r="D169" t="s">
        <v>518</v>
      </c>
    </row>
    <row r="170" spans="1:4" x14ac:dyDescent="0.3">
      <c r="A170" s="2">
        <v>45859</v>
      </c>
      <c r="B170" t="s">
        <v>15</v>
      </c>
      <c r="C170">
        <v>4</v>
      </c>
      <c r="D170" t="s">
        <v>520</v>
      </c>
    </row>
    <row r="171" spans="1:4" x14ac:dyDescent="0.3">
      <c r="A171" s="2">
        <v>45864</v>
      </c>
      <c r="B171" t="s">
        <v>27</v>
      </c>
      <c r="C171">
        <v>2</v>
      </c>
      <c r="D171" t="s">
        <v>515</v>
      </c>
    </row>
    <row r="172" spans="1:4" x14ac:dyDescent="0.3">
      <c r="A172" s="2">
        <v>45868</v>
      </c>
      <c r="B172" t="s">
        <v>9</v>
      </c>
      <c r="C172">
        <v>2</v>
      </c>
      <c r="D172" t="s">
        <v>521</v>
      </c>
    </row>
    <row r="173" spans="1:4" x14ac:dyDescent="0.3">
      <c r="A173" s="2">
        <v>45870</v>
      </c>
      <c r="B173" t="s">
        <v>27</v>
      </c>
      <c r="C173">
        <v>2</v>
      </c>
      <c r="D173" t="s">
        <v>521</v>
      </c>
    </row>
    <row r="174" spans="1:4" x14ac:dyDescent="0.3">
      <c r="A174" s="2">
        <v>45873</v>
      </c>
      <c r="B174" t="s">
        <v>15</v>
      </c>
      <c r="C174">
        <v>2</v>
      </c>
      <c r="D174" t="s">
        <v>519</v>
      </c>
    </row>
    <row r="175" spans="1:4" x14ac:dyDescent="0.3">
      <c r="A175" s="2">
        <v>45864</v>
      </c>
      <c r="B175" t="s">
        <v>27</v>
      </c>
      <c r="C175">
        <v>2</v>
      </c>
      <c r="D175" t="s">
        <v>516</v>
      </c>
    </row>
    <row r="176" spans="1:4" x14ac:dyDescent="0.3">
      <c r="A176" s="2">
        <v>45882</v>
      </c>
      <c r="B176" t="s">
        <v>9</v>
      </c>
      <c r="C176">
        <v>3</v>
      </c>
      <c r="D176" t="s">
        <v>517</v>
      </c>
    </row>
    <row r="177" spans="1:4" x14ac:dyDescent="0.3">
      <c r="A177" s="2">
        <v>45883</v>
      </c>
      <c r="B177" t="s">
        <v>27</v>
      </c>
      <c r="C177">
        <v>3</v>
      </c>
      <c r="D177" t="s">
        <v>517</v>
      </c>
    </row>
    <row r="178" spans="1:4" x14ac:dyDescent="0.3">
      <c r="A178" s="2">
        <v>45840</v>
      </c>
      <c r="B178" t="s">
        <v>27</v>
      </c>
      <c r="C178">
        <v>3</v>
      </c>
      <c r="D178" t="s">
        <v>515</v>
      </c>
    </row>
    <row r="179" spans="1:4" x14ac:dyDescent="0.3">
      <c r="A179" s="2">
        <v>45858</v>
      </c>
      <c r="B179" t="s">
        <v>15</v>
      </c>
      <c r="C179">
        <v>4</v>
      </c>
      <c r="D179" t="s">
        <v>517</v>
      </c>
    </row>
    <row r="180" spans="1:4" x14ac:dyDescent="0.3">
      <c r="A180" s="2">
        <v>45895</v>
      </c>
      <c r="B180" t="s">
        <v>9</v>
      </c>
      <c r="C180">
        <v>4</v>
      </c>
      <c r="D180" t="s">
        <v>517</v>
      </c>
    </row>
    <row r="181" spans="1:4" x14ac:dyDescent="0.3">
      <c r="A181" s="2">
        <v>45841</v>
      </c>
      <c r="B181" t="s">
        <v>27</v>
      </c>
      <c r="C181">
        <v>3</v>
      </c>
      <c r="D181" t="s">
        <v>520</v>
      </c>
    </row>
    <row r="182" spans="1:4" x14ac:dyDescent="0.3">
      <c r="A182" s="2">
        <v>45851</v>
      </c>
      <c r="B182" t="s">
        <v>27</v>
      </c>
      <c r="C182">
        <v>4</v>
      </c>
      <c r="D182" t="s">
        <v>517</v>
      </c>
    </row>
    <row r="183" spans="1:4" x14ac:dyDescent="0.3">
      <c r="A183" s="2">
        <v>45843</v>
      </c>
      <c r="B183" t="s">
        <v>15</v>
      </c>
      <c r="C183">
        <v>2</v>
      </c>
      <c r="D183" t="s">
        <v>515</v>
      </c>
    </row>
    <row r="184" spans="1:4" x14ac:dyDescent="0.3">
      <c r="A184" s="2">
        <v>45894</v>
      </c>
      <c r="B184" t="s">
        <v>15</v>
      </c>
      <c r="C184">
        <v>5</v>
      </c>
      <c r="D184" t="s">
        <v>520</v>
      </c>
    </row>
    <row r="185" spans="1:4" x14ac:dyDescent="0.3">
      <c r="A185" s="2">
        <v>45841</v>
      </c>
      <c r="B185" t="s">
        <v>15</v>
      </c>
      <c r="C185">
        <v>5</v>
      </c>
      <c r="D185" t="s">
        <v>515</v>
      </c>
    </row>
    <row r="186" spans="1:4" x14ac:dyDescent="0.3">
      <c r="A186" s="2">
        <v>45873</v>
      </c>
      <c r="B186" t="s">
        <v>27</v>
      </c>
      <c r="C186">
        <v>3</v>
      </c>
      <c r="D186" t="s">
        <v>519</v>
      </c>
    </row>
    <row r="187" spans="1:4" x14ac:dyDescent="0.3">
      <c r="A187" s="2">
        <v>45866</v>
      </c>
      <c r="B187" t="s">
        <v>15</v>
      </c>
      <c r="C187">
        <v>3</v>
      </c>
    </row>
    <row r="188" spans="1:4" x14ac:dyDescent="0.3">
      <c r="A188" s="2">
        <v>45862</v>
      </c>
      <c r="B188" t="s">
        <v>9</v>
      </c>
      <c r="C188">
        <v>4</v>
      </c>
      <c r="D188" t="s">
        <v>520</v>
      </c>
    </row>
    <row r="189" spans="1:4" x14ac:dyDescent="0.3">
      <c r="A189" s="2">
        <v>45879</v>
      </c>
      <c r="B189" t="s">
        <v>9</v>
      </c>
      <c r="C189">
        <v>5</v>
      </c>
    </row>
    <row r="190" spans="1:4" x14ac:dyDescent="0.3">
      <c r="A190" s="2">
        <v>45847</v>
      </c>
      <c r="B190" t="s">
        <v>15</v>
      </c>
      <c r="C190">
        <v>5</v>
      </c>
      <c r="D190" t="s">
        <v>515</v>
      </c>
    </row>
    <row r="191" spans="1:4" x14ac:dyDescent="0.3">
      <c r="A191" s="2">
        <v>45879</v>
      </c>
      <c r="B191" t="s">
        <v>27</v>
      </c>
      <c r="C191">
        <v>3</v>
      </c>
    </row>
    <row r="192" spans="1:4" x14ac:dyDescent="0.3">
      <c r="A192" s="2">
        <v>45876</v>
      </c>
      <c r="B192" t="s">
        <v>9</v>
      </c>
      <c r="C192">
        <v>4</v>
      </c>
      <c r="D192" t="s">
        <v>520</v>
      </c>
    </row>
    <row r="193" spans="1:4" x14ac:dyDescent="0.3">
      <c r="A193" s="2">
        <v>45891</v>
      </c>
      <c r="B193" t="s">
        <v>15</v>
      </c>
      <c r="C193">
        <v>4</v>
      </c>
      <c r="D193" t="s">
        <v>518</v>
      </c>
    </row>
    <row r="194" spans="1:4" x14ac:dyDescent="0.3">
      <c r="A194" s="2">
        <v>45876</v>
      </c>
      <c r="B194" t="s">
        <v>15</v>
      </c>
      <c r="C194">
        <v>3</v>
      </c>
    </row>
    <row r="195" spans="1:4" x14ac:dyDescent="0.3">
      <c r="A195" s="2">
        <v>45869</v>
      </c>
      <c r="B195" t="s">
        <v>9</v>
      </c>
      <c r="C195">
        <v>3</v>
      </c>
    </row>
    <row r="196" spans="1:4" x14ac:dyDescent="0.3">
      <c r="A196" s="2">
        <v>45866</v>
      </c>
      <c r="B196" t="s">
        <v>27</v>
      </c>
      <c r="C196">
        <v>5</v>
      </c>
      <c r="D196" t="s">
        <v>518</v>
      </c>
    </row>
    <row r="197" spans="1:4" x14ac:dyDescent="0.3">
      <c r="A197" s="2">
        <v>45895</v>
      </c>
      <c r="B197" t="s">
        <v>27</v>
      </c>
      <c r="C197">
        <v>3</v>
      </c>
      <c r="D197" t="s">
        <v>517</v>
      </c>
    </row>
    <row r="198" spans="1:4" x14ac:dyDescent="0.3">
      <c r="A198" s="2">
        <v>45863</v>
      </c>
      <c r="B198" t="s">
        <v>9</v>
      </c>
      <c r="C198">
        <v>3</v>
      </c>
      <c r="D198" t="s">
        <v>519</v>
      </c>
    </row>
    <row r="199" spans="1:4" x14ac:dyDescent="0.3">
      <c r="A199" s="2">
        <v>45890</v>
      </c>
      <c r="B199" t="s">
        <v>9</v>
      </c>
      <c r="C199">
        <v>2</v>
      </c>
      <c r="D199" t="s">
        <v>521</v>
      </c>
    </row>
    <row r="200" spans="1:4" x14ac:dyDescent="0.3">
      <c r="A200" s="2">
        <v>45894</v>
      </c>
      <c r="B200" t="s">
        <v>15</v>
      </c>
      <c r="C200">
        <v>4</v>
      </c>
      <c r="D200" t="s">
        <v>515</v>
      </c>
    </row>
    <row r="201" spans="1:4" x14ac:dyDescent="0.3">
      <c r="A201" s="2">
        <v>45856</v>
      </c>
      <c r="B201" t="s">
        <v>27</v>
      </c>
      <c r="C201">
        <v>4</v>
      </c>
      <c r="D201" t="s">
        <v>518</v>
      </c>
    </row>
    <row r="202" spans="1:4" x14ac:dyDescent="0.3">
      <c r="A202" s="2">
        <v>45896</v>
      </c>
      <c r="B202" t="s">
        <v>27</v>
      </c>
      <c r="C202">
        <v>4</v>
      </c>
      <c r="D202" t="s">
        <v>515</v>
      </c>
    </row>
    <row r="203" spans="1:4" x14ac:dyDescent="0.3">
      <c r="A203" s="2">
        <v>45893</v>
      </c>
      <c r="B203" t="s">
        <v>27</v>
      </c>
      <c r="C203">
        <v>5</v>
      </c>
      <c r="D203" t="s">
        <v>519</v>
      </c>
    </row>
    <row r="204" spans="1:4" x14ac:dyDescent="0.3">
      <c r="A204" s="2">
        <v>45856</v>
      </c>
      <c r="B204" t="s">
        <v>15</v>
      </c>
      <c r="C204">
        <v>2</v>
      </c>
      <c r="D204" t="s">
        <v>517</v>
      </c>
    </row>
    <row r="205" spans="1:4" x14ac:dyDescent="0.3">
      <c r="A205" s="2">
        <v>45844</v>
      </c>
      <c r="B205" t="s">
        <v>27</v>
      </c>
      <c r="C205">
        <v>3</v>
      </c>
    </row>
    <row r="206" spans="1:4" x14ac:dyDescent="0.3">
      <c r="A206" s="2">
        <v>45890</v>
      </c>
      <c r="B206" t="s">
        <v>15</v>
      </c>
      <c r="C206">
        <v>2</v>
      </c>
      <c r="D206" t="s">
        <v>518</v>
      </c>
    </row>
    <row r="207" spans="1:4" x14ac:dyDescent="0.3">
      <c r="A207" s="2">
        <v>45858</v>
      </c>
      <c r="B207" t="s">
        <v>27</v>
      </c>
      <c r="C207">
        <v>4</v>
      </c>
      <c r="D207" t="s">
        <v>515</v>
      </c>
    </row>
    <row r="208" spans="1:4" x14ac:dyDescent="0.3">
      <c r="A208" s="2">
        <v>45870</v>
      </c>
      <c r="B208" t="s">
        <v>27</v>
      </c>
      <c r="C208">
        <v>2</v>
      </c>
      <c r="D208" t="s">
        <v>515</v>
      </c>
    </row>
    <row r="209" spans="1:4" x14ac:dyDescent="0.3">
      <c r="A209" s="2">
        <v>45895</v>
      </c>
      <c r="B209" t="s">
        <v>9</v>
      </c>
      <c r="C209">
        <v>3</v>
      </c>
      <c r="D209" t="s">
        <v>517</v>
      </c>
    </row>
    <row r="210" spans="1:4" x14ac:dyDescent="0.3">
      <c r="A210" s="2">
        <v>45890</v>
      </c>
      <c r="B210" t="s">
        <v>15</v>
      </c>
      <c r="C210">
        <v>2</v>
      </c>
      <c r="D210" t="s">
        <v>518</v>
      </c>
    </row>
    <row r="211" spans="1:4" x14ac:dyDescent="0.3">
      <c r="A211" s="2">
        <v>45877</v>
      </c>
      <c r="B211" t="s">
        <v>9</v>
      </c>
      <c r="C211">
        <v>2</v>
      </c>
      <c r="D211" t="s">
        <v>518</v>
      </c>
    </row>
    <row r="212" spans="1:4" x14ac:dyDescent="0.3">
      <c r="A212" s="2">
        <v>45868</v>
      </c>
      <c r="B212" t="s">
        <v>15</v>
      </c>
      <c r="C212">
        <v>3</v>
      </c>
      <c r="D212" t="s">
        <v>515</v>
      </c>
    </row>
    <row r="213" spans="1:4" x14ac:dyDescent="0.3">
      <c r="A213" s="2">
        <v>45881</v>
      </c>
      <c r="B213" t="s">
        <v>9</v>
      </c>
      <c r="C213">
        <v>5</v>
      </c>
      <c r="D213" t="s">
        <v>518</v>
      </c>
    </row>
    <row r="214" spans="1:4" x14ac:dyDescent="0.3">
      <c r="A214" s="2">
        <v>45855</v>
      </c>
      <c r="B214" t="s">
        <v>9</v>
      </c>
      <c r="C214">
        <v>4</v>
      </c>
      <c r="D214" t="s">
        <v>521</v>
      </c>
    </row>
    <row r="215" spans="1:4" x14ac:dyDescent="0.3">
      <c r="A215" s="2">
        <v>45896</v>
      </c>
      <c r="B215" t="s">
        <v>27</v>
      </c>
      <c r="C215">
        <v>5</v>
      </c>
      <c r="D215" t="s">
        <v>519</v>
      </c>
    </row>
    <row r="216" spans="1:4" x14ac:dyDescent="0.3">
      <c r="A216" s="2">
        <v>45867</v>
      </c>
      <c r="B216" t="s">
        <v>27</v>
      </c>
      <c r="C216">
        <v>3</v>
      </c>
    </row>
    <row r="217" spans="1:4" x14ac:dyDescent="0.3">
      <c r="A217" s="2">
        <v>45894</v>
      </c>
      <c r="B217" t="s">
        <v>15</v>
      </c>
      <c r="C217">
        <v>2</v>
      </c>
      <c r="D217" t="s">
        <v>515</v>
      </c>
    </row>
    <row r="218" spans="1:4" x14ac:dyDescent="0.3">
      <c r="A218" s="2">
        <v>45897</v>
      </c>
      <c r="B218" t="s">
        <v>15</v>
      </c>
      <c r="C218">
        <v>3</v>
      </c>
      <c r="D218" t="s">
        <v>517</v>
      </c>
    </row>
    <row r="219" spans="1:4" x14ac:dyDescent="0.3">
      <c r="A219" s="2">
        <v>45887</v>
      </c>
      <c r="B219" t="s">
        <v>27</v>
      </c>
      <c r="C219">
        <v>4</v>
      </c>
      <c r="D219" t="s">
        <v>517</v>
      </c>
    </row>
    <row r="220" spans="1:4" x14ac:dyDescent="0.3">
      <c r="A220" s="2">
        <v>45862</v>
      </c>
      <c r="B220" t="s">
        <v>15</v>
      </c>
      <c r="C220">
        <v>4</v>
      </c>
      <c r="D220" t="s">
        <v>515</v>
      </c>
    </row>
    <row r="221" spans="1:4" x14ac:dyDescent="0.3">
      <c r="A221" s="2">
        <v>45847</v>
      </c>
      <c r="B221" t="s">
        <v>9</v>
      </c>
      <c r="C221">
        <v>4</v>
      </c>
      <c r="D221" t="s">
        <v>520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63</vt:i4>
      </vt:variant>
    </vt:vector>
  </HeadingPairs>
  <TitlesOfParts>
    <vt:vector size="77" baseType="lpstr">
      <vt:lpstr>Orders</vt:lpstr>
      <vt:lpstr>DAY 4 solution</vt:lpstr>
      <vt:lpstr>DAY 5 solution</vt:lpstr>
      <vt:lpstr>DAY 6 solution</vt:lpstr>
      <vt:lpstr>OrderLines</vt:lpstr>
      <vt:lpstr>pivots</vt:lpstr>
      <vt:lpstr>Correct Dashboard</vt:lpstr>
      <vt:lpstr>Dashboard</vt:lpstr>
      <vt:lpstr>Menu</vt:lpstr>
      <vt:lpstr>Staff</vt:lpstr>
      <vt:lpstr>Inventory</vt:lpstr>
      <vt:lpstr>Suppliers</vt:lpstr>
      <vt:lpstr>WasteLog</vt:lpstr>
      <vt:lpstr>Feedback</vt:lpstr>
      <vt:lpstr>_14_July_2025</vt:lpstr>
      <vt:lpstr>Feedback!Branch</vt:lpstr>
      <vt:lpstr>Orders!Branch</vt:lpstr>
      <vt:lpstr>Branch</vt:lpstr>
      <vt:lpstr>Breakfast</vt:lpstr>
      <vt:lpstr>Menu!Category</vt:lpstr>
      <vt:lpstr>Category</vt:lpstr>
      <vt:lpstr>Combination</vt:lpstr>
      <vt:lpstr>ComboFlag</vt:lpstr>
      <vt:lpstr>Comment</vt:lpstr>
      <vt:lpstr>CustomerType</vt:lpstr>
      <vt:lpstr>Feedback!Date</vt:lpstr>
      <vt:lpstr>Date</vt:lpstr>
      <vt:lpstr>DiscountFlag</vt:lpstr>
      <vt:lpstr>Orders!DiscountPct</vt:lpstr>
      <vt:lpstr>DiscountPct</vt:lpstr>
      <vt:lpstr>FoodCost</vt:lpstr>
      <vt:lpstr>GM</vt:lpstr>
      <vt:lpstr>Head_Office_Café</vt:lpstr>
      <vt:lpstr>id</vt:lpstr>
      <vt:lpstr>item</vt:lpstr>
      <vt:lpstr>OrderLines!ItemName</vt:lpstr>
      <vt:lpstr>ItemName</vt:lpstr>
      <vt:lpstr>July</vt:lpstr>
      <vt:lpstr>LastRestockDate</vt:lpstr>
      <vt:lpstr>LeadTimeDays</vt:lpstr>
      <vt:lpstr>LineNetAmount</vt:lpstr>
      <vt:lpstr>MonthName</vt:lpstr>
      <vt:lpstr>O00001_</vt:lpstr>
      <vt:lpstr>OK</vt:lpstr>
      <vt:lpstr>OnHandQty</vt:lpstr>
      <vt:lpstr>Orders!OrderDate</vt:lpstr>
      <vt:lpstr>OrderDate</vt:lpstr>
      <vt:lpstr>OrderDateTime</vt:lpstr>
      <vt:lpstr>Orders!OrderID</vt:lpstr>
      <vt:lpstr>OrderID</vt:lpstr>
      <vt:lpstr>Orders!PaymentType</vt:lpstr>
      <vt:lpstr>PaymentType</vt:lpstr>
      <vt:lpstr>Poha</vt:lpstr>
      <vt:lpstr>Profit</vt:lpstr>
      <vt:lpstr>WasteLog!Qty</vt:lpstr>
      <vt:lpstr>Qty</vt:lpstr>
      <vt:lpstr>Rating</vt:lpstr>
      <vt:lpstr>Reason</vt:lpstr>
      <vt:lpstr>region</vt:lpstr>
      <vt:lpstr>ReorderPoint</vt:lpstr>
      <vt:lpstr>sales</vt:lpstr>
      <vt:lpstr>Orders!Shift</vt:lpstr>
      <vt:lpstr>Shift</vt:lpstr>
      <vt:lpstr>SHJ7XV</vt:lpstr>
      <vt:lpstr>Single</vt:lpstr>
      <vt:lpstr>Inventory!SKU</vt:lpstr>
      <vt:lpstr>Menu!SKU</vt:lpstr>
      <vt:lpstr>WasteLog!SKU</vt:lpstr>
      <vt:lpstr>SKU</vt:lpstr>
      <vt:lpstr>Snack</vt:lpstr>
      <vt:lpstr>SupplierID</vt:lpstr>
      <vt:lpstr>totalCOST</vt:lpstr>
      <vt:lpstr>Menu!UnitCost</vt:lpstr>
      <vt:lpstr>UnitCost</vt:lpstr>
      <vt:lpstr>Menu!UnitPrice</vt:lpstr>
      <vt:lpstr>UnitPrice</vt:lpstr>
      <vt:lpstr>UPI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dc:creator>
  <cp:lastModifiedBy>Ayantika Chowdhury</cp:lastModifiedBy>
  <dcterms:created xsi:type="dcterms:W3CDTF">2026-06-17T12:42:05Z</dcterms:created>
  <dcterms:modified xsi:type="dcterms:W3CDTF">2026-09-10T04:29:58Z</dcterms:modified>
</cp:coreProperties>
</file>