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Volumes/extra/CF/"/>
    </mc:Choice>
  </mc:AlternateContent>
  <xr:revisionPtr revIDLastSave="0" documentId="13_ncr:1_{6DCE7CB2-EB3A-7446-8DA7-EBD6A19972BC}" xr6:coauthVersionLast="43" xr6:coauthVersionMax="43" xr10:uidLastSave="{00000000-0000-0000-0000-000000000000}"/>
  <bookViews>
    <workbookView xWindow="1020" yWindow="460" windowWidth="37380" windowHeight="21140" xr2:uid="{B8402D54-9B2C-4BF6-82F2-F414FC971FCA}"/>
  </bookViews>
  <sheets>
    <sheet name="Sheet1" sheetId="1" r:id="rId1"/>
  </sheets>
  <calcPr calcId="191029"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61" i="1" l="1"/>
  <c r="V61" i="1"/>
  <c r="U61" i="1"/>
  <c r="I61" i="1"/>
  <c r="W60" i="1"/>
  <c r="V60" i="1"/>
  <c r="U60" i="1"/>
  <c r="I60" i="1"/>
  <c r="W59" i="1"/>
  <c r="V59" i="1"/>
  <c r="GN58" i="1"/>
  <c r="GM58" i="1"/>
  <c r="GL58" i="1"/>
  <c r="GK58" i="1"/>
  <c r="GJ58" i="1"/>
  <c r="GI58" i="1"/>
  <c r="GH58" i="1"/>
  <c r="GG58" i="1"/>
  <c r="GF58" i="1"/>
  <c r="GE58" i="1"/>
  <c r="GD58" i="1"/>
  <c r="GC58" i="1"/>
  <c r="GB58" i="1"/>
  <c r="GA58" i="1"/>
  <c r="AD58" i="1"/>
  <c r="AA58" i="1"/>
  <c r="Z58" i="1"/>
  <c r="Y58" i="1"/>
  <c r="W58" i="1"/>
  <c r="I58" i="1"/>
  <c r="Z57" i="1"/>
  <c r="Y57" i="1"/>
  <c r="AC56" i="1"/>
  <c r="Z56" i="1"/>
  <c r="Y56" i="1"/>
  <c r="W56" i="1"/>
  <c r="V56" i="1"/>
  <c r="I56" i="1"/>
  <c r="AD55" i="1"/>
  <c r="AC55" i="1"/>
  <c r="AB55" i="1"/>
  <c r="AA55" i="1"/>
  <c r="Z55" i="1"/>
  <c r="Y55" i="1"/>
  <c r="W55" i="1"/>
  <c r="V55" i="1"/>
  <c r="U55" i="1"/>
  <c r="I55" i="1"/>
  <c r="W54" i="1"/>
  <c r="V54" i="1"/>
  <c r="U54" i="1"/>
  <c r="I54" i="1"/>
  <c r="W53" i="1"/>
  <c r="V53" i="1"/>
  <c r="I53" i="1"/>
  <c r="AC52" i="1"/>
  <c r="AB52" i="1"/>
  <c r="AA52" i="1"/>
  <c r="Z52" i="1"/>
  <c r="Y52" i="1"/>
  <c r="W52" i="1"/>
  <c r="V52" i="1"/>
  <c r="U52" i="1"/>
  <c r="I52" i="1"/>
  <c r="W51" i="1"/>
  <c r="V51" i="1"/>
  <c r="U51" i="1"/>
  <c r="I51" i="1"/>
  <c r="AB50" i="1"/>
  <c r="AA50" i="1"/>
  <c r="Z50" i="1"/>
  <c r="Y50" i="1"/>
  <c r="W50" i="1"/>
  <c r="V50" i="1"/>
  <c r="I50" i="1"/>
  <c r="W49" i="1"/>
  <c r="V49" i="1"/>
  <c r="U49" i="1"/>
  <c r="I49" i="1"/>
  <c r="AD48" i="1"/>
  <c r="AB48" i="1"/>
  <c r="AA48" i="1"/>
  <c r="Z48" i="1"/>
  <c r="Y48" i="1"/>
  <c r="W48" i="1"/>
  <c r="V48" i="1"/>
  <c r="U48" i="1"/>
  <c r="I48" i="1"/>
  <c r="AB47" i="1"/>
  <c r="AA47" i="1"/>
  <c r="Z47" i="1"/>
  <c r="Y47" i="1"/>
  <c r="W47" i="1"/>
  <c r="V47" i="1"/>
  <c r="U47" i="1"/>
  <c r="EM46" i="1"/>
  <c r="W46" i="1"/>
  <c r="V46" i="1"/>
  <c r="U46" i="1"/>
  <c r="EM45" i="1"/>
  <c r="AB45" i="1"/>
  <c r="Z45" i="1"/>
  <c r="Y45" i="1"/>
  <c r="W45" i="1"/>
  <c r="I45" i="1"/>
  <c r="ES44" i="1"/>
  <c r="ER44" i="1"/>
  <c r="EQ44" i="1"/>
  <c r="EM44" i="1"/>
  <c r="AB44" i="1"/>
  <c r="AA44" i="1"/>
  <c r="Y44" i="1"/>
  <c r="W44" i="1"/>
  <c r="V44" i="1"/>
  <c r="U44" i="1"/>
  <c r="I44" i="1"/>
  <c r="EM43" i="1"/>
  <c r="AC43" i="1"/>
  <c r="AB43" i="1"/>
  <c r="AA43" i="1"/>
  <c r="Z43" i="1"/>
  <c r="Y43" i="1"/>
  <c r="W43" i="1"/>
  <c r="V43" i="1"/>
  <c r="U43" i="1"/>
  <c r="I43" i="1"/>
  <c r="EM42" i="1"/>
  <c r="W42" i="1"/>
  <c r="I42" i="1"/>
  <c r="EM41" i="1"/>
  <c r="AD41" i="1"/>
  <c r="AB41" i="1"/>
  <c r="AA41" i="1"/>
  <c r="Y41" i="1"/>
  <c r="W41" i="1"/>
  <c r="V41" i="1"/>
  <c r="U41" i="1"/>
  <c r="I41" i="1"/>
  <c r="ET40" i="1"/>
  <c r="ES40" i="1"/>
  <c r="EQ40" i="1"/>
  <c r="EP40" i="1"/>
  <c r="EO40" i="1"/>
  <c r="EM40" i="1"/>
  <c r="W40" i="1"/>
  <c r="V40" i="1"/>
  <c r="U40" i="1"/>
  <c r="I40" i="1"/>
  <c r="EM39" i="1"/>
  <c r="W39" i="1"/>
  <c r="V39" i="1"/>
  <c r="I39" i="1"/>
  <c r="EM38" i="1"/>
  <c r="W38" i="1"/>
  <c r="V38" i="1"/>
  <c r="U38" i="1"/>
  <c r="I38" i="1"/>
  <c r="EM37" i="1"/>
  <c r="W37" i="1"/>
  <c r="V37" i="1"/>
  <c r="U37" i="1"/>
  <c r="I37" i="1"/>
  <c r="ES36" i="1"/>
  <c r="EQ36" i="1"/>
  <c r="EP36" i="1"/>
  <c r="EM36" i="1"/>
  <c r="AD36" i="1"/>
  <c r="AC36" i="1"/>
  <c r="AB36" i="1"/>
  <c r="Z36" i="1"/>
  <c r="Y36" i="1"/>
  <c r="W36" i="1"/>
  <c r="V36" i="1"/>
  <c r="U36" i="1"/>
  <c r="I36" i="1"/>
  <c r="ES35" i="1"/>
  <c r="EQ35" i="1"/>
  <c r="EO35" i="1"/>
  <c r="EM35" i="1"/>
  <c r="W35" i="1"/>
  <c r="V35" i="1"/>
  <c r="U35" i="1"/>
  <c r="EM34" i="1"/>
  <c r="AD34" i="1"/>
  <c r="AC34" i="1"/>
  <c r="AB34" i="1"/>
  <c r="AA34" i="1"/>
  <c r="Z34" i="1"/>
  <c r="Y34" i="1"/>
  <c r="W34" i="1"/>
  <c r="V34" i="1"/>
  <c r="U34" i="1"/>
  <c r="I34" i="1"/>
  <c r="EQ33" i="1"/>
  <c r="EP33" i="1"/>
  <c r="EO33" i="1"/>
  <c r="EN33" i="1"/>
  <c r="EM33" i="1"/>
  <c r="AD33" i="1"/>
  <c r="AC33" i="1"/>
  <c r="AB33" i="1"/>
  <c r="AA33" i="1"/>
  <c r="Z33" i="1"/>
  <c r="Y33" i="1"/>
  <c r="W33" i="1"/>
  <c r="V33" i="1"/>
  <c r="I33" i="1"/>
  <c r="EM32" i="1"/>
  <c r="W32" i="1"/>
  <c r="V32" i="1"/>
  <c r="U32" i="1"/>
  <c r="I32" i="1"/>
  <c r="EM31" i="1"/>
  <c r="AB31" i="1"/>
  <c r="Z31" i="1"/>
  <c r="Y31" i="1"/>
  <c r="W31" i="1"/>
  <c r="V31" i="1"/>
  <c r="EU30" i="1"/>
  <c r="ET30" i="1"/>
  <c r="ES30" i="1"/>
  <c r="ER30" i="1"/>
  <c r="EQ30" i="1"/>
  <c r="EP30" i="1"/>
  <c r="EO30" i="1"/>
  <c r="EN30" i="1"/>
  <c r="EM30" i="1"/>
  <c r="AC30" i="1"/>
  <c r="AB30" i="1"/>
  <c r="AA30" i="1"/>
  <c r="Z30" i="1"/>
  <c r="Y30" i="1"/>
  <c r="W30" i="1"/>
  <c r="V30" i="1"/>
  <c r="U30" i="1"/>
  <c r="I30" i="1"/>
  <c r="EM29" i="1"/>
  <c r="AB29" i="1"/>
  <c r="Z29" i="1"/>
  <c r="Y29" i="1"/>
  <c r="W29" i="1"/>
  <c r="V29" i="1"/>
  <c r="U29" i="1"/>
  <c r="I29" i="1"/>
  <c r="ET28" i="1"/>
  <c r="ES28" i="1"/>
  <c r="ER28" i="1"/>
  <c r="EQ28" i="1"/>
  <c r="EP28" i="1"/>
  <c r="EO28" i="1"/>
  <c r="EN28" i="1"/>
  <c r="EM28" i="1"/>
  <c r="AB28" i="1"/>
  <c r="AA28" i="1"/>
  <c r="Z28" i="1"/>
  <c r="Y28" i="1"/>
  <c r="W28" i="1"/>
  <c r="V28" i="1"/>
  <c r="U28" i="1"/>
  <c r="I28" i="1"/>
  <c r="EM27" i="1"/>
  <c r="W27" i="1"/>
  <c r="V27" i="1"/>
  <c r="I27" i="1"/>
  <c r="EM26" i="1"/>
  <c r="I26" i="1"/>
  <c r="EM25" i="1"/>
  <c r="AC25" i="1"/>
  <c r="AB25" i="1"/>
  <c r="AA25" i="1"/>
  <c r="Z25" i="1"/>
  <c r="Y25" i="1"/>
  <c r="W25" i="1"/>
  <c r="V25" i="1"/>
  <c r="U25" i="1"/>
  <c r="I25" i="1"/>
  <c r="EM24" i="1"/>
  <c r="W24" i="1"/>
  <c r="V24" i="1"/>
  <c r="U24" i="1"/>
  <c r="I24" i="1"/>
  <c r="EM23" i="1"/>
  <c r="EM22" i="1"/>
  <c r="W22" i="1"/>
  <c r="V22" i="1"/>
  <c r="U22" i="1"/>
  <c r="I22" i="1"/>
  <c r="EM21" i="1"/>
  <c r="AB21" i="1"/>
  <c r="Y21" i="1"/>
  <c r="W21" i="1"/>
  <c r="V21" i="1"/>
  <c r="U21" i="1"/>
  <c r="I21" i="1"/>
  <c r="EM20" i="1"/>
  <c r="W20" i="1"/>
  <c r="V20" i="1"/>
  <c r="I20" i="1"/>
  <c r="EO19" i="1"/>
  <c r="EN19" i="1"/>
  <c r="EM19" i="1"/>
  <c r="AC19" i="1"/>
  <c r="AB19" i="1"/>
  <c r="AA19" i="1"/>
  <c r="Z19" i="1"/>
  <c r="Y19" i="1"/>
  <c r="W19" i="1"/>
  <c r="V19" i="1"/>
  <c r="U19" i="1"/>
  <c r="I19" i="1"/>
  <c r="EM18" i="1"/>
  <c r="AB18" i="1"/>
  <c r="AA18" i="1"/>
  <c r="Y18" i="1"/>
  <c r="W18" i="1"/>
  <c r="V18" i="1"/>
  <c r="U18" i="1"/>
  <c r="I18" i="1"/>
  <c r="ER17" i="1"/>
  <c r="EQ17" i="1"/>
  <c r="EP17" i="1"/>
  <c r="EM17" i="1"/>
  <c r="AB17" i="1"/>
  <c r="AA17" i="1"/>
  <c r="Z17" i="1"/>
  <c r="Y17" i="1"/>
  <c r="W17" i="1"/>
  <c r="V17" i="1"/>
  <c r="U17" i="1"/>
  <c r="I17" i="1"/>
  <c r="ET16" i="1"/>
  <c r="ES16" i="1"/>
  <c r="ER16" i="1"/>
  <c r="EQ16" i="1"/>
  <c r="EO16" i="1"/>
  <c r="EN16" i="1"/>
  <c r="EM16" i="1"/>
  <c r="AC16" i="1"/>
  <c r="AB16" i="1"/>
  <c r="AA16" i="1"/>
  <c r="Z16" i="1"/>
  <c r="Y16" i="1"/>
  <c r="W16" i="1"/>
  <c r="V16" i="1"/>
  <c r="U16" i="1"/>
  <c r="I16" i="1"/>
  <c r="EM15" i="1"/>
  <c r="AB15" i="1"/>
  <c r="AA15" i="1"/>
  <c r="Z15" i="1"/>
  <c r="Y15" i="1"/>
  <c r="W15" i="1"/>
  <c r="V15" i="1"/>
  <c r="U15" i="1"/>
  <c r="I15" i="1"/>
  <c r="EM14" i="1"/>
  <c r="AC14" i="1"/>
  <c r="AB14" i="1"/>
  <c r="AA14" i="1"/>
  <c r="Z14" i="1"/>
  <c r="Y14" i="1"/>
  <c r="W14" i="1"/>
  <c r="V14" i="1"/>
  <c r="U14" i="1"/>
  <c r="I14" i="1"/>
  <c r="EM13" i="1"/>
  <c r="AB13" i="1"/>
  <c r="AA13" i="1"/>
  <c r="Z13" i="1"/>
  <c r="Y13" i="1"/>
  <c r="W13" i="1"/>
  <c r="V13" i="1"/>
  <c r="U13" i="1"/>
  <c r="I13" i="1"/>
  <c r="ET12" i="1"/>
  <c r="ES12" i="1"/>
  <c r="EQ12" i="1"/>
  <c r="EP12" i="1"/>
  <c r="EM12" i="1"/>
  <c r="W12" i="1"/>
  <c r="I12" i="1"/>
  <c r="EM11" i="1"/>
  <c r="W11" i="1"/>
  <c r="I11" i="1"/>
  <c r="ET10" i="1"/>
  <c r="ES10" i="1"/>
  <c r="ER10" i="1"/>
  <c r="EQ10" i="1"/>
  <c r="EP10" i="1"/>
  <c r="EO10" i="1"/>
  <c r="EN10" i="1"/>
  <c r="EM10" i="1"/>
  <c r="W10" i="1"/>
  <c r="V10" i="1"/>
  <c r="U10" i="1"/>
  <c r="I10" i="1"/>
  <c r="EQ9" i="1"/>
  <c r="EO9" i="1"/>
  <c r="EM9" i="1"/>
  <c r="AC9" i="1"/>
  <c r="AB9" i="1"/>
  <c r="AA9" i="1"/>
  <c r="Z9" i="1"/>
  <c r="Y9" i="1"/>
  <c r="I9" i="1"/>
  <c r="EM8" i="1"/>
  <c r="AC8" i="1"/>
  <c r="AB8" i="1"/>
  <c r="AA8" i="1"/>
  <c r="Z8" i="1"/>
  <c r="Y8" i="1"/>
  <c r="W8" i="1"/>
  <c r="V8" i="1"/>
  <c r="U8" i="1"/>
  <c r="EM7" i="1"/>
  <c r="AD7" i="1"/>
  <c r="AC7" i="1"/>
  <c r="AB7" i="1"/>
  <c r="AA7" i="1"/>
  <c r="Z7" i="1"/>
  <c r="Y7" i="1"/>
  <c r="W7" i="1"/>
  <c r="V7" i="1"/>
  <c r="U7" i="1"/>
  <c r="EU6" i="1"/>
  <c r="EQ6" i="1"/>
  <c r="EP6" i="1"/>
  <c r="EO6" i="1"/>
  <c r="EN6" i="1"/>
  <c r="EM6" i="1"/>
  <c r="AC6" i="1"/>
  <c r="AB6" i="1"/>
  <c r="Y6" i="1"/>
  <c r="W6" i="1"/>
  <c r="V6" i="1"/>
  <c r="U6" i="1"/>
  <c r="EM5" i="1"/>
  <c r="W5" i="1"/>
  <c r="V5" i="1"/>
  <c r="U5" i="1"/>
  <c r="EM4" i="1"/>
  <c r="AD4" i="1"/>
  <c r="AB4" i="1"/>
  <c r="AA4" i="1"/>
  <c r="Z4" i="1"/>
  <c r="Y4" i="1"/>
  <c r="W4" i="1"/>
  <c r="V4" i="1"/>
  <c r="U4" i="1"/>
  <c r="I4" i="1"/>
  <c r="EM3" i="1"/>
  <c r="W3" i="1"/>
  <c r="V3" i="1"/>
  <c r="U3" i="1"/>
  <c r="EQ2" i="1"/>
  <c r="EP2" i="1"/>
  <c r="EO2" i="1"/>
  <c r="EM2" i="1"/>
  <c r="AC2" i="1"/>
  <c r="AB2" i="1"/>
  <c r="AA2" i="1"/>
  <c r="Z2" i="1"/>
  <c r="Y2" i="1"/>
  <c r="W2" i="1"/>
  <c r="V2" i="1"/>
  <c r="U2"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tc={268BB89E-3C3A-4558-AB3C-1E1A5B7E943A}</author>
    <author>tc={74D84BB1-461F-437E-A811-2F9E5312BFFE}</author>
    <author>Apolline Blandin</author>
    <author>tc={1B248201-7721-4C71-A7B6-38D081B539B8}</author>
    <author>Michel Rauchs</author>
    <author>tc={20E0343B-BCA4-4906-BEC1-55F9F2E89E0A}</author>
    <author>tc={16F82D9E-EC59-41EC-9C5E-C438D2F6F7DC}</author>
    <author>tc={A1908968-C2EB-43AD-905B-8AB3FE2E89C5}</author>
    <author>tc={201840B6-B81A-4356-8EFD-05BB28AF252E}</author>
    <author>tc={3F78BC26-1967-4D6D-A705-3FD10DBD08D6}</author>
    <author>tc={9534B4D0-250F-4575-A1BE-E1E28EA9F15D}</author>
    <author>tc={88ECEFF9-6B69-42D4-BA7C-CAF5E07927C8}</author>
    <author>tc={4B01AFA1-AB8C-4118-A367-37C6C6B70F25}</author>
    <author>tc={842DA786-5654-4520-9CDE-EF7B84C79209}</author>
    <author>tc={2E8B03B5-88C0-42E8-AC68-A68A65C04E1A}</author>
    <author>tc={797327F3-E40C-4EC3-B81C-8C8B0B243386}</author>
    <author>tc={902B02C1-B69B-470A-96D9-002559FCE063}</author>
    <author>tc={418D5C3E-3F8A-48BE-8CC5-55A47AB1F501}</author>
    <author>tc={A4EB8808-9DAC-4B46-9BAE-276F9D6185D9}</author>
    <author>tc={23164858-6933-4A59-8478-A4B1EED0B606}</author>
    <author>tc={B798E258-DDBA-4312-BFE5-45C41DB9B36B}</author>
    <author>tc={DE6F75F7-4C61-4925-B8F9-203A587D2B33}</author>
    <author>tc={AC081C3C-34EE-4934-AB40-0BD96E370C6E}</author>
    <author>tc={0EAD8AC1-7A4C-497C-BDCE-D1304B883234}</author>
    <author>tc={19E5EC5A-4BF1-4BF3-8834-CB5A96344D23}</author>
    <author>tc={6EE9EA7A-6C81-474C-9C75-8B91114DDE82}</author>
    <author>tc={494EAD87-98EC-431E-A52B-D6B318CC7AB5}</author>
    <author>tc={434C71B4-CAE8-4CA1-A05B-A9651958529F}</author>
    <author>tc={1507D2FA-1A10-4F22-BF9D-740F4AD00D8F}</author>
    <author>tc={F88A2B9A-D7E0-4956-A4CA-F09553F51C62}</author>
    <author>tc={E7C9F2E8-083C-4981-B84B-B855041E4F38}</author>
    <author>tc={476F2AF2-A35F-43F2-A5E6-A076975D2C3F}</author>
    <author>tc={5A3805CF-2137-4FAD-85C0-D2847B530BB5}</author>
    <author>tc={931643EC-F2F3-4A71-AEB9-E425F3585C2C}</author>
    <author>tc={681B8E92-4862-4ADD-ABDB-D6DD212529AF}</author>
  </authors>
  <commentList>
    <comment ref="X1" authorId="0" shapeId="0" xr:uid="{268BB89E-3C3A-4558-AB3C-1E1A5B7E943A}">
      <text>
        <t>[Threaded comment]
Your version of Excel allows you to read this threaded comment; however, any edits to it will get removed if the file is opened in a newer version of Excel. Learn more: https://go.microsoft.com/fwlink/?linkid=870924
Comment:
    Scale: small &lt;10 FTE exclusively working on BC, medium b/w 10 and 50, large &gt;50</t>
      </text>
    </comment>
    <comment ref="B2" authorId="1" shapeId="0" xr:uid="{74D84BB1-461F-437E-A811-2F9E5312BFFE}">
      <text>
        <t>[Threaded comment]
Your version of Excel allows you to read this threaded comment; however, any edits to it will get removed if the file is opened in a newer version of Excel. Learn more: https://go.microsoft.com/fwlink/?linkid=870924
Comment:
    EC4V3PS</t>
      </text>
    </comment>
    <comment ref="G2" authorId="2" shapeId="0" xr:uid="{318D81D3-2277-4D51-AD1C-D84171AF237B}">
      <text>
        <r>
          <rPr>
            <b/>
            <sz val="9"/>
            <color rgb="FF000000"/>
            <rFont val="Tahoma"/>
            <charset val="1"/>
          </rPr>
          <t>Apolline Blandin:</t>
        </r>
        <r>
          <rPr>
            <sz val="9"/>
            <color rgb="FF000000"/>
            <rFont val="Tahoma"/>
            <charset val="1"/>
          </rPr>
          <t xml:space="preserve">
</t>
        </r>
        <r>
          <rPr>
            <sz val="9"/>
            <color rgb="FF000000"/>
            <rFont val="Tahoma"/>
            <charset val="1"/>
          </rPr>
          <t>Replaced "Wine provenance late 2014"</t>
        </r>
      </text>
    </comment>
    <comment ref="L2" authorId="2" shapeId="0" xr:uid="{9858F7CD-E2BC-4EA1-BBE6-55D5FB5771E3}">
      <text>
        <r>
          <rPr>
            <b/>
            <sz val="9"/>
            <color indexed="81"/>
            <rFont val="Tahoma"/>
            <family val="2"/>
          </rPr>
          <t>Apolline Blandin:</t>
        </r>
        <r>
          <rPr>
            <sz val="9"/>
            <color indexed="81"/>
            <rFont val="Tahoma"/>
            <family val="2"/>
          </rPr>
          <t xml:space="preserve">
Indicated "Protocol" but did not respond any questions in the protocol section.</t>
        </r>
      </text>
    </comment>
    <comment ref="CN2" authorId="2" shapeId="0" xr:uid="{443C0F97-40EF-423B-9B58-5AEB516713AB}">
      <text>
        <r>
          <rPr>
            <b/>
            <sz val="9"/>
            <color indexed="81"/>
            <rFont val="Tahoma"/>
            <family val="2"/>
          </rPr>
          <t>Apolline Blandin:</t>
        </r>
        <r>
          <rPr>
            <sz val="9"/>
            <color indexed="81"/>
            <rFont val="Tahoma"/>
            <family val="2"/>
          </rPr>
          <t xml:space="preserve">
Removed "Ethereum"</t>
        </r>
      </text>
    </comment>
    <comment ref="BY3" authorId="2" shapeId="0" xr:uid="{6EE2B314-AEFE-46D1-9B81-DC94209CECD4}">
      <text>
        <r>
          <rPr>
            <b/>
            <sz val="9"/>
            <color rgb="FF000000"/>
            <rFont val="Tahoma"/>
            <charset val="1"/>
          </rPr>
          <t>Apolline Blandin:</t>
        </r>
        <r>
          <rPr>
            <sz val="9"/>
            <color rgb="FF000000"/>
            <rFont val="Tahoma"/>
            <charset val="1"/>
          </rPr>
          <t xml:space="preserve">
</t>
        </r>
        <r>
          <rPr>
            <sz val="9"/>
            <color rgb="FF000000"/>
            <rFont val="Tahoma"/>
            <charset val="1"/>
          </rPr>
          <t>Replaced "unlimited, scales linearly" for consistency</t>
        </r>
      </text>
    </comment>
    <comment ref="CB3" authorId="2" shapeId="0" xr:uid="{EB3DC7D9-E401-4CB4-8A22-C4BE1CCED14F}">
      <text>
        <r>
          <rPr>
            <b/>
            <sz val="9"/>
            <color indexed="81"/>
            <rFont val="Tahoma"/>
            <charset val="1"/>
          </rPr>
          <t>Apolline Blandin:</t>
        </r>
        <r>
          <rPr>
            <sz val="9"/>
            <color indexed="81"/>
            <rFont val="Tahoma"/>
            <charset val="1"/>
          </rPr>
          <t xml:space="preserve">
Replaced "unlimited as it scales perfectly linearly" for consistency</t>
        </r>
      </text>
    </comment>
    <comment ref="G4" authorId="2" shapeId="0" xr:uid="{A876EFB7-62E8-4795-B43D-6AD358DDB0C7}">
      <text>
        <r>
          <rPr>
            <b/>
            <sz val="9"/>
            <color rgb="FF000000"/>
            <rFont val="Tahoma"/>
            <charset val="1"/>
          </rPr>
          <t>Apolline Blandin:</t>
        </r>
        <r>
          <rPr>
            <sz val="9"/>
            <color rgb="FF000000"/>
            <rFont val="Tahoma"/>
            <charset val="1"/>
          </rPr>
          <t xml:space="preserve">
</t>
        </r>
        <r>
          <rPr>
            <sz val="9"/>
            <color rgb="FF000000"/>
            <rFont val="Tahoma"/>
            <charset val="1"/>
          </rPr>
          <t>Replaced "Protocol provider for Utility Settlement Coin" with 2015 as indicated on their website.</t>
        </r>
      </text>
    </comment>
    <comment ref="H4" authorId="3" shapeId="0" xr:uid="{1B248201-7721-4C71-A7B6-38D081B539B8}">
      <text>
        <t>[Threaded comment]
Your version of Excel allows you to read this threaded comment; however, any edits to it will get removed if the file is opened in a newer version of Excel. Learn more: https://go.microsoft.com/fwlink/?linkid=870924
Comment:
    How can they have some downloads in 2017 and 2018Q2.</t>
      </text>
    </comment>
    <comment ref="O5" authorId="2" shapeId="0" xr:uid="{3CDA6699-B7CD-4BA7-B636-F19D89942AB1}">
      <text>
        <r>
          <rPr>
            <b/>
            <sz val="9"/>
            <color indexed="81"/>
            <rFont val="Tahoma"/>
            <family val="2"/>
          </rPr>
          <t>Apolline Blandin:</t>
        </r>
        <r>
          <rPr>
            <sz val="9"/>
            <color indexed="81"/>
            <rFont val="Tahoma"/>
            <family val="2"/>
          </rPr>
          <t xml:space="preserve">
Replaced "Marcelo"</t>
        </r>
      </text>
    </comment>
    <comment ref="Q5" authorId="2" shapeId="0" xr:uid="{ED9B570F-D9D4-4FA7-9FBB-F51284AF9033}">
      <text>
        <r>
          <rPr>
            <b/>
            <sz val="9"/>
            <color indexed="81"/>
            <rFont val="Tahoma"/>
            <family val="2"/>
          </rPr>
          <t>Apolline Blandin:</t>
        </r>
        <r>
          <rPr>
            <sz val="9"/>
            <color indexed="81"/>
            <rFont val="Tahoma"/>
            <family val="2"/>
          </rPr>
          <t xml:space="preserve">
Replaced "Marcelo"</t>
        </r>
      </text>
    </comment>
    <comment ref="S5" authorId="2" shapeId="0" xr:uid="{CCF4B58C-45FD-46DA-96CB-35D77FB13F0C}">
      <text>
        <r>
          <rPr>
            <b/>
            <sz val="9"/>
            <color indexed="81"/>
            <rFont val="Tahoma"/>
            <family val="2"/>
          </rPr>
          <t>Apolline Blandin:</t>
        </r>
        <r>
          <rPr>
            <sz val="9"/>
            <color indexed="81"/>
            <rFont val="Tahoma"/>
            <family val="2"/>
          </rPr>
          <t xml:space="preserve">
Replaced "Marcelo"</t>
        </r>
      </text>
    </comment>
    <comment ref="G6" authorId="2" shapeId="0" xr:uid="{D0F60079-EBA2-4FAE-AC54-65741C2189D3}">
      <text>
        <r>
          <rPr>
            <b/>
            <sz val="9"/>
            <color rgb="FF000000"/>
            <rFont val="Tahoma"/>
            <charset val="1"/>
          </rPr>
          <t>Apolline Blandin:</t>
        </r>
        <r>
          <rPr>
            <sz val="9"/>
            <color rgb="FF000000"/>
            <rFont val="Tahoma"/>
            <charset val="1"/>
          </rPr>
          <t xml:space="preserve">
</t>
        </r>
        <r>
          <rPr>
            <sz val="9"/>
            <color rgb="FF000000"/>
            <rFont val="Tahoma"/>
            <charset val="1"/>
          </rPr>
          <t>Based on LinkedIn page</t>
        </r>
      </text>
    </comment>
    <comment ref="H6" authorId="2" shapeId="0" xr:uid="{919A873D-4BCB-41CD-915D-0A583A914D0C}">
      <text>
        <r>
          <rPr>
            <b/>
            <sz val="9"/>
            <color rgb="FF000000"/>
            <rFont val="Tahoma"/>
            <charset val="1"/>
          </rPr>
          <t>Apolline Blandin:</t>
        </r>
        <r>
          <rPr>
            <sz val="9"/>
            <color rgb="FF000000"/>
            <rFont val="Tahoma"/>
            <charset val="1"/>
          </rPr>
          <t xml:space="preserve">
</t>
        </r>
        <r>
          <rPr>
            <sz val="9"/>
            <color rgb="FF000000"/>
            <rFont val="Tahoma"/>
            <charset val="1"/>
          </rPr>
          <t>Removed "CITA"</t>
        </r>
      </text>
    </comment>
    <comment ref="CB6" authorId="2" shapeId="0" xr:uid="{8B5BF63F-E500-47CE-B961-66CEEE483300}">
      <text>
        <r>
          <rPr>
            <b/>
            <sz val="9"/>
            <color indexed="81"/>
            <rFont val="Tahoma"/>
            <charset val="1"/>
          </rPr>
          <t>Apolline Blandin:</t>
        </r>
        <r>
          <rPr>
            <sz val="9"/>
            <color indexed="81"/>
            <rFont val="Tahoma"/>
            <charset val="1"/>
          </rPr>
          <t xml:space="preserve">
Removed "TPS on 32C64G server with 100M bandwidth"</t>
        </r>
      </text>
    </comment>
    <comment ref="G7" authorId="2" shapeId="0" xr:uid="{AA631E6B-1537-4139-8DB1-4E077CAAD2CB}">
      <text>
        <r>
          <rPr>
            <b/>
            <sz val="9"/>
            <color rgb="FF000000"/>
            <rFont val="Tahoma"/>
            <charset val="1"/>
          </rPr>
          <t>Apolline Blandin:</t>
        </r>
        <r>
          <rPr>
            <sz val="9"/>
            <color rgb="FF000000"/>
            <rFont val="Tahoma"/>
            <charset val="1"/>
          </rPr>
          <t xml:space="preserve">
</t>
        </r>
        <r>
          <rPr>
            <sz val="9"/>
            <color rgb="FF000000"/>
            <rFont val="Tahoma"/>
            <charset val="1"/>
          </rPr>
          <t>Based on LinkedIn page</t>
        </r>
      </text>
    </comment>
    <comment ref="DW7" authorId="2" shapeId="0" xr:uid="{1B976696-BBF6-4EFC-996D-DF2B173D8EB5}">
      <text>
        <r>
          <rPr>
            <b/>
            <sz val="9"/>
            <color rgb="FF000000"/>
            <rFont val="Tahoma"/>
            <charset val="1"/>
          </rPr>
          <t>Apolline Blandin:</t>
        </r>
        <r>
          <rPr>
            <sz val="9"/>
            <color rgb="FF000000"/>
            <rFont val="Tahoma"/>
            <charset val="1"/>
          </rPr>
          <t xml:space="preserve">
</t>
        </r>
        <r>
          <rPr>
            <sz val="9"/>
            <color rgb="FF000000"/>
            <rFont val="Tahoma"/>
            <charset val="1"/>
          </rPr>
          <t>Removed "Not applicable"</t>
        </r>
      </text>
    </comment>
    <comment ref="DX7" authorId="2" shapeId="0" xr:uid="{BDD6E43B-B20A-4DBB-91BA-AE427CC5F0E5}">
      <text>
        <r>
          <rPr>
            <b/>
            <sz val="9"/>
            <color indexed="81"/>
            <rFont val="Tahoma"/>
            <charset val="1"/>
          </rPr>
          <t>Apolline Blandin:</t>
        </r>
        <r>
          <rPr>
            <sz val="9"/>
            <color indexed="81"/>
            <rFont val="Tahoma"/>
            <charset val="1"/>
          </rPr>
          <t xml:space="preserve">
Removed "Not applicable"</t>
        </r>
      </text>
    </comment>
    <comment ref="DY7" authorId="2" shapeId="0" xr:uid="{4EB2E59D-5A9B-4107-AFF0-DDF040EC4080}">
      <text>
        <r>
          <rPr>
            <b/>
            <sz val="9"/>
            <color indexed="81"/>
            <rFont val="Tahoma"/>
            <charset val="1"/>
          </rPr>
          <t>Apolline Blandin:</t>
        </r>
        <r>
          <rPr>
            <sz val="9"/>
            <color indexed="81"/>
            <rFont val="Tahoma"/>
            <charset val="1"/>
          </rPr>
          <t xml:space="preserve">
Removed "Not applicable"</t>
        </r>
      </text>
    </comment>
    <comment ref="DZ7" authorId="2" shapeId="0" xr:uid="{1F7ADAAC-BA07-4957-8EF9-54D3C1F01C93}">
      <text>
        <r>
          <rPr>
            <b/>
            <sz val="9"/>
            <color indexed="81"/>
            <rFont val="Tahoma"/>
            <charset val="1"/>
          </rPr>
          <t>Apolline Blandin:</t>
        </r>
        <r>
          <rPr>
            <sz val="9"/>
            <color indexed="81"/>
            <rFont val="Tahoma"/>
            <charset val="1"/>
          </rPr>
          <t xml:space="preserve">
Removed "Not applicable"</t>
        </r>
      </text>
    </comment>
    <comment ref="EA7" authorId="2" shapeId="0" xr:uid="{A34FF82C-DE71-4CE0-9A52-FBCDC84473AE}">
      <text>
        <r>
          <rPr>
            <b/>
            <sz val="9"/>
            <color indexed="81"/>
            <rFont val="Tahoma"/>
            <charset val="1"/>
          </rPr>
          <t>Apolline Blandin:</t>
        </r>
        <r>
          <rPr>
            <sz val="9"/>
            <color indexed="81"/>
            <rFont val="Tahoma"/>
            <charset val="1"/>
          </rPr>
          <t xml:space="preserve">
Removed "Not applicable"</t>
        </r>
      </text>
    </comment>
    <comment ref="EB7" authorId="2" shapeId="0" xr:uid="{347B4222-1293-4C67-A6FD-9740960DA79A}">
      <text>
        <r>
          <rPr>
            <b/>
            <sz val="9"/>
            <color indexed="81"/>
            <rFont val="Tahoma"/>
            <charset val="1"/>
          </rPr>
          <t>Apolline Blandin:</t>
        </r>
        <r>
          <rPr>
            <sz val="9"/>
            <color indexed="81"/>
            <rFont val="Tahoma"/>
            <charset val="1"/>
          </rPr>
          <t xml:space="preserve">
Removed "Not applicable"</t>
        </r>
      </text>
    </comment>
    <comment ref="EC7" authorId="2" shapeId="0" xr:uid="{D335BAD3-543E-4B60-A00A-10F56BACA654}">
      <text>
        <r>
          <rPr>
            <b/>
            <sz val="9"/>
            <color indexed="81"/>
            <rFont val="Tahoma"/>
            <charset val="1"/>
          </rPr>
          <t>Apolline Blandin:</t>
        </r>
        <r>
          <rPr>
            <sz val="9"/>
            <color indexed="81"/>
            <rFont val="Tahoma"/>
            <charset val="1"/>
          </rPr>
          <t xml:space="preserve">
Removed "Not applicable"</t>
        </r>
      </text>
    </comment>
    <comment ref="ED7" authorId="2" shapeId="0" xr:uid="{6AF0AB18-6B83-4AFB-B7E4-D15859B7E571}">
      <text>
        <r>
          <rPr>
            <b/>
            <sz val="9"/>
            <color indexed="81"/>
            <rFont val="Tahoma"/>
            <charset val="1"/>
          </rPr>
          <t>Apolline Blandin:</t>
        </r>
        <r>
          <rPr>
            <sz val="9"/>
            <color indexed="81"/>
            <rFont val="Tahoma"/>
            <charset val="1"/>
          </rPr>
          <t xml:space="preserve">
Removed "Not applicable"</t>
        </r>
      </text>
    </comment>
    <comment ref="EE7" authorId="2" shapeId="0" xr:uid="{7C87DED9-2D5A-4484-93F3-DC13E9AA477C}">
      <text>
        <r>
          <rPr>
            <b/>
            <sz val="9"/>
            <color indexed="81"/>
            <rFont val="Tahoma"/>
            <charset val="1"/>
          </rPr>
          <t>Apolline Blandin:</t>
        </r>
        <r>
          <rPr>
            <sz val="9"/>
            <color indexed="81"/>
            <rFont val="Tahoma"/>
            <charset val="1"/>
          </rPr>
          <t xml:space="preserve">
Removed "Not applicable"</t>
        </r>
      </text>
    </comment>
    <comment ref="G8" authorId="2" shapeId="0" xr:uid="{6F53C22E-00B1-4B1A-9685-D3C1E1C457F5}">
      <text>
        <r>
          <rPr>
            <b/>
            <sz val="9"/>
            <color rgb="FF000000"/>
            <rFont val="Tahoma"/>
            <charset val="1"/>
          </rPr>
          <t>Apolline Blandin:</t>
        </r>
        <r>
          <rPr>
            <sz val="9"/>
            <color rgb="FF000000"/>
            <rFont val="Tahoma"/>
            <charset val="1"/>
          </rPr>
          <t xml:space="preserve">
</t>
        </r>
        <r>
          <rPr>
            <sz val="9"/>
            <color rgb="FF000000"/>
            <rFont val="Tahoma"/>
            <charset val="1"/>
          </rPr>
          <t>Removed "Bill and Melinda Gates Research Grant" + based on their LinkedIn page</t>
        </r>
      </text>
    </comment>
    <comment ref="O9" authorId="2" shapeId="0" xr:uid="{DA5329D4-24EB-43E5-A042-93ADB6981FA4}">
      <text>
        <r>
          <rPr>
            <b/>
            <sz val="9"/>
            <color rgb="FF000000"/>
            <rFont val="Tahoma"/>
            <charset val="1"/>
          </rPr>
          <t>Apolline Blandin:</t>
        </r>
        <r>
          <rPr>
            <sz val="9"/>
            <color rgb="FF000000"/>
            <rFont val="Tahoma"/>
            <charset val="1"/>
          </rPr>
          <t xml:space="preserve">
</t>
        </r>
        <r>
          <rPr>
            <sz val="9"/>
            <color rgb="FF000000"/>
            <rFont val="Tahoma"/>
            <charset val="1"/>
          </rPr>
          <t>Removed "0" because indicated starting in 2017</t>
        </r>
      </text>
    </comment>
    <comment ref="P9" authorId="2" shapeId="0" xr:uid="{45D5B880-CEBF-41BE-A65D-EA80C0206A66}">
      <text>
        <r>
          <rPr>
            <b/>
            <sz val="9"/>
            <color rgb="FF000000"/>
            <rFont val="Tahoma"/>
            <charset val="1"/>
          </rPr>
          <t>Apolline Blandin:</t>
        </r>
        <r>
          <rPr>
            <sz val="9"/>
            <color rgb="FF000000"/>
            <rFont val="Tahoma"/>
            <charset val="1"/>
          </rPr>
          <t xml:space="preserve">
</t>
        </r>
        <r>
          <rPr>
            <sz val="9"/>
            <color rgb="FF000000"/>
            <rFont val="Tahoma"/>
            <charset val="1"/>
          </rPr>
          <t>Removed "0" because indicated starting in 2017</t>
        </r>
      </text>
    </comment>
    <comment ref="Q9" authorId="4" shapeId="0" xr:uid="{26871360-52E6-4E41-B007-09DF05EB25C6}">
      <text>
        <r>
          <rPr>
            <b/>
            <sz val="10"/>
            <color rgb="FF000000"/>
            <rFont val="Tahoma"/>
            <family val="2"/>
          </rPr>
          <t>Michel Rauchs:</t>
        </r>
        <r>
          <rPr>
            <sz val="10"/>
            <color rgb="FF000000"/>
            <rFont val="Tahoma"/>
            <family val="2"/>
          </rPr>
          <t xml:space="preserve">
</t>
        </r>
        <r>
          <rPr>
            <sz val="10"/>
            <color rgb="FF000000"/>
            <rFont val="Calibri"/>
            <scheme val="minor"/>
          </rPr>
          <t xml:space="preserve">Removed because utterly unrealistic figure
</t>
        </r>
      </text>
    </comment>
    <comment ref="R9" authorId="4" shapeId="0" xr:uid="{BE6D3962-798A-43AB-9390-F3442A56ED97}">
      <text>
        <r>
          <rPr>
            <b/>
            <sz val="10"/>
            <color rgb="FF000000"/>
            <rFont val="Tahoma"/>
            <family val="2"/>
          </rPr>
          <t>Michel Rauchs:</t>
        </r>
        <r>
          <rPr>
            <sz val="10"/>
            <color rgb="FF000000"/>
            <rFont val="Tahoma"/>
            <family val="2"/>
          </rPr>
          <t xml:space="preserve">
</t>
        </r>
        <r>
          <rPr>
            <sz val="10"/>
            <color rgb="FF000000"/>
            <rFont val="Calibri"/>
            <scheme val="minor"/>
          </rPr>
          <t xml:space="preserve">Removed because utterly unrealistic figure
</t>
        </r>
      </text>
    </comment>
    <comment ref="S9" authorId="4" shapeId="0" xr:uid="{3820F74C-7A2D-4B0F-9195-E8EC1D304209}">
      <text>
        <r>
          <rPr>
            <b/>
            <sz val="10"/>
            <color rgb="FF000000"/>
            <rFont val="Tahoma"/>
            <family val="2"/>
          </rPr>
          <t>Michel Rauchs:</t>
        </r>
        <r>
          <rPr>
            <sz val="10"/>
            <color rgb="FF000000"/>
            <rFont val="Tahoma"/>
            <family val="2"/>
          </rPr>
          <t xml:space="preserve">
</t>
        </r>
        <r>
          <rPr>
            <sz val="10"/>
            <color rgb="FF000000"/>
            <rFont val="Calibri"/>
            <scheme val="minor"/>
          </rPr>
          <t xml:space="preserve">Removed because utterly unrealistic figure
</t>
        </r>
      </text>
    </comment>
    <comment ref="T9" authorId="4" shapeId="0" xr:uid="{6CAC45FD-7289-4619-B237-F4469C5FADA1}">
      <text>
        <r>
          <rPr>
            <b/>
            <sz val="10"/>
            <color rgb="FF000000"/>
            <rFont val="Tahoma"/>
            <family val="2"/>
          </rPr>
          <t>Michel Rauchs:</t>
        </r>
        <r>
          <rPr>
            <sz val="10"/>
            <color rgb="FF000000"/>
            <rFont val="Tahoma"/>
            <family val="2"/>
          </rPr>
          <t xml:space="preserve">
</t>
        </r>
        <r>
          <rPr>
            <sz val="10"/>
            <color rgb="FF000000"/>
            <rFont val="Calibri"/>
          </rPr>
          <t xml:space="preserve">Removed because utterly unrealistic figure
</t>
        </r>
      </text>
    </comment>
    <comment ref="BY10" authorId="2" shapeId="0" xr:uid="{64E4FC32-F585-4206-A938-1A84F6656081}">
      <text>
        <r>
          <rPr>
            <b/>
            <sz val="9"/>
            <color rgb="FF000000"/>
            <rFont val="Tahoma"/>
            <charset val="1"/>
          </rPr>
          <t>Apolline Blandin:</t>
        </r>
        <r>
          <rPr>
            <sz val="9"/>
            <color rgb="FF000000"/>
            <rFont val="Tahoma"/>
            <charset val="1"/>
          </rPr>
          <t xml:space="preserve">
</t>
        </r>
        <r>
          <rPr>
            <sz val="9"/>
            <color rgb="FF000000"/>
            <rFont val="Tahoma"/>
            <charset val="1"/>
          </rPr>
          <t>Replaced "Unlimited - this is not a constraint in bitcoin-style blockchains" for consistency</t>
        </r>
      </text>
    </comment>
    <comment ref="CB10" authorId="2" shapeId="0" xr:uid="{DFDF9E10-2131-47B7-93CC-3D284319118D}">
      <text>
        <r>
          <rPr>
            <b/>
            <sz val="9"/>
            <color indexed="81"/>
            <rFont val="Tahoma"/>
            <charset val="1"/>
          </rPr>
          <t>Apolline Blandin:</t>
        </r>
        <r>
          <rPr>
            <sz val="9"/>
            <color indexed="81"/>
            <rFont val="Tahoma"/>
            <charset val="1"/>
          </rPr>
          <t xml:space="preserve">
Si;plify "~1100 TPS"</t>
        </r>
      </text>
    </comment>
    <comment ref="O11" authorId="2" shapeId="0" xr:uid="{9E39CFD3-A64A-4A08-9111-7EE5BF955C41}">
      <text>
        <r>
          <rPr>
            <b/>
            <sz val="9"/>
            <color indexed="81"/>
            <rFont val="Tahoma"/>
            <charset val="1"/>
          </rPr>
          <t>Apolline Blandin:</t>
        </r>
        <r>
          <rPr>
            <sz val="9"/>
            <color indexed="81"/>
            <rFont val="Tahoma"/>
            <charset val="1"/>
          </rPr>
          <t xml:space="preserve">
Removed "0" because started in 2018</t>
        </r>
      </text>
    </comment>
    <comment ref="P11" authorId="2" shapeId="0" xr:uid="{336C1A2D-B451-469E-A255-427EEEA595C0}">
      <text>
        <r>
          <rPr>
            <b/>
            <sz val="9"/>
            <color indexed="81"/>
            <rFont val="Tahoma"/>
            <charset val="1"/>
          </rPr>
          <t>Apolline Blandin:</t>
        </r>
        <r>
          <rPr>
            <sz val="9"/>
            <color indexed="81"/>
            <rFont val="Tahoma"/>
            <charset val="1"/>
          </rPr>
          <t xml:space="preserve">
Removed "0" because started in 2018</t>
        </r>
      </text>
    </comment>
    <comment ref="Q11" authorId="2" shapeId="0" xr:uid="{A6960D27-3532-4ECF-A4BC-010C763C8CA9}">
      <text>
        <r>
          <rPr>
            <b/>
            <sz val="9"/>
            <color rgb="FF000000"/>
            <rFont val="Tahoma"/>
            <charset val="1"/>
          </rPr>
          <t>Apolline Blandin:</t>
        </r>
        <r>
          <rPr>
            <sz val="9"/>
            <color rgb="FF000000"/>
            <rFont val="Tahoma"/>
            <charset val="1"/>
          </rPr>
          <t xml:space="preserve">
</t>
        </r>
        <r>
          <rPr>
            <sz val="9"/>
            <color rgb="FF000000"/>
            <rFont val="Tahoma"/>
            <charset val="1"/>
          </rPr>
          <t>Removed "0" because started in 2018</t>
        </r>
      </text>
    </comment>
    <comment ref="R11" authorId="2" shapeId="0" xr:uid="{58B1F12A-C03B-493F-BBFC-C940B37E05F2}">
      <text>
        <r>
          <rPr>
            <b/>
            <sz val="9"/>
            <color indexed="81"/>
            <rFont val="Tahoma"/>
            <charset val="1"/>
          </rPr>
          <t>Apolline Blandin:</t>
        </r>
        <r>
          <rPr>
            <sz val="9"/>
            <color indexed="81"/>
            <rFont val="Tahoma"/>
            <charset val="1"/>
          </rPr>
          <t xml:space="preserve">
Removed "0" because started in 2018</t>
        </r>
      </text>
    </comment>
    <comment ref="S11" authorId="2" shapeId="0" xr:uid="{3596D154-1BB5-44D4-BA71-BB8FB6BDD9A3}">
      <text>
        <r>
          <rPr>
            <b/>
            <sz val="9"/>
            <color indexed="81"/>
            <rFont val="Tahoma"/>
            <family val="2"/>
          </rPr>
          <t>Apolline Blandin:</t>
        </r>
        <r>
          <rPr>
            <sz val="9"/>
            <color indexed="81"/>
            <rFont val="Tahoma"/>
            <family val="2"/>
          </rPr>
          <t xml:space="preserve">
Other respondent indicated "14"</t>
        </r>
      </text>
    </comment>
    <comment ref="T11" authorId="2" shapeId="0" xr:uid="{12F435A1-A6D4-456B-80D2-ADB623072A03}">
      <text>
        <r>
          <rPr>
            <b/>
            <sz val="9"/>
            <color rgb="FF000000"/>
            <rFont val="Tahoma"/>
            <family val="2"/>
          </rPr>
          <t>Apolline Blandin:</t>
        </r>
        <r>
          <rPr>
            <sz val="9"/>
            <color rgb="FF000000"/>
            <rFont val="Tahoma"/>
            <family val="2"/>
          </rPr>
          <t xml:space="preserve">
</t>
        </r>
        <r>
          <rPr>
            <sz val="9"/>
            <color rgb="FF000000"/>
            <rFont val="Tahoma"/>
            <family val="2"/>
          </rPr>
          <t>Other respondent indicated "14"</t>
        </r>
      </text>
    </comment>
    <comment ref="Y11" authorId="2" shapeId="0" xr:uid="{869E431E-6485-46DF-9620-24F99C85DDE8}">
      <text>
        <r>
          <rPr>
            <b/>
            <sz val="9"/>
            <color indexed="81"/>
            <rFont val="Tahoma"/>
            <family val="2"/>
          </rPr>
          <t>Apolline Blandin:</t>
        </r>
        <r>
          <rPr>
            <sz val="9"/>
            <color indexed="81"/>
            <rFont val="Tahoma"/>
            <family val="2"/>
          </rPr>
          <t xml:space="preserve">
Other respondent indicated "14"</t>
        </r>
      </text>
    </comment>
    <comment ref="Z11" authorId="2" shapeId="0" xr:uid="{8EDA15F9-68A0-446A-AA20-9F112908D28D}">
      <text>
        <r>
          <rPr>
            <b/>
            <sz val="9"/>
            <color rgb="FF000000"/>
            <rFont val="Tahoma"/>
            <family val="2"/>
          </rPr>
          <t>Apolline Blandin:</t>
        </r>
        <r>
          <rPr>
            <sz val="9"/>
            <color rgb="FF000000"/>
            <rFont val="Tahoma"/>
            <family val="2"/>
          </rPr>
          <t xml:space="preserve">
</t>
        </r>
        <r>
          <rPr>
            <sz val="9"/>
            <color rgb="FF000000"/>
            <rFont val="Tahoma"/>
            <family val="2"/>
          </rPr>
          <t>Other respondent indicated "29"</t>
        </r>
      </text>
    </comment>
    <comment ref="AA11" authorId="2" shapeId="0" xr:uid="{B840261D-AA80-48AD-9D9E-789907C9AC00}">
      <text>
        <r>
          <rPr>
            <b/>
            <sz val="9"/>
            <color rgb="FF000000"/>
            <rFont val="Tahoma"/>
            <family val="2"/>
          </rPr>
          <t>Apolline Blandin:</t>
        </r>
        <r>
          <rPr>
            <sz val="9"/>
            <color rgb="FF000000"/>
            <rFont val="Tahoma"/>
            <family val="2"/>
          </rPr>
          <t xml:space="preserve">
</t>
        </r>
        <r>
          <rPr>
            <sz val="9"/>
            <color rgb="FF000000"/>
            <rFont val="Tahoma"/>
            <family val="2"/>
          </rPr>
          <t>Other respondent indicated "14"</t>
        </r>
      </text>
    </comment>
    <comment ref="AB11" authorId="2" shapeId="0" xr:uid="{23CDEBDD-BF09-4245-A14C-163E3310ABFA}">
      <text>
        <r>
          <rPr>
            <b/>
            <sz val="9"/>
            <color indexed="81"/>
            <rFont val="Tahoma"/>
            <family val="2"/>
          </rPr>
          <t>Apolline Blandin:</t>
        </r>
        <r>
          <rPr>
            <sz val="9"/>
            <color indexed="81"/>
            <rFont val="Tahoma"/>
            <family val="2"/>
          </rPr>
          <t xml:space="preserve">
Other respondent indicated "43"</t>
        </r>
      </text>
    </comment>
    <comment ref="AD11" authorId="2" shapeId="0" xr:uid="{5BB0BAE1-0840-43BB-878B-2DC540F0D323}">
      <text>
        <r>
          <rPr>
            <b/>
            <sz val="9"/>
            <color rgb="FF000000"/>
            <rFont val="Tahoma"/>
            <family val="2"/>
          </rPr>
          <t>Apolline Blandin:</t>
        </r>
        <r>
          <rPr>
            <sz val="9"/>
            <color rgb="FF000000"/>
            <rFont val="Tahoma"/>
            <family val="2"/>
          </rPr>
          <t xml:space="preserve">
</t>
        </r>
        <r>
          <rPr>
            <sz val="9"/>
            <color rgb="FF000000"/>
            <rFont val="Tahoma"/>
            <family val="2"/>
          </rPr>
          <t>Other respondent indicated  nothing</t>
        </r>
      </text>
    </comment>
    <comment ref="G12" authorId="2" shapeId="0" xr:uid="{9E15F0F2-31F0-437B-A1CE-702FC4545380}">
      <text>
        <r>
          <rPr>
            <b/>
            <sz val="9"/>
            <color rgb="FF000000"/>
            <rFont val="Tahoma"/>
            <charset val="1"/>
          </rPr>
          <t>Apolline Blandin:</t>
        </r>
        <r>
          <rPr>
            <sz val="9"/>
            <color rgb="FF000000"/>
            <rFont val="Tahoma"/>
            <charset val="1"/>
          </rPr>
          <t xml:space="preserve">
</t>
        </r>
        <r>
          <rPr>
            <sz val="9"/>
            <color rgb="FF000000"/>
            <rFont val="Tahoma"/>
            <charset val="1"/>
          </rPr>
          <t>Replaced "01/04/2018</t>
        </r>
        <r>
          <rPr>
            <b/>
            <sz val="9"/>
            <color rgb="FF000000"/>
            <rFont val="Tahoma"/>
            <family val="2"/>
          </rPr>
          <t>"</t>
        </r>
      </text>
    </comment>
    <comment ref="O12" authorId="2" shapeId="0" xr:uid="{798C4663-7721-4C9C-BFEB-7E3DE92806F8}">
      <text>
        <r>
          <rPr>
            <b/>
            <sz val="9"/>
            <color rgb="FF000000"/>
            <rFont val="Tahoma"/>
            <charset val="1"/>
          </rPr>
          <t xml:space="preserve">Michel
</t>
        </r>
        <r>
          <rPr>
            <sz val="9"/>
            <color rgb="FF000000"/>
            <rFont val="Tahoma"/>
            <charset val="1"/>
          </rPr>
          <t>Removed 200 as not active yet</t>
        </r>
      </text>
    </comment>
    <comment ref="P12" authorId="2" shapeId="0" xr:uid="{CEAB7103-8A55-4203-B9EC-95B5D637033C}">
      <text>
        <r>
          <rPr>
            <b/>
            <sz val="9"/>
            <color rgb="FF000000"/>
            <rFont val="Tahoma"/>
            <charset val="1"/>
          </rPr>
          <t>Apolline Blandin:</t>
        </r>
        <r>
          <rPr>
            <sz val="9"/>
            <color rgb="FF000000"/>
            <rFont val="Tahoma"/>
            <charset val="1"/>
          </rPr>
          <t xml:space="preserve">
</t>
        </r>
        <r>
          <rPr>
            <sz val="9"/>
            <color rgb="FF000000"/>
            <rFont val="Tahoma"/>
            <charset val="1"/>
          </rPr>
          <t>Removed "0" because started in 2018</t>
        </r>
      </text>
    </comment>
    <comment ref="Q12" authorId="2" shapeId="0" xr:uid="{E66F1073-6F2F-48C8-811C-8F7CA4DD8C1E}">
      <text>
        <r>
          <rPr>
            <b/>
            <sz val="9"/>
            <color rgb="FF000000"/>
            <rFont val="Tahoma"/>
            <charset val="1"/>
          </rPr>
          <t xml:space="preserve">Michel
</t>
        </r>
        <r>
          <rPr>
            <sz val="9"/>
            <color rgb="FF000000"/>
            <rFont val="Tahoma"/>
            <charset val="1"/>
          </rPr>
          <t>Removed 200 as not active yet</t>
        </r>
      </text>
    </comment>
    <comment ref="R12" authorId="2" shapeId="0" xr:uid="{991FFB8E-554F-4545-A4D0-54CA2F2FA208}">
      <text>
        <r>
          <rPr>
            <b/>
            <sz val="9"/>
            <color indexed="81"/>
            <rFont val="Tahoma"/>
            <charset val="1"/>
          </rPr>
          <t>Apolline Blandin:</t>
        </r>
        <r>
          <rPr>
            <sz val="9"/>
            <color indexed="81"/>
            <rFont val="Tahoma"/>
            <charset val="1"/>
          </rPr>
          <t xml:space="preserve">
Removed "0" because started in 2018</t>
        </r>
      </text>
    </comment>
    <comment ref="G13" authorId="2" shapeId="0" xr:uid="{5F58C2C4-DF9A-434E-AAE7-E4A83E0FFC7D}">
      <text>
        <r>
          <rPr>
            <b/>
            <sz val="9"/>
            <color indexed="81"/>
            <rFont val="Tahoma"/>
            <charset val="1"/>
          </rPr>
          <t>Apolline Blandin:</t>
        </r>
        <r>
          <rPr>
            <sz val="9"/>
            <color indexed="81"/>
            <rFont val="Tahoma"/>
            <charset val="1"/>
          </rPr>
          <t xml:space="preserve">
Removed "Products and Services" + based on their LinkedIn page</t>
        </r>
      </text>
    </comment>
    <comment ref="DW14" authorId="5" shapeId="0" xr:uid="{20E0343B-BCA4-4906-BEC1-55F9F2E89E0A}">
      <text>
        <t>[Threaded comment]
Your version of Excel allows you to read this threaded comment; however, any edits to it will get removed if the file is opened in a newer version of Excel. Learn more: https://go.microsoft.com/fwlink/?linkid=870924
Comment:
    Indicated launch year 2018</t>
      </text>
    </comment>
    <comment ref="DX14" authorId="6" shapeId="0" xr:uid="{16F82D9E-EC59-41EC-9C5E-C438D2F6F7DC}">
      <text>
        <t>[Threaded comment]
Your version of Excel allows you to read this threaded comment; however, any edits to it will get removed if the file is opened in a newer version of Excel. Learn more: https://go.microsoft.com/fwlink/?linkid=870924
Comment:
    Indicated launch year 2018</t>
      </text>
    </comment>
    <comment ref="D16" authorId="2" shapeId="0" xr:uid="{A0C74BCC-FB9B-42BF-A765-3CAE31D21927}">
      <text>
        <r>
          <rPr>
            <b/>
            <sz val="9"/>
            <color indexed="81"/>
            <rFont val="Tahoma"/>
            <charset val="1"/>
          </rPr>
          <t>Apolline Blandin:</t>
        </r>
        <r>
          <rPr>
            <sz val="9"/>
            <color indexed="81"/>
            <rFont val="Tahoma"/>
            <charset val="1"/>
          </rPr>
          <t xml:space="preserve">
Replaced "London" with "UK"</t>
        </r>
      </text>
    </comment>
    <comment ref="G16" authorId="2" shapeId="0" xr:uid="{3375B121-C682-4D2B-9C08-BF8ED95830DD}">
      <text>
        <r>
          <rPr>
            <b/>
            <sz val="9"/>
            <color rgb="FF000000"/>
            <rFont val="Tahoma"/>
            <charset val="1"/>
          </rPr>
          <t>Apolline Blandin:</t>
        </r>
        <r>
          <rPr>
            <sz val="9"/>
            <color rgb="FF000000"/>
            <rFont val="Tahoma"/>
            <charset val="1"/>
          </rPr>
          <t xml:space="preserve">
</t>
        </r>
        <r>
          <rPr>
            <sz val="9"/>
            <color rgb="FF000000"/>
            <rFont val="Tahoma"/>
            <charset val="1"/>
          </rPr>
          <t>Replaced "3  years"</t>
        </r>
      </text>
    </comment>
    <comment ref="H16" authorId="2" shapeId="0" xr:uid="{74EE9318-D141-476C-B370-0556330B10D3}">
      <text>
        <r>
          <rPr>
            <b/>
            <sz val="9"/>
            <color rgb="FF000000"/>
            <rFont val="Tahoma"/>
            <charset val="1"/>
          </rPr>
          <t>Apolline Blandin:</t>
        </r>
        <r>
          <rPr>
            <sz val="9"/>
            <color rgb="FF000000"/>
            <rFont val="Tahoma"/>
            <charset val="1"/>
          </rPr>
          <t xml:space="preserve">
</t>
        </r>
        <r>
          <rPr>
            <sz val="9"/>
            <color rgb="FF000000"/>
            <rFont val="Tahoma"/>
            <charset val="1"/>
          </rPr>
          <t>Replaced "1  year"</t>
        </r>
      </text>
    </comment>
    <comment ref="BC16" authorId="2" shapeId="0" xr:uid="{B5AF01E0-578D-4C17-8713-DD9B909E8C6D}">
      <text>
        <r>
          <rPr>
            <b/>
            <sz val="9"/>
            <color rgb="FF000000"/>
            <rFont val="Tahoma"/>
            <charset val="1"/>
          </rPr>
          <t>Apolline Blandin:</t>
        </r>
        <r>
          <rPr>
            <sz val="9"/>
            <color rgb="FF000000"/>
            <rFont val="Tahoma"/>
            <charset val="1"/>
          </rPr>
          <t xml:space="preserve">
</t>
        </r>
        <r>
          <rPr>
            <sz val="9"/>
            <color rgb="FF000000"/>
            <rFont val="Tahoma"/>
            <charset val="1"/>
          </rPr>
          <t>Replaced "Tindermint"</t>
        </r>
      </text>
    </comment>
    <comment ref="CB16" authorId="2" shapeId="0" xr:uid="{4E48FD2D-E19F-44AC-953D-1EB88205877E}">
      <text>
        <r>
          <rPr>
            <b/>
            <sz val="9"/>
            <color indexed="81"/>
            <rFont val="Tahoma"/>
            <charset val="1"/>
          </rPr>
          <t>Apolline Blandin:</t>
        </r>
        <r>
          <rPr>
            <sz val="9"/>
            <color indexed="81"/>
            <rFont val="Tahoma"/>
            <charset val="1"/>
          </rPr>
          <t xml:space="preserve">
Removed " tx  per  second"</t>
        </r>
      </text>
    </comment>
    <comment ref="DW16" authorId="7" shapeId="0" xr:uid="{A1908968-C2EB-43AD-905B-8AB3FE2E89C5}">
      <text>
        <t>[Threaded comment]
Your version of Excel allows you to read this threaded comment; however, any edits to it will get removed if the file is opened in a newer version of Excel. Learn more: https://go.microsoft.com/fwlink/?linkid=870924
Comment:
    Indicated launch year 2017</t>
      </text>
    </comment>
    <comment ref="G17" authorId="2" shapeId="0" xr:uid="{773389B9-14FF-4366-8C93-4043FEB54A16}">
      <text>
        <r>
          <rPr>
            <b/>
            <sz val="9"/>
            <color indexed="81"/>
            <rFont val="Tahoma"/>
            <family val="2"/>
          </rPr>
          <t>Apolline Blandin:</t>
        </r>
        <r>
          <rPr>
            <sz val="9"/>
            <color indexed="81"/>
            <rFont val="Tahoma"/>
            <family val="2"/>
          </rPr>
          <t xml:space="preserve">
Removed "proprietary POS based blockchain currency engine" + based on their LinkedIn page</t>
        </r>
      </text>
    </comment>
    <comment ref="BD17" authorId="2" shapeId="0" xr:uid="{55FA351F-CA9C-45AB-96B7-5B8F7AC8B19F}">
      <text>
        <r>
          <rPr>
            <b/>
            <sz val="9"/>
            <color indexed="81"/>
            <rFont val="Tahoma"/>
            <charset val="1"/>
          </rPr>
          <t>Apolline Blandin:</t>
        </r>
        <r>
          <rPr>
            <sz val="9"/>
            <color indexed="81"/>
            <rFont val="Tahoma"/>
            <charset val="1"/>
          </rPr>
          <t xml:space="preserve">
Removed "Other (please specify):" because indicated "No smart contract"</t>
        </r>
      </text>
    </comment>
    <comment ref="BI17" authorId="2" shapeId="0" xr:uid="{27452187-5E39-47AE-B004-3154FDCCAF8A}">
      <text>
        <r>
          <rPr>
            <b/>
            <sz val="9"/>
            <color indexed="81"/>
            <rFont val="Tahoma"/>
            <charset val="1"/>
          </rPr>
          <t>Apolline Blandin:</t>
        </r>
        <r>
          <rPr>
            <sz val="9"/>
            <color indexed="81"/>
            <rFont val="Tahoma"/>
            <charset val="1"/>
          </rPr>
          <t xml:space="preserve">
Removed "Other (please specify):" because indicated "No smart contract"</t>
        </r>
      </text>
    </comment>
    <comment ref="G18" authorId="2" shapeId="0" xr:uid="{AC47628C-2556-42A4-A10C-74C2F501EE7B}">
      <text>
        <r>
          <rPr>
            <b/>
            <sz val="9"/>
            <color rgb="FF000000"/>
            <rFont val="Tahoma"/>
            <charset val="1"/>
          </rPr>
          <t>Apolline Blandin:</t>
        </r>
        <r>
          <rPr>
            <sz val="9"/>
            <color rgb="FF000000"/>
            <rFont val="Tahoma"/>
            <charset val="1"/>
          </rPr>
          <t xml:space="preserve">
</t>
        </r>
        <r>
          <rPr>
            <sz val="9"/>
            <color rgb="FF000000"/>
            <rFont val="Tahoma"/>
            <charset val="1"/>
          </rPr>
          <t>Replaced "product development and delivery - 2016"</t>
        </r>
      </text>
    </comment>
    <comment ref="BB18" authorId="2" shapeId="0" xr:uid="{A90F5C9E-0D3E-49F0-8A3D-2A6992049648}">
      <text>
        <r>
          <rPr>
            <b/>
            <sz val="9"/>
            <color rgb="FF000000"/>
            <rFont val="Tahoma"/>
            <charset val="1"/>
          </rPr>
          <t>Apolline Blandin:</t>
        </r>
        <r>
          <rPr>
            <sz val="9"/>
            <color rgb="FF000000"/>
            <rFont val="Tahoma"/>
            <charset val="1"/>
          </rPr>
          <t xml:space="preserve">
</t>
        </r>
        <r>
          <rPr>
            <sz val="9"/>
            <color rgb="FF000000"/>
            <rFont val="Tahoma"/>
            <charset val="1"/>
          </rPr>
          <t>I would include "Practical BFT" bec. Istanbul BFT is an implementation of the PBFT</t>
        </r>
      </text>
    </comment>
    <comment ref="CI18" authorId="2" shapeId="0" xr:uid="{F00F303B-FD99-423B-8888-078E4D7B78A0}">
      <text>
        <r>
          <rPr>
            <b/>
            <sz val="9"/>
            <color indexed="81"/>
            <rFont val="Tahoma"/>
            <family val="2"/>
          </rPr>
          <t>Apolline Blandin:</t>
        </r>
        <r>
          <rPr>
            <sz val="9"/>
            <color indexed="81"/>
            <rFont val="Tahoma"/>
            <family val="2"/>
          </rPr>
          <t xml:space="preserve">
Reworded for consistency</t>
        </r>
      </text>
    </comment>
    <comment ref="DQ18" authorId="8" shapeId="0" xr:uid="{201840B6-B81A-4356-8EFD-05BB28AF252E}">
      <text>
        <t>[Threaded comment]
Your version of Excel allows you to read this threaded comment; however, any edits to it will get removed if the file is opened in a newer version of Excel. Learn more: https://go.microsoft.com/fwlink/?linkid=870924
Comment:
    Replaced "Other (please specify):" based on following comment</t>
      </text>
    </comment>
    <comment ref="EE18" authorId="2" shapeId="0" xr:uid="{9A77C77C-3E60-4B02-97A7-F906B547C938}">
      <text>
        <r>
          <rPr>
            <b/>
            <sz val="9"/>
            <color indexed="81"/>
            <rFont val="Tahoma"/>
            <charset val="1"/>
          </rPr>
          <t>Apolline Blandin:</t>
        </r>
        <r>
          <rPr>
            <sz val="9"/>
            <color indexed="81"/>
            <rFont val="Tahoma"/>
            <charset val="1"/>
          </rPr>
          <t xml:space="preserve">
Removed "+"</t>
        </r>
      </text>
    </comment>
    <comment ref="AO19" authorId="2" shapeId="0" xr:uid="{C85ED60F-EDCC-49A0-81B5-04E1B73E08B6}">
      <text>
        <r>
          <rPr>
            <b/>
            <sz val="9"/>
            <color indexed="81"/>
            <rFont val="Tahoma"/>
            <family val="2"/>
          </rPr>
          <t>Apolline Blandin:</t>
        </r>
        <r>
          <rPr>
            <sz val="9"/>
            <color indexed="81"/>
            <rFont val="Tahoma"/>
            <family val="2"/>
          </rPr>
          <t xml:space="preserve">
Removed "Very likely" bec. Their protocol is already "fully open-sourced" as indicated in response B.3</t>
        </r>
      </text>
    </comment>
    <comment ref="BD19" authorId="2" shapeId="0" xr:uid="{687A7940-07F4-4CDD-9012-6A1358FB5B20}">
      <text>
        <r>
          <rPr>
            <b/>
            <sz val="9"/>
            <color indexed="81"/>
            <rFont val="Tahoma"/>
            <charset val="1"/>
          </rPr>
          <t>Apolline Blandin:</t>
        </r>
        <r>
          <rPr>
            <sz val="9"/>
            <color indexed="81"/>
            <rFont val="Tahoma"/>
            <charset val="1"/>
          </rPr>
          <t xml:space="preserve">
Removed "Other (please specify):" because indicated "No smart contract"</t>
        </r>
      </text>
    </comment>
    <comment ref="BI19" authorId="2" shapeId="0" xr:uid="{37594647-0E2F-478C-8231-5DE03F9F2A19}">
      <text>
        <r>
          <rPr>
            <b/>
            <sz val="9"/>
            <color indexed="81"/>
            <rFont val="Tahoma"/>
            <charset val="1"/>
          </rPr>
          <t>Apolline Blandin:</t>
        </r>
        <r>
          <rPr>
            <sz val="9"/>
            <color indexed="81"/>
            <rFont val="Tahoma"/>
            <charset val="1"/>
          </rPr>
          <t xml:space="preserve">
Removed "Other (please specify):" because indicated "No smart contract"</t>
        </r>
      </text>
    </comment>
    <comment ref="O20" authorId="2" shapeId="0" xr:uid="{675E6E32-C17D-44DA-806E-989B8C052091}">
      <text>
        <r>
          <rPr>
            <b/>
            <sz val="9"/>
            <color rgb="FF000000"/>
            <rFont val="Tahoma"/>
            <charset val="1"/>
          </rPr>
          <t>Apolline Blandin:</t>
        </r>
        <r>
          <rPr>
            <sz val="9"/>
            <color rgb="FF000000"/>
            <rFont val="Tahoma"/>
            <charset val="1"/>
          </rPr>
          <t xml:space="preserve">
</t>
        </r>
        <r>
          <rPr>
            <sz val="9"/>
            <color rgb="FF000000"/>
            <rFont val="Tahoma"/>
            <charset val="1"/>
          </rPr>
          <t>Removed "1" because started in 2017</t>
        </r>
      </text>
    </comment>
    <comment ref="P20" authorId="2" shapeId="0" xr:uid="{F0C088FA-CA47-4F32-AEF3-55B4069080D3}">
      <text>
        <r>
          <rPr>
            <b/>
            <sz val="9"/>
            <color rgb="FF000000"/>
            <rFont val="Tahoma"/>
            <charset val="1"/>
          </rPr>
          <t>Apolline Blandin:</t>
        </r>
        <r>
          <rPr>
            <sz val="9"/>
            <color rgb="FF000000"/>
            <rFont val="Tahoma"/>
            <charset val="1"/>
          </rPr>
          <t xml:space="preserve">
</t>
        </r>
        <r>
          <rPr>
            <sz val="9"/>
            <color rgb="FF000000"/>
            <rFont val="Tahoma"/>
            <charset val="1"/>
          </rPr>
          <t>Removed "0" because started in 2017</t>
        </r>
      </text>
    </comment>
    <comment ref="BY20" authorId="4" shapeId="0" xr:uid="{6C9E1E7B-F930-4780-8113-404B228D268C}">
      <text>
        <r>
          <rPr>
            <b/>
            <sz val="10"/>
            <color rgb="FF000000"/>
            <rFont val="Tahoma"/>
            <family val="2"/>
          </rPr>
          <t>Michel Rauchs:</t>
        </r>
        <r>
          <rPr>
            <sz val="10"/>
            <color rgb="FF000000"/>
            <rFont val="Tahoma"/>
            <family val="2"/>
          </rPr>
          <t xml:space="preserve">
</t>
        </r>
        <r>
          <rPr>
            <sz val="10"/>
            <color rgb="FF000000"/>
            <rFont val="Tahoma"/>
            <family val="2"/>
          </rPr>
          <t>Replaced "</t>
        </r>
        <r>
          <rPr>
            <sz val="10"/>
            <color rgb="FF000000"/>
            <rFont val="Tahoma"/>
            <family val="2"/>
          </rPr>
          <t>the speed of execution of the smart contract does not depend on the number of nodes, t to be regulated on the client" for consistency</t>
        </r>
      </text>
    </comment>
    <comment ref="BZ20" authorId="2" shapeId="0" xr:uid="{A8927072-C445-47F7-B30D-188800E3126B}">
      <text>
        <r>
          <rPr>
            <b/>
            <sz val="9"/>
            <color rgb="FF000000"/>
            <rFont val="Tahoma"/>
            <charset val="1"/>
          </rPr>
          <t>Apolline Blandin:</t>
        </r>
        <r>
          <rPr>
            <sz val="9"/>
            <color rgb="FF000000"/>
            <rFont val="Tahoma"/>
            <charset val="1"/>
          </rPr>
          <t xml:space="preserve">
</t>
        </r>
        <r>
          <rPr>
            <sz val="9"/>
            <color rgb="FF000000"/>
            <rFont val="Tahoma"/>
            <charset val="1"/>
          </rPr>
          <t>Replaced "not limited" for consistency</t>
        </r>
      </text>
    </comment>
    <comment ref="L21" authorId="2" shapeId="0" xr:uid="{7EC3FD1A-5874-446E-8BA9-BE7EA2C673F6}">
      <text>
        <r>
          <rPr>
            <b/>
            <sz val="9"/>
            <color rgb="FF000000"/>
            <rFont val="Tahoma"/>
            <family val="2"/>
          </rPr>
          <t>Apolline Blandin:</t>
        </r>
        <r>
          <rPr>
            <sz val="9"/>
            <color rgb="FF000000"/>
            <rFont val="Tahoma"/>
            <family val="2"/>
          </rPr>
          <t xml:space="preserve">
</t>
        </r>
        <r>
          <rPr>
            <sz val="9"/>
            <color rgb="FF000000"/>
            <rFont val="Tahoma"/>
            <family val="2"/>
          </rPr>
          <t xml:space="preserve">Indicated "Protocol" but did not respond any questions in the protocol section.
</t>
        </r>
        <r>
          <rPr>
            <sz val="9"/>
            <color rgb="FF000000"/>
            <rFont val="Tahoma"/>
            <family val="2"/>
          </rPr>
          <t xml:space="preserve">
</t>
        </r>
        <r>
          <rPr>
            <b/>
            <sz val="9"/>
            <color rgb="FF000000"/>
            <rFont val="Tahoma"/>
            <family val="2"/>
          </rPr>
          <t xml:space="preserve">Michel:
</t>
        </r>
        <r>
          <rPr>
            <sz val="9"/>
            <color rgb="FF000000"/>
            <rFont val="Tahoma"/>
            <family val="2"/>
          </rPr>
          <t>Yes, they use Multichain to deploy private chains in their own cloud solution</t>
        </r>
      </text>
    </comment>
    <comment ref="G23" authorId="2" shapeId="0" xr:uid="{7837CEC7-2FA2-4626-AF4F-F33C026DDE26}">
      <text>
        <r>
          <rPr>
            <b/>
            <sz val="9"/>
            <color indexed="81"/>
            <rFont val="Tahoma"/>
            <family val="2"/>
          </rPr>
          <t>Apolline Blandin:</t>
        </r>
        <r>
          <rPr>
            <sz val="9"/>
            <color indexed="81"/>
            <rFont val="Tahoma"/>
            <family val="2"/>
          </rPr>
          <t xml:space="preserve">
Removed "Internal experimentation with ethereum, leading to the development of Open Blockchain, then donated into Hyperledger at its launch into what has become Fabric." </t>
        </r>
      </text>
    </comment>
    <comment ref="H23" authorId="2" shapeId="0" xr:uid="{F745C739-5A33-4D4E-B27F-4D434DA836A7}">
      <text>
        <r>
          <rPr>
            <b/>
            <sz val="9"/>
            <color indexed="81"/>
            <rFont val="Tahoma"/>
            <family val="2"/>
          </rPr>
          <t>Apolline Blandin:</t>
        </r>
        <r>
          <rPr>
            <sz val="9"/>
            <color indexed="81"/>
            <rFont val="Tahoma"/>
            <family val="2"/>
          </rPr>
          <t xml:space="preserve">
Replaced "2016 (launch of Hyperledger Org.)"</t>
        </r>
      </text>
    </comment>
    <comment ref="P23" authorId="2" shapeId="0" xr:uid="{B9C5A50B-F341-499C-BD9F-831B3A60D8E4}">
      <text>
        <r>
          <rPr>
            <b/>
            <sz val="9"/>
            <color rgb="FF000000"/>
            <rFont val="Tahoma"/>
            <charset val="1"/>
          </rPr>
          <t>Apolline Blandin:</t>
        </r>
        <r>
          <rPr>
            <sz val="9"/>
            <color rgb="FF000000"/>
            <rFont val="Tahoma"/>
            <charset val="1"/>
          </rPr>
          <t xml:space="preserve">
</t>
        </r>
        <r>
          <rPr>
            <sz val="9"/>
            <color rgb="FF000000"/>
            <rFont val="Tahoma"/>
            <charset val="1"/>
          </rPr>
          <t>Replaced "100 (est)"</t>
        </r>
      </text>
    </comment>
    <comment ref="R23" authorId="2" shapeId="0" xr:uid="{AC825F71-C609-439A-A1D5-019CC6CCC4FD}">
      <text>
        <r>
          <rPr>
            <b/>
            <sz val="9"/>
            <color indexed="81"/>
            <rFont val="Tahoma"/>
            <charset val="1"/>
          </rPr>
          <t>Apolline Blandin:</t>
        </r>
        <r>
          <rPr>
            <sz val="9"/>
            <color indexed="81"/>
            <rFont val="Tahoma"/>
            <charset val="1"/>
          </rPr>
          <t xml:space="preserve">
Replaced "800 (est)"</t>
        </r>
      </text>
    </comment>
    <comment ref="AL23" authorId="2" shapeId="0" xr:uid="{FA2CB49D-C312-4FFD-947C-829994F4F3BD}">
      <text>
        <r>
          <rPr>
            <b/>
            <sz val="9"/>
            <color indexed="81"/>
            <rFont val="Tahoma"/>
            <family val="2"/>
          </rPr>
          <t>Apolline Blandin:</t>
        </r>
        <r>
          <rPr>
            <sz val="9"/>
            <color indexed="81"/>
            <rFont val="Tahoma"/>
            <family val="2"/>
          </rPr>
          <t xml:space="preserve">
Uncapitalised for consistency</t>
        </r>
      </text>
    </comment>
    <comment ref="AX23" authorId="9" shapeId="0" xr:uid="{3F78BC26-1967-4D6D-A705-3FD10DBD08D6}">
      <text>
        <t>[Threaded comment]
Your version of Excel allows you to read this threaded comment; however, any edits to it will get removed if the file is opened in a newer version of Excel. Learn more: https://go.microsoft.com/fwlink/?linkid=870924
Comment:
    Based on Hyperledger documentation: https://hyperledger-fabric.readthedocs.io/en/release-1.0/gossip.html</t>
      </text>
    </comment>
    <comment ref="AZ23" authorId="2" shapeId="0" xr:uid="{03676862-6519-4774-8054-E394E4332AB6}">
      <text>
        <r>
          <rPr>
            <b/>
            <sz val="9"/>
            <color indexed="81"/>
            <rFont val="Tahoma"/>
            <charset val="1"/>
          </rPr>
          <t>Apolline Blandin:</t>
        </r>
        <r>
          <rPr>
            <sz val="9"/>
            <color indexed="81"/>
            <rFont val="Tahoma"/>
            <charset val="1"/>
          </rPr>
          <t xml:space="preserve">
Replaced "Other" with "Local" based on Hyperledger documentation "Permissioned voting-based. Leader does ordering. Only in-sync replicas can be voted as leader. " + https://medium.com/coinmonks/consensus-endorsement-in-hyperledger-fabric-5dbf233b452c </t>
        </r>
      </text>
    </comment>
    <comment ref="BC23" authorId="2" shapeId="0" xr:uid="{E67B773E-5555-4E5C-97DC-0367C297B57C}">
      <text>
        <r>
          <rPr>
            <b/>
            <sz val="9"/>
            <color rgb="FF000000"/>
            <rFont val="Tahoma"/>
            <charset val="1"/>
          </rPr>
          <t>Apolline Blandin:</t>
        </r>
        <r>
          <rPr>
            <sz val="9"/>
            <color rgb="FF000000"/>
            <rFont val="Tahoma"/>
            <charset val="1"/>
          </rPr>
          <t xml:space="preserve">
</t>
        </r>
        <r>
          <rPr>
            <sz val="9"/>
            <color rgb="FF000000"/>
            <rFont val="Tahoma"/>
            <charset val="1"/>
          </rPr>
          <t>Replaced "Pls see Fabric description on Hyperledger.org"</t>
        </r>
      </text>
    </comment>
    <comment ref="BD23" authorId="10" shapeId="0" xr:uid="{9534B4D0-250F-4575-A1BE-E1E28EA9F15D}">
      <text>
        <t>[Threaded comment]
Your version of Excel allows you to read this threaded comment; however, any edits to it will get removed if the file is opened in a newer version of Excel. Learn more: https://go.microsoft.com/fwlink/?linkid=870924
Comment:
    Replaced "Other" based on Keith's comment</t>
      </text>
    </comment>
    <comment ref="BF23" authorId="11" shapeId="0" xr:uid="{88ECEFF9-6B69-42D4-BA7C-CAF5E07927C8}">
      <text>
        <t>[Threaded comment]
Your version of Excel allows you to read this threaded comment; however, any edits to it will get removed if the file is opened in a newer version of Excel. Learn more: https://go.microsoft.com/fwlink/?linkid=870924
Comment:
    Added based on Keith's comment</t>
      </text>
    </comment>
    <comment ref="BI23" authorId="2" shapeId="0" xr:uid="{792258B4-B23D-425F-A952-74029BBD1EFE}">
      <text>
        <r>
          <rPr>
            <b/>
            <sz val="9"/>
            <color indexed="81"/>
            <rFont val="Tahoma"/>
            <charset val="1"/>
          </rPr>
          <t>Apolline Blandin:</t>
        </r>
        <r>
          <rPr>
            <sz val="9"/>
            <color indexed="81"/>
            <rFont val="Tahoma"/>
            <charset val="1"/>
          </rPr>
          <t xml:space="preserve">
Replaced "Other (please specify):" based on https://cn.hyperledger.org/blog/2018/10/26/hyperledger-fabric-now-supports-ethereum</t>
        </r>
      </text>
    </comment>
    <comment ref="BY23" authorId="12" shapeId="0" xr:uid="{4B01AFA1-AB8C-4118-A367-37C6C6B70F25}">
      <text>
        <t>[Threaded comment]
Your version of Excel allows you to read this threaded comment; however, any edits to it will get removed if the file is opened in a newer version of Excel. Learn more: https://go.microsoft.com/fwlink/?linkid=870924
Comment:
    Based on https://openblockchain.readthedocs.io/en/latest/FAQ/usage_FAQ/</t>
      </text>
    </comment>
    <comment ref="CA23" authorId="13" shapeId="0" xr:uid="{842DA786-5654-4520-9CDE-EF7B84C79209}">
      <text>
        <t>[Threaded comment]
Your version of Excel allows you to read this threaded comment; however, any edits to it will get removed if the file is opened in a newer version of Excel. Learn more: https://go.microsoft.com/fwlink/?linkid=870924
Comment:
    Replaced "pls see https://arxiv.org/pdf/1801.10228.pdf" based on the article.</t>
      </text>
    </comment>
    <comment ref="CB23" authorId="2" shapeId="0" xr:uid="{45B8A27F-2F51-4A75-8A60-D53A8FD3B896}">
      <text>
        <r>
          <rPr>
            <b/>
            <sz val="9"/>
            <color indexed="81"/>
            <rFont val="Tahoma"/>
            <charset val="1"/>
          </rPr>
          <t>Apolline Blandin:</t>
        </r>
        <r>
          <rPr>
            <sz val="9"/>
            <color indexed="81"/>
            <rFont val="Tahoma"/>
            <charset val="1"/>
          </rPr>
          <t xml:space="preserve">
Removed "tps per the link here. Note this is a specialised use case. https://arxiv.org/pdf/1801.10228.pdf"
Other paper indicates: 100,000 https://openblockchain.readthedocs.io/en/latest/FAQ/usage_FAQ/</t>
        </r>
      </text>
    </comment>
    <comment ref="DQ23" authorId="2" shapeId="0" xr:uid="{D78EC900-A193-4F7D-BECF-CD099C7D10DA}">
      <text>
        <r>
          <rPr>
            <b/>
            <sz val="9"/>
            <color indexed="81"/>
            <rFont val="Tahoma"/>
            <family val="2"/>
          </rPr>
          <t>Apolline Blandin:</t>
        </r>
        <r>
          <rPr>
            <sz val="9"/>
            <color indexed="81"/>
            <rFont val="Tahoma"/>
            <family val="2"/>
          </rPr>
          <t xml:space="preserve">
Would replace with "No: cross-industry" based on their following comment</t>
        </r>
      </text>
    </comment>
    <comment ref="G24" authorId="2" shapeId="0" xr:uid="{2F063A20-3DE0-4C2E-A25B-52F3E33CC1A8}">
      <text>
        <r>
          <rPr>
            <b/>
            <sz val="9"/>
            <color indexed="81"/>
            <rFont val="Tahoma"/>
            <charset val="1"/>
          </rPr>
          <t>Apolline Blandin:</t>
        </r>
        <r>
          <rPr>
            <sz val="9"/>
            <color indexed="81"/>
            <rFont val="Tahoma"/>
            <charset val="1"/>
          </rPr>
          <t xml:space="preserve">
Replaced "Approximately 2014"</t>
        </r>
      </text>
    </comment>
    <comment ref="DW24" authorId="2" shapeId="0" xr:uid="{27143685-6FF5-4B3C-B020-A1583ABE1C9B}">
      <text>
        <r>
          <rPr>
            <b/>
            <sz val="9"/>
            <color rgb="FF000000"/>
            <rFont val="Tahoma"/>
            <charset val="1"/>
          </rPr>
          <t>Apolline Blandin:</t>
        </r>
        <r>
          <rPr>
            <sz val="9"/>
            <color rgb="FF000000"/>
            <rFont val="Tahoma"/>
            <charset val="1"/>
          </rPr>
          <t xml:space="preserve">
</t>
        </r>
        <r>
          <rPr>
            <sz val="9"/>
            <color rgb="FF000000"/>
            <rFont val="Tahoma"/>
            <charset val="1"/>
          </rPr>
          <t>Removed "Not applicable"</t>
        </r>
      </text>
    </comment>
    <comment ref="DX24" authorId="2" shapeId="0" xr:uid="{FC2E02A7-EB8C-4F1E-B360-7C91F8B708E1}">
      <text>
        <r>
          <rPr>
            <b/>
            <sz val="9"/>
            <color indexed="81"/>
            <rFont val="Tahoma"/>
            <charset val="1"/>
          </rPr>
          <t>Apolline Blandin:</t>
        </r>
        <r>
          <rPr>
            <sz val="9"/>
            <color indexed="81"/>
            <rFont val="Tahoma"/>
            <charset val="1"/>
          </rPr>
          <t xml:space="preserve">
Removed "Not applicable"</t>
        </r>
      </text>
    </comment>
    <comment ref="DY24" authorId="2" shapeId="0" xr:uid="{9196A5B2-D9C2-446D-BFE1-A0C6715125A6}">
      <text>
        <r>
          <rPr>
            <b/>
            <sz val="9"/>
            <color rgb="FF000000"/>
            <rFont val="Tahoma"/>
            <charset val="1"/>
          </rPr>
          <t>Apolline Blandin:</t>
        </r>
        <r>
          <rPr>
            <sz val="9"/>
            <color rgb="FF000000"/>
            <rFont val="Tahoma"/>
            <charset val="1"/>
          </rPr>
          <t xml:space="preserve">
</t>
        </r>
        <r>
          <rPr>
            <sz val="9"/>
            <color rgb="FF000000"/>
            <rFont val="Tahoma"/>
            <charset val="1"/>
          </rPr>
          <t>Removed "Not applicable"</t>
        </r>
      </text>
    </comment>
    <comment ref="DZ24" authorId="2" shapeId="0" xr:uid="{DCE4D2CA-2B47-4279-9A99-38C6B7F15718}">
      <text>
        <r>
          <rPr>
            <b/>
            <sz val="9"/>
            <color indexed="81"/>
            <rFont val="Tahoma"/>
            <charset val="1"/>
          </rPr>
          <t>Apolline Blandin:</t>
        </r>
        <r>
          <rPr>
            <sz val="9"/>
            <color indexed="81"/>
            <rFont val="Tahoma"/>
            <charset val="1"/>
          </rPr>
          <t xml:space="preserve">
Removed "Not applicable"</t>
        </r>
      </text>
    </comment>
    <comment ref="EA24" authorId="2" shapeId="0" xr:uid="{AE58C752-1CED-4972-A3DA-6B56A7ED9165}">
      <text>
        <r>
          <rPr>
            <b/>
            <sz val="9"/>
            <color indexed="81"/>
            <rFont val="Tahoma"/>
            <charset val="1"/>
          </rPr>
          <t>Apolline Blandin:</t>
        </r>
        <r>
          <rPr>
            <sz val="9"/>
            <color indexed="81"/>
            <rFont val="Tahoma"/>
            <charset val="1"/>
          </rPr>
          <t xml:space="preserve">
Removed "Not applicable"</t>
        </r>
      </text>
    </comment>
    <comment ref="EB24" authorId="2" shapeId="0" xr:uid="{008E2C4B-0A81-451F-B94E-6163B635E7CC}">
      <text>
        <r>
          <rPr>
            <b/>
            <sz val="9"/>
            <color indexed="81"/>
            <rFont val="Tahoma"/>
            <charset val="1"/>
          </rPr>
          <t>Apolline Blandin:</t>
        </r>
        <r>
          <rPr>
            <sz val="9"/>
            <color indexed="81"/>
            <rFont val="Tahoma"/>
            <charset val="1"/>
          </rPr>
          <t xml:space="preserve">
Removed "Not applicable"</t>
        </r>
      </text>
    </comment>
    <comment ref="EC24" authorId="2" shapeId="0" xr:uid="{6A3E68EF-4ED5-4A09-BDC5-DD7FBCAB33C1}">
      <text>
        <r>
          <rPr>
            <b/>
            <sz val="9"/>
            <color indexed="81"/>
            <rFont val="Tahoma"/>
            <charset val="1"/>
          </rPr>
          <t>Apolline Blandin:</t>
        </r>
        <r>
          <rPr>
            <sz val="9"/>
            <color indexed="81"/>
            <rFont val="Tahoma"/>
            <charset val="1"/>
          </rPr>
          <t xml:space="preserve">
Removed "Not applicable"</t>
        </r>
      </text>
    </comment>
    <comment ref="ED24" authorId="2" shapeId="0" xr:uid="{10555D5C-9544-4B2C-9009-6C5C20EB6BAD}">
      <text>
        <r>
          <rPr>
            <b/>
            <sz val="9"/>
            <color indexed="81"/>
            <rFont val="Tahoma"/>
            <charset val="1"/>
          </rPr>
          <t>Apolline Blandin:</t>
        </r>
        <r>
          <rPr>
            <sz val="9"/>
            <color indexed="81"/>
            <rFont val="Tahoma"/>
            <charset val="1"/>
          </rPr>
          <t xml:space="preserve">
Removed "Not applicable"</t>
        </r>
      </text>
    </comment>
    <comment ref="EE24" authorId="2" shapeId="0" xr:uid="{F1A981FB-E3EE-49A7-AF86-78EFA8C1B079}">
      <text>
        <r>
          <rPr>
            <b/>
            <sz val="9"/>
            <color indexed="81"/>
            <rFont val="Tahoma"/>
            <charset val="1"/>
          </rPr>
          <t>Apolline Blandin:</t>
        </r>
        <r>
          <rPr>
            <sz val="9"/>
            <color indexed="81"/>
            <rFont val="Tahoma"/>
            <charset val="1"/>
          </rPr>
          <t xml:space="preserve">
Removed "Not applicable"</t>
        </r>
      </text>
    </comment>
    <comment ref="B25" authorId="2" shapeId="0" xr:uid="{D2F0FBAE-2030-4B49-85EC-4E7A1539FA32}">
      <text>
        <r>
          <rPr>
            <b/>
            <sz val="9"/>
            <color indexed="81"/>
            <rFont val="Tahoma"/>
            <charset val="1"/>
          </rPr>
          <t>Apolline Blandin:</t>
        </r>
        <r>
          <rPr>
            <sz val="9"/>
            <color indexed="81"/>
            <rFont val="Tahoma"/>
            <charset val="1"/>
          </rPr>
          <t xml:space="preserve">
Replaced "England"</t>
        </r>
      </text>
    </comment>
    <comment ref="D25" authorId="2" shapeId="0" xr:uid="{183532F5-C41F-4EE6-A5ED-240A1D141A12}">
      <text>
        <r>
          <rPr>
            <b/>
            <sz val="9"/>
            <color indexed="81"/>
            <rFont val="Tahoma"/>
            <charset val="1"/>
          </rPr>
          <t>Apolline Blandin:</t>
        </r>
        <r>
          <rPr>
            <sz val="9"/>
            <color indexed="81"/>
            <rFont val="Tahoma"/>
            <charset val="1"/>
          </rPr>
          <t xml:space="preserve">
Replaced "England"</t>
        </r>
      </text>
    </comment>
    <comment ref="BB25" authorId="14" shapeId="0" xr:uid="{2E8B03B5-88C0-42E8-AC68-A68A65C04E1A}">
      <text>
        <t>[Threaded comment]
Your version of Excel allows you to read this threaded comment; however, any edits to it will get removed if the file is opened in a newer version of Excel. Learn more: https://go.microsoft.com/fwlink/?linkid=870924
Comment:
    Removed "Other (please specify):" bec. there comment in the next cell does not make sense.</t>
      </text>
    </comment>
    <comment ref="BY25" authorId="4" shapeId="0" xr:uid="{52E7D2CE-FC1D-4FEE-8DAC-E8E41D7E95B8}">
      <text>
        <r>
          <rPr>
            <b/>
            <sz val="10"/>
            <color rgb="FF000000"/>
            <rFont val="Tahoma"/>
            <family val="2"/>
          </rPr>
          <t>Michel Rauchs:</t>
        </r>
        <r>
          <rPr>
            <sz val="10"/>
            <color rgb="FF000000"/>
            <rFont val="Tahoma"/>
            <family val="2"/>
          </rPr>
          <t xml:space="preserve">
</t>
        </r>
        <r>
          <rPr>
            <sz val="10"/>
            <color rgb="FF000000"/>
            <rFont val="Tahoma"/>
            <family val="2"/>
          </rPr>
          <t>Replaced "AS NEEDED" for consistency</t>
        </r>
      </text>
    </comment>
    <comment ref="BZ25" authorId="4" shapeId="0" xr:uid="{26F6DEE9-85CC-4713-B46C-AFA63A4586FA}">
      <text>
        <r>
          <rPr>
            <b/>
            <sz val="10"/>
            <color rgb="FF000000"/>
            <rFont val="Tahoma"/>
            <family val="2"/>
          </rPr>
          <t>Michel Rauchs:</t>
        </r>
        <r>
          <rPr>
            <sz val="10"/>
            <color rgb="FF000000"/>
            <rFont val="Tahoma"/>
            <family val="2"/>
          </rPr>
          <t xml:space="preserve">
</t>
        </r>
        <r>
          <rPr>
            <sz val="10"/>
            <color rgb="FF000000"/>
            <rFont val="Tahoma"/>
            <family val="2"/>
          </rPr>
          <t>Replaced "AS NEEDED" for consistency</t>
        </r>
      </text>
    </comment>
    <comment ref="L26" authorId="2" shapeId="0" xr:uid="{662DA8AA-4BDF-47BD-97C8-66ACC98500BC}">
      <text>
        <r>
          <rPr>
            <b/>
            <sz val="9"/>
            <color indexed="81"/>
            <rFont val="Tahoma"/>
            <family val="2"/>
          </rPr>
          <t>Apolline Blandin:</t>
        </r>
        <r>
          <rPr>
            <sz val="9"/>
            <color indexed="81"/>
            <rFont val="Tahoma"/>
            <family val="2"/>
          </rPr>
          <t xml:space="preserve">
Indicated "Protocol" but did not respond any questions in the protocol section.</t>
        </r>
      </text>
    </comment>
    <comment ref="O26" authorId="15" shapeId="0" xr:uid="{797327F3-E40C-4EC3-B81C-8C8B0B243386}">
      <text>
        <t>[Threaded comment]
Your version of Excel allows you to read this threaded comment; however, any edits to it will get removed if the file is opened in a newer version of Excel. Learn more: https://go.microsoft.com/fwlink/?linkid=870924
Comment:
    Removed "0"</t>
      </text>
    </comment>
    <comment ref="P26" authorId="16" shapeId="0" xr:uid="{902B02C1-B69B-470A-96D9-002559FCE063}">
      <text>
        <t>[Threaded comment]
Your version of Excel allows you to read this threaded comment; however, any edits to it will get removed if the file is opened in a newer version of Excel. Learn more: https://go.microsoft.com/fwlink/?linkid=870924
Comment:
    Removed "0"</t>
      </text>
    </comment>
    <comment ref="Q26" authorId="17" shapeId="0" xr:uid="{418D5C3E-3F8A-48BE-8CC5-55A47AB1F501}">
      <text>
        <t>[Threaded comment]
Your version of Excel allows you to read this threaded comment; however, any edits to it will get removed if the file is opened in a newer version of Excel. Learn more: https://go.microsoft.com/fwlink/?linkid=870924
Comment:
    Removed "0"</t>
      </text>
    </comment>
    <comment ref="R26" authorId="18" shapeId="0" xr:uid="{A4EB8808-9DAC-4B46-9BAE-276F9D6185D9}">
      <text>
        <t>[Threaded comment]
Your version of Excel allows you to read this threaded comment; however, any edits to it will get removed if the file is opened in a newer version of Excel. Learn more: https://go.microsoft.com/fwlink/?linkid=870924
Comment:
    Removed "0"</t>
      </text>
    </comment>
    <comment ref="S26" authorId="19" shapeId="0" xr:uid="{23164858-6933-4A59-8478-A4B1EED0B606}">
      <text>
        <t>[Threaded comment]
Your version of Excel allows you to read this threaded comment; however, any edits to it will get removed if the file is opened in a newer version of Excel. Learn more: https://go.microsoft.com/fwlink/?linkid=870924
Comment:
    Removed "0"</t>
      </text>
    </comment>
    <comment ref="T26" authorId="20" shapeId="0" xr:uid="{B798E258-DDBA-4312-BFE5-45C41DB9B36B}">
      <text>
        <t>[Threaded comment]
Your version of Excel allows you to read this threaded comment; however, any edits to it will get removed if the file is opened in a newer version of Excel. Learn more: https://go.microsoft.com/fwlink/?linkid=870924
Comment:
    Removed "0"</t>
      </text>
    </comment>
    <comment ref="DK26" authorId="2" shapeId="0" xr:uid="{8503C6E5-44C2-4C17-853B-E7CE4ED75BE9}">
      <text>
        <r>
          <rPr>
            <b/>
            <sz val="9"/>
            <color indexed="81"/>
            <rFont val="Tahoma"/>
            <family val="2"/>
          </rPr>
          <t>Apolline Blandin:</t>
        </r>
        <r>
          <rPr>
            <sz val="9"/>
            <color indexed="81"/>
            <rFont val="Tahoma"/>
            <family val="2"/>
          </rPr>
          <t xml:space="preserve">
Removed "Cardano, Ripple, Ethereum, Bitcoin, …" and moved to the next column</t>
        </r>
      </text>
    </comment>
    <comment ref="O27" authorId="2" shapeId="0" xr:uid="{7D82B34C-9B2C-4F9D-838F-2D83283AF34C}">
      <text>
        <r>
          <rPr>
            <b/>
            <sz val="9"/>
            <color indexed="81"/>
            <rFont val="Tahoma"/>
            <charset val="1"/>
          </rPr>
          <t>Apolline Blandin:</t>
        </r>
        <r>
          <rPr>
            <sz val="9"/>
            <color indexed="81"/>
            <rFont val="Tahoma"/>
            <charset val="1"/>
          </rPr>
          <t xml:space="preserve">
Removed "0" because started in 2017</t>
        </r>
      </text>
    </comment>
    <comment ref="P27" authorId="2" shapeId="0" xr:uid="{78C1F2B1-96F3-4DFD-A9F7-FE2BE2874C74}">
      <text>
        <r>
          <rPr>
            <b/>
            <sz val="9"/>
            <color indexed="81"/>
            <rFont val="Tahoma"/>
            <charset val="1"/>
          </rPr>
          <t>Apolline Blandin:</t>
        </r>
        <r>
          <rPr>
            <sz val="9"/>
            <color indexed="81"/>
            <rFont val="Tahoma"/>
            <charset val="1"/>
          </rPr>
          <t xml:space="preserve">
Removed "0" because started in 2017</t>
        </r>
      </text>
    </comment>
    <comment ref="DW27" authorId="2" shapeId="0" xr:uid="{86134539-BAE1-4C33-94A9-1CB9E146D8AB}">
      <text>
        <r>
          <rPr>
            <b/>
            <sz val="9"/>
            <color indexed="81"/>
            <rFont val="Tahoma"/>
            <charset val="1"/>
          </rPr>
          <t>Apolline Blandin:</t>
        </r>
        <r>
          <rPr>
            <sz val="9"/>
            <color indexed="81"/>
            <rFont val="Tahoma"/>
            <charset val="1"/>
          </rPr>
          <t xml:space="preserve">
Removed "Not applicable"</t>
        </r>
      </text>
    </comment>
    <comment ref="DX27" authorId="2" shapeId="0" xr:uid="{DBB2484A-83AE-4665-8306-2ACAAB1BFD06}">
      <text>
        <r>
          <rPr>
            <b/>
            <sz val="9"/>
            <color indexed="81"/>
            <rFont val="Tahoma"/>
            <charset val="1"/>
          </rPr>
          <t>Apolline Blandin:</t>
        </r>
        <r>
          <rPr>
            <sz val="9"/>
            <color indexed="81"/>
            <rFont val="Tahoma"/>
            <charset val="1"/>
          </rPr>
          <t xml:space="preserve">
Removed "Not applicable"</t>
        </r>
      </text>
    </comment>
    <comment ref="DY27" authorId="2" shapeId="0" xr:uid="{6D7E5615-1247-48E9-95E9-3A18ED55ED2C}">
      <text>
        <r>
          <rPr>
            <b/>
            <sz val="9"/>
            <color indexed="81"/>
            <rFont val="Tahoma"/>
            <charset val="1"/>
          </rPr>
          <t>Apolline Blandin:</t>
        </r>
        <r>
          <rPr>
            <sz val="9"/>
            <color indexed="81"/>
            <rFont val="Tahoma"/>
            <charset val="1"/>
          </rPr>
          <t xml:space="preserve">
Removed "Not applicable"</t>
        </r>
      </text>
    </comment>
    <comment ref="DZ27" authorId="2" shapeId="0" xr:uid="{FE330A3D-5EE9-41B1-AAC6-295432238432}">
      <text>
        <r>
          <rPr>
            <b/>
            <sz val="9"/>
            <color indexed="81"/>
            <rFont val="Tahoma"/>
            <charset val="1"/>
          </rPr>
          <t>Apolline Blandin:</t>
        </r>
        <r>
          <rPr>
            <sz val="9"/>
            <color indexed="81"/>
            <rFont val="Tahoma"/>
            <charset val="1"/>
          </rPr>
          <t xml:space="preserve">
Removed "Not applicable"</t>
        </r>
      </text>
    </comment>
    <comment ref="EC27" authorId="2" shapeId="0" xr:uid="{B6B2424F-6F21-404D-BA1F-98F4DFC596F5}">
      <text>
        <r>
          <rPr>
            <b/>
            <sz val="9"/>
            <color indexed="81"/>
            <rFont val="Tahoma"/>
            <charset val="1"/>
          </rPr>
          <t>Apolline Blandin:</t>
        </r>
        <r>
          <rPr>
            <sz val="9"/>
            <color indexed="81"/>
            <rFont val="Tahoma"/>
            <charset val="1"/>
          </rPr>
          <t xml:space="preserve">
Removed "Not applicable"</t>
        </r>
      </text>
    </comment>
    <comment ref="ED27" authorId="2" shapeId="0" xr:uid="{734AA032-F4ED-4C90-8A0D-97BBA301F525}">
      <text>
        <r>
          <rPr>
            <b/>
            <sz val="9"/>
            <color indexed="81"/>
            <rFont val="Tahoma"/>
            <charset val="1"/>
          </rPr>
          <t>Apolline Blandin:</t>
        </r>
        <r>
          <rPr>
            <sz val="9"/>
            <color indexed="81"/>
            <rFont val="Tahoma"/>
            <charset val="1"/>
          </rPr>
          <t xml:space="preserve">
Removed "Not applicable"</t>
        </r>
      </text>
    </comment>
    <comment ref="EE27" authorId="2" shapeId="0" xr:uid="{97220D34-8C2B-4609-88EA-9B07ACFF5A11}">
      <text>
        <r>
          <rPr>
            <b/>
            <sz val="9"/>
            <color indexed="81"/>
            <rFont val="Tahoma"/>
            <charset val="1"/>
          </rPr>
          <t>Apolline Blandin:</t>
        </r>
        <r>
          <rPr>
            <sz val="9"/>
            <color indexed="81"/>
            <rFont val="Tahoma"/>
            <charset val="1"/>
          </rPr>
          <t xml:space="preserve">
Removed "Not applicable"</t>
        </r>
      </text>
    </comment>
    <comment ref="G28" authorId="2" shapeId="0" xr:uid="{E6C00405-1CB8-42FF-BF48-AFE8C7A4DA23}">
      <text>
        <r>
          <rPr>
            <b/>
            <sz val="9"/>
            <color indexed="81"/>
            <rFont val="Tahoma"/>
            <charset val="1"/>
          </rPr>
          <t>Apolline Blandin:</t>
        </r>
        <r>
          <rPr>
            <sz val="9"/>
            <color indexed="81"/>
            <rFont val="Tahoma"/>
            <charset val="1"/>
          </rPr>
          <t xml:space="preserve">
Replaced "ETC - 2015"</t>
        </r>
      </text>
    </comment>
    <comment ref="AO29" authorId="2" shapeId="0" xr:uid="{7622133C-22D6-4215-882A-1B47436E1236}">
      <text>
        <r>
          <rPr>
            <b/>
            <sz val="9"/>
            <color indexed="81"/>
            <rFont val="Tahoma"/>
            <family val="2"/>
          </rPr>
          <t>Apolline Blandin:</t>
        </r>
        <r>
          <rPr>
            <sz val="9"/>
            <color indexed="81"/>
            <rFont val="Tahoma"/>
            <family val="2"/>
          </rPr>
          <t xml:space="preserve">
Removed "Not applicable" bec. Already fully open-source</t>
        </r>
      </text>
    </comment>
    <comment ref="EE29" authorId="2" shapeId="0" xr:uid="{AE3889F7-252C-4111-8371-1D5B3A73EECD}">
      <text>
        <r>
          <rPr>
            <b/>
            <sz val="9"/>
            <color indexed="81"/>
            <rFont val="Tahoma"/>
            <charset val="1"/>
          </rPr>
          <t>Apolline Blandin:</t>
        </r>
        <r>
          <rPr>
            <sz val="9"/>
            <color indexed="81"/>
            <rFont val="Tahoma"/>
            <charset val="1"/>
          </rPr>
          <t xml:space="preserve">
Removed "+"</t>
        </r>
      </text>
    </comment>
    <comment ref="G30" authorId="2" shapeId="0" xr:uid="{3E10B1CA-B296-47CE-BE20-E0E6CA69DF56}">
      <text>
        <r>
          <rPr>
            <b/>
            <sz val="9"/>
            <color indexed="81"/>
            <rFont val="Tahoma"/>
            <charset val="1"/>
          </rPr>
          <t>Apolline Blandin:</t>
        </r>
        <r>
          <rPr>
            <sz val="9"/>
            <color indexed="81"/>
            <rFont val="Tahoma"/>
            <charset val="1"/>
          </rPr>
          <t xml:space="preserve">
Replaced "2014 - roundtables and meeting groups w/ global banks"</t>
        </r>
      </text>
    </comment>
    <comment ref="AL30" authorId="2" shapeId="0" xr:uid="{A1F5EA00-7B41-47B2-94FD-D935D1CD23C0}">
      <text>
        <r>
          <rPr>
            <b/>
            <sz val="9"/>
            <color indexed="81"/>
            <rFont val="Tahoma"/>
            <family val="2"/>
          </rPr>
          <t>Apolline Blandin:</t>
        </r>
        <r>
          <rPr>
            <sz val="9"/>
            <color indexed="81"/>
            <rFont val="Tahoma"/>
            <family val="2"/>
          </rPr>
          <t xml:space="preserve">
Uncapitalised for consistency</t>
        </r>
      </text>
    </comment>
    <comment ref="BY30" authorId="2" shapeId="0" xr:uid="{A0D04DF4-9CC3-4919-BC8A-087F99976DB2}">
      <text>
        <r>
          <rPr>
            <b/>
            <sz val="9"/>
            <color indexed="81"/>
            <rFont val="Tahoma"/>
            <charset val="1"/>
          </rPr>
          <t>Apolline Blandin:</t>
        </r>
        <r>
          <rPr>
            <sz val="9"/>
            <color indexed="81"/>
            <rFont val="Tahoma"/>
            <charset val="1"/>
          </rPr>
          <t xml:space="preserve">
Replaced "no limits" for consistency</t>
        </r>
      </text>
    </comment>
    <comment ref="BZ30" authorId="2" shapeId="0" xr:uid="{CB67DED4-EFF2-48C9-8E2B-A26D4940908A}">
      <text>
        <r>
          <rPr>
            <b/>
            <sz val="9"/>
            <color indexed="81"/>
            <rFont val="Tahoma"/>
            <charset val="1"/>
          </rPr>
          <t>Apolline Blandin:</t>
        </r>
        <r>
          <rPr>
            <sz val="9"/>
            <color indexed="81"/>
            <rFont val="Tahoma"/>
            <charset val="1"/>
          </rPr>
          <t xml:space="preserve">
Replaced "no limits" for consistency</t>
        </r>
      </text>
    </comment>
    <comment ref="CB30" authorId="2" shapeId="0" xr:uid="{B9F16515-7E33-41E3-BCC7-F44F2FD58693}">
      <text>
        <r>
          <rPr>
            <b/>
            <sz val="9"/>
            <color indexed="81"/>
            <rFont val="Tahoma"/>
            <charset val="1"/>
          </rPr>
          <t>Apolline Blandin:</t>
        </r>
        <r>
          <rPr>
            <sz val="9"/>
            <color indexed="81"/>
            <rFont val="Tahoma"/>
            <charset val="1"/>
          </rPr>
          <t xml:space="preserve">
Replaced "no limits" for consistency</t>
        </r>
      </text>
    </comment>
    <comment ref="G31" authorId="21" shapeId="0" xr:uid="{DE6F75F7-4C61-4925-B8F9-203A587D2B33}">
      <text>
        <t>[Threaded comment]
Your version of Excel allows you to read this threaded comment; however, any edits to it will get removed if the file is opened in a newer version of Excel. Learn more: https://go.microsoft.com/fwlink/?linkid=870924
Comment:
    Based on their LinkedIn's profile</t>
      </text>
    </comment>
    <comment ref="O31" authorId="22" shapeId="0" xr:uid="{AC081C3C-34EE-4934-AB40-0BD96E370C6E}">
      <text>
        <t>[Threaded comment]
Your version of Excel allows you to read this threaded comment; however, any edits to it will get removed if the file is opened in a newer version of Excel. Learn more: https://go.microsoft.com/fwlink/?linkid=870924
Comment:
    Removed "0" because was created in 2017</t>
      </text>
    </comment>
    <comment ref="P31" authorId="23" shapeId="0" xr:uid="{0EAD8AC1-7A4C-497C-BDCE-D1304B883234}">
      <text>
        <t>[Threaded comment]
Your version of Excel allows you to read this threaded comment; however, any edits to it will get removed if the file is opened in a newer version of Excel. Learn more: https://go.microsoft.com/fwlink/?linkid=870924
Comment:
    Removed "0" because was created in 2017</t>
      </text>
    </comment>
    <comment ref="G32" authorId="2" shapeId="0" xr:uid="{F55BB298-94C3-406C-9A4E-4EE5482EF779}">
      <text>
        <r>
          <rPr>
            <b/>
            <sz val="9"/>
            <color indexed="81"/>
            <rFont val="Tahoma"/>
            <charset val="1"/>
          </rPr>
          <t>Apolline Blandin:</t>
        </r>
        <r>
          <rPr>
            <sz val="9"/>
            <color indexed="81"/>
            <rFont val="Tahoma"/>
            <charset val="1"/>
          </rPr>
          <t xml:space="preserve">
Removed "Technology Analysis by our R&amp;D" + based on their LinkedIn page</t>
        </r>
      </text>
    </comment>
    <comment ref="CH32" authorId="24" shapeId="0" xr:uid="{19E5EC5A-4BF1-4BF3-8834-CB5A96344D23}">
      <text>
        <t>[Threaded comment]
Your version of Excel allows you to read this threaded comment; however, any edits to it will get removed if the file is opened in a newer version of Excel. Learn more: https://go.microsoft.com/fwlink/?linkid=870924
Comment:
    Removed "prop."</t>
      </text>
    </comment>
    <comment ref="G33" authorId="2" shapeId="0" xr:uid="{C3905F52-4E8F-4362-8821-423904B463F4}">
      <text>
        <r>
          <rPr>
            <b/>
            <sz val="9"/>
            <color indexed="81"/>
            <rFont val="Tahoma"/>
            <charset val="1"/>
          </rPr>
          <t>Apolline Blandin:</t>
        </r>
        <r>
          <rPr>
            <sz val="9"/>
            <color indexed="81"/>
            <rFont val="Tahoma"/>
            <charset val="1"/>
          </rPr>
          <t xml:space="preserve">
Internal projects - 2017</t>
        </r>
      </text>
    </comment>
    <comment ref="H33" authorId="2" shapeId="0" xr:uid="{EDD6FB62-2BB3-4B6C-8E47-AA73BFC2C9A8}">
      <text>
        <r>
          <rPr>
            <b/>
            <sz val="9"/>
            <color indexed="81"/>
            <rFont val="Tahoma"/>
            <family val="2"/>
          </rPr>
          <t>Apolline Blandin:</t>
        </r>
        <r>
          <rPr>
            <sz val="9"/>
            <color indexed="81"/>
            <rFont val="Tahoma"/>
            <family val="2"/>
          </rPr>
          <t xml:space="preserve">
Replaced "Blockchain Infrastructure Platform (2018)"</t>
        </r>
      </text>
    </comment>
    <comment ref="O33" authorId="2" shapeId="0" xr:uid="{07850A1D-FB71-4FD3-B02C-D2101B481178}">
      <text>
        <r>
          <rPr>
            <b/>
            <sz val="9"/>
            <color indexed="81"/>
            <rFont val="Tahoma"/>
            <charset val="1"/>
          </rPr>
          <t>Apolline Blandin:</t>
        </r>
        <r>
          <rPr>
            <sz val="9"/>
            <color indexed="81"/>
            <rFont val="Tahoma"/>
            <charset val="1"/>
          </rPr>
          <t xml:space="preserve">
Removed "0" because started in 2017</t>
        </r>
      </text>
    </comment>
    <comment ref="P33" authorId="2" shapeId="0" xr:uid="{D1A919CE-BAE1-4A73-B990-D8C94B87484E}">
      <text>
        <r>
          <rPr>
            <b/>
            <sz val="9"/>
            <color indexed="81"/>
            <rFont val="Tahoma"/>
            <charset val="1"/>
          </rPr>
          <t>Apolline Blandin:</t>
        </r>
        <r>
          <rPr>
            <sz val="9"/>
            <color indexed="81"/>
            <rFont val="Tahoma"/>
            <charset val="1"/>
          </rPr>
          <t xml:space="preserve">
Removed "0" because started in 2017</t>
        </r>
      </text>
    </comment>
    <comment ref="G34" authorId="2" shapeId="0" xr:uid="{6363C675-1786-4009-B5C7-8E890B814CE8}">
      <text>
        <r>
          <rPr>
            <b/>
            <sz val="9"/>
            <color indexed="81"/>
            <rFont val="Tahoma"/>
            <family val="2"/>
          </rPr>
          <t>Apolline Blandin:</t>
        </r>
        <r>
          <rPr>
            <sz val="9"/>
            <color indexed="81"/>
            <rFont val="Tahoma"/>
            <family val="2"/>
          </rPr>
          <t xml:space="preserve">
Replaced "Blockchain Council - 2015, R&amp;D, Advisory and Consulting"</t>
        </r>
      </text>
    </comment>
    <comment ref="G35" authorId="2" shapeId="0" xr:uid="{ED75B533-8BB0-4743-A6DA-F8BF3D43151F}">
      <text>
        <r>
          <rPr>
            <b/>
            <sz val="9"/>
            <color indexed="81"/>
            <rFont val="Tahoma"/>
            <family val="2"/>
          </rPr>
          <t>Apolline Blandin:</t>
        </r>
        <r>
          <rPr>
            <sz val="9"/>
            <color indexed="81"/>
            <rFont val="Tahoma"/>
            <family val="2"/>
          </rPr>
          <t xml:space="preserve">
Removed "Research group to engineering" </t>
        </r>
      </text>
    </comment>
    <comment ref="H35" authorId="2" shapeId="0" xr:uid="{B460C7BA-E735-4886-9E2B-BA06AA38DAAE}">
      <text>
        <r>
          <rPr>
            <b/>
            <sz val="9"/>
            <color indexed="81"/>
            <rFont val="Tahoma"/>
            <family val="2"/>
          </rPr>
          <t>Apolline Blandin:</t>
        </r>
        <r>
          <rPr>
            <sz val="9"/>
            <color indexed="81"/>
            <rFont val="Tahoma"/>
            <family val="2"/>
          </rPr>
          <t xml:space="preserve">
Replaced "Autonomous Blockchain PaaS service/2018"</t>
        </r>
      </text>
    </comment>
    <comment ref="P35" authorId="2" shapeId="0" xr:uid="{A378E264-FA77-47A5-BFEF-C8BB29AAD53E}">
      <text>
        <r>
          <rPr>
            <b/>
            <sz val="9"/>
            <color indexed="81"/>
            <rFont val="Tahoma"/>
            <charset val="1"/>
          </rPr>
          <t>Apolline Blandin:</t>
        </r>
        <r>
          <rPr>
            <sz val="9"/>
            <color indexed="81"/>
            <rFont val="Tahoma"/>
            <charset val="1"/>
          </rPr>
          <t xml:space="preserve">
Replaced "NA" with "0"</t>
        </r>
      </text>
    </comment>
    <comment ref="AM35" authorId="2" shapeId="0" xr:uid="{A9985477-8C55-4702-9F08-175A28591844}">
      <text>
        <r>
          <rPr>
            <b/>
            <sz val="9"/>
            <color indexed="81"/>
            <rFont val="Tahoma"/>
            <family val="2"/>
          </rPr>
          <t>Apolline Blandin:</t>
        </r>
        <r>
          <rPr>
            <sz val="9"/>
            <color indexed="81"/>
            <rFont val="Tahoma"/>
            <family val="2"/>
          </rPr>
          <t xml:space="preserve">
Reworded for consistency</t>
        </r>
      </text>
    </comment>
    <comment ref="CB35" authorId="2" shapeId="0" xr:uid="{266733E4-C2DB-4725-9B25-A526AA639B56}">
      <text>
        <r>
          <rPr>
            <b/>
            <sz val="9"/>
            <color indexed="81"/>
            <rFont val="Tahoma"/>
            <charset val="1"/>
          </rPr>
          <t>Apolline Blandin:</t>
        </r>
        <r>
          <rPr>
            <sz val="9"/>
            <color indexed="81"/>
            <rFont val="Tahoma"/>
            <charset val="1"/>
          </rPr>
          <t xml:space="preserve">
Removed " observation 7 in the paper"</t>
        </r>
      </text>
    </comment>
    <comment ref="DW35" authorId="2" shapeId="0" xr:uid="{6DABE9C6-E0F8-4E19-947D-6470BDBA0DE1}">
      <text>
        <r>
          <rPr>
            <b/>
            <sz val="9"/>
            <color rgb="FF000000"/>
            <rFont val="Tahoma"/>
            <charset val="1"/>
          </rPr>
          <t>Apolline Blandin:</t>
        </r>
        <r>
          <rPr>
            <sz val="9"/>
            <color rgb="FF000000"/>
            <rFont val="Tahoma"/>
            <charset val="1"/>
          </rPr>
          <t xml:space="preserve">
</t>
        </r>
        <r>
          <rPr>
            <sz val="9"/>
            <color rgb="FF000000"/>
            <rFont val="Tahoma"/>
            <charset val="1"/>
          </rPr>
          <t>Removed "Not applicable"</t>
        </r>
      </text>
    </comment>
    <comment ref="DX35" authorId="2" shapeId="0" xr:uid="{4DB51216-E18B-4775-B2AF-551FD288F202}">
      <text>
        <r>
          <rPr>
            <b/>
            <sz val="9"/>
            <color indexed="81"/>
            <rFont val="Tahoma"/>
            <charset val="1"/>
          </rPr>
          <t>Apolline Blandin:</t>
        </r>
        <r>
          <rPr>
            <sz val="9"/>
            <color indexed="81"/>
            <rFont val="Tahoma"/>
            <charset val="1"/>
          </rPr>
          <t xml:space="preserve">
Removed "Not applicable"</t>
        </r>
      </text>
    </comment>
    <comment ref="DY35" authorId="2" shapeId="0" xr:uid="{199D1B14-C644-4EDA-9329-06485CCB0EFF}">
      <text>
        <r>
          <rPr>
            <b/>
            <sz val="9"/>
            <color rgb="FF000000"/>
            <rFont val="Tahoma"/>
            <charset val="1"/>
          </rPr>
          <t>Apolline Blandin:</t>
        </r>
        <r>
          <rPr>
            <sz val="9"/>
            <color rgb="FF000000"/>
            <rFont val="Tahoma"/>
            <charset val="1"/>
          </rPr>
          <t xml:space="preserve">
</t>
        </r>
        <r>
          <rPr>
            <sz val="9"/>
            <color rgb="FF000000"/>
            <rFont val="Tahoma"/>
            <charset val="1"/>
          </rPr>
          <t>Removed "Not applicable"</t>
        </r>
      </text>
    </comment>
    <comment ref="DZ35" authorId="2" shapeId="0" xr:uid="{8B835787-6B65-4CE0-A32F-F4F330E9128A}">
      <text>
        <r>
          <rPr>
            <b/>
            <sz val="9"/>
            <color indexed="81"/>
            <rFont val="Tahoma"/>
            <charset val="1"/>
          </rPr>
          <t>Apolline Blandin:</t>
        </r>
        <r>
          <rPr>
            <sz val="9"/>
            <color indexed="81"/>
            <rFont val="Tahoma"/>
            <charset val="1"/>
          </rPr>
          <t xml:space="preserve">
Removed "Not applicable"</t>
        </r>
      </text>
    </comment>
    <comment ref="EC35" authorId="2" shapeId="0" xr:uid="{04ABAA84-50CD-4E85-8F76-0F84D528A006}">
      <text>
        <r>
          <rPr>
            <b/>
            <sz val="9"/>
            <color indexed="81"/>
            <rFont val="Tahoma"/>
            <charset val="1"/>
          </rPr>
          <t>Apolline Blandin:</t>
        </r>
        <r>
          <rPr>
            <sz val="9"/>
            <color indexed="81"/>
            <rFont val="Tahoma"/>
            <charset val="1"/>
          </rPr>
          <t xml:space="preserve">
Removed "Not applicable"</t>
        </r>
      </text>
    </comment>
    <comment ref="D36" authorId="2" shapeId="0" xr:uid="{2E6AE6AC-5A05-49B1-9592-DE7F3E277536}">
      <text>
        <r>
          <rPr>
            <b/>
            <sz val="9"/>
            <color rgb="FF000000"/>
            <rFont val="Tahoma"/>
            <charset val="1"/>
          </rPr>
          <t>Apolline Blandin:</t>
        </r>
        <r>
          <rPr>
            <sz val="9"/>
            <color rgb="FF000000"/>
            <rFont val="Tahoma"/>
            <charset val="1"/>
          </rPr>
          <t xml:space="preserve">
</t>
        </r>
        <r>
          <rPr>
            <sz val="9"/>
            <color rgb="FF000000"/>
            <rFont val="Tahoma"/>
            <charset val="1"/>
          </rPr>
          <t>Replaced "Munich"</t>
        </r>
      </text>
    </comment>
    <comment ref="B37" authorId="2" shapeId="0" xr:uid="{23885E60-3534-46A5-8EC8-D07F1F9DF557}">
      <text>
        <r>
          <rPr>
            <b/>
            <sz val="9"/>
            <color rgb="FF000000"/>
            <rFont val="Tahoma"/>
            <charset val="1"/>
          </rPr>
          <t>Apolline Blandin:</t>
        </r>
        <r>
          <rPr>
            <sz val="9"/>
            <color rgb="FF000000"/>
            <rFont val="Tahoma"/>
            <charset val="1"/>
          </rPr>
          <t xml:space="preserve">
</t>
        </r>
        <r>
          <rPr>
            <sz val="9"/>
            <color rgb="FF000000"/>
            <rFont val="Tahoma"/>
            <charset val="1"/>
          </rPr>
          <t>Other respondent indicated "Portugal"</t>
        </r>
      </text>
    </comment>
    <comment ref="C37" authorId="2" shapeId="0" xr:uid="{6A21CAAE-81DF-48C1-9121-00B45914D6D5}">
      <text>
        <r>
          <rPr>
            <b/>
            <sz val="9"/>
            <color indexed="81"/>
            <rFont val="Tahoma"/>
            <charset val="1"/>
          </rPr>
          <t>Apolline Blandin:</t>
        </r>
        <r>
          <rPr>
            <sz val="9"/>
            <color indexed="81"/>
            <rFont val="Tahoma"/>
            <charset val="1"/>
          </rPr>
          <t xml:space="preserve">
Other respondent indicated "Lisbon"</t>
        </r>
      </text>
    </comment>
    <comment ref="L37" authorId="2" shapeId="0" xr:uid="{EF923DCE-0512-48AA-ADE6-236E3FD0A5A0}">
      <text>
        <r>
          <rPr>
            <b/>
            <sz val="9"/>
            <color indexed="81"/>
            <rFont val="Tahoma"/>
            <charset val="1"/>
          </rPr>
          <t>Apolline Blandin:</t>
        </r>
        <r>
          <rPr>
            <sz val="9"/>
            <color indexed="81"/>
            <rFont val="Tahoma"/>
            <charset val="1"/>
          </rPr>
          <t xml:space="preserve">
Other respondent indicated "Protocol, Network"</t>
        </r>
      </text>
    </comment>
    <comment ref="M37" authorId="2" shapeId="0" xr:uid="{10265AFE-ACD1-475D-B909-BBE78CF68A0D}">
      <text>
        <r>
          <rPr>
            <b/>
            <sz val="9"/>
            <color indexed="81"/>
            <rFont val="Tahoma"/>
            <charset val="1"/>
          </rPr>
          <t>Apolline Blandin:</t>
        </r>
        <r>
          <rPr>
            <sz val="9"/>
            <color indexed="81"/>
            <rFont val="Tahoma"/>
            <charset val="1"/>
          </rPr>
          <t xml:space="preserve">
Other respondent indicated "Consulting services (e.g. strategy, education, training),Development and/or maintenance of a core protocol framework (e.g. Hyperledger Fabric),Middleware services (e.g. software development platform),Integration of existing protocol frameworks to build networks for customers "</t>
        </r>
      </text>
    </comment>
    <comment ref="O37" authorId="2" shapeId="0" xr:uid="{854C762D-B67F-4EBB-9FC1-20D6D6CE527F}">
      <text>
        <r>
          <rPr>
            <b/>
            <sz val="9"/>
            <color rgb="FF000000"/>
            <rFont val="Tahoma"/>
            <charset val="1"/>
          </rPr>
          <t>Apolline Blandin:</t>
        </r>
        <r>
          <rPr>
            <sz val="9"/>
            <color rgb="FF000000"/>
            <rFont val="Tahoma"/>
            <charset val="1"/>
          </rPr>
          <t xml:space="preserve">
</t>
        </r>
        <r>
          <rPr>
            <sz val="9"/>
            <color rgb="FF000000"/>
            <rFont val="Tahoma"/>
            <charset val="1"/>
          </rPr>
          <t>Other respondent indicated "60"</t>
        </r>
      </text>
    </comment>
    <comment ref="P37" authorId="2" shapeId="0" xr:uid="{26951FE3-8E26-468B-9119-360D9F455BC6}">
      <text>
        <r>
          <rPr>
            <b/>
            <sz val="9"/>
            <color indexed="81"/>
            <rFont val="Tahoma"/>
            <charset val="1"/>
          </rPr>
          <t>Apolline Blandin:</t>
        </r>
        <r>
          <rPr>
            <sz val="9"/>
            <color indexed="81"/>
            <rFont val="Tahoma"/>
            <charset val="1"/>
          </rPr>
          <t xml:space="preserve">
Other respondent indicated "5"</t>
        </r>
      </text>
    </comment>
    <comment ref="Q37" authorId="2" shapeId="0" xr:uid="{8B8703A5-5A3E-4FEB-AD6A-F568261634CA}">
      <text>
        <r>
          <rPr>
            <b/>
            <sz val="9"/>
            <color indexed="81"/>
            <rFont val="Tahoma"/>
            <charset val="1"/>
          </rPr>
          <t>Apolline Blandin:</t>
        </r>
        <r>
          <rPr>
            <sz val="9"/>
            <color indexed="81"/>
            <rFont val="Tahoma"/>
            <charset val="1"/>
          </rPr>
          <t xml:space="preserve">
Other respondent indicated "100"</t>
        </r>
      </text>
    </comment>
    <comment ref="R37" authorId="2" shapeId="0" xr:uid="{6B6C8C37-15CF-43CE-902B-019C6DC55860}">
      <text>
        <r>
          <rPr>
            <b/>
            <sz val="9"/>
            <color indexed="81"/>
            <rFont val="Tahoma"/>
            <charset val="1"/>
          </rPr>
          <t>Apolline Blandin:</t>
        </r>
        <r>
          <rPr>
            <sz val="9"/>
            <color indexed="81"/>
            <rFont val="Tahoma"/>
            <charset val="1"/>
          </rPr>
          <t xml:space="preserve">
Other respondent indicated "10"</t>
        </r>
      </text>
    </comment>
    <comment ref="S37" authorId="2" shapeId="0" xr:uid="{033806D8-41F9-43B5-AB45-C3D38C012DD8}">
      <text>
        <r>
          <rPr>
            <b/>
            <sz val="9"/>
            <color indexed="81"/>
            <rFont val="Tahoma"/>
            <charset val="1"/>
          </rPr>
          <t>Apolline Blandin:</t>
        </r>
        <r>
          <rPr>
            <sz val="9"/>
            <color indexed="81"/>
            <rFont val="Tahoma"/>
            <charset val="1"/>
          </rPr>
          <t xml:space="preserve">
Other respondent indicated "110"</t>
        </r>
      </text>
    </comment>
    <comment ref="T37" authorId="2" shapeId="0" xr:uid="{04843F7A-4D12-4535-B9BB-29E8728BE233}">
      <text>
        <r>
          <rPr>
            <b/>
            <sz val="9"/>
            <color indexed="81"/>
            <rFont val="Tahoma"/>
            <charset val="1"/>
          </rPr>
          <t>Apolline Blandin:</t>
        </r>
        <r>
          <rPr>
            <sz val="9"/>
            <color indexed="81"/>
            <rFont val="Tahoma"/>
            <charset val="1"/>
          </rPr>
          <t xml:space="preserve">
Other respondent indicated "15"</t>
        </r>
      </text>
    </comment>
    <comment ref="Y37" authorId="2" shapeId="0" xr:uid="{C65816AD-1AF3-4A29-ACC3-89215B1D8CC0}">
      <text>
        <r>
          <rPr>
            <b/>
            <sz val="9"/>
            <color indexed="81"/>
            <rFont val="Tahoma"/>
            <charset val="1"/>
          </rPr>
          <t>Apolline Blandin:</t>
        </r>
        <r>
          <rPr>
            <sz val="9"/>
            <color indexed="81"/>
            <rFont val="Tahoma"/>
            <charset val="1"/>
          </rPr>
          <t xml:space="preserve">
Other respondent indicated "85"</t>
        </r>
      </text>
    </comment>
    <comment ref="Z37" authorId="2" shapeId="0" xr:uid="{323E00D8-B92D-44BF-9C41-CBCC19F88F38}">
      <text>
        <r>
          <rPr>
            <b/>
            <sz val="9"/>
            <color indexed="81"/>
            <rFont val="Tahoma"/>
            <charset val="1"/>
          </rPr>
          <t>Apolline Blandin:</t>
        </r>
        <r>
          <rPr>
            <sz val="9"/>
            <color indexed="81"/>
            <rFont val="Tahoma"/>
            <charset val="1"/>
          </rPr>
          <t xml:space="preserve">
Other respondent indicated "5"</t>
        </r>
      </text>
    </comment>
    <comment ref="AA37" authorId="2" shapeId="0" xr:uid="{9C8EDBC9-2E80-4FED-A000-4FE6EA910F1D}">
      <text>
        <r>
          <rPr>
            <b/>
            <sz val="9"/>
            <color indexed="81"/>
            <rFont val="Tahoma"/>
            <charset val="1"/>
          </rPr>
          <t>Apolline Blandin:</t>
        </r>
        <r>
          <rPr>
            <sz val="9"/>
            <color indexed="81"/>
            <rFont val="Tahoma"/>
            <charset val="1"/>
          </rPr>
          <t xml:space="preserve">
Other respondent indicated "0"</t>
        </r>
      </text>
    </comment>
    <comment ref="AB37" authorId="2" shapeId="0" xr:uid="{22A6733A-E046-4E81-B586-704ED909D6E7}">
      <text>
        <r>
          <rPr>
            <b/>
            <sz val="9"/>
            <color indexed="81"/>
            <rFont val="Tahoma"/>
            <charset val="1"/>
          </rPr>
          <t>Apolline Blandin:</t>
        </r>
        <r>
          <rPr>
            <sz val="9"/>
            <color indexed="81"/>
            <rFont val="Tahoma"/>
            <charset val="1"/>
          </rPr>
          <t xml:space="preserve">
Other respondent indicated "10"</t>
        </r>
      </text>
    </comment>
    <comment ref="G38" authorId="2" shapeId="0" xr:uid="{E0F6EC03-6EA0-42CD-8E75-61037AA28D7B}">
      <text>
        <r>
          <rPr>
            <b/>
            <sz val="9"/>
            <color indexed="81"/>
            <rFont val="Tahoma"/>
            <charset val="1"/>
          </rPr>
          <t>Apolline Blandin:</t>
        </r>
        <r>
          <rPr>
            <sz val="9"/>
            <color indexed="81"/>
            <rFont val="Tahoma"/>
            <charset val="1"/>
          </rPr>
          <t xml:space="preserve">
Removed "access software to blockchains" + based on their LinkedIn page</t>
        </r>
      </text>
    </comment>
    <comment ref="G39" authorId="2" shapeId="0" xr:uid="{85DB5190-49C0-4289-867C-6B07832474F0}">
      <text>
        <r>
          <rPr>
            <b/>
            <sz val="9"/>
            <color indexed="81"/>
            <rFont val="Tahoma"/>
            <family val="2"/>
          </rPr>
          <t>Apolline Blandin:</t>
        </r>
        <r>
          <rPr>
            <sz val="9"/>
            <color indexed="81"/>
            <rFont val="Tahoma"/>
            <family val="2"/>
          </rPr>
          <t xml:space="preserve">
Based on their LinkedIn page</t>
        </r>
      </text>
    </comment>
    <comment ref="O39" authorId="2" shapeId="0" xr:uid="{5FB959D4-EE31-4B3C-89FC-9CCF343121CD}">
      <text>
        <r>
          <rPr>
            <b/>
            <sz val="9"/>
            <color indexed="81"/>
            <rFont val="Tahoma"/>
            <charset val="1"/>
          </rPr>
          <t>Apolline Blandin:</t>
        </r>
        <r>
          <rPr>
            <sz val="9"/>
            <color indexed="81"/>
            <rFont val="Tahoma"/>
            <charset val="1"/>
          </rPr>
          <t xml:space="preserve">
Removed "0" because not operational in 2016</t>
        </r>
      </text>
    </comment>
    <comment ref="P39" authorId="2" shapeId="0" xr:uid="{EB9FE835-821B-4FE2-A9A7-FBC425D47BD2}">
      <text>
        <r>
          <rPr>
            <b/>
            <sz val="9"/>
            <color indexed="81"/>
            <rFont val="Tahoma"/>
            <charset val="1"/>
          </rPr>
          <t>Apolline Blandin:</t>
        </r>
        <r>
          <rPr>
            <sz val="9"/>
            <color indexed="81"/>
            <rFont val="Tahoma"/>
            <charset val="1"/>
          </rPr>
          <t xml:space="preserve">
Removed "0" because not operational in 2016</t>
        </r>
      </text>
    </comment>
    <comment ref="AO40" authorId="2" shapeId="0" xr:uid="{13AEE464-9254-471D-B2DF-CAEAEACB8B79}">
      <text>
        <r>
          <rPr>
            <b/>
            <sz val="9"/>
            <color indexed="81"/>
            <rFont val="Tahoma"/>
            <family val="2"/>
          </rPr>
          <t>Apolline Blandin:</t>
        </r>
        <r>
          <rPr>
            <sz val="9"/>
            <color indexed="81"/>
            <rFont val="Tahoma"/>
            <family val="2"/>
          </rPr>
          <t xml:space="preserve">
Removed "Don't know" bec. Already fully-open source.</t>
        </r>
      </text>
    </comment>
    <comment ref="BI40" authorId="2" shapeId="0" xr:uid="{44ECF8DD-C742-484E-BC3F-9EC84F5C738F}">
      <text>
        <r>
          <rPr>
            <b/>
            <sz val="9"/>
            <color indexed="81"/>
            <rFont val="Tahoma"/>
            <charset val="1"/>
          </rPr>
          <t>Apolline Blandin:</t>
        </r>
        <r>
          <rPr>
            <sz val="9"/>
            <color indexed="81"/>
            <rFont val="Tahoma"/>
            <charset val="1"/>
          </rPr>
          <t xml:space="preserve">
Replaced "Other" by "Yes" based on their comment "We had experiments attaching EVM and other VMs, some will be released in future"</t>
        </r>
      </text>
    </comment>
    <comment ref="BY40" authorId="2" shapeId="0" xr:uid="{202B676A-5371-4690-B7AE-5A0DD0FC7856}">
      <text>
        <r>
          <rPr>
            <b/>
            <sz val="9"/>
            <color indexed="81"/>
            <rFont val="Tahoma"/>
            <charset val="1"/>
          </rPr>
          <t>Apolline Blandin:</t>
        </r>
        <r>
          <rPr>
            <sz val="9"/>
            <color indexed="81"/>
            <rFont val="Tahoma"/>
            <charset val="1"/>
          </rPr>
          <t xml:space="preserve">
Replaced "no limit, depends on hardware network interfaces" for consistency</t>
        </r>
      </text>
    </comment>
    <comment ref="BY41" authorId="4" shapeId="0" xr:uid="{B09FFA5D-AB0A-44E7-80A6-843D96AE0C3E}">
      <text>
        <r>
          <rPr>
            <b/>
            <sz val="10"/>
            <color rgb="FF000000"/>
            <rFont val="Tahoma"/>
            <family val="2"/>
          </rPr>
          <t>Michel Rauchs:</t>
        </r>
        <r>
          <rPr>
            <sz val="10"/>
            <color rgb="FF000000"/>
            <rFont val="Tahoma"/>
            <family val="2"/>
          </rPr>
          <t xml:space="preserve">
</t>
        </r>
        <r>
          <rPr>
            <sz val="10"/>
            <color rgb="FF000000"/>
            <rFont val="Tahoma"/>
            <family val="2"/>
          </rPr>
          <t>Replaced "</t>
        </r>
        <r>
          <rPr>
            <sz val="10"/>
            <color rgb="FF000000"/>
            <rFont val="Tahoma"/>
            <family val="2"/>
          </rPr>
          <t>The platform's technology stack is cloud-native and is fully horizontally scalable." for consistency</t>
        </r>
      </text>
    </comment>
    <comment ref="G42" authorId="2" shapeId="0" xr:uid="{48691C11-FB79-490D-9B61-0B1896FF5FD9}">
      <text>
        <r>
          <rPr>
            <b/>
            <sz val="9"/>
            <color indexed="81"/>
            <rFont val="Tahoma"/>
            <family val="2"/>
          </rPr>
          <t>Apolline Blandin:</t>
        </r>
        <r>
          <rPr>
            <sz val="9"/>
            <color indexed="81"/>
            <rFont val="Tahoma"/>
            <family val="2"/>
          </rPr>
          <t xml:space="preserve">
Replaced "R&amp;D on Blockchain, IoT and Cryptography, 2015"</t>
        </r>
      </text>
    </comment>
    <comment ref="O42" authorId="25" shapeId="0" xr:uid="{6EE9EA7A-6C81-474C-9C75-8B91114DDE82}">
      <text>
        <t>[Threaded comment]
Your version of Excel allows you to read this threaded comment; however, any edits to it will get removed if the file is opened in a newer version of Excel. Learn more: https://go.microsoft.com/fwlink/?linkid=870924
Comment:
    Removed "0"</t>
      </text>
    </comment>
    <comment ref="P42" authorId="26" shapeId="0" xr:uid="{494EAD87-98EC-431E-A52B-D6B318CC7AB5}">
      <text>
        <t>[Threaded comment]
Your version of Excel allows you to read this threaded comment; however, any edits to it will get removed if the file is opened in a newer version of Excel. Learn more: https://go.microsoft.com/fwlink/?linkid=870924
Comment:
    Removed "0"</t>
      </text>
    </comment>
    <comment ref="Q42" authorId="27" shapeId="0" xr:uid="{434C71B4-CAE8-4CA1-A05B-A9651958529F}">
      <text>
        <t>[Threaded comment]
Your version of Excel allows you to read this threaded comment; however, any edits to it will get removed if the file is opened in a newer version of Excel. Learn more: https://go.microsoft.com/fwlink/?linkid=870924
Comment:
    Removed "0"</t>
      </text>
    </comment>
    <comment ref="R42" authorId="28" shapeId="0" xr:uid="{1507D2FA-1A10-4F22-BF9D-740F4AD00D8F}">
      <text>
        <t>[Threaded comment]
Your version of Excel allows you to read this threaded comment; however, any edits to it will get removed if the file is opened in a newer version of Excel. Learn more: https://go.microsoft.com/fwlink/?linkid=870924
Comment:
    Removed "0"</t>
      </text>
    </comment>
    <comment ref="CB42" authorId="2" shapeId="0" xr:uid="{35D1B132-37AC-4FC5-8BB7-B7D5763BDC10}">
      <text>
        <r>
          <rPr>
            <b/>
            <sz val="9"/>
            <color indexed="81"/>
            <rFont val="Tahoma"/>
            <charset val="1"/>
          </rPr>
          <t>Apolline Blandin:</t>
        </r>
        <r>
          <rPr>
            <sz val="9"/>
            <color indexed="81"/>
            <rFont val="Tahoma"/>
            <charset val="1"/>
          </rPr>
          <t xml:space="preserve">
Removed " TPS"</t>
        </r>
      </text>
    </comment>
    <comment ref="CI42" authorId="2" shapeId="0" xr:uid="{309B44B1-A1C5-4DE6-99FC-9E018B6A25D4}">
      <text>
        <r>
          <rPr>
            <b/>
            <sz val="9"/>
            <color indexed="81"/>
            <rFont val="Tahoma"/>
            <family val="2"/>
          </rPr>
          <t>Apolline Blandin:</t>
        </r>
        <r>
          <rPr>
            <sz val="9"/>
            <color indexed="81"/>
            <rFont val="Tahoma"/>
            <family val="2"/>
          </rPr>
          <t xml:space="preserve">
Reworded for consistency</t>
        </r>
      </text>
    </comment>
    <comment ref="L43" authorId="2" shapeId="0" xr:uid="{2C30556A-66A1-40FA-B80E-226F81377BA3}">
      <text>
        <r>
          <rPr>
            <b/>
            <sz val="9"/>
            <color rgb="FF000000"/>
            <rFont val="Tahoma"/>
            <charset val="1"/>
          </rPr>
          <t>Apolline Blandin:</t>
        </r>
        <r>
          <rPr>
            <sz val="9"/>
            <color rgb="FF000000"/>
            <rFont val="Tahoma"/>
            <charset val="1"/>
          </rPr>
          <t xml:space="preserve">
</t>
        </r>
        <r>
          <rPr>
            <sz val="9"/>
            <color rgb="FF000000"/>
            <rFont val="Tahoma"/>
            <charset val="1"/>
          </rPr>
          <t>Selected "Network" but did not answer any question in the "Network" section.</t>
        </r>
      </text>
    </comment>
    <comment ref="AL43" authorId="2" shapeId="0" xr:uid="{E980EA55-6AF7-4332-BCF9-62343866A120}">
      <text>
        <r>
          <rPr>
            <b/>
            <sz val="9"/>
            <color rgb="FF000000"/>
            <rFont val="Tahoma"/>
            <family val="2"/>
          </rPr>
          <t>Apolline Blandin:</t>
        </r>
        <r>
          <rPr>
            <sz val="9"/>
            <color rgb="FF000000"/>
            <rFont val="Tahoma"/>
            <family val="2"/>
          </rPr>
          <t xml:space="preserve">
</t>
        </r>
        <r>
          <rPr>
            <sz val="9"/>
            <color rgb="FF000000"/>
            <rFont val="Tahoma"/>
            <family val="2"/>
          </rPr>
          <t>Reworded for consistency</t>
        </r>
      </text>
    </comment>
    <comment ref="BD43" authorId="2" shapeId="0" xr:uid="{367E80C9-4319-450C-92CE-CA8938FAA741}">
      <text>
        <r>
          <rPr>
            <b/>
            <sz val="9"/>
            <color rgb="FF000000"/>
            <rFont val="Tahoma"/>
            <charset val="1"/>
          </rPr>
          <t>Apolline Blandin:</t>
        </r>
        <r>
          <rPr>
            <sz val="9"/>
            <color rgb="FF000000"/>
            <rFont val="Tahoma"/>
            <charset val="1"/>
          </rPr>
          <t xml:space="preserve">
</t>
        </r>
        <r>
          <rPr>
            <sz val="9"/>
            <color rgb="FF000000"/>
            <rFont val="Tahoma"/>
            <charset val="1"/>
          </rPr>
          <t>Removed "Other (please specify):" because indicated "No smart contract"</t>
        </r>
      </text>
    </comment>
    <comment ref="BI43" authorId="2" shapeId="0" xr:uid="{7AC37CF3-30CA-4CA0-A2CD-2E9EFB69463F}">
      <text>
        <r>
          <rPr>
            <b/>
            <sz val="9"/>
            <color indexed="81"/>
            <rFont val="Tahoma"/>
            <charset val="1"/>
          </rPr>
          <t>Apolline Blandin:</t>
        </r>
        <r>
          <rPr>
            <sz val="9"/>
            <color indexed="81"/>
            <rFont val="Tahoma"/>
            <charset val="1"/>
          </rPr>
          <t xml:space="preserve">
Removed "Other (please specify):" because indicated "No smart contract"</t>
        </r>
      </text>
    </comment>
    <comment ref="EW43" authorId="29" shapeId="0" xr:uid="{F88A2B9A-D7E0-4956-A4CA-F09553F51C62}">
      <text>
        <t>[Threaded comment]
Your version of Excel allows you to read this threaded comment; however, any edits to it will get removed if the file is opened in a newer version of Excel. Learn more: https://go.microsoft.com/fwlink/?linkid=870924
Comment:
    “The solution was not adopted, we are working on other projects‚Äã.”</t>
      </text>
    </comment>
    <comment ref="G45" authorId="2" shapeId="0" xr:uid="{658F171E-BA33-4623-A799-1E41B61EDC28}">
      <text>
        <r>
          <rPr>
            <b/>
            <sz val="9"/>
            <color indexed="81"/>
            <rFont val="Tahoma"/>
            <charset val="1"/>
          </rPr>
          <t>Apolline Blandin:</t>
        </r>
        <r>
          <rPr>
            <sz val="9"/>
            <color indexed="81"/>
            <rFont val="Tahoma"/>
            <charset val="1"/>
          </rPr>
          <t xml:space="preserve">
Removed "Industry working group with customers and industry associations to explore blockchain proof of concept for the food industry"
Added 2017 based on: https://blog.foodlogiq.com/blockchain-pliot</t>
        </r>
      </text>
    </comment>
    <comment ref="O45" authorId="30" shapeId="0" xr:uid="{E7C9F2E8-083C-4981-B84B-B855041E4F38}">
      <text>
        <t>[Threaded comment]
Your version of Excel allows you to read this threaded comment; however, any edits to it will get removed if the file is opened in a newer version of Excel. Learn more: https://go.microsoft.com/fwlink/?linkid=870924
Comment:
    Removed "0"</t>
      </text>
    </comment>
    <comment ref="P45" authorId="31" shapeId="0" xr:uid="{476F2AF2-A35F-43F2-A5E6-A076975D2C3F}">
      <text>
        <t>[Threaded comment]
Your version of Excel allows you to read this threaded comment; however, any edits to it will get removed if the file is opened in a newer version of Excel. Learn more: https://go.microsoft.com/fwlink/?linkid=870924
Comment:
    Removed "0"</t>
      </text>
    </comment>
    <comment ref="Q45" authorId="32" shapeId="0" xr:uid="{5A3805CF-2137-4FAD-85C0-D2847B530BB5}">
      <text>
        <t>[Threaded comment]
Your version of Excel allows you to read this threaded comment; however, any edits to it will get removed if the file is opened in a newer version of Excel. Learn more: https://go.microsoft.com/fwlink/?linkid=870924
Comment:
    Removed "0"</t>
      </text>
    </comment>
    <comment ref="R45" authorId="33" shapeId="0" xr:uid="{931643EC-F2F3-4A71-AEB9-E425F3585C2C}">
      <text>
        <t>[Threaded comment]
Your version of Excel allows you to read this threaded comment; however, any edits to it will get removed if the file is opened in a newer version of Excel. Learn more: https://go.microsoft.com/fwlink/?linkid=870924
Comment:
    Removed "0"</t>
      </text>
    </comment>
    <comment ref="DQ45" authorId="2" shapeId="0" xr:uid="{3C0F3599-4FC1-4A63-9D3D-2F0CCC349C89}">
      <text>
        <r>
          <rPr>
            <b/>
            <sz val="9"/>
            <color indexed="81"/>
            <rFont val="Tahoma"/>
            <family val="2"/>
          </rPr>
          <t>Apolline Blandin:</t>
        </r>
        <r>
          <rPr>
            <sz val="9"/>
            <color indexed="81"/>
            <rFont val="Tahoma"/>
            <family val="2"/>
          </rPr>
          <t xml:space="preserve">
Would replace with "Accommodation and Food Services" based on their following comment.</t>
        </r>
      </text>
    </comment>
    <comment ref="CJ46" authorId="2" shapeId="0" xr:uid="{FF577C94-4997-4045-961C-207DEA3C6CB9}">
      <text>
        <r>
          <rPr>
            <b/>
            <sz val="9"/>
            <color indexed="81"/>
            <rFont val="Tahoma"/>
            <family val="2"/>
          </rPr>
          <t>Apolline Blandin:</t>
        </r>
        <r>
          <rPr>
            <sz val="9"/>
            <color indexed="81"/>
            <rFont val="Tahoma"/>
            <family val="2"/>
          </rPr>
          <t xml:space="preserve">
Removed "Not applicable" bec. Fully open source.</t>
        </r>
      </text>
    </comment>
    <comment ref="H47" authorId="2" shapeId="0" xr:uid="{D4282E64-0516-426A-8804-0E496BA59FB2}">
      <text>
        <r>
          <rPr>
            <b/>
            <sz val="9"/>
            <color indexed="81"/>
            <rFont val="Tahoma"/>
            <charset val="1"/>
          </rPr>
          <t>Apolline Blandin:</t>
        </r>
        <r>
          <rPr>
            <sz val="9"/>
            <color indexed="81"/>
            <rFont val="Tahoma"/>
            <charset val="1"/>
          </rPr>
          <t xml:space="preserve">
Remove "n/a"</t>
        </r>
      </text>
    </comment>
    <comment ref="G50" authorId="2" shapeId="0" xr:uid="{6A774AE9-AC59-4E89-978D-6A8A14D0CB94}">
      <text>
        <r>
          <rPr>
            <b/>
            <sz val="9"/>
            <color indexed="81"/>
            <rFont val="Tahoma"/>
            <family val="2"/>
          </rPr>
          <t>Apolline Blandin:</t>
        </r>
        <r>
          <rPr>
            <sz val="9"/>
            <color indexed="81"/>
            <rFont val="Tahoma"/>
            <family val="2"/>
          </rPr>
          <t xml:space="preserve">
Replaced "Delivered a Proof of Concept with Queensland Government in August 2016"</t>
        </r>
      </text>
    </comment>
    <comment ref="AO51" authorId="2" shapeId="0" xr:uid="{918A228C-DA40-4660-B196-C3A62E38B5F6}">
      <text>
        <r>
          <rPr>
            <b/>
            <sz val="9"/>
            <color indexed="81"/>
            <rFont val="Tahoma"/>
            <family val="2"/>
          </rPr>
          <t>Apolline Blandin:</t>
        </r>
        <r>
          <rPr>
            <sz val="9"/>
            <color indexed="81"/>
            <rFont val="Tahoma"/>
            <family val="2"/>
          </rPr>
          <t xml:space="preserve">
Removed "Not applicable" because already fully-open source</t>
        </r>
      </text>
    </comment>
    <comment ref="BB51" authorId="2" shapeId="0" xr:uid="{84BF5774-9099-4E2B-B966-E6554C7A9FD5}">
      <text>
        <r>
          <rPr>
            <b/>
            <sz val="9"/>
            <color indexed="81"/>
            <rFont val="Tahoma"/>
            <charset val="1"/>
          </rPr>
          <t>Apolline Blandin:</t>
        </r>
        <r>
          <rPr>
            <sz val="9"/>
            <color indexed="81"/>
            <rFont val="Tahoma"/>
            <charset val="1"/>
          </rPr>
          <t xml:space="preserve">
I would include "Practical BFT" bec. Istanbul BFT is an implementation of the PBFT</t>
        </r>
      </text>
    </comment>
    <comment ref="O53" authorId="2" shapeId="0" xr:uid="{5D0AC359-EC4A-4E10-B79C-5D14AD3C6336}">
      <text>
        <r>
          <rPr>
            <b/>
            <sz val="9"/>
            <color rgb="FF000000"/>
            <rFont val="Tahoma"/>
            <charset val="1"/>
          </rPr>
          <t>Apolline Blandin:</t>
        </r>
        <r>
          <rPr>
            <sz val="9"/>
            <color rgb="FF000000"/>
            <rFont val="Tahoma"/>
            <charset val="1"/>
          </rPr>
          <t xml:space="preserve">
</t>
        </r>
        <r>
          <rPr>
            <sz val="9"/>
            <color rgb="FF000000"/>
            <rFont val="Tahoma"/>
            <charset val="1"/>
          </rPr>
          <t>Removed "0" because started in 2017</t>
        </r>
      </text>
    </comment>
    <comment ref="P53" authorId="2" shapeId="0" xr:uid="{1CE1FD44-4433-4FEF-ACD0-1BBB477148FE}">
      <text>
        <r>
          <rPr>
            <b/>
            <sz val="9"/>
            <color indexed="81"/>
            <rFont val="Tahoma"/>
            <charset val="1"/>
          </rPr>
          <t>Apolline Blandin:</t>
        </r>
        <r>
          <rPr>
            <sz val="9"/>
            <color indexed="81"/>
            <rFont val="Tahoma"/>
            <charset val="1"/>
          </rPr>
          <t xml:space="preserve">
Removed "0" because started in 2017</t>
        </r>
      </text>
    </comment>
    <comment ref="G54" authorId="2" shapeId="0" xr:uid="{7E0FD6C2-8AB7-4997-B134-A115492F498F}">
      <text>
        <r>
          <rPr>
            <b/>
            <sz val="9"/>
            <color indexed="81"/>
            <rFont val="Tahoma"/>
            <charset val="1"/>
          </rPr>
          <t>Apolline Blandin:</t>
        </r>
        <r>
          <rPr>
            <sz val="9"/>
            <color indexed="81"/>
            <rFont val="Tahoma"/>
            <charset val="1"/>
          </rPr>
          <t xml:space="preserve">
Rempved "Active development" + based on their LinkedIn page</t>
        </r>
      </text>
    </comment>
    <comment ref="G56" authorId="2" shapeId="0" xr:uid="{D4A96D6A-A7F9-404B-81EE-4633D19405E4}">
      <text>
        <r>
          <rPr>
            <b/>
            <sz val="9"/>
            <color indexed="81"/>
            <rFont val="Tahoma"/>
            <family val="2"/>
          </rPr>
          <t>Apolline Blandin:</t>
        </r>
        <r>
          <rPr>
            <sz val="9"/>
            <color indexed="81"/>
            <rFont val="Tahoma"/>
            <family val="2"/>
          </rPr>
          <t xml:space="preserve">
Replaced "Projects on Hyperledger since 2017, POC on CORDA"</t>
        </r>
      </text>
    </comment>
    <comment ref="O56" authorId="2" shapeId="0" xr:uid="{BEF003C9-9644-4867-9C4B-E497F5A91FEC}">
      <text>
        <r>
          <rPr>
            <b/>
            <sz val="9"/>
            <color indexed="81"/>
            <rFont val="Tahoma"/>
            <charset val="1"/>
          </rPr>
          <t>Apolline Blandin:</t>
        </r>
        <r>
          <rPr>
            <sz val="9"/>
            <color indexed="81"/>
            <rFont val="Tahoma"/>
            <charset val="1"/>
          </rPr>
          <t xml:space="preserve">
Removed "0" because started in 2017</t>
        </r>
      </text>
    </comment>
    <comment ref="P56" authorId="2" shapeId="0" xr:uid="{555152FF-1EA0-44E3-A91C-B94C4261CC2A}">
      <text>
        <r>
          <rPr>
            <b/>
            <sz val="9"/>
            <color indexed="81"/>
            <rFont val="Tahoma"/>
            <charset val="1"/>
          </rPr>
          <t>Apolline Blandin:</t>
        </r>
        <r>
          <rPr>
            <sz val="9"/>
            <color indexed="81"/>
            <rFont val="Tahoma"/>
            <charset val="1"/>
          </rPr>
          <t xml:space="preserve">
Removed "0" because started in 2017</t>
        </r>
      </text>
    </comment>
    <comment ref="G57" authorId="2" shapeId="0" xr:uid="{AF0C5ED6-6F7C-4880-96AA-DE43C185EC92}">
      <text>
        <r>
          <rPr>
            <b/>
            <sz val="9"/>
            <color indexed="81"/>
            <rFont val="Tahoma"/>
            <charset val="1"/>
          </rPr>
          <t>Apolline Blandin:</t>
        </r>
        <r>
          <rPr>
            <sz val="9"/>
            <color indexed="81"/>
            <rFont val="Tahoma"/>
            <charset val="1"/>
          </rPr>
          <t xml:space="preserve">
Removed "Advise"</t>
        </r>
      </text>
    </comment>
    <comment ref="G58" authorId="2" shapeId="0" xr:uid="{30B0A2CF-A578-4941-9273-B28118D239C3}">
      <text>
        <r>
          <rPr>
            <b/>
            <sz val="9"/>
            <color indexed="81"/>
            <rFont val="Tahoma"/>
            <family val="2"/>
          </rPr>
          <t>Apolline Blandin:</t>
        </r>
        <r>
          <rPr>
            <sz val="9"/>
            <color indexed="81"/>
            <rFont val="Tahoma"/>
            <family val="2"/>
          </rPr>
          <t xml:space="preserve">
Replaced "1 year" + based on their response to FTE number in 2016 and 2017</t>
        </r>
      </text>
    </comment>
    <comment ref="H58" authorId="2" shapeId="0" xr:uid="{BAE52AF9-067D-4C59-9359-E8AC0FB9FED5}">
      <text>
        <r>
          <rPr>
            <b/>
            <sz val="9"/>
            <color indexed="81"/>
            <rFont val="Tahoma"/>
            <family val="2"/>
          </rPr>
          <t>Apolline Blandin:</t>
        </r>
        <r>
          <rPr>
            <sz val="9"/>
            <color indexed="81"/>
            <rFont val="Tahoma"/>
            <family val="2"/>
          </rPr>
          <t xml:space="preserve">
Replaced "1 year" + based on their response to FTE number in 2016 and 2017</t>
        </r>
      </text>
    </comment>
    <comment ref="O58" authorId="2" shapeId="0" xr:uid="{9FF00327-F9CA-4635-9E4A-F8BF483440B5}">
      <text>
        <r>
          <rPr>
            <b/>
            <sz val="9"/>
            <color rgb="FF000000"/>
            <rFont val="Tahoma"/>
            <charset val="1"/>
          </rPr>
          <t>Apolline Blandin:</t>
        </r>
        <r>
          <rPr>
            <sz val="9"/>
            <color rgb="FF000000"/>
            <rFont val="Tahoma"/>
            <charset val="1"/>
          </rPr>
          <t xml:space="preserve">
</t>
        </r>
        <r>
          <rPr>
            <sz val="9"/>
            <color rgb="FF000000"/>
            <rFont val="Tahoma"/>
            <charset val="1"/>
          </rPr>
          <t>Removed "0" because started in 2018</t>
        </r>
      </text>
    </comment>
    <comment ref="P58" authorId="2" shapeId="0" xr:uid="{8E37FDC7-E4EC-45A4-BBF3-87D8C88A6214}">
      <text>
        <r>
          <rPr>
            <b/>
            <sz val="9"/>
            <color rgb="FF000000"/>
            <rFont val="Tahoma"/>
            <charset val="1"/>
          </rPr>
          <t>Apolline Blandin:</t>
        </r>
        <r>
          <rPr>
            <sz val="9"/>
            <color rgb="FF000000"/>
            <rFont val="Tahoma"/>
            <charset val="1"/>
          </rPr>
          <t xml:space="preserve">
</t>
        </r>
        <r>
          <rPr>
            <sz val="9"/>
            <color rgb="FF000000"/>
            <rFont val="Tahoma"/>
            <charset val="1"/>
          </rPr>
          <t>Removed "0" because started in 2018</t>
        </r>
      </text>
    </comment>
    <comment ref="Q58" authorId="2" shapeId="0" xr:uid="{10CCE46F-3B1A-4B76-8D2F-783A067473BB}">
      <text>
        <r>
          <rPr>
            <b/>
            <sz val="9"/>
            <color indexed="81"/>
            <rFont val="Tahoma"/>
            <charset val="1"/>
          </rPr>
          <t>Apolline Blandin:</t>
        </r>
        <r>
          <rPr>
            <sz val="9"/>
            <color indexed="81"/>
            <rFont val="Tahoma"/>
            <charset val="1"/>
          </rPr>
          <t xml:space="preserve">
Removed "0" because started in 2018</t>
        </r>
      </text>
    </comment>
    <comment ref="R58" authorId="2" shapeId="0" xr:uid="{5C5D7900-7D0A-40BD-A619-FD4D1FF2D94C}">
      <text>
        <r>
          <rPr>
            <b/>
            <sz val="9"/>
            <color indexed="81"/>
            <rFont val="Tahoma"/>
            <charset val="1"/>
          </rPr>
          <t>Apolline Blandin:</t>
        </r>
        <r>
          <rPr>
            <sz val="9"/>
            <color indexed="81"/>
            <rFont val="Tahoma"/>
            <charset val="1"/>
          </rPr>
          <t xml:space="preserve">
Removed "0" because started in 2018</t>
        </r>
      </text>
    </comment>
    <comment ref="A59" authorId="34" shapeId="0" xr:uid="{681B8E92-4862-4ADD-ABDB-D6DD212529AF}">
      <text>
        <t>[Threaded comment]
Your version of Excel allows you to read this threaded comment; however, any edits to it will get removed if the file is opened in a newer version of Excel. Learn more: https://go.microsoft.com/fwlink/?linkid=870924
Comment:
    ? Let’s assign new IDs that haven’t been used for Clean I/Raw.</t>
      </text>
    </comment>
  </commentList>
</comments>
</file>

<file path=xl/sharedStrings.xml><?xml version="1.0" encoding="utf-8"?>
<sst xmlns="http://schemas.openxmlformats.org/spreadsheetml/2006/main" count="2067" uniqueCount="803">
  <si>
    <t>ID</t>
  </si>
  <si>
    <t>A.1_5_Op-HQ_Country</t>
  </si>
  <si>
    <t>A.1_6_Op-HQ_City</t>
  </si>
  <si>
    <t>A.1_7_Legal-HQ_Country</t>
  </si>
  <si>
    <t>A.1_5_Op-HQ_Region</t>
  </si>
  <si>
    <t>A.1_7_Legal-HQ_Region</t>
  </si>
  <si>
    <t>A.1_8_Initial-Exploration_Year</t>
  </si>
  <si>
    <t>A.1_9_Launch_Year</t>
  </si>
  <si>
    <t>A.1_9_Development-Timelag_YR</t>
  </si>
  <si>
    <t>A.1_Blockchain-Native</t>
  </si>
  <si>
    <t>A.1_Actor_Type</t>
  </si>
  <si>
    <t>A.2_Layer</t>
  </si>
  <si>
    <t>A.3_Activities</t>
  </si>
  <si>
    <t>A.3_8_TEXT_Other</t>
  </si>
  <si>
    <t>A.4_1_1_FTE_2016_Total</t>
  </si>
  <si>
    <t>A.4_1_2_FTE_2016_BC-Exclusively</t>
  </si>
  <si>
    <t>A.4_2_1_FTE_2017_Total</t>
  </si>
  <si>
    <t>A.4_2_2_FTE_2017_BC-Exclusively</t>
  </si>
  <si>
    <t>A.4_3_1_FTE_2018_Total</t>
  </si>
  <si>
    <t>A.4_3_2_FTE_2018Q2_BC-Exclusively</t>
  </si>
  <si>
    <t>A.4_2016-Ratio</t>
  </si>
  <si>
    <t>A.4_2017-Ratio</t>
  </si>
  <si>
    <t>A.4_2018Q2-Ratio</t>
  </si>
  <si>
    <t>A.4_Company-Size</t>
  </si>
  <si>
    <t>A.5_1_%_Engineers-Devs</t>
  </si>
  <si>
    <t>A.5_2_%_Strategists-Consultants</t>
  </si>
  <si>
    <t>A.5_3_%_Sales</t>
  </si>
  <si>
    <t>A.5_4_%_Business-Dev</t>
  </si>
  <si>
    <t>A.5_5_%_Legal</t>
  </si>
  <si>
    <t>A.5_6_%_Other</t>
  </si>
  <si>
    <t>A.5_6_TEXT_%_Other</t>
  </si>
  <si>
    <t>A.6_Proprietary-OpenSource</t>
  </si>
  <si>
    <t>B.1_1_Protocol-Name</t>
  </si>
  <si>
    <t>B.1_2_Start-Development</t>
  </si>
  <si>
    <t>B.1_3-Launch-Date</t>
  </si>
  <si>
    <t>B.2_Other-Protocols</t>
  </si>
  <si>
    <t>B.3_Codebase_Open-Sourced</t>
  </si>
  <si>
    <t>B.3_1_TEXT_Codebase_Fully-Open-Sourced_License</t>
  </si>
  <si>
    <t>B.3_2_TEXT_Codebase_Majority-Open-Sourced_License</t>
  </si>
  <si>
    <t>B.3_3_TEXT_Codebase_Minority-Open-Sourced_License</t>
  </si>
  <si>
    <t>B.4_Open-Sourcing_Prospects</t>
  </si>
  <si>
    <t>B.5_Based-Protocol</t>
  </si>
  <si>
    <t>B.5_1_TEXT_Substantially-Based-Protocol_Name</t>
  </si>
  <si>
    <t>B.5_2_TEXT_Loosely-Based-Protocol_Name</t>
  </si>
  <si>
    <t>B.5_4_TEXT_Based-Protocol_Other</t>
  </si>
  <si>
    <t>B.6_Industry-Use-Case</t>
  </si>
  <si>
    <t>B.6_2_TEXT_Specific-Industry-Use-Case</t>
  </si>
  <si>
    <t>B.6_3_TEXT_Targeting-But-Flexible-Industry-Use-Case</t>
  </si>
  <si>
    <t>B.6_4_TEXT_Industry-Use-Case_Other</t>
  </si>
  <si>
    <t>B.7_Data_Broadcast</t>
  </si>
  <si>
    <t>B.7_4_TEXT_Data_Broadcast</t>
  </si>
  <si>
    <t>B.8_Consensus-Level</t>
  </si>
  <si>
    <t>B.8_4_TEXT_Consensus-Level_Other</t>
  </si>
  <si>
    <t>B.9_Consensus-Algorithm</t>
  </si>
  <si>
    <t>B.9_11_TEXT_Consensus-Algorithm_Other</t>
  </si>
  <si>
    <t>B.10_Smart-Contract_Modeling-Language</t>
  </si>
  <si>
    <t>B.10_1_TEXT_Smart-Contract_New-GP-Modeling-Language</t>
  </si>
  <si>
    <t>B.10_2_TEXT_Smart-Contract_Existing-GP-Modeling-Language</t>
  </si>
  <si>
    <t>B.10_3_TEXT_Smart-Contract_Fixed-Purpose-Modeling-Language</t>
  </si>
  <si>
    <t>B.10_4_TEXT_Smart-Contract_Modeling-Language_Other</t>
  </si>
  <si>
    <t>B.11_Virtual-Machine</t>
  </si>
  <si>
    <t>B.11_1_TEXT_Virtual-Machine_Yes</t>
  </si>
  <si>
    <t>B.11_2_TEXT_Virtual-Machine_No</t>
  </si>
  <si>
    <t>B.11_3_TEXT_Virtual-Machine_Other</t>
  </si>
  <si>
    <t>B.12_1_Privacy-Enhancing_Pseudonymous-Address</t>
  </si>
  <si>
    <t>B.12_2_Privacy-Enhancing_TX-Visibility</t>
  </si>
  <si>
    <t>B.12_3_Privacy-Enhancing_zk-SNARKS</t>
  </si>
  <si>
    <t>B.12_4_Privacy-Enhancing_zk-STARKS</t>
  </si>
  <si>
    <t>B.12_5_Privacy-Enhancing_Other-zk</t>
  </si>
  <si>
    <t>B.12_5_TEXT_Privacy-Enhancing_Other-zk</t>
  </si>
  <si>
    <t>B.12_6_Privacy-Enhancing_Ring-Signatures</t>
  </si>
  <si>
    <t>B.12_7_Privacy-Enhancing_Confidential-TX</t>
  </si>
  <si>
    <t>B.12_8_Privacy-Enhancing_Encrypted-On-Chain-Data</t>
  </si>
  <si>
    <t>B.12_9_Privacy-Enhancing_Homomorphic-Encryption</t>
  </si>
  <si>
    <t>B.12_10_Privacy-Enhancing_Other</t>
  </si>
  <si>
    <t>B.12_10_TEXT_Privacy-Enhancing_Other</t>
  </si>
  <si>
    <t>B.13_1_#-Fully-Validating-Nodes</t>
  </si>
  <si>
    <t>B.13_2_#-Validators</t>
  </si>
  <si>
    <t>B.13_3_Scaling-Bottlenecks</t>
  </si>
  <si>
    <t>B.13_4_#-TPS</t>
  </si>
  <si>
    <t>C.1_1_Service-Name</t>
  </si>
  <si>
    <t>C.1_2_Start-Development</t>
  </si>
  <si>
    <t>C.1_3_Launch-Date</t>
  </si>
  <si>
    <t>C.2_Codebase-Open-Sourced</t>
  </si>
  <si>
    <t>C.2_1_TEXT_Codebase-Fully-Open-Sourced</t>
  </si>
  <si>
    <t>C.2_2_TEXT_Codebase-Majority-Open-Sourced</t>
  </si>
  <si>
    <t>C.2_3_TEXT_Codebase-Minority-Open-Sourced</t>
  </si>
  <si>
    <t>C.3_Open-Sourcing-Prospects</t>
  </si>
  <si>
    <t>C.4_Consulting-Training-Services</t>
  </si>
  <si>
    <t>C.4_11_TEXT_Consulting-Training-Services_Other</t>
  </si>
  <si>
    <t>C.5#1_1_Core-Protocol_Hyperledger</t>
  </si>
  <si>
    <t>C.5#1_1_TEXT_Core-Protocol_Hyperledger</t>
  </si>
  <si>
    <t>C.5#2_1_1_Core-Protocol_Hyperledger_Additional-Comments</t>
  </si>
  <si>
    <t>C.5#1_2_Core-Protocol_Corda</t>
  </si>
  <si>
    <t>C.5#2_2_1_Core-Protocol_Corda_Additional-Comments</t>
  </si>
  <si>
    <t>C.5#1_3_Core-Protocol_Multichain</t>
  </si>
  <si>
    <t>C.5#2_3_1_Core-Protocol_Multichain_Additional-Comments</t>
  </si>
  <si>
    <t>C.5#1_4_Core-Protocol_ChainCore</t>
  </si>
  <si>
    <t>C.5#2_4_1_Core-Protocol_ChainCore_Additional-Comments</t>
  </si>
  <si>
    <t>C.5#1_5_Core-Protocol_Exonum</t>
  </si>
  <si>
    <t>C.5#2_5_1_Core-Protocol_Exonum_Additional-Comments</t>
  </si>
  <si>
    <t>C.5#1_6_Core-Protocol_AxCore</t>
  </si>
  <si>
    <t>C.5#2_6_1_Core-Protocol_AxCore_Additional-Comments</t>
  </si>
  <si>
    <t>C.5#1_7_Core-Protocol_Autononity</t>
  </si>
  <si>
    <t>C.5#2_7_1_Core-Protocol_Autononity_Additional-Comments</t>
  </si>
  <si>
    <t>C.5#1_8_Core-Protocol_Quorum</t>
  </si>
  <si>
    <t>C.5#2_8_1_Core-Protocol_Quorum_Additional-Comments</t>
  </si>
  <si>
    <t>C.5#1_9_Core-Protocol_SETL</t>
  </si>
  <si>
    <t>C.5#2_9_1_Core-Protocol_SETL_Additional-Comments</t>
  </si>
  <si>
    <t>C.5#1_10_Core-Protocol_Digital-Asset-Platform</t>
  </si>
  <si>
    <t>C.5#2_10_1_Core-Protocol_Digital-Asset-Platform_Additional-Comments</t>
  </si>
  <si>
    <t>C.5#1_11_Core-Protocol_Credits</t>
  </si>
  <si>
    <t>C.5#2_11_1_Core-Protocol_Credits_Additional-Comments</t>
  </si>
  <si>
    <t>C.5#1_12_Core-Protocol_Other</t>
  </si>
  <si>
    <t>C.5#1_12_TEXT_Core-Protocol_Other-Enterprise</t>
  </si>
  <si>
    <t>C.5#2_12_1_Core-Protocol_Other-Enterprise-BC_Additional-Comments</t>
  </si>
  <si>
    <t>C.5#1_13_Core-Protocol_Public-Blockchain</t>
  </si>
  <si>
    <t>C.5#1_13_TEXT_Core-Protocol_Public-Blockchain</t>
  </si>
  <si>
    <t>C.5#2_13_1_Core-Protocol_Public-BC_Additional-Comments</t>
  </si>
  <si>
    <t>C.6_Protocol-Criteria</t>
  </si>
  <si>
    <t>C.7_Industry-Specific?</t>
  </si>
  <si>
    <t>C.7_21_TEXT_Industry-Specific?</t>
  </si>
  <si>
    <t>C.8#1_1_Pivot?_Past-12-Months</t>
  </si>
  <si>
    <t>C.8#1_2_Pivot?_Roadmap</t>
  </si>
  <si>
    <t>C.8#2_1_1_Pivot?_Past-12-Months_Comments</t>
  </si>
  <si>
    <t>C.8#2_2_1_Pivot?_Roadmap_Comments</t>
  </si>
  <si>
    <t>D.1_1_1_Software-Downloads_2016</t>
  </si>
  <si>
    <t>D.1_1_2_Software-Downloads_2017</t>
  </si>
  <si>
    <t>D.1_1_3_Software-Downloads_2018Q2</t>
  </si>
  <si>
    <t>D.1_2_1_New-Projects_2016</t>
  </si>
  <si>
    <t>D.1_2_2_New-Projects_2017</t>
  </si>
  <si>
    <t>D.1_2_3_New-Projects_2018Q2</t>
  </si>
  <si>
    <t>D.1_3_1_Know-Projects-Built-On-Top_2016</t>
  </si>
  <si>
    <t>D.1_3_2_Know-Projects-Built-On-Top_2017</t>
  </si>
  <si>
    <t>D.1_3_3_Know-Projects-Built-On-Top_2018Q2</t>
  </si>
  <si>
    <t>D.2_1_Customer_Africa</t>
  </si>
  <si>
    <t>D.2_2_Customer_APAC</t>
  </si>
  <si>
    <t>D.2_3_Customer_Europe</t>
  </si>
  <si>
    <t>D.2_4_Customer_LAC</t>
  </si>
  <si>
    <t>D.2_5_Customer_Middle-East</t>
  </si>
  <si>
    <t>D.2_6_Customer_North-America</t>
  </si>
  <si>
    <t>D.2_7_Customer_Unknown</t>
  </si>
  <si>
    <t>D.2_Verification</t>
  </si>
  <si>
    <t>D.3_1_Customer_Individuals</t>
  </si>
  <si>
    <t>D.3_2_Customer_Start-ups</t>
  </si>
  <si>
    <t>D.3_3_Customer_SMEs</t>
  </si>
  <si>
    <t>D.3_4_Customer_Large-Corporations</t>
  </si>
  <si>
    <t>D.3_5_Customer_Central-Banks</t>
  </si>
  <si>
    <t>D.3_6_Customer_PS-Institutions</t>
  </si>
  <si>
    <t>D.3_7_Customer_Non-Profits</t>
  </si>
  <si>
    <t>D.3_8_Customer_Other</t>
  </si>
  <si>
    <t>D.3_8_TEXT_Customer_Other</t>
  </si>
  <si>
    <t>D.4_Monetisation</t>
  </si>
  <si>
    <t>D.4_Monetisation_Category</t>
  </si>
  <si>
    <t>D.5#1_1_Collaboration_Partnership</t>
  </si>
  <si>
    <t>D.5#1_1_TEXT_Collaboration_Partnership</t>
  </si>
  <si>
    <t>D.5#2_1_1_Collaboration_Partnership_Additional-Comments</t>
  </si>
  <si>
    <t>D.5#1_2_Collaboration_Consortia</t>
  </si>
  <si>
    <t>D.5#1_2_TEXT_Collaboration_Consortia</t>
  </si>
  <si>
    <t>D.5#2_2_1_Collaboration_Consortia_Additional-Comments</t>
  </si>
  <si>
    <t>D.5#1_3_Collaboration_Govt-Initiatives</t>
  </si>
  <si>
    <t>D.5#1_3_TEXT_Collaboration_Govt-Initiatives</t>
  </si>
  <si>
    <t>D.5#2_3_1_Collaboration_Govt-Initiatives_Additional-Comments</t>
  </si>
  <si>
    <t>D.5#1_4_Collaboration_Joint-Ventures</t>
  </si>
  <si>
    <t>D.5#1_4_TEXT_Collaboration_Joint-Ventures</t>
  </si>
  <si>
    <t>D.5#2_4_1_Collaboration_Joint-Ventures_Additional-Comments</t>
  </si>
  <si>
    <t>D.5#1_5_Collaboration_Strategic-Investment</t>
  </si>
  <si>
    <t>D.5#1_5_TEXT_Collaboration_Strategic-Investment</t>
  </si>
  <si>
    <t>D.5#2_5_1_Collaboration_Strategic-Investment_Additional-Comments</t>
  </si>
  <si>
    <t>D.5#1_6_Collaboration_Other</t>
  </si>
  <si>
    <t>D.5#1_6_TEXT_Collaboration_Other</t>
  </si>
  <si>
    <t>D.5#2_6_1_Collaboration_Other_Additional-Comments</t>
  </si>
  <si>
    <t>D.6_1_Challenges_Security</t>
  </si>
  <si>
    <t>D.6_1_TEXT_Challenges_Security</t>
  </si>
  <si>
    <t>D.6_2_Challenges_Scalability</t>
  </si>
  <si>
    <t>D.6_3_Challenges_Performance</t>
  </si>
  <si>
    <t>D.6_4_Challenges_Privacy</t>
  </si>
  <si>
    <t>D.6_5_Challenges_Immature-Technology</t>
  </si>
  <si>
    <t>D.6_6_Challenges_Interoperability-DLT-Systems</t>
  </si>
  <si>
    <t>D.6_7_Challenges_Interoperability-Legacy-Enterprise-System</t>
  </si>
  <si>
    <t>D.6_8_Challenges_Other</t>
  </si>
  <si>
    <t>D.6_8_TEXT_Challenges_Other</t>
  </si>
  <si>
    <t>D.7_1_Challenges_Uncertain_ROI</t>
  </si>
  <si>
    <t>D.7_2_Challenges_Knowledge-Gap</t>
  </si>
  <si>
    <t>D.7_3_Challenges_Reluctance-Changes</t>
  </si>
  <si>
    <t>D.7_4_Challenges_Reputational-Risk</t>
  </si>
  <si>
    <t>D.7_5_Challenges_Hype</t>
  </si>
  <si>
    <t>D.7_6_Challenges_No-Use-Case</t>
  </si>
  <si>
    <t>D.7_7_Challenges_Legal-Regulatory-Risk</t>
  </si>
  <si>
    <t>D.7_8_Challenges_Building-Network</t>
  </si>
  <si>
    <t>D.7_9_Challenges_Vendor_Immaturity</t>
  </si>
  <si>
    <t>D.7_10_Challenges_Lack-Standardisation-Interoperability</t>
  </si>
  <si>
    <t>D.7_11_Challenges_Tech-Durability</t>
  </si>
  <si>
    <t>D.7_12_Challenges_Lack-Deployed-Network</t>
  </si>
  <si>
    <t>D.7_13_Challenges_Lack-User-Friendliness</t>
  </si>
  <si>
    <t>D.7_14_Challenges_Shortage-Skilled-Labour</t>
  </si>
  <si>
    <t>D.7_15_Challenges_Other</t>
  </si>
  <si>
    <t>D.7_15_TEXT_Challenges_Other</t>
  </si>
  <si>
    <t>D.8_1_Mainstream-Adoption_Private-Sector</t>
  </si>
  <si>
    <t>D.8_2_Mainstream-Adoption_Public-Sector</t>
  </si>
  <si>
    <t>D.9_Final-Comments</t>
  </si>
  <si>
    <t>QID59_Authorisation</t>
  </si>
  <si>
    <t>UK</t>
  </si>
  <si>
    <t>London</t>
  </si>
  <si>
    <t>Europe</t>
  </si>
  <si>
    <t>Native</t>
  </si>
  <si>
    <t>For-profit</t>
  </si>
  <si>
    <t>Protocol,Network</t>
  </si>
  <si>
    <t>Consulting services (e.g. strategy, education, training),Middleware services (e.g. software development platform),Integration of existing protocol frameworks to build networks for customers ,Application development for existing networks</t>
  </si>
  <si>
    <t>Medium</t>
  </si>
  <si>
    <t>CIM/CAM/CEM</t>
  </si>
  <si>
    <t>Feasibility studies,Solution design,Blockchain software development</t>
  </si>
  <si>
    <t>Fabric, Sawtooth</t>
  </si>
  <si>
    <t>Ehtereum</t>
  </si>
  <si>
    <t xml:space="preserve">Open source </t>
  </si>
  <si>
    <t>No: cross-industry</t>
  </si>
  <si>
    <t>Expansion into other industry/sector</t>
  </si>
  <si>
    <t>Right PoCs/Pilots with commercialisation on the latter coming soon</t>
  </si>
  <si>
    <t>Running PoC fees</t>
  </si>
  <si>
    <t>Currently</t>
  </si>
  <si>
    <t>IoT</t>
  </si>
  <si>
    <t>1-2 years</t>
  </si>
  <si>
    <t>Yes</t>
  </si>
  <si>
    <t>DisLedger</t>
  </si>
  <si>
    <t>USA</t>
  </si>
  <si>
    <t>Denver</t>
  </si>
  <si>
    <t>British Virgin Islands</t>
  </si>
  <si>
    <t>North America</t>
  </si>
  <si>
    <t>Protocol</t>
  </si>
  <si>
    <t>Development and/or maintenance of a core protocol framework (e.g. Hyperledger Fabric)</t>
  </si>
  <si>
    <t>Small</t>
  </si>
  <si>
    <t>Proprietary</t>
  </si>
  <si>
    <t>Fully closed-sourced</t>
  </si>
  <si>
    <t>Not applicable</t>
  </si>
  <si>
    <t>Completely written from scratch</t>
  </si>
  <si>
    <t>Targeting a specific industry/use case, but suitable for other industries and use cases as well (please specify):</t>
  </si>
  <si>
    <t xml:space="preserve">Settlement of financial transactions (payments or capital markets) in central bank money. </t>
  </si>
  <si>
    <t>Other (please specify):</t>
  </si>
  <si>
    <t>Counterparty ledgers are shared only between the actual parties to a transaction.</t>
  </si>
  <si>
    <t>DisLedger utilizes the Concurrence of the actual parties to truly validate the data. It does not use consensus of third-parties as that is a weak form of validation..</t>
  </si>
  <si>
    <t>Distributed Concurrence</t>
  </si>
  <si>
    <t>Existing general-purpose language(s) (e.g. Java):</t>
  </si>
  <si>
    <t>Any language</t>
  </si>
  <si>
    <t>No (please specify):</t>
  </si>
  <si>
    <t>not at the base layer, in the Prime Ledger above the Counterparty Ledgers</t>
  </si>
  <si>
    <t>Currently supported</t>
  </si>
  <si>
    <t>Counterparty Ledgers are only shared between the actual parties - so inherently, totally private by design</t>
  </si>
  <si>
    <t>Unlimited</t>
  </si>
  <si>
    <t>self-validated so this does not apply</t>
  </si>
  <si>
    <t>hash rate of counterparties, solved by adding parallelizing the CLs. e.g. if A&amp;B max out hashrate on their original CL A:B, they standup a parallel CL A:B#2 and double their throughput.</t>
  </si>
  <si>
    <t>per transaction license fees</t>
  </si>
  <si>
    <t>License fees,Transaction fees</t>
  </si>
  <si>
    <t>Probably never</t>
  </si>
  <si>
    <t>6-10 years</t>
  </si>
  <si>
    <t>Development and/or maintenance of a core protocol framework (e.g. Hyperledger Fabric),Other (please specify):</t>
  </si>
  <si>
    <t>Business model - distributed FMI, member-owned, member-governed networks that mutualise risks and economic benefits</t>
  </si>
  <si>
    <t>Project team</t>
  </si>
  <si>
    <t>Open core</t>
  </si>
  <si>
    <t>Autonity</t>
  </si>
  <si>
    <t>Minority open-sourced:</t>
  </si>
  <si>
    <t>LGPL</t>
  </si>
  <si>
    <t>Very likely</t>
  </si>
  <si>
    <t>Substantially based on existing protocol framework:</t>
  </si>
  <si>
    <t>Ethereum</t>
  </si>
  <si>
    <t>Specifically designed for a particular industry/use case (please specify):</t>
  </si>
  <si>
    <t>Capital markets</t>
  </si>
  <si>
    <t>Global data diffusion: every node receives, validates and stores every transaction</t>
  </si>
  <si>
    <t>Global: consensus at the system-level</t>
  </si>
  <si>
    <t>Practical Byzantine Fault Tolerance (PBFT),Raft,Proof-of-Work (PoW),Other (please specify):</t>
  </si>
  <si>
    <t>Proof of authority</t>
  </si>
  <si>
    <t>New general-purpose smart contract language(s) (e.g. Solidity):</t>
  </si>
  <si>
    <t>Solidity</t>
  </si>
  <si>
    <t>Yes (please specify):</t>
  </si>
  <si>
    <t>EVM</t>
  </si>
  <si>
    <t>On roadmap (next 12 months)</t>
  </si>
  <si>
    <t>CPU bounds</t>
  </si>
  <si>
    <t>Using membership model whereby members of the network are remunerated on the transaction fees on the network base on their proportionate ownership. Application providers can provide services and be paid by users on chain. Similar to seat tokens at an exchange, members will be able to provide input on governance of the network.</t>
  </si>
  <si>
    <t>Membership fees</t>
  </si>
  <si>
    <t>Other tech providers at application layer</t>
  </si>
  <si>
    <t>EEA</t>
  </si>
  <si>
    <t>Other technology providers</t>
  </si>
  <si>
    <t>We recently completed a proof of concept with the Bank of England to help them understand the implications of interacting between legacy technology and emerging technology. We were pleased to be able to help influence the design and construction of the renewed RTGS.</t>
  </si>
  <si>
    <t>Brazil</t>
  </si>
  <si>
    <t>Sao Paulo</t>
  </si>
  <si>
    <t>LAC</t>
  </si>
  <si>
    <t>Non-native</t>
  </si>
  <si>
    <t>Application</t>
  </si>
  <si>
    <t xml:space="preserve">Integration of existing protocol frameworks to build networks for customers </t>
  </si>
  <si>
    <t>Open Core</t>
  </si>
  <si>
    <t>Majority open-sourced:</t>
  </si>
  <si>
    <t>In-house</t>
  </si>
  <si>
    <t>No</t>
  </si>
  <si>
    <t>China</t>
  </si>
  <si>
    <t>Hangzhou</t>
  </si>
  <si>
    <t>APAC</t>
  </si>
  <si>
    <t>Consulting services (e.g. strategy, education, training),Development and/or maintenance of a core protocol framework (e.g. Hyperledger Fabric)</t>
  </si>
  <si>
    <t>Open Source</t>
  </si>
  <si>
    <t>CITA</t>
  </si>
  <si>
    <t>Fully open-sourced:</t>
  </si>
  <si>
    <t>Finance, games and so on</t>
  </si>
  <si>
    <t>Customisable by network operators</t>
  </si>
  <si>
    <t>CITA BFT</t>
  </si>
  <si>
    <t>New general-purpose smart contract language(s) (e.g. Solidity):,Existing general-purpose language(s) (e.g. Java):</t>
  </si>
  <si>
    <t>Go and Rust</t>
  </si>
  <si>
    <t>Network bandwidth</t>
  </si>
  <si>
    <t>Feasibility studies,Strategy assessment,Solution design,Strategy and impact</t>
  </si>
  <si>
    <t>3-5 years</t>
  </si>
  <si>
    <t>Shanghai</t>
  </si>
  <si>
    <t xml:space="preserve"> researcher</t>
  </si>
  <si>
    <t>ecochain</t>
  </si>
  <si>
    <t>Hyperledger Fabric</t>
  </si>
  <si>
    <t>Likely</t>
  </si>
  <si>
    <t>Loosely based on existing protocol framework:</t>
  </si>
  <si>
    <t>General-purpose: suitable for any industry and use case</t>
  </si>
  <si>
    <t>Practical Byzantine Fault Tolerance (PBFT)</t>
  </si>
  <si>
    <t xml:space="preserve">Consensus algorithm </t>
  </si>
  <si>
    <t>500TPS</t>
  </si>
  <si>
    <t xml:space="preserve">Version upgrade compatibility issues </t>
  </si>
  <si>
    <t>BenBen</t>
  </si>
  <si>
    <t>Ghana</t>
  </si>
  <si>
    <t>MEA</t>
  </si>
  <si>
    <t>Consulting services (e.g. strategy, education, training),Integration of existing protocol frameworks to build networks for customers ,Application development for existing networks</t>
  </si>
  <si>
    <t>Fully closed-source</t>
  </si>
  <si>
    <t>Feasibility studies,Solution design,Strategy and impact,Blockchain software development</t>
  </si>
  <si>
    <t>STRATO by Blockapps</t>
  </si>
  <si>
    <t>Complexity of scripting language
Cost structure
Flexibility of platform</t>
  </si>
  <si>
    <t>Public Administration</t>
  </si>
  <si>
    <t xml:space="preserve">Transactions Fees
Commercial License Fees
</t>
  </si>
  <si>
    <t>Transaction fees,License fees</t>
  </si>
  <si>
    <t>Property Development Sector</t>
  </si>
  <si>
    <t>National Property Reforms Working Group</t>
  </si>
  <si>
    <t>Los Angeles</t>
  </si>
  <si>
    <t>Chile</t>
  </si>
  <si>
    <t>Network,Application</t>
  </si>
  <si>
    <t>gridcube</t>
  </si>
  <si>
    <t>Very unlikely</t>
  </si>
  <si>
    <t>Strategy assessment,Risk management,Solution design,Strategy and impact,Systems engineering,Blockchain software development</t>
  </si>
  <si>
    <t>performance, and documentation.</t>
  </si>
  <si>
    <t>No pivot/expansion</t>
  </si>
  <si>
    <t>by consulting services, support fees, development, and transactions.</t>
  </si>
  <si>
    <t>Consulting and training fees,Infrastructure fees,Transaction fees</t>
  </si>
  <si>
    <t>Currently,On roadmap (next 12 months)</t>
  </si>
  <si>
    <t>Israel</t>
  </si>
  <si>
    <t>Tel Aviv</t>
  </si>
  <si>
    <t>MultiChain</t>
  </si>
  <si>
    <t>GPLv3</t>
  </si>
  <si>
    <t>Bitcoin</t>
  </si>
  <si>
    <t>Global diffusion for transactions, support for off-chain data which is selectively diffused but locked down by hashes on-chain</t>
  </si>
  <si>
    <t>Round-Robin scheme,Proof-of-Work (PoW),Other (please specify):</t>
  </si>
  <si>
    <t>(it's round robin with customizable leniency to allow for non-functioning validators)</t>
  </si>
  <si>
    <t>Existing general-purpose language(s) (e.g. Java):,Fixed-purpose language (e.g. Bitcoin Script, Digital Asset Modelling Language/DAML):</t>
  </si>
  <si>
    <t>Javascript coming in Q3/Q4 2018 for transaction filters</t>
  </si>
  <si>
    <t>Bitcoin script</t>
  </si>
  <si>
    <t>Smart Filters coming in Q3/Q4 2018 run in a virtual machine but are a different paradigm to smart contracts.</t>
  </si>
  <si>
    <t>Off-chain data with selective visibility</t>
  </si>
  <si>
    <t>1000s</t>
  </si>
  <si>
    <t>Transaction throughput per second</t>
  </si>
  <si>
    <t>Current: commercial licensing, service level agreements, commercial support. In 2019 we expect to release the first premium/enterprise version with enhancements over the open source version.</t>
  </si>
  <si>
    <t>License fees, SLA</t>
  </si>
  <si>
    <t>http://www.multichain.com/platform-partners/</t>
  </si>
  <si>
    <t>Over 80 agreements signed with companies building on MultiChain.</t>
  </si>
  <si>
    <t>If we define "mainstream" as something on the scale of relational databases, I do not believe blockchains will ever be a mainstream technology. I understand them as a niche specialized type of database/messaging system that is appropriate in specific situations. I expect LTAM for blockchains to be 1-3% of the database/messaging market.</t>
  </si>
  <si>
    <t>Indonesia, Australia, Philippines</t>
  </si>
  <si>
    <t xml:space="preserve"> Jakarta, Sydney, Manila</t>
  </si>
  <si>
    <t>Singapore</t>
  </si>
  <si>
    <t>Consulting services (e.g. strategy, education, training)</t>
  </si>
  <si>
    <t>Operations</t>
  </si>
  <si>
    <t>Feasibility studies,Strategy assessment,Risk management,Solution design,Strategy and impact</t>
  </si>
  <si>
    <t>External / outsourced</t>
  </si>
  <si>
    <t>Technically we are protocol agnostic (not just ETH) as we provide the strategy side, rather than the build.</t>
  </si>
  <si>
    <t>We will advise on whichever protocol is fit for purpose for the particular client.
The design criteria covers:
- level of openness (public vs private, permissioned vs permissionless)
- level of privacy / anonymity (actors and transactions)
- level of control (governance and decision making - decentralised to centralised scale)
- level of flexibility (hard and soft forks)
- level of scalability (tps, network scale)
- level of security
- level of interoperability</t>
  </si>
  <si>
    <t>Less pivot, more focus on: financial services, securitisation, media, liquidity management.</t>
  </si>
  <si>
    <t xml:space="preserve">We offer a wide range of services internally and across our network for entities seeking to build a distributed ledger enabled business which spans business strategy, token economics, raise strategy (including ICO), marketingand goto market and liquidity management.
Our broader network offers media focused on blockchain, cryptocurrency, ICO, etc.
Through consultancy services for companies who wish to launch their ICO.
We provide service from planning, executing, and marketing the ICO.
We also have a sister media company which focuses on blockchain, cryptocurrency, and ICOs.
</t>
  </si>
  <si>
    <t>Currently: With adjacent service providers on the blockchain &amp; ICO value chain. On roadmap:  Expanding regional presence with like-minded businesses</t>
  </si>
  <si>
    <t>Alpharetta</t>
  </si>
  <si>
    <t>Consulting services (e.g. strategy, education, training),Application development for existing networks</t>
  </si>
  <si>
    <t>Farm to Fork</t>
  </si>
  <si>
    <t>Feasibility studies,Strategy assessment,Solution design,Strategy and impact,Blockchain software development</t>
  </si>
  <si>
    <t>In-house,External / outsourced</t>
  </si>
  <si>
    <t>Scalability,flexibility cross functional capacity permissioned non cryptocurrency based</t>
  </si>
  <si>
    <t>Agriculture, Forestry, Fishing and Hunting,Mining, Quarrying, and Oil and Gas Extraction,Transportation and Warehousing</t>
  </si>
  <si>
    <t>Blockchain need to be flexible to adopt other evolving technologies and standards to add real values felt by both private and public sector.</t>
  </si>
  <si>
    <t>Philippines</t>
  </si>
  <si>
    <t>Quezon City</t>
  </si>
  <si>
    <t>HealthBlocks</t>
  </si>
  <si>
    <t>MIT</t>
  </si>
  <si>
    <t>If it fits the use case</t>
  </si>
  <si>
    <t>Development of Application</t>
  </si>
  <si>
    <t>Infrastructure fees</t>
  </si>
  <si>
    <t>Multichain</t>
  </si>
  <si>
    <t>Hacking</t>
  </si>
  <si>
    <t>Kenya</t>
  </si>
  <si>
    <t>Nairobi</t>
  </si>
  <si>
    <t>Ganji</t>
  </si>
  <si>
    <t>Blockchain software development,Professional certifications</t>
  </si>
  <si>
    <t>We are a Multichain Platform Partner.</t>
  </si>
  <si>
    <t>Versatility - ability to be used for multiple use cases
Multiple blockchains - ability to create many independent blockchains on a single instance
Multiple assets - ability to create multiple assets on a single blockchain
Data storage - ability to store arbitrary data on the blockchain securely</t>
  </si>
  <si>
    <t>We serve multiple industries and our product is designed to be versatile.</t>
  </si>
  <si>
    <t>From sales revenue and training revenue</t>
  </si>
  <si>
    <t>Sales,Consulting and training fees</t>
  </si>
  <si>
    <t>Multichain, Positrust</t>
  </si>
  <si>
    <t>Consulting services (e.g. strategy, education, training),Middleware services (e.g. software development platform),Application development for existing networks</t>
  </si>
  <si>
    <t>1- Auction P. / 2 - Transfer Tracker</t>
  </si>
  <si>
    <t>Solution design,Systems engineering,Blockchain software development</t>
  </si>
  <si>
    <t>Fabric , Sawtooth</t>
  </si>
  <si>
    <t>Scalability, security and modular</t>
  </si>
  <si>
    <t>Hyperledger, R3</t>
  </si>
  <si>
    <t>Morocco</t>
  </si>
  <si>
    <t>Marrackech</t>
  </si>
  <si>
    <t>Protocol,Application</t>
  </si>
  <si>
    <t>Consulting services (e.g. strategy, education, training),Development and/or maintenance of a core protocol framework (e.g. Hyperledger Fabric),Middleware services (e.g. software development platform),Application development for existing networks</t>
  </si>
  <si>
    <t>Banks</t>
  </si>
  <si>
    <t>Raft,Other (please specify):</t>
  </si>
  <si>
    <t>Tendermint</t>
  </si>
  <si>
    <t>Blocksize</t>
  </si>
  <si>
    <t>Fractal</t>
  </si>
  <si>
    <t>Feasibility studies,Strategy assessment,Solution design,Regulatory and compliance services,Strategy and impact,Systems engineering,Blockchain software development</t>
  </si>
  <si>
    <t>Scalability,    concensus  protocol</t>
  </si>
  <si>
    <t>Banking, Financial Markets and Insurance,Professional, Scientific, and Technical Services</t>
  </si>
  <si>
    <t>Licencing</t>
  </si>
  <si>
    <t>License fees</t>
  </si>
  <si>
    <t>Japan</t>
  </si>
  <si>
    <t>Tokyo</t>
  </si>
  <si>
    <t>Protocol,Network,Application</t>
  </si>
  <si>
    <t>Development and/or maintenance of a core protocol framework (e.g. Hyperledger Fabric),Middleware services (e.g. software development platform)</t>
  </si>
  <si>
    <t>Orb DLT</t>
  </si>
  <si>
    <t>Q4/2018</t>
  </si>
  <si>
    <t>Don't know</t>
  </si>
  <si>
    <t>Current middleware targets pre-paid and digital money, loyalty programs and multiple-coin issuer networks. Underlying application can be reused for non-coin/economic purposes.</t>
  </si>
  <si>
    <t>Data storage layer -- between online storage nodes</t>
  </si>
  <si>
    <t>Paxos</t>
  </si>
  <si>
    <t>No official smart-contract layer at this time. In the future a basic scripting language may be available, but currently the system is configured via configuration files to model a customer's internal economy -- no technical knowledge required.</t>
  </si>
  <si>
    <t>No smart-contract support at this time.</t>
  </si>
  <si>
    <t>proprietary tamper-evidence mechanism for detecting fraudulent and/or malicious activity</t>
  </si>
  <si>
    <t>Nodes (transaction submitters) are stateless. Increasing node count simply increases possible throughput.</t>
  </si>
  <si>
    <t>Orb DLT does not depend on a blockchain, but instead independent ledgers based on interacting accounts. Except for the storage layer, all components operate independently. The storage layer can be scale as capacity increases.</t>
  </si>
  <si>
    <t>Configuration complexity. As more writes for a single transaction type occur, average transaction latency can increase, but use cases are relatively simple. In this case, avg transaction latency can be as low as 37ms.</t>
  </si>
  <si>
    <t>TPS scales based on available hardware. This can be tuned to customer requirements. Six storage nodes can provide 100TPS</t>
  </si>
  <si>
    <t>Orb DLT Integration Layer</t>
  </si>
  <si>
    <t>OrbDLT</t>
  </si>
  <si>
    <t>Our customer integration layers are largely dependent on the Orb DLT protocol and APIs. Currently, our integration layer is only compatible with our underlying DLT product</t>
  </si>
  <si>
    <t>Banking, Financial Markets and Insurance,Real Estate and Rental and Leasing,Management of Companies and Enterprises</t>
  </si>
  <si>
    <t>Possibly looking into additional use cases for the underlying DLT components and minor refactoring/reuse of the integration layer</t>
  </si>
  <si>
    <t>Currently, we are largely in a proof-of-concept phase. This requires us to work very closely with the customer set that we have at this moment. Revenues are accumulated via POC work. In the future, we will possibly expand to licensing fees, DLT transaction volume fees and infrastructure fees (if a customer requires that).</t>
  </si>
  <si>
    <t>More than 10 years</t>
  </si>
  <si>
    <t>Thank you for asking us to participate in the survey. Although, we do not explicit have a blockchain employed in our DLT solution. We do retain many of the good characteristics of blockchain-like systems: distributed data, strong tamper-evidence, versioned data, but because we did decide to reimplement several systems without requiring a blockchain structure, we have gained a lot in terms of absolute finality, scalability, infrastructure security and transactional throughput.</t>
  </si>
  <si>
    <t>Raleigh</t>
  </si>
  <si>
    <t xml:space="preserve">Development and/or maintenance of a core protocol framework (e.g. Hyperledger Fabric),Middleware services (e.g. software development platform),Integration of existing protocol frameworks to build networks for customers </t>
  </si>
  <si>
    <t>Open Source,Open Core</t>
  </si>
  <si>
    <t>Quorum</t>
  </si>
  <si>
    <t>Public transactions are global data diffusion. Private transactions are P2P.</t>
  </si>
  <si>
    <t>Public transactions global consensus and private transactions through local consensus.</t>
  </si>
  <si>
    <t>Istanbul BFT</t>
  </si>
  <si>
    <t>range proof</t>
  </si>
  <si>
    <t>For IBFT, size of the validator set</t>
  </si>
  <si>
    <t>Kaleido, The Blockchain Business Cloud</t>
  </si>
  <si>
    <t>Apache 2.0</t>
  </si>
  <si>
    <t>go-ethereum (geth)</t>
  </si>
  <si>
    <t>Support for enterprise use cases, market demands, supporting developer ecosystem and maturity of code base.</t>
  </si>
  <si>
    <t>for enterprise use cases</t>
  </si>
  <si>
    <t>SaaS subscription model</t>
  </si>
  <si>
    <t>skills availability</t>
  </si>
  <si>
    <t>Wilmington, DE</t>
  </si>
  <si>
    <t>Ukraine</t>
  </si>
  <si>
    <t xml:space="preserve">Development and/or maintenance of a core protocol framework (e.g. Hyperledger Fabric),Integration of existing protocol frameworks to build networks for customers </t>
  </si>
  <si>
    <t>REMchain</t>
  </si>
  <si>
    <t xml:space="preserve">Hyperledger Sawtooth </t>
  </si>
  <si>
    <t>distributed Public Key Infrastructure PKI (d) There are two possible ways for the enterprise customer to use REMME solution. ‚óè	In first one they use REMME Public blockchain - REMChain - and connect to it with DApps (for example Web auth mechanism). ‚óè	In second one they create their deploy private blockchain and run own masternodes (Distributed level in the diagramm). Consumer will always be at the Service layer and getting inside REMChain by the WebAuth.</t>
  </si>
  <si>
    <t>Practical Byzantine Fault Tolerance (PBFT),Proof-of-Elapsed-Time (PoET),Proof-of-Stake (PoS)</t>
  </si>
  <si>
    <t>No smart-contract</t>
  </si>
  <si>
    <t>Sawtooth</t>
  </si>
  <si>
    <t xml:space="preserve">Our current list-priced can be described as Price-per-Certificate. Standard price is 1 USD per certificate per year, including all necessary transaction costs. It is always constant and paid by service provider (not end user). 90% of this fee goes to master nodes that participate in the network, 10% goes to REMME for ecosystem support and development.Special price for volume is available.
Additional pricing models are under discovery process and will be implemented for specific protocol use cases. 
</t>
  </si>
  <si>
    <t xml:space="preserve">Hyperledger (partner), Decentralized Identity Foundation Membership (on roadmap) </t>
  </si>
  <si>
    <t xml:space="preserve">eliminates risks of man-in-the-middle attacks </t>
  </si>
  <si>
    <t>As of today, REMME solution is still under development and is expected to be in production at the end of Q4,2018. However, we have selected 20 pilot projects of our solution today. We're are focusing on Pilot Projects implementations with enterprises and traditional IAM providers.</t>
  </si>
  <si>
    <t>Russia</t>
  </si>
  <si>
    <t>Moscow</t>
  </si>
  <si>
    <t>Development and/or maintenance of a core protocol framework (e.g. Hyperledger Fabric),Middleware services (e.g. software development platform),Integration of existing protocol frameworks to build networks for customers ,Other (please specify):</t>
  </si>
  <si>
    <t>developing your own block chain solution www.Rubiconblockchain.com</t>
  </si>
  <si>
    <t>Proprietary,Open Core</t>
  </si>
  <si>
    <t>Rubicon Blockchain is a platform for structured access to validated data collected in information flows through access points forming a single network of distributed storage of this data.   Information flows are accessed through" access points", which are gateways for physical users to access the Rubicon network. The access point's access to the information flow is determined according to its role in the network and certain rights. The platform is built on the basis of Hyper ledger Fabric.</t>
  </si>
  <si>
    <t>Architecture Data validation occurs at the following levels: Storage (technology of the blockchain) Instructions for working with different types of data Data models (related data records as transactions in the blockchain) Working with data (machine code) Information flow. Physical presence of the organization in the system, cluster, local group or large system through the information flow and validation of data for writing to it. System user. Access data from another system, cluster, local group, or large system through authorization as a user to read data from the information flow. System users are also divided into read, write, and read/write roles.</t>
  </si>
  <si>
    <t>Proof-of-Stake (PoS)</t>
  </si>
  <si>
    <t>RuGO (the script to call libraries written in GO)</t>
  </si>
  <si>
    <t>orderer, ledger</t>
  </si>
  <si>
    <t>Cryptoenter</t>
  </si>
  <si>
    <t>Fabric</t>
  </si>
  <si>
    <t>start service Cryptoenter.com based on the platform Rubiconblockchain</t>
  </si>
  <si>
    <t>Less than one year</t>
  </si>
  <si>
    <t>Spain</t>
  </si>
  <si>
    <t>Barcelona</t>
  </si>
  <si>
    <t xml:space="preserve">Middleware services (e.g. software development platform),Integration of existing protocol frameworks to build networks for customers </t>
  </si>
  <si>
    <t>Planichain</t>
  </si>
  <si>
    <t>GPLv2</t>
  </si>
  <si>
    <t>Not using Turing-complete code for smart contracts, but rather a well defined set of atomic operations on assets, the ability to define assets with attributes, the ability to have multiple chains in one deployment, and the ability to stream encrypted data into the chains.</t>
  </si>
  <si>
    <t>Healthcare and Social Assistance</t>
  </si>
  <si>
    <t>By entering consulting or pre-commercial procurement projects backed by H2020 european funds</t>
  </si>
  <si>
    <t>Consulting and training fees</t>
  </si>
  <si>
    <t>Clusterdigital Catalunya</t>
  </si>
  <si>
    <t>Ciudad de Buenos Aires Education</t>
  </si>
  <si>
    <t>Germany</t>
  </si>
  <si>
    <t>Aachen</t>
  </si>
  <si>
    <t>Datennotar</t>
  </si>
  <si>
    <t>Feasibility studies,Solution design,Systems engineering,Blockchain software development,Professional certifications</t>
  </si>
  <si>
    <t>Maturity, Documentation, Architecture, Protocol Features</t>
  </si>
  <si>
    <t>Utilities,Educational Services,Public Administration</t>
  </si>
  <si>
    <t>plans to build a cooperative</t>
  </si>
  <si>
    <t>Other</t>
  </si>
  <si>
    <t>SOVRIN</t>
  </si>
  <si>
    <t>GDPR Issues</t>
  </si>
  <si>
    <t>Armonk</t>
  </si>
  <si>
    <t>Consulting services (e.g. strategy, education, training),Development and/or maintenance of a core protocol framework (e.g. Hyperledger Fabric),Middleware services (e.g. software development platform),Integration of existing protocol frameworks to build networks for customers ,Application development for existing networks,Other (please specify):</t>
  </si>
  <si>
    <t>Operation of business networks</t>
  </si>
  <si>
    <t>Large</t>
  </si>
  <si>
    <t>Hyperledger: Fabric and Composer. Also running nodes on the Stellar network</t>
  </si>
  <si>
    <t>Written as a cross-industry technology but with heavy emphasis in Financial Services in its initial development</t>
  </si>
  <si>
    <t>Multi-channel data diffusion: only a select set of nodes receive, validate and store particular transactions</t>
  </si>
  <si>
    <t>Pls see Fabric description on Hyperledger.org</t>
  </si>
  <si>
    <t>Local: consensus within a 'channel' or subnetwork</t>
  </si>
  <si>
    <t>Kafka, crash fault-tolerant</t>
  </si>
  <si>
    <t>GoLang, Java script, Java</t>
  </si>
  <si>
    <t>Pls see Fabric description on Hyperledger.org (GoLang, Java script, Java)</t>
  </si>
  <si>
    <t>Identity Mixer</t>
  </si>
  <si>
    <t>Sequential execution</t>
  </si>
  <si>
    <t>Hyperledger Composer</t>
  </si>
  <si>
    <t>Feasibility studies,Strategy assessment,Risk management,Solution design,Regulatory and compliance services,Strategy and impact,Systems engineering,Blockchain software development,Professional certifications,Other (please specify):</t>
  </si>
  <si>
    <t>Network Operation</t>
  </si>
  <si>
    <t>DTCC TIW project</t>
  </si>
  <si>
    <t>Stellar</t>
  </si>
  <si>
    <t>As per work on payments, Stronghold etc</t>
  </si>
  <si>
    <t>Business requirements and rationale, technical characteristics, consistency with our strategy etc.</t>
  </si>
  <si>
    <t>Cross industry but with an initial heavy focus on Financial Services</t>
  </si>
  <si>
    <t>Building and Operational Services including consulting, development, and managed infrastructure (IBM Blockchain Platform)</t>
  </si>
  <si>
    <t>Consulting and training fees,Infrastructure fees</t>
  </si>
  <si>
    <t>CLS (Ledger Connect)</t>
  </si>
  <si>
    <t>Hypeledger.org, WeTrade, Batavia, IFT (food trust)</t>
  </si>
  <si>
    <t>IBM Food Trust, TradeLens (with Maersk)</t>
  </si>
  <si>
    <t>For IBM, we expect multiple networks to be in production in 2018 including CLS Net, Wetrade etc. This will further scale in 2019.</t>
  </si>
  <si>
    <t>New York</t>
  </si>
  <si>
    <t>We are a full-stack DLT software development firm</t>
  </si>
  <si>
    <t>HR, Operations, Finance, Program Management, Tech Support</t>
  </si>
  <si>
    <t>By licensing software.</t>
  </si>
  <si>
    <t>Application, integration and consulting partner program in place</t>
  </si>
  <si>
    <t>Member of Hyperledger</t>
  </si>
  <si>
    <t>n/a</t>
  </si>
  <si>
    <t>With our partners</t>
  </si>
  <si>
    <t>DAML developer preview program</t>
  </si>
  <si>
    <t>Answers cannot be provided to question D.1 without NDA, so they have been marked as n/a.</t>
  </si>
  <si>
    <t>Consulting services (e.g. strategy, education, training),Development and/or maintenance of a core protocol framework (e.g. Hyperledger Fabric),Application development for existing networks</t>
  </si>
  <si>
    <t>SETL Blockchain</t>
  </si>
  <si>
    <t>N/A</t>
  </si>
  <si>
    <t>Financial Services</t>
  </si>
  <si>
    <t>RULES-BASED</t>
  </si>
  <si>
    <t>THE BASE LAYER HAS BEEN BUILT TO INTEGRATE WITH WORKFLOW ENGINES</t>
  </si>
  <si>
    <t>NOT YET ENCOUNTERED</t>
  </si>
  <si>
    <t>Strategy assessment,Solution design,Strategy and impact</t>
  </si>
  <si>
    <t>Banking, Financial Markets and Insurance</t>
  </si>
  <si>
    <t>Primarily through building, owning, and operating market infrastructure</t>
  </si>
  <si>
    <t>France</t>
  </si>
  <si>
    <t>Bezons</t>
  </si>
  <si>
    <t>Consulting services (e.g. strategy, education, training),Middleware services (e.g. software development platform),Integration of existing protocol frameworks to build networks for customers ,Application development for existing networks,Other (please specify):</t>
  </si>
  <si>
    <t>Evolution and enhancements of existing core protocol frameworks</t>
  </si>
  <si>
    <t>Research &amp; Education</t>
  </si>
  <si>
    <t>Origin</t>
  </si>
  <si>
    <t>Feasibility studies,Strategy assessment,Risk management,Solution design,Strategy and impact,Systems engineering,Blockchain software development,Other (please specify):</t>
  </si>
  <si>
    <t>Education &amp; trainings</t>
  </si>
  <si>
    <t>Cardano, Ripple, Ethereum, Bitcoin</t>
  </si>
  <si>
    <t>We analyze thoroughly the project/customer need and clearly define the "role", "attributes", "parties" and overall data workflow of it. Then the choice of the core protocol usually imposes itself.</t>
  </si>
  <si>
    <t>Agriculture, Forestry, Fishing and Hunting,Utilities,Manufacturing,Wholesale Trade,Retail Trade,Transportation and Warehousing,Information,Banking, Financial Markets and Insurance,Professional, Scientific, and Technical Services,Administrative and Support and Waste Management and Remediation Services,Educational Services,Healthcare and Social Assistance,Arts, Entertainment, and Recreation,Accommodation and Food Services,Public Administration</t>
  </si>
  <si>
    <t>It's a blockchain-fueled product we sell like other "classical" project.</t>
  </si>
  <si>
    <t>Alastria</t>
  </si>
  <si>
    <t>Bureau Veritas</t>
  </si>
  <si>
    <t>Origin product business partner</t>
  </si>
  <si>
    <t>Wise use of DLT systems</t>
  </si>
  <si>
    <t>There is still a very high percentage of "customers" that think they understand blockchain and come to us asking for 'Smart Contracts' while they have no clue what they're talking about. The great publicity around the topic and the impressive amount of (very weak) articles available on the blockchain leads the market to misunderstand and misuse blockchain while the (indeed limited) obvious and added-value usages of the blockchain pain to find their way to the general population. That's why it takes more time for blockchain to find its usages and customers than originally expected by most.</t>
  </si>
  <si>
    <t>Capexmove</t>
  </si>
  <si>
    <t>Integration of existing protocol frameworks to build networks for customers ,Application development for existing networks</t>
  </si>
  <si>
    <t>Wide adaption, strong developer community</t>
  </si>
  <si>
    <t>Self funded / pre-revenue</t>
  </si>
  <si>
    <t>Argentina</t>
  </si>
  <si>
    <t>Buenos Aires</t>
  </si>
  <si>
    <t>Consulting services (e.g. strategy, education, training),Development and/or maintenance of a core protocol framework (e.g. Hyperledger Fabric),Middleware services (e.g. software development platform),Integration of existing protocol frameworks to build networks for customers ,Application development for existing networks</t>
  </si>
  <si>
    <t>ETC</t>
  </si>
  <si>
    <t>Cardano</t>
  </si>
  <si>
    <t>Solidity and Plutus</t>
  </si>
  <si>
    <t>Circle of angel</t>
  </si>
  <si>
    <t>Agriculture, Forestry, Fishing and Hunting,Information</t>
  </si>
  <si>
    <t>We monetise with the hours of a Expert in Blockchain</t>
  </si>
  <si>
    <t>ONG Bitcoin Argentina</t>
  </si>
  <si>
    <t>Brooklyn</t>
  </si>
  <si>
    <t>GPL</t>
  </si>
  <si>
    <t>Practical Byzantine Fault Tolerance (PBFT),Raft,Proof-of-Elapsed-Time (PoET)</t>
  </si>
  <si>
    <t>extensions into everything ethereum supports</t>
  </si>
  <si>
    <t>Raft: 200-300. IBFT: 1000+</t>
  </si>
  <si>
    <t>Raft: NA. IBFT: 2n+1</t>
  </si>
  <si>
    <t>For raft: interconnectivity, for IBFT, amount of validators</t>
  </si>
  <si>
    <t>Raft: around 1000 txn/sec. IBFT: 400-500 txn/sec</t>
  </si>
  <si>
    <t>NA</t>
  </si>
  <si>
    <t>Ubin, Khokhla</t>
  </si>
  <si>
    <t>Consortium</t>
  </si>
  <si>
    <t>Corda</t>
  </si>
  <si>
    <t>Peer-to-peer</t>
  </si>
  <si>
    <t>Practical Byzantine Fault Tolerance (PBFT),Federated Byzantine Agreement (FBA),Round-Robin scheme,Raft,Paxos,Proof-of-Elapsed-Time (PoET),Node-to-Node (N2N),Other (please specify):</t>
  </si>
  <si>
    <t>Notary clusters</t>
  </si>
  <si>
    <t>Any JVM language, such as Kotlin or Java</t>
  </si>
  <si>
    <t>JVM</t>
  </si>
  <si>
    <t>range proofs</t>
  </si>
  <si>
    <t>Intel Software Guard Extension (SGX)</t>
  </si>
  <si>
    <t>There's no obvious practical scaling limit on the consensus cluster ‚Äì Corda is engineered so that the ultimate scaling limit is the capacity of a consensus cluster and, uniquely, Corda supports multiple consensus clusters on the same network, leading to a lack of an upper bound.</t>
  </si>
  <si>
    <t>Corda Enterprise Software Licenses
Professional Services
Consortium Membership</t>
  </si>
  <si>
    <t>Membership fees,Consulting and training fees,License fees</t>
  </si>
  <si>
    <t>Amazon Web Services, HPE, more available https://www.r3.com/ecosystem/</t>
  </si>
  <si>
    <t>Our ecosystem has 200+ entities involved, from global banks, to major cloud providers, software integrators, to small ISVs</t>
  </si>
  <si>
    <t>R3,  Hyperledger, Marco Polo, Voltron, B3i, Riskblock,</t>
  </si>
  <si>
    <t xml:space="preserve">Bank of Canada, Bank of England, Bank of Thailand, Monetary Authority of Singapore, Hong Kong Monetary Authority </t>
  </si>
  <si>
    <t>There are many other non-public efforts</t>
  </si>
  <si>
    <t>HQLA-X</t>
  </si>
  <si>
    <t xml:space="preserve">Finastra Lendercomm (syndicated loans), Tradewind Markets (gold), GuildOne (oil), HSBlox (healthcare) </t>
  </si>
  <si>
    <t>more information available https://www.r3.com/success-stories/</t>
  </si>
  <si>
    <t>Traditional permission-less blockchain platforms-in which all data is shared with all parties-have issues around privacy, scalability, and interoperability that render them largely unsuited for global businesses. At R3, we rethought the blockchain concept from top to bottom and in 2016 we launched Corda, our open source blockchain platform. Recently, in 2018, we introduced Corda Enterprise-a commercial version of Corda specifically optimized to meet the demands of modern day businesses.</t>
  </si>
  <si>
    <t>Application development for existing networks</t>
  </si>
  <si>
    <t>High transaction throughput, validation speed and low transaction fees</t>
  </si>
  <si>
    <t>Wholesale Trade,Retail Trade</t>
  </si>
  <si>
    <t>Municipalities in Argentina</t>
  </si>
  <si>
    <t>Frankfurt</t>
  </si>
  <si>
    <t>micobo Corda CSSD Platform</t>
  </si>
  <si>
    <t>Feasibility studies,Strategy assessment,Solution design,Strategy and impact,Systems engineering,Blockchain software development,Professional certifications,Other (please specify):</t>
  </si>
  <si>
    <t>R3 Corda focussed consulting / Tokenization / Code Audits</t>
  </si>
  <si>
    <t>Main Focus</t>
  </si>
  <si>
    <t xml:space="preserve">Interoperability, Design Concept, existing Feature set (DLT Blueprint)
</t>
  </si>
  <si>
    <t>Utilities,Information,Banking, Financial Markets and Insurance,Educational Services</t>
  </si>
  <si>
    <t>Consulting services</t>
  </si>
  <si>
    <t>Cannot predict</t>
  </si>
  <si>
    <t>Switzerland</t>
  </si>
  <si>
    <t>Zurich</t>
  </si>
  <si>
    <t xml:space="preserve">Technical support and Administrative </t>
  </si>
  <si>
    <t>KompiTech Blockchain Infrastructure Platform</t>
  </si>
  <si>
    <t>Strategy assessment,Solution design,Systems engineering,Blockchain software development</t>
  </si>
  <si>
    <t xml:space="preserve">Fabric </t>
  </si>
  <si>
    <t xml:space="preserve">Per transaction </t>
  </si>
  <si>
    <t>Transaction fees</t>
  </si>
  <si>
    <t>Issue with educating the target audience</t>
  </si>
  <si>
    <t>India</t>
  </si>
  <si>
    <t>Bangalore</t>
  </si>
  <si>
    <t>Ecosystem Services - Business Consortia - Construct &amp; Operate blockchain network</t>
  </si>
  <si>
    <t>R&amp;D</t>
  </si>
  <si>
    <t>Blockchain Lab as a Service</t>
  </si>
  <si>
    <t>Unlikely</t>
  </si>
  <si>
    <t>Feasibility studies,Strategy assessment,Risk management,Solution design,Regulatory and compliance services,Strategy and impact,Systems engineering,Other (please specify):</t>
  </si>
  <si>
    <t>Blockchain Academy</t>
  </si>
  <si>
    <t xml:space="preserve">Fabric, Indy, Sawtooth </t>
  </si>
  <si>
    <t>BigChainDB, Parity</t>
  </si>
  <si>
    <t>Stellar, Ethereum</t>
  </si>
  <si>
    <t>Type of blockchain (public permissioned or Hybrid model), support for consensus, cryptocurrency, smart contracts, maturity or availability of development tools and integration mechanisms and comparison of non-functional requirements of a Blockchain platform related to performance and scalability</t>
  </si>
  <si>
    <t>Agriculture, Forestry, Fishing and Hunting,Mining, Quarrying, and Oil and Gas Extraction,Utilities,Construction,Manufacturing,Wholesale Trade,Retail Trade,Transportation and Warehousing,Information,Banking, Financial Markets and Insurance,Real Estate and Rental and Leasing,Professional, Scientific, and Technical Services,Management of Companies and Enterprises,Administrative and Support and Waste Management and Remediation Services,Educational Services,Healthcare and Social Assistance,Arts, Entertainment, and Recreation,Accommodation and Food Services,Public Administration</t>
  </si>
  <si>
    <t>We provide blockchain thought to finish services to our client through our offerings - Ecosystem Services, Consulting and Advisory Services, Platform Services &amp; Application Services</t>
  </si>
  <si>
    <t>Go, NodeJS</t>
  </si>
  <si>
    <t>A full docker container</t>
  </si>
  <si>
    <t>ZKAT</t>
  </si>
  <si>
    <t>Side DBs also allowed</t>
  </si>
  <si>
    <t>Validation, great paper https://arxiv.org/pdf/1805.11390.pdf</t>
  </si>
  <si>
    <t>Oracle Autonomous Blockchain Cloud Service</t>
  </si>
  <si>
    <t>Apache Licence 2.0</t>
  </si>
  <si>
    <t>Open source, permissioned, multiple industries, privacy features</t>
  </si>
  <si>
    <t>Billing in transaction blocks. Units of 500 transactions per hour.</t>
  </si>
  <si>
    <t>Specialist partners</t>
  </si>
  <si>
    <t>Within our partnership program</t>
  </si>
  <si>
    <t>Not allowed to specify which until announced</t>
  </si>
  <si>
    <t>Governance of business networks is immature</t>
  </si>
  <si>
    <t>Munich</t>
  </si>
  <si>
    <t xml:space="preserve">Consulting services (e.g. strategy, education, training),Middleware services (e.g. software development platform),Integration of existing protocol frameworks to build networks for customers </t>
  </si>
  <si>
    <t>Tax</t>
  </si>
  <si>
    <t>Certificate Trading</t>
  </si>
  <si>
    <t>Complete pivot</t>
  </si>
  <si>
    <t>Belgium</t>
  </si>
  <si>
    <t>Brussels</t>
  </si>
  <si>
    <t>Middleware services (e.g. software development platform),Integration of existing protocol frameworks to build networks for customers ,Application development for existing networks</t>
  </si>
  <si>
    <t xml:space="preserve">Catalyst </t>
  </si>
  <si>
    <t>Apache License 2.0</t>
  </si>
  <si>
    <t xml:space="preserve">Client demand + partnership relations </t>
  </si>
  <si>
    <t xml:space="preserve">No monetisation; reliant on venture capital investment ($2M)
Bootstrapping (current paid projects by clients)
</t>
  </si>
  <si>
    <t>R3, Digital Asset, IBM, Oracle</t>
  </si>
  <si>
    <t xml:space="preserve">Hyperledger, Infrachain </t>
  </si>
  <si>
    <t>Lille</t>
  </si>
  <si>
    <t>Middleware services (e.g. software development platform),Application development for existing networks</t>
  </si>
  <si>
    <t>Administration</t>
  </si>
  <si>
    <t>Blockchainiz</t>
  </si>
  <si>
    <t>Capacity to build a software on it</t>
  </si>
  <si>
    <t>Additionnal software which manages unlisted securities</t>
  </si>
  <si>
    <t>flate rate and fees/operation realized on blockchain</t>
  </si>
  <si>
    <t>Caisse des depots et consignations</t>
  </si>
  <si>
    <t>A ledger appropriateness framework - multi-dimension framework to decide on most appropriate protocol for a particular app / usage.</t>
  </si>
  <si>
    <t>Enterprise software subscription</t>
  </si>
  <si>
    <t>Netherlands</t>
  </si>
  <si>
    <t>Amsterdam</t>
  </si>
  <si>
    <t xml:space="preserve">Consulting services (e.g. strategy, education, training),Development and/or maintenance of a core protocol framework (e.g. Hyperledger Fabric),Middleware services (e.g. software development platform),Integration of existing protocol frameworks to build networks for customers </t>
  </si>
  <si>
    <t>Analysts, PMs, Community managers, etc.</t>
  </si>
  <si>
    <t>Exonum</t>
  </si>
  <si>
    <t>Government</t>
  </si>
  <si>
    <t>Rust, Java</t>
  </si>
  <si>
    <t>EVM, Other VMs</t>
  </si>
  <si>
    <t>We had experiments attaching EVM and other VMs, some will be released in future</t>
  </si>
  <si>
    <t>~16</t>
  </si>
  <si>
    <t>Consensus</t>
  </si>
  <si>
    <t>Exonum projects</t>
  </si>
  <si>
    <t>Feasibility studies,Strategy assessment,Solution design,Strategy and impact,Systems engineering,Blockchain software development</t>
  </si>
  <si>
    <t>We are Exonum</t>
  </si>
  <si>
    <t>Real Estate and Rental and Leasing,Healthcare and Social Assistance,Public Administration</t>
  </si>
  <si>
    <t>Made government as priority</t>
  </si>
  <si>
    <t>private key management</t>
  </si>
  <si>
    <t>San Jose</t>
  </si>
  <si>
    <t>Development and/or maintenance of a core protocol framework (e.g. Hyperledger Fabric),Middleware services (e.g. software development platform),Other (please specify):</t>
  </si>
  <si>
    <t xml:space="preserve">We provide a Blockchain inspired Big Data platform and business applications </t>
  </si>
  <si>
    <t>Product Management</t>
  </si>
  <si>
    <t>Cuneiform</t>
  </si>
  <si>
    <t>Financial Sector</t>
  </si>
  <si>
    <t>Paxos,Other (please specify):</t>
  </si>
  <si>
    <t>All data pertaining to transactions, reference data, and data transformations are immutable using RFC3161 and will guarantee non-repudiation. 2&gt; (Optional) Transactions can be marked Complete after a regulator like CFTC has additionally cryptographically signed the above events</t>
  </si>
  <si>
    <t>Java, GoLang</t>
  </si>
  <si>
    <t>LDL (Lineage Description Language)</t>
  </si>
  <si>
    <t>Platform provides a Rules Engine (not part of the data layer) for the execution of Turing-complete functions</t>
  </si>
  <si>
    <t>Redaction and Anchoring</t>
  </si>
  <si>
    <t>Our implementation of a core protocol Blockchain framework was built completely in-house.</t>
  </si>
  <si>
    <t>Software licensing</t>
  </si>
  <si>
    <t xml:space="preserve">With consulting organizations </t>
  </si>
  <si>
    <t>With business entity based in Asia-Pacific</t>
  </si>
  <si>
    <t>Berlin</t>
  </si>
  <si>
    <t>Development and/or maintenance of a core protocol framework (e.g. Hyperledger Fabric),Integration of existing protocol frameworks to build networks for customers ,Application development for existing networks</t>
  </si>
  <si>
    <t>Carpass</t>
  </si>
  <si>
    <t>BigchainDB</t>
  </si>
  <si>
    <t>IoT Data Audit Trails and Digital Twinning across industries</t>
  </si>
  <si>
    <t>Yes, but we didn't implement it yet.</t>
  </si>
  <si>
    <t>Infrastructure</t>
  </si>
  <si>
    <t>Strenght of the developer community, technology vision, ability of the community to execute on the vision, milestone track record, the underlying technology itself</t>
  </si>
  <si>
    <t>Mobility, Energy, Manufacturing</t>
  </si>
  <si>
    <t>Health Care</t>
  </si>
  <si>
    <t>Consulting, PoC project work</t>
  </si>
  <si>
    <t>Consulting and training fees,Running PoC fees</t>
  </si>
  <si>
    <t>SAP, Consensys, other blockchain start-ups</t>
  </si>
  <si>
    <t>Renewable Energy, EV Charging</t>
  </si>
  <si>
    <t>Kyiv</t>
  </si>
  <si>
    <t>Smart Money</t>
  </si>
  <si>
    <t>EOS</t>
  </si>
  <si>
    <t>Finance/Banking</t>
  </si>
  <si>
    <t>No Smart Contracts</t>
  </si>
  <si>
    <t>As an EOS Block Producer</t>
  </si>
  <si>
    <t>Human errors, man-in-the-middle attacks. However these are not related to blockchain technology and are common to systems.</t>
  </si>
  <si>
    <t>Cambridge Blockchain</t>
  </si>
  <si>
    <t>Paris</t>
  </si>
  <si>
    <t>Ethereum Enterprise</t>
  </si>
  <si>
    <t>Supply Chain</t>
  </si>
  <si>
    <t>licensing fee</t>
  </si>
  <si>
    <t>system integrators</t>
  </si>
  <si>
    <t>Banking consortia, EEA</t>
  </si>
  <si>
    <t>Several countries</t>
  </si>
  <si>
    <t>Durham</t>
  </si>
  <si>
    <t xml:space="preserve">FoodLogiQ Labs: Food Industry Blockchain Consortium </t>
  </si>
  <si>
    <t>Feasibility studies,Strategy assessment,Strategy and impact</t>
  </si>
  <si>
    <t xml:space="preserve">Food and Beverage </t>
  </si>
  <si>
    <t xml:space="preserve">SaaS Subscription-Based License </t>
  </si>
  <si>
    <t>Interoperability with other blockchains focused on the food industry</t>
  </si>
  <si>
    <t>US FDA and CDC efforts surrounding traceability</t>
  </si>
  <si>
    <t xml:space="preserve">Thank you for asking us to participate! </t>
  </si>
  <si>
    <t>KYC Trust</t>
  </si>
  <si>
    <t>Business-to-business implies no gossip protocol.</t>
  </si>
  <si>
    <t>capital markets</t>
  </si>
  <si>
    <t>Morrisville</t>
  </si>
  <si>
    <t>recruiting, support</t>
  </si>
  <si>
    <t>Guangzhou</t>
  </si>
  <si>
    <t>Australia</t>
  </si>
  <si>
    <t>Sydney</t>
  </si>
  <si>
    <t>Consulting services (e.g. strategy, education, training),Development and/or maintenance of a core protocol framework (e.g. Hyperledger Fabric),Middleware services (e.g. software development platform)</t>
  </si>
  <si>
    <t>Brooklyn, NY</t>
  </si>
  <si>
    <t>Incubator, VC, Academy, Community &amp; Ecosystem Development</t>
  </si>
  <si>
    <t>Finance, HR, OrgDev, etc.</t>
  </si>
  <si>
    <t>Ethereum: Quorum and Pantheon (Enterprise Focused Versions of Ethereum)</t>
  </si>
  <si>
    <t>GPL/LGPL (Quorum), Pantheon (Apache 2.0)</t>
  </si>
  <si>
    <t>Istanbul Byzantine Fault Tolerance (IBFT)</t>
  </si>
  <si>
    <t>Java</t>
  </si>
  <si>
    <t>ZSL (Zero-Knowledge Security Layer)</t>
  </si>
  <si>
    <t>Boise, Idaho</t>
  </si>
  <si>
    <t>Austria</t>
  </si>
  <si>
    <t>Vienna</t>
  </si>
  <si>
    <t>Legal tech application</t>
  </si>
  <si>
    <t>Nashville</t>
  </si>
  <si>
    <t>Diegem</t>
  </si>
  <si>
    <t xml:space="preserve">Consulting services (e.g. strategy, education, training),Development and/or maintenance of a core protocol framework (e.g. Hyperledger Fabric),Integration of existing protocol frameworks to build networks for customers </t>
  </si>
  <si>
    <t>Italy</t>
  </si>
  <si>
    <t>Via sempione 14</t>
  </si>
  <si>
    <t>Lugano</t>
  </si>
  <si>
    <t>Project Management</t>
  </si>
  <si>
    <t>CrossVerify</t>
  </si>
  <si>
    <t>Privacy
Security
Enterprise grade
Standard technologies
Leading cryptography</t>
  </si>
  <si>
    <t>Initial focus was banking as this is the low hanging fruit, however there is much traction from outside of this sector.</t>
  </si>
  <si>
    <t>Durham, NC</t>
  </si>
  <si>
    <t>Professional services, software delivery for small projects</t>
  </si>
  <si>
    <t>Emblem Vault</t>
  </si>
  <si>
    <t>Agriculture, Forestry, Fishing and Hunting,Banking, Financial Markets and Insurance</t>
  </si>
  <si>
    <t>we contribute to poen source blockchain projects</t>
  </si>
  <si>
    <t>We are co-investing with some companies</t>
  </si>
  <si>
    <t>Rosario</t>
  </si>
  <si>
    <t>Network</t>
  </si>
  <si>
    <t>Milan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</si>
</sst>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4"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rgb="FF000000"/>
      <name val="Tahoma"/>
      <charset val="1"/>
    </font>
    <font>
      <sz val="9"/>
      <color rgb="FF000000"/>
      <name val="Tahoma"/>
      <charset val="1"/>
    </font>
    <font>
      <b/>
      <sz val="9"/>
      <color indexed="81"/>
      <name val="Tahoma"/>
      <charset val="1"/>
    </font>
    <font>
      <sz val="9"/>
      <color indexed="81"/>
      <name val="Tahoma"/>
      <charset val="1"/>
    </font>
    <font>
      <b/>
      <sz val="10"/>
      <color rgb="FF000000"/>
      <name val="Tahoma"/>
      <family val="2"/>
    </font>
    <font>
      <sz val="10"/>
      <color rgb="FF000000"/>
      <name val="Tahoma"/>
      <family val="2"/>
    </font>
    <font>
      <sz val="10"/>
      <color rgb="FF000000"/>
      <name val="Calibri"/>
      <scheme val="minor"/>
    </font>
    <font>
      <sz val="10"/>
      <color rgb="FF000000"/>
      <name val="Calibri"/>
    </font>
    <font>
      <b/>
      <sz val="9"/>
      <color rgb="FF000000"/>
      <name val="Tahoma"/>
      <family val="2"/>
    </font>
    <font>
      <sz val="9"/>
      <color rgb="FF000000"/>
      <name val="Tahoma"/>
      <family val="2"/>
    </font>
  </fonts>
  <fills count="9">
    <fill>
      <patternFill patternType="none"/>
    </fill>
    <fill>
      <patternFill patternType="gray125"/>
    </fill>
    <fill>
      <patternFill patternType="solid">
        <fgColor theme="8"/>
        <bgColor indexed="64"/>
      </patternFill>
    </fill>
    <fill>
      <patternFill patternType="solid">
        <fgColor rgb="FFCC0099"/>
        <bgColor indexed="64"/>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6"/>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2" borderId="0" xfId="0" applyFill="1"/>
    <xf numFmtId="0" fontId="0" fillId="3" borderId="0" xfId="0" applyFill="1"/>
    <xf numFmtId="0" fontId="0" fillId="4" borderId="0" xfId="0" applyFill="1"/>
    <xf numFmtId="2" fontId="0" fillId="0" borderId="0" xfId="0" applyNumberFormat="1"/>
    <xf numFmtId="1" fontId="0" fillId="4" borderId="0" xfId="0" applyNumberFormat="1" applyFill="1"/>
    <xf numFmtId="17" fontId="0" fillId="0" borderId="0" xfId="0" applyNumberFormat="1"/>
    <xf numFmtId="0" fontId="0" fillId="5" borderId="0" xfId="0" applyFill="1"/>
    <xf numFmtId="0" fontId="0" fillId="6" borderId="0" xfId="0" applyFill="1"/>
    <xf numFmtId="0" fontId="0" fillId="7" borderId="0" xfId="0" applyFill="1"/>
    <xf numFmtId="1" fontId="0" fillId="0" borderId="0" xfId="0" applyNumberFormat="1"/>
    <xf numFmtId="17" fontId="0" fillId="6" borderId="0" xfId="0" applyNumberFormat="1" applyFill="1"/>
    <xf numFmtId="0" fontId="0" fillId="0" borderId="0" xfId="1" applyNumberFormat="1" applyFont="1"/>
    <xf numFmtId="3" fontId="0" fillId="0" borderId="0" xfId="0" applyNumberFormat="1"/>
    <xf numFmtId="165" fontId="0" fillId="0" borderId="0" xfId="1" applyNumberFormat="1" applyFont="1"/>
    <xf numFmtId="0" fontId="0" fillId="8" borderId="0" xfId="0" applyFill="1"/>
    <xf numFmtId="17" fontId="0" fillId="8" borderId="0" xfId="0" applyNumberFormat="1" applyFill="1"/>
    <xf numFmtId="17" fontId="0" fillId="7"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SUS" id="{33AC5FCC-AC61-45E6-8D8F-2AAD2AE22AA7}" userId="ASUS" providerId="None"/>
  <person displayName="Michel Rauchs" id="{6D22C6A1-6077-4E45-810C-19844DB933BE}" userId="S::rauchsm@jbs.cam.ac.uk::fbc82d1e-d72b-4e58-911e-4a5a06a8761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1" dT="2019-03-24T20:56:06.98" personId="{33AC5FCC-AC61-45E6-8D8F-2AAD2AE22AA7}" id="{268BB89E-3C3A-4558-AB3C-1E1A5B7E943A}">
    <text>Scale: small &lt;10 FTE exclusively working on BC, medium b/w 10 and 50, large &gt;50</text>
  </threadedComment>
  <threadedComment ref="B2" dT="2019-03-15T08:39:33.63" personId="{33AC5FCC-AC61-45E6-8D8F-2AAD2AE22AA7}" id="{74D84BB1-461F-437E-A811-2F9E5312BFFE}">
    <text>EC4V3PS</text>
  </threadedComment>
  <threadedComment ref="H4" dT="2019-03-15T09:55:24.86" personId="{33AC5FCC-AC61-45E6-8D8F-2AAD2AE22AA7}" id="{1B248201-7721-4C71-A7B6-38D081B539B8}">
    <text>How can they have some downloads in 2017 and 2018Q2.</text>
  </threadedComment>
  <threadedComment ref="DW14" dT="2019-03-15T09:56:49.27" personId="{33AC5FCC-AC61-45E6-8D8F-2AAD2AE22AA7}" id="{20E0343B-BCA4-4906-BEC1-55F9F2E89E0A}">
    <text>Indicated launch year 2018</text>
  </threadedComment>
  <threadedComment ref="DX14" dT="2019-03-15T09:56:49.27" personId="{33AC5FCC-AC61-45E6-8D8F-2AAD2AE22AA7}" id="{16F82D9E-EC59-41EC-9C5E-C438D2F6F7DC}">
    <text>Indicated launch year 2018</text>
  </threadedComment>
  <threadedComment ref="DW16" dT="2019-03-15T10:00:40.38" personId="{33AC5FCC-AC61-45E6-8D8F-2AAD2AE22AA7}" id="{A1908968-C2EB-43AD-905B-8AB3FE2E89C5}">
    <text>Indicated launch year 2017</text>
  </threadedComment>
  <threadedComment ref="DQ18" dT="2019-03-15T09:50:54.47" personId="{33AC5FCC-AC61-45E6-8D8F-2AAD2AE22AA7}" id="{201840B6-B81A-4356-8EFD-05BB28AF252E}">
    <text>Replaced "Other (please specify):" based on following comment</text>
  </threadedComment>
  <threadedComment ref="AX23" dT="2019-03-18T03:58:36.10" personId="{33AC5FCC-AC61-45E6-8D8F-2AAD2AE22AA7}" id="{3F78BC26-1967-4D6D-A705-3FD10DBD08D6}">
    <text>Based on Hyperledger documentation: https://hyperledger-fabric.readthedocs.io/en/release-1.0/gossip.html</text>
  </threadedComment>
  <threadedComment ref="BD23" dT="2019-03-18T04:09:06.39" personId="{33AC5FCC-AC61-45E6-8D8F-2AAD2AE22AA7}" id="{9534B4D0-250F-4575-A1BE-E1E28EA9F15D}">
    <text>Replaced "Other" based on Keith's comment</text>
  </threadedComment>
  <threadedComment ref="BF23" dT="2019-03-18T04:09:21.79" personId="{33AC5FCC-AC61-45E6-8D8F-2AAD2AE22AA7}" id="{88ECEFF9-6B69-42D4-BA7C-CAF5E07927C8}">
    <text>Added based on Keith's comment</text>
  </threadedComment>
  <threadedComment ref="BY23" dT="2019-03-20T05:33:38.29" personId="{33AC5FCC-AC61-45E6-8D8F-2AAD2AE22AA7}" id="{4B01AFA1-AB8C-4118-A367-37C6C6B70F25}">
    <text>Based on https://openblockchain.readthedocs.io/en/latest/FAQ/usage_FAQ/</text>
  </threadedComment>
  <threadedComment ref="CA23" dT="2019-03-21T20:57:34.14" personId="{33AC5FCC-AC61-45E6-8D8F-2AAD2AE22AA7}" id="{842DA786-5654-4520-9CDE-EF7B84C79209}">
    <text>Replaced "pls see https://arxiv.org/pdf/1801.10228.pdf" based on the article.</text>
  </threadedComment>
  <threadedComment ref="BB25" dT="2019-03-24T20:58:37.02" personId="{33AC5FCC-AC61-45E6-8D8F-2AAD2AE22AA7}" id="{2E8B03B5-88C0-42E8-AC68-A68A65C04E1A}">
    <text>Removed "Other (please specify):" bec. there comment in the next cell does not make sense.</text>
  </threadedComment>
  <threadedComment ref="O26" dT="2019-03-15T09:36:05.14" personId="{33AC5FCC-AC61-45E6-8D8F-2AAD2AE22AA7}" id="{797327F3-E40C-4EC3-B81C-8C8B0B243386}">
    <text>Removed "0"</text>
  </threadedComment>
  <threadedComment ref="P26" dT="2019-03-15T09:36:05.14" personId="{33AC5FCC-AC61-45E6-8D8F-2AAD2AE22AA7}" id="{902B02C1-B69B-470A-96D9-002559FCE063}">
    <text>Removed "0"</text>
  </threadedComment>
  <threadedComment ref="Q26" dT="2019-03-15T09:36:05.14" personId="{33AC5FCC-AC61-45E6-8D8F-2AAD2AE22AA7}" id="{418D5C3E-3F8A-48BE-8CC5-55A47AB1F501}">
    <text>Removed "0"</text>
  </threadedComment>
  <threadedComment ref="R26" dT="2019-03-15T09:36:05.14" personId="{33AC5FCC-AC61-45E6-8D8F-2AAD2AE22AA7}" id="{A4EB8808-9DAC-4B46-9BAE-276F9D6185D9}">
    <text>Removed "0"</text>
  </threadedComment>
  <threadedComment ref="S26" dT="2019-03-15T09:36:05.14" personId="{33AC5FCC-AC61-45E6-8D8F-2AAD2AE22AA7}" id="{23164858-6933-4A59-8478-A4B1EED0B606}">
    <text>Removed "0"</text>
  </threadedComment>
  <threadedComment ref="T26" dT="2019-03-15T09:36:05.14" personId="{33AC5FCC-AC61-45E6-8D8F-2AAD2AE22AA7}" id="{B798E258-DDBA-4312-BFE5-45C41DB9B36B}">
    <text>Removed "0"</text>
  </threadedComment>
  <threadedComment ref="G31" dT="2019-03-18T03:57:38.54" personId="{33AC5FCC-AC61-45E6-8D8F-2AAD2AE22AA7}" id="{DE6F75F7-4C61-4925-B8F9-203A587D2B33}">
    <text>Based on their LinkedIn's profile</text>
  </threadedComment>
  <threadedComment ref="O31" dT="2019-03-15T09:37:14.24" personId="{33AC5FCC-AC61-45E6-8D8F-2AAD2AE22AA7}" id="{AC081C3C-34EE-4934-AB40-0BD96E370C6E}">
    <text>Removed "0" because was created in 2017</text>
  </threadedComment>
  <threadedComment ref="P31" dT="2019-03-15T09:37:14.24" personId="{33AC5FCC-AC61-45E6-8D8F-2AAD2AE22AA7}" id="{0EAD8AC1-7A4C-497C-BDCE-D1304B883234}">
    <text>Removed "0" because was created in 2017</text>
  </threadedComment>
  <threadedComment ref="CH32" dT="2019-03-20T05:06:31.58" personId="{33AC5FCC-AC61-45E6-8D8F-2AAD2AE22AA7}" id="{19E5EC5A-4BF1-4BF3-8834-CB5A96344D23}">
    <text>Removed "prop."</text>
  </threadedComment>
  <threadedComment ref="O42" dT="2019-03-15T09:36:05.14" personId="{33AC5FCC-AC61-45E6-8D8F-2AAD2AE22AA7}" id="{6EE9EA7A-6C81-474C-9C75-8B91114DDE82}">
    <text>Removed "0"</text>
  </threadedComment>
  <threadedComment ref="P42" dT="2019-03-15T09:36:05.14" personId="{33AC5FCC-AC61-45E6-8D8F-2AAD2AE22AA7}" id="{494EAD87-98EC-431E-A52B-D6B318CC7AB5}">
    <text>Removed "0"</text>
  </threadedComment>
  <threadedComment ref="Q42" dT="2019-03-15T09:36:05.14" personId="{33AC5FCC-AC61-45E6-8D8F-2AAD2AE22AA7}" id="{434C71B4-CAE8-4CA1-A05B-A9651958529F}">
    <text>Removed "0"</text>
  </threadedComment>
  <threadedComment ref="R42" dT="2019-03-15T09:36:05.14" personId="{33AC5FCC-AC61-45E6-8D8F-2AAD2AE22AA7}" id="{1507D2FA-1A10-4F22-BF9D-740F4AD00D8F}">
    <text>Removed "0"</text>
  </threadedComment>
  <threadedComment ref="EW43" dT="2019-03-22T16:50:13.70" personId="{6D22C6A1-6077-4E45-810C-19844DB933BE}" id="{F88A2B9A-D7E0-4956-A4CA-F09553F51C62}">
    <text>“The solution was not adopted, we are working on other projects‚Äã.”</text>
  </threadedComment>
  <threadedComment ref="O45" dT="2019-03-15T09:36:05.14" personId="{33AC5FCC-AC61-45E6-8D8F-2AAD2AE22AA7}" id="{E7C9F2E8-083C-4981-B84B-B855041E4F38}">
    <text>Removed "0"</text>
  </threadedComment>
  <threadedComment ref="P45" dT="2019-03-15T09:36:05.14" personId="{33AC5FCC-AC61-45E6-8D8F-2AAD2AE22AA7}" id="{476F2AF2-A35F-43F2-A5E6-A076975D2C3F}">
    <text>Removed "0"</text>
  </threadedComment>
  <threadedComment ref="Q45" dT="2019-03-15T09:36:05.14" personId="{33AC5FCC-AC61-45E6-8D8F-2AAD2AE22AA7}" id="{5A3805CF-2137-4FAD-85C0-D2847B530BB5}">
    <text>Removed "0"</text>
  </threadedComment>
  <threadedComment ref="R45" dT="2019-03-15T09:36:05.14" personId="{33AC5FCC-AC61-45E6-8D8F-2AAD2AE22AA7}" id="{931643EC-F2F3-4A71-AEB9-E425F3585C2C}">
    <text>Removed "0"</text>
  </threadedComment>
  <threadedComment ref="A59" dT="2019-03-21T15:46:50.79" personId="{6D22C6A1-6077-4E45-810C-19844DB933BE}" id="{681B8E92-4862-4ADD-ABDB-D6DD212529AF}">
    <text>? Let’s assign new IDs that haven’t been used for Clean I/Raw.</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CC0E5-C5A3-445F-84AF-E4942488F32A}">
  <dimension ref="A1:GT1048574"/>
  <sheetViews>
    <sheetView tabSelected="1" topLeftCell="A10" workbookViewId="0">
      <selection activeCell="S59" sqref="S59"/>
    </sheetView>
  </sheetViews>
  <sheetFormatPr baseColWidth="10" defaultColWidth="9.6640625" defaultRowHeight="15" x14ac:dyDescent="0.2"/>
  <sheetData>
    <row r="1" spans="1:202" x14ac:dyDescent="0.2">
      <c r="A1" t="s">
        <v>0</v>
      </c>
      <c r="B1" s="1" t="s">
        <v>1</v>
      </c>
      <c r="C1" s="1" t="s">
        <v>2</v>
      </c>
      <c r="D1" s="1" t="s">
        <v>3</v>
      </c>
      <c r="E1" s="2" t="s">
        <v>4</v>
      </c>
      <c r="F1" s="2" t="s">
        <v>5</v>
      </c>
      <c r="G1" s="1" t="s">
        <v>6</v>
      </c>
      <c r="H1" s="1" t="s">
        <v>7</v>
      </c>
      <c r="I1" s="2" t="s">
        <v>8</v>
      </c>
      <c r="J1" s="2" t="s">
        <v>9</v>
      </c>
      <c r="K1" s="2" t="s">
        <v>10</v>
      </c>
      <c r="L1" s="1" t="s">
        <v>11</v>
      </c>
      <c r="M1" s="1" t="s">
        <v>12</v>
      </c>
      <c r="N1" s="1" t="s">
        <v>13</v>
      </c>
      <c r="O1" s="1" t="s">
        <v>14</v>
      </c>
      <c r="P1" s="1" t="s">
        <v>15</v>
      </c>
      <c r="Q1" s="1" t="s">
        <v>16</v>
      </c>
      <c r="R1" s="1" t="s">
        <v>17</v>
      </c>
      <c r="S1" s="1" t="s">
        <v>18</v>
      </c>
      <c r="T1" s="1" t="s">
        <v>19</v>
      </c>
      <c r="U1" s="2" t="s">
        <v>20</v>
      </c>
      <c r="V1" s="2" t="s">
        <v>21</v>
      </c>
      <c r="W1" s="2" t="s">
        <v>22</v>
      </c>
      <c r="X1" s="2" t="s">
        <v>23</v>
      </c>
      <c r="Y1" s="1" t="s">
        <v>24</v>
      </c>
      <c r="Z1" s="1" t="s">
        <v>25</v>
      </c>
      <c r="AA1" s="1" t="s">
        <v>26</v>
      </c>
      <c r="AB1" s="1" t="s">
        <v>27</v>
      </c>
      <c r="AC1" s="1" t="s">
        <v>28</v>
      </c>
      <c r="AD1" s="1" t="s">
        <v>29</v>
      </c>
      <c r="AE1" s="1" t="s">
        <v>30</v>
      </c>
      <c r="AF1" s="2"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2" t="s">
        <v>142</v>
      </c>
      <c r="EN1" s="1" t="s">
        <v>143</v>
      </c>
      <c r="EO1" s="1" t="s">
        <v>144</v>
      </c>
      <c r="EP1" s="1" t="s">
        <v>145</v>
      </c>
      <c r="EQ1" s="1" t="s">
        <v>146</v>
      </c>
      <c r="ER1" s="1" t="s">
        <v>147</v>
      </c>
      <c r="ES1" s="1" t="s">
        <v>148</v>
      </c>
      <c r="ET1" s="1" t="s">
        <v>149</v>
      </c>
      <c r="EU1" s="1" t="s">
        <v>150</v>
      </c>
      <c r="EV1" s="1" t="s">
        <v>151</v>
      </c>
      <c r="EW1" s="1" t="s">
        <v>152</v>
      </c>
      <c r="EX1" s="2"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row>
    <row r="2" spans="1:202" x14ac:dyDescent="0.2">
      <c r="A2">
        <v>1</v>
      </c>
      <c r="B2" s="3" t="s">
        <v>202</v>
      </c>
      <c r="C2" t="s">
        <v>203</v>
      </c>
      <c r="D2" s="3" t="s">
        <v>202</v>
      </c>
      <c r="E2" t="s">
        <v>204</v>
      </c>
      <c r="F2" t="s">
        <v>204</v>
      </c>
      <c r="G2" s="3">
        <v>2014</v>
      </c>
      <c r="H2">
        <v>2015</v>
      </c>
      <c r="I2">
        <f>H2-G2</f>
        <v>1</v>
      </c>
      <c r="J2" t="s">
        <v>205</v>
      </c>
      <c r="K2" t="s">
        <v>206</v>
      </c>
      <c r="L2" t="s">
        <v>207</v>
      </c>
      <c r="M2" t="s">
        <v>208</v>
      </c>
      <c r="O2">
        <v>8</v>
      </c>
      <c r="P2">
        <v>8</v>
      </c>
      <c r="Q2">
        <v>10</v>
      </c>
      <c r="R2">
        <v>10</v>
      </c>
      <c r="S2">
        <v>20</v>
      </c>
      <c r="T2">
        <v>20</v>
      </c>
      <c r="U2" s="4">
        <f t="shared" ref="U2:U8" si="0">P2/O2</f>
        <v>1</v>
      </c>
      <c r="V2" s="4">
        <f t="shared" ref="V2:V8" si="1">R2/Q2</f>
        <v>1</v>
      </c>
      <c r="W2" s="4">
        <f t="shared" ref="W2:W8" si="2">T2/S2</f>
        <v>1</v>
      </c>
      <c r="X2" t="s">
        <v>209</v>
      </c>
      <c r="Y2" s="5">
        <f>40/106*100</f>
        <v>37.735849056603776</v>
      </c>
      <c r="Z2" s="5">
        <f>20/106*100</f>
        <v>18.867924528301888</v>
      </c>
      <c r="AA2" s="5">
        <f>21/106*100</f>
        <v>19.811320754716981</v>
      </c>
      <c r="AB2" s="5">
        <f>20/106*100</f>
        <v>18.867924528301888</v>
      </c>
      <c r="AC2" s="5">
        <f>5/106*100</f>
        <v>4.716981132075472</v>
      </c>
      <c r="AD2" s="3">
        <v>0</v>
      </c>
      <c r="AH2" s="6"/>
      <c r="AI2" s="6"/>
      <c r="CC2" t="s">
        <v>210</v>
      </c>
      <c r="CD2" s="6">
        <v>42217</v>
      </c>
      <c r="CE2" s="6">
        <v>42370</v>
      </c>
      <c r="CK2" t="s">
        <v>211</v>
      </c>
      <c r="CN2" s="3" t="s">
        <v>212</v>
      </c>
      <c r="DN2" s="3" t="s">
        <v>213</v>
      </c>
      <c r="DP2" t="s">
        <v>214</v>
      </c>
      <c r="DQ2" t="s">
        <v>215</v>
      </c>
      <c r="DS2" t="s">
        <v>216</v>
      </c>
      <c r="DT2" t="s">
        <v>216</v>
      </c>
      <c r="EF2">
        <v>0</v>
      </c>
      <c r="EG2">
        <v>0</v>
      </c>
      <c r="EH2">
        <v>70</v>
      </c>
      <c r="EI2">
        <v>0</v>
      </c>
      <c r="EJ2">
        <v>5</v>
      </c>
      <c r="EK2">
        <v>25</v>
      </c>
      <c r="EL2">
        <v>0</v>
      </c>
      <c r="EM2">
        <f t="shared" ref="EM2:EM46" si="3">SUM(EF2:EL2)</f>
        <v>100</v>
      </c>
      <c r="EN2" s="3">
        <v>0</v>
      </c>
      <c r="EO2" s="5">
        <f>20/90*100</f>
        <v>22.222222222222221</v>
      </c>
      <c r="EP2" s="5">
        <f>30/90*100</f>
        <v>33.333333333333329</v>
      </c>
      <c r="EQ2" s="5">
        <f>40/90*100</f>
        <v>44.444444444444443</v>
      </c>
      <c r="ER2" s="3">
        <v>0</v>
      </c>
      <c r="ES2" s="3">
        <v>0</v>
      </c>
      <c r="ET2" s="3">
        <v>0</v>
      </c>
      <c r="EU2" s="3">
        <v>0</v>
      </c>
      <c r="EV2" s="3">
        <v>0</v>
      </c>
      <c r="EW2" t="s">
        <v>217</v>
      </c>
      <c r="EX2" s="7" t="s">
        <v>218</v>
      </c>
      <c r="EY2" t="s">
        <v>219</v>
      </c>
      <c r="EZ2" t="s">
        <v>220</v>
      </c>
      <c r="FE2" t="s">
        <v>219</v>
      </c>
      <c r="FH2" t="s">
        <v>219</v>
      </c>
      <c r="FK2" t="s">
        <v>219</v>
      </c>
      <c r="FQ2">
        <v>2</v>
      </c>
      <c r="FS2">
        <v>4</v>
      </c>
      <c r="FT2">
        <v>4</v>
      </c>
      <c r="FU2">
        <v>2</v>
      </c>
      <c r="FV2">
        <v>1</v>
      </c>
      <c r="FW2">
        <v>3</v>
      </c>
      <c r="FX2">
        <v>2</v>
      </c>
      <c r="GA2">
        <v>4</v>
      </c>
      <c r="GB2">
        <v>4</v>
      </c>
      <c r="GC2">
        <v>3</v>
      </c>
      <c r="GD2">
        <v>1</v>
      </c>
      <c r="GE2">
        <v>4</v>
      </c>
      <c r="GF2">
        <v>1</v>
      </c>
      <c r="GG2">
        <v>3</v>
      </c>
      <c r="GH2">
        <v>3</v>
      </c>
      <c r="GI2">
        <v>2</v>
      </c>
      <c r="GJ2">
        <v>3</v>
      </c>
      <c r="GK2">
        <v>1</v>
      </c>
      <c r="GL2">
        <v>2</v>
      </c>
      <c r="GM2">
        <v>1</v>
      </c>
      <c r="GN2">
        <v>3</v>
      </c>
      <c r="GQ2" t="s">
        <v>221</v>
      </c>
      <c r="GR2" t="s">
        <v>221</v>
      </c>
      <c r="GT2" t="s">
        <v>222</v>
      </c>
    </row>
    <row r="3" spans="1:202" x14ac:dyDescent="0.2">
      <c r="A3">
        <v>2</v>
      </c>
      <c r="B3" t="s">
        <v>224</v>
      </c>
      <c r="C3" t="s">
        <v>225</v>
      </c>
      <c r="D3" t="s">
        <v>226</v>
      </c>
      <c r="E3" t="s">
        <v>227</v>
      </c>
      <c r="F3" t="s">
        <v>227</v>
      </c>
      <c r="G3">
        <v>2016</v>
      </c>
      <c r="J3" t="s">
        <v>205</v>
      </c>
      <c r="K3" t="s">
        <v>206</v>
      </c>
      <c r="L3" t="s">
        <v>228</v>
      </c>
      <c r="M3" t="s">
        <v>229</v>
      </c>
      <c r="O3">
        <v>1</v>
      </c>
      <c r="P3">
        <v>1</v>
      </c>
      <c r="Q3">
        <v>1</v>
      </c>
      <c r="R3">
        <v>1</v>
      </c>
      <c r="S3">
        <v>1</v>
      </c>
      <c r="T3">
        <v>1</v>
      </c>
      <c r="U3" s="4">
        <f t="shared" si="0"/>
        <v>1</v>
      </c>
      <c r="V3" s="4">
        <f t="shared" si="1"/>
        <v>1</v>
      </c>
      <c r="W3" s="4">
        <f t="shared" si="2"/>
        <v>1</v>
      </c>
      <c r="X3" t="s">
        <v>230</v>
      </c>
      <c r="Y3">
        <v>100</v>
      </c>
      <c r="AF3" t="s">
        <v>231</v>
      </c>
      <c r="AG3" t="s">
        <v>223</v>
      </c>
      <c r="AH3" s="6">
        <v>42278</v>
      </c>
      <c r="AI3" s="6">
        <v>42644</v>
      </c>
      <c r="AK3" t="s">
        <v>232</v>
      </c>
      <c r="AO3" t="s">
        <v>233</v>
      </c>
      <c r="AP3" t="s">
        <v>234</v>
      </c>
      <c r="AT3" t="s">
        <v>235</v>
      </c>
      <c r="AV3" t="s">
        <v>236</v>
      </c>
      <c r="AX3" t="s">
        <v>237</v>
      </c>
      <c r="AY3" t="s">
        <v>238</v>
      </c>
      <c r="AZ3" t="s">
        <v>237</v>
      </c>
      <c r="BA3" s="7" t="s">
        <v>239</v>
      </c>
      <c r="BB3" t="s">
        <v>237</v>
      </c>
      <c r="BC3" t="s">
        <v>240</v>
      </c>
      <c r="BD3" t="s">
        <v>241</v>
      </c>
      <c r="BF3" t="s">
        <v>242</v>
      </c>
      <c r="BI3" t="s">
        <v>243</v>
      </c>
      <c r="BK3" t="s">
        <v>244</v>
      </c>
      <c r="BN3" t="s">
        <v>245</v>
      </c>
      <c r="BU3" t="s">
        <v>245</v>
      </c>
      <c r="BW3" t="s">
        <v>245</v>
      </c>
      <c r="BX3" t="s">
        <v>246</v>
      </c>
      <c r="BY3" s="3" t="s">
        <v>247</v>
      </c>
      <c r="BZ3" t="s">
        <v>248</v>
      </c>
      <c r="CA3" s="7" t="s">
        <v>249</v>
      </c>
      <c r="CB3" s="3" t="s">
        <v>247</v>
      </c>
      <c r="EF3">
        <v>0</v>
      </c>
      <c r="EG3">
        <v>30</v>
      </c>
      <c r="EH3">
        <v>30</v>
      </c>
      <c r="EI3">
        <v>0</v>
      </c>
      <c r="EJ3">
        <v>10</v>
      </c>
      <c r="EK3">
        <v>30</v>
      </c>
      <c r="EL3">
        <v>0</v>
      </c>
      <c r="EM3">
        <f t="shared" si="3"/>
        <v>100</v>
      </c>
      <c r="EN3">
        <v>0</v>
      </c>
      <c r="EO3">
        <v>10</v>
      </c>
      <c r="EQ3">
        <v>70</v>
      </c>
      <c r="ER3">
        <v>20</v>
      </c>
      <c r="ES3">
        <v>0</v>
      </c>
      <c r="ET3">
        <v>0</v>
      </c>
      <c r="EU3">
        <v>0</v>
      </c>
      <c r="EV3">
        <v>0</v>
      </c>
      <c r="EW3" t="s">
        <v>250</v>
      </c>
      <c r="EX3" s="7" t="s">
        <v>251</v>
      </c>
      <c r="EY3" t="s">
        <v>219</v>
      </c>
      <c r="FE3" t="s">
        <v>219</v>
      </c>
      <c r="FQ3">
        <v>3</v>
      </c>
      <c r="FS3">
        <v>5</v>
      </c>
      <c r="FT3">
        <v>5</v>
      </c>
      <c r="FU3">
        <v>5</v>
      </c>
      <c r="FV3">
        <v>5</v>
      </c>
      <c r="FW3">
        <v>3</v>
      </c>
      <c r="FX3">
        <v>3</v>
      </c>
      <c r="GB3">
        <v>5</v>
      </c>
      <c r="GC3">
        <v>4</v>
      </c>
      <c r="GD3">
        <v>4</v>
      </c>
      <c r="GE3">
        <v>5</v>
      </c>
      <c r="GF3">
        <v>5</v>
      </c>
      <c r="GG3">
        <v>5</v>
      </c>
      <c r="GH3">
        <v>5</v>
      </c>
      <c r="GI3">
        <v>5</v>
      </c>
      <c r="GJ3">
        <v>4</v>
      </c>
      <c r="GK3">
        <v>5</v>
      </c>
      <c r="GL3">
        <v>5</v>
      </c>
      <c r="GM3">
        <v>5</v>
      </c>
      <c r="GN3">
        <v>5</v>
      </c>
      <c r="GQ3" t="s">
        <v>252</v>
      </c>
      <c r="GR3" t="s">
        <v>253</v>
      </c>
      <c r="GT3" t="s">
        <v>222</v>
      </c>
    </row>
    <row r="4" spans="1:202" x14ac:dyDescent="0.2">
      <c r="A4">
        <v>3</v>
      </c>
      <c r="B4" t="s">
        <v>202</v>
      </c>
      <c r="D4" t="s">
        <v>202</v>
      </c>
      <c r="E4" t="s">
        <v>204</v>
      </c>
      <c r="F4" t="s">
        <v>204</v>
      </c>
      <c r="G4" s="3">
        <v>2015</v>
      </c>
      <c r="H4" s="7">
        <v>2019</v>
      </c>
      <c r="I4">
        <f>H4-G4</f>
        <v>4</v>
      </c>
      <c r="J4" t="s">
        <v>205</v>
      </c>
      <c r="K4" t="s">
        <v>206</v>
      </c>
      <c r="L4" t="s">
        <v>228</v>
      </c>
      <c r="M4" t="s">
        <v>254</v>
      </c>
      <c r="N4" t="s">
        <v>255</v>
      </c>
      <c r="O4">
        <v>12</v>
      </c>
      <c r="P4">
        <v>10</v>
      </c>
      <c r="Q4">
        <v>20</v>
      </c>
      <c r="R4">
        <v>18</v>
      </c>
      <c r="S4">
        <v>32</v>
      </c>
      <c r="T4">
        <v>29</v>
      </c>
      <c r="U4" s="4">
        <f t="shared" si="0"/>
        <v>0.83333333333333337</v>
      </c>
      <c r="V4" s="4">
        <f t="shared" si="1"/>
        <v>0.9</v>
      </c>
      <c r="W4" s="4">
        <f t="shared" si="2"/>
        <v>0.90625</v>
      </c>
      <c r="X4" t="s">
        <v>209</v>
      </c>
      <c r="Y4" s="5">
        <f>50/99*100</f>
        <v>50.505050505050505</v>
      </c>
      <c r="Z4" s="5">
        <f>9/99*100</f>
        <v>9.0909090909090917</v>
      </c>
      <c r="AA4" s="5">
        <f>10/99*100</f>
        <v>10.1010101010101</v>
      </c>
      <c r="AB4" s="5">
        <f>10/99*100</f>
        <v>10.1010101010101</v>
      </c>
      <c r="AC4" s="5">
        <v>0</v>
      </c>
      <c r="AD4" s="5">
        <f>20/99*100</f>
        <v>20.202020202020201</v>
      </c>
      <c r="AE4" t="s">
        <v>256</v>
      </c>
      <c r="AF4" t="s">
        <v>257</v>
      </c>
      <c r="AG4" t="s">
        <v>258</v>
      </c>
      <c r="AH4" s="6">
        <v>42979</v>
      </c>
      <c r="AI4" s="6">
        <v>43525</v>
      </c>
      <c r="AK4" t="s">
        <v>259</v>
      </c>
      <c r="AN4" t="s">
        <v>260</v>
      </c>
      <c r="AO4" t="s">
        <v>261</v>
      </c>
      <c r="AP4" t="s">
        <v>262</v>
      </c>
      <c r="AQ4" t="s">
        <v>263</v>
      </c>
      <c r="AT4" t="s">
        <v>264</v>
      </c>
      <c r="AU4" t="s">
        <v>265</v>
      </c>
      <c r="AX4" t="s">
        <v>266</v>
      </c>
      <c r="AZ4" t="s">
        <v>267</v>
      </c>
      <c r="BB4" t="s">
        <v>268</v>
      </c>
      <c r="BC4" t="s">
        <v>269</v>
      </c>
      <c r="BD4" t="s">
        <v>270</v>
      </c>
      <c r="BE4" t="s">
        <v>271</v>
      </c>
      <c r="BI4" t="s">
        <v>272</v>
      </c>
      <c r="BJ4" t="s">
        <v>273</v>
      </c>
      <c r="BM4" t="s">
        <v>245</v>
      </c>
      <c r="BN4" t="s">
        <v>245</v>
      </c>
      <c r="BO4" t="s">
        <v>274</v>
      </c>
      <c r="BP4" t="s">
        <v>274</v>
      </c>
      <c r="BS4" t="s">
        <v>245</v>
      </c>
      <c r="BU4" t="s">
        <v>274</v>
      </c>
      <c r="BV4" t="s">
        <v>274</v>
      </c>
      <c r="BY4">
        <v>100</v>
      </c>
      <c r="BZ4">
        <v>100</v>
      </c>
      <c r="CA4" t="s">
        <v>275</v>
      </c>
      <c r="CB4">
        <v>150</v>
      </c>
      <c r="DW4">
        <v>0</v>
      </c>
      <c r="DX4">
        <v>10</v>
      </c>
      <c r="DY4">
        <v>5</v>
      </c>
      <c r="DZ4">
        <v>1</v>
      </c>
      <c r="EA4">
        <v>1</v>
      </c>
      <c r="EB4">
        <v>1</v>
      </c>
      <c r="EC4">
        <v>1</v>
      </c>
      <c r="ED4">
        <v>0</v>
      </c>
      <c r="EE4">
        <v>1</v>
      </c>
      <c r="EF4">
        <v>0</v>
      </c>
      <c r="EG4">
        <v>10</v>
      </c>
      <c r="EH4">
        <v>70</v>
      </c>
      <c r="EI4">
        <v>0</v>
      </c>
      <c r="EJ4">
        <v>0</v>
      </c>
      <c r="EK4">
        <v>20</v>
      </c>
      <c r="EL4">
        <v>0</v>
      </c>
      <c r="EM4">
        <f t="shared" si="3"/>
        <v>100</v>
      </c>
      <c r="EN4">
        <v>0</v>
      </c>
      <c r="EO4">
        <v>10</v>
      </c>
      <c r="EP4">
        <v>0</v>
      </c>
      <c r="EQ4">
        <v>70</v>
      </c>
      <c r="ER4">
        <v>20</v>
      </c>
      <c r="ES4">
        <v>0</v>
      </c>
      <c r="ET4">
        <v>0</v>
      </c>
      <c r="EU4">
        <v>0</v>
      </c>
      <c r="EW4" t="s">
        <v>276</v>
      </c>
      <c r="EX4" s="7" t="s">
        <v>277</v>
      </c>
      <c r="EY4" t="s">
        <v>274</v>
      </c>
      <c r="EZ4" t="s">
        <v>278</v>
      </c>
      <c r="FB4" t="s">
        <v>219</v>
      </c>
      <c r="FC4" t="s">
        <v>279</v>
      </c>
      <c r="FE4" t="s">
        <v>274</v>
      </c>
      <c r="FH4" t="s">
        <v>274</v>
      </c>
      <c r="FI4" t="s">
        <v>280</v>
      </c>
      <c r="FQ4">
        <v>1</v>
      </c>
      <c r="FS4">
        <v>4</v>
      </c>
      <c r="FT4">
        <v>4</v>
      </c>
      <c r="FU4">
        <v>1</v>
      </c>
      <c r="FV4">
        <v>1</v>
      </c>
      <c r="FW4">
        <v>2</v>
      </c>
      <c r="FX4">
        <v>1</v>
      </c>
      <c r="GA4">
        <v>5</v>
      </c>
      <c r="GB4">
        <v>3</v>
      </c>
      <c r="GC4">
        <v>5</v>
      </c>
      <c r="GD4">
        <v>1</v>
      </c>
      <c r="GE4">
        <v>4</v>
      </c>
      <c r="GF4">
        <v>1</v>
      </c>
      <c r="GG4">
        <v>3</v>
      </c>
      <c r="GH4">
        <v>1</v>
      </c>
      <c r="GI4">
        <v>1</v>
      </c>
      <c r="GJ4">
        <v>4</v>
      </c>
      <c r="GK4">
        <v>1</v>
      </c>
      <c r="GL4">
        <v>4</v>
      </c>
      <c r="GM4">
        <v>5</v>
      </c>
      <c r="GN4">
        <v>5</v>
      </c>
      <c r="GQ4" t="s">
        <v>221</v>
      </c>
      <c r="GR4" t="s">
        <v>253</v>
      </c>
      <c r="GS4" t="s">
        <v>281</v>
      </c>
      <c r="GT4" t="s">
        <v>222</v>
      </c>
    </row>
    <row r="5" spans="1:202" x14ac:dyDescent="0.2">
      <c r="A5" s="8">
        <v>4</v>
      </c>
      <c r="B5" s="8" t="s">
        <v>282</v>
      </c>
      <c r="C5" s="8" t="s">
        <v>283</v>
      </c>
      <c r="D5" s="8" t="s">
        <v>282</v>
      </c>
      <c r="E5" t="s">
        <v>284</v>
      </c>
      <c r="F5" t="s">
        <v>284</v>
      </c>
      <c r="G5" s="8">
        <v>2016</v>
      </c>
      <c r="H5" s="8"/>
      <c r="J5" t="s">
        <v>285</v>
      </c>
      <c r="K5" t="s">
        <v>206</v>
      </c>
      <c r="L5" s="8" t="s">
        <v>286</v>
      </c>
      <c r="M5" s="8" t="s">
        <v>287</v>
      </c>
      <c r="N5" s="8"/>
      <c r="O5" s="8">
        <v>1</v>
      </c>
      <c r="P5" s="8">
        <v>1</v>
      </c>
      <c r="Q5" s="8">
        <v>1</v>
      </c>
      <c r="R5" s="8">
        <v>1</v>
      </c>
      <c r="S5" s="8">
        <v>1</v>
      </c>
      <c r="T5" s="8">
        <v>1</v>
      </c>
      <c r="U5" s="4">
        <f t="shared" si="0"/>
        <v>1</v>
      </c>
      <c r="V5" s="4">
        <f t="shared" si="1"/>
        <v>1</v>
      </c>
      <c r="W5" s="4">
        <f t="shared" si="2"/>
        <v>1</v>
      </c>
      <c r="X5" t="s">
        <v>230</v>
      </c>
      <c r="Y5" s="8">
        <v>100</v>
      </c>
      <c r="Z5" s="8"/>
      <c r="AA5" s="8"/>
      <c r="AB5" s="8"/>
      <c r="AC5" s="8"/>
      <c r="AD5" s="8"/>
      <c r="AE5" s="8"/>
      <c r="AF5" s="8" t="s">
        <v>288</v>
      </c>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t="s">
        <v>289</v>
      </c>
      <c r="CG5" s="8"/>
      <c r="CH5" s="8"/>
      <c r="CI5" s="8"/>
      <c r="CJ5" s="8"/>
      <c r="CK5" s="8"/>
      <c r="CL5" s="8"/>
      <c r="CM5" s="8" t="s">
        <v>290</v>
      </c>
      <c r="CN5" s="8"/>
      <c r="CO5" s="8"/>
      <c r="CP5" s="8"/>
      <c r="CQ5" s="8"/>
      <c r="CR5" s="8" t="s">
        <v>290</v>
      </c>
      <c r="CS5" s="8"/>
      <c r="CT5" s="8"/>
      <c r="CU5" s="8"/>
      <c r="CV5" s="8"/>
      <c r="CW5" s="8"/>
      <c r="CX5" s="8"/>
      <c r="CY5" s="8"/>
      <c r="CZ5" s="8"/>
      <c r="DA5" s="8"/>
      <c r="DB5" s="8"/>
      <c r="DC5" s="8"/>
      <c r="DD5" s="8"/>
      <c r="DE5" s="8"/>
      <c r="DF5" s="8"/>
      <c r="DG5" s="8"/>
      <c r="DH5" s="8"/>
      <c r="DI5" s="8"/>
      <c r="DJ5" s="8"/>
      <c r="DK5" s="8"/>
      <c r="DL5" s="8"/>
      <c r="DM5" s="8" t="s">
        <v>290</v>
      </c>
      <c r="DN5" s="8" t="s">
        <v>263</v>
      </c>
      <c r="DO5" s="8"/>
      <c r="DP5" s="8"/>
      <c r="DQ5" s="8"/>
      <c r="DR5" s="8"/>
      <c r="DS5" s="8"/>
      <c r="DT5" s="8"/>
      <c r="DU5" s="8"/>
      <c r="DV5" s="8"/>
      <c r="DW5" s="8"/>
      <c r="DX5" s="8"/>
      <c r="DY5" s="8"/>
      <c r="DZ5" s="8"/>
      <c r="EA5" s="8"/>
      <c r="EB5" s="8"/>
      <c r="EC5" s="8"/>
      <c r="ED5" s="8"/>
      <c r="EE5" s="8"/>
      <c r="EF5" s="8">
        <v>0</v>
      </c>
      <c r="EG5" s="8">
        <v>0</v>
      </c>
      <c r="EH5" s="8">
        <v>0</v>
      </c>
      <c r="EI5" s="8">
        <v>100</v>
      </c>
      <c r="EJ5" s="8">
        <v>0</v>
      </c>
      <c r="EK5" s="8">
        <v>0</v>
      </c>
      <c r="EL5" s="8">
        <v>0</v>
      </c>
      <c r="EM5">
        <f t="shared" si="3"/>
        <v>100</v>
      </c>
      <c r="EN5" s="8"/>
      <c r="EO5" s="8"/>
      <c r="EP5" s="8"/>
      <c r="EQ5" s="8"/>
      <c r="ER5" s="8"/>
      <c r="ES5" s="8"/>
      <c r="ET5" s="8"/>
      <c r="EU5" s="8"/>
      <c r="EV5" s="8"/>
      <c r="EW5" s="8"/>
      <c r="EX5" s="7"/>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t="s">
        <v>291</v>
      </c>
    </row>
    <row r="6" spans="1:202" x14ac:dyDescent="0.2">
      <c r="A6">
        <v>5</v>
      </c>
      <c r="B6" t="s">
        <v>292</v>
      </c>
      <c r="C6" t="s">
        <v>293</v>
      </c>
      <c r="D6" t="s">
        <v>292</v>
      </c>
      <c r="E6" t="s">
        <v>294</v>
      </c>
      <c r="F6" t="s">
        <v>294</v>
      </c>
      <c r="G6" s="3">
        <v>2016</v>
      </c>
      <c r="H6" s="3"/>
      <c r="J6" t="s">
        <v>205</v>
      </c>
      <c r="K6" t="s">
        <v>206</v>
      </c>
      <c r="L6" t="s">
        <v>228</v>
      </c>
      <c r="M6" t="s">
        <v>295</v>
      </c>
      <c r="O6">
        <v>30</v>
      </c>
      <c r="P6">
        <v>20</v>
      </c>
      <c r="Q6">
        <v>40</v>
      </c>
      <c r="R6">
        <v>30</v>
      </c>
      <c r="S6">
        <v>70</v>
      </c>
      <c r="T6">
        <v>50</v>
      </c>
      <c r="U6" s="4">
        <f t="shared" si="0"/>
        <v>0.66666666666666663</v>
      </c>
      <c r="V6" s="4">
        <f t="shared" si="1"/>
        <v>0.75</v>
      </c>
      <c r="W6" s="4">
        <f t="shared" si="2"/>
        <v>0.7142857142857143</v>
      </c>
      <c r="X6" t="s">
        <v>209</v>
      </c>
      <c r="Y6" s="5">
        <f>82/92*100</f>
        <v>89.130434782608688</v>
      </c>
      <c r="Z6" s="5">
        <v>0</v>
      </c>
      <c r="AA6" s="5">
        <v>0</v>
      </c>
      <c r="AB6" s="5">
        <f>8/92*100</f>
        <v>8.695652173913043</v>
      </c>
      <c r="AC6" s="5">
        <f>2/92*100</f>
        <v>2.1739130434782608</v>
      </c>
      <c r="AD6" s="5">
        <v>0</v>
      </c>
      <c r="AF6" t="s">
        <v>296</v>
      </c>
      <c r="AG6" t="s">
        <v>297</v>
      </c>
      <c r="AH6" s="6">
        <v>42430</v>
      </c>
      <c r="AI6" s="6">
        <v>42948</v>
      </c>
      <c r="AK6" t="s">
        <v>298</v>
      </c>
      <c r="AP6" t="s">
        <v>234</v>
      </c>
      <c r="AT6" t="s">
        <v>235</v>
      </c>
      <c r="AV6" t="s">
        <v>299</v>
      </c>
      <c r="AX6" t="s">
        <v>300</v>
      </c>
      <c r="AZ6" t="s">
        <v>300</v>
      </c>
      <c r="BB6" t="s">
        <v>237</v>
      </c>
      <c r="BC6" t="s">
        <v>301</v>
      </c>
      <c r="BD6" t="s">
        <v>302</v>
      </c>
      <c r="BE6" t="s">
        <v>271</v>
      </c>
      <c r="BF6" t="s">
        <v>303</v>
      </c>
      <c r="BI6" t="s">
        <v>272</v>
      </c>
      <c r="BJ6" t="s">
        <v>273</v>
      </c>
      <c r="BM6" t="s">
        <v>245</v>
      </c>
      <c r="BN6" t="s">
        <v>245</v>
      </c>
      <c r="BO6" t="s">
        <v>245</v>
      </c>
      <c r="BS6" t="s">
        <v>274</v>
      </c>
      <c r="BT6" t="s">
        <v>274</v>
      </c>
      <c r="BY6">
        <v>10</v>
      </c>
      <c r="BZ6">
        <v>10</v>
      </c>
      <c r="CA6" t="s">
        <v>304</v>
      </c>
      <c r="CB6" s="3">
        <v>15000</v>
      </c>
      <c r="CK6" t="s">
        <v>305</v>
      </c>
      <c r="DW6">
        <v>0</v>
      </c>
      <c r="DX6">
        <v>60</v>
      </c>
      <c r="DY6">
        <v>100</v>
      </c>
      <c r="DZ6">
        <v>2</v>
      </c>
      <c r="EA6">
        <v>6</v>
      </c>
      <c r="EB6">
        <v>4</v>
      </c>
      <c r="EC6">
        <v>0</v>
      </c>
      <c r="ED6">
        <v>3</v>
      </c>
      <c r="EE6">
        <v>4</v>
      </c>
      <c r="EF6">
        <v>0</v>
      </c>
      <c r="EG6">
        <v>70</v>
      </c>
      <c r="EH6">
        <v>5</v>
      </c>
      <c r="EI6">
        <v>0</v>
      </c>
      <c r="EJ6">
        <v>0</v>
      </c>
      <c r="EK6">
        <v>20</v>
      </c>
      <c r="EL6">
        <v>5</v>
      </c>
      <c r="EM6">
        <f t="shared" si="3"/>
        <v>100</v>
      </c>
      <c r="EN6" s="5">
        <f>25/99*100</f>
        <v>25.252525252525253</v>
      </c>
      <c r="EO6" s="5">
        <f>14/99*100</f>
        <v>14.14141414141414</v>
      </c>
      <c r="EP6" s="5">
        <f>15/99*100</f>
        <v>15.151515151515152</v>
      </c>
      <c r="EQ6" s="5">
        <f>40/99*100</f>
        <v>40.404040404040401</v>
      </c>
      <c r="ER6" s="5">
        <v>0</v>
      </c>
      <c r="ES6" s="5">
        <v>0</v>
      </c>
      <c r="ET6" s="5">
        <v>0</v>
      </c>
      <c r="EU6" s="5">
        <f>5/99*100</f>
        <v>5.0505050505050502</v>
      </c>
      <c r="EV6" s="5">
        <v>0</v>
      </c>
      <c r="EX6" s="7"/>
      <c r="FQ6">
        <v>4</v>
      </c>
      <c r="FS6">
        <v>4</v>
      </c>
      <c r="FT6">
        <v>4</v>
      </c>
      <c r="FU6">
        <v>4</v>
      </c>
      <c r="FV6">
        <v>4</v>
      </c>
      <c r="FW6">
        <v>4</v>
      </c>
      <c r="FX6">
        <v>4</v>
      </c>
      <c r="FY6">
        <v>4</v>
      </c>
      <c r="GA6">
        <v>4</v>
      </c>
      <c r="GB6">
        <v>4</v>
      </c>
      <c r="GC6">
        <v>4</v>
      </c>
      <c r="GD6">
        <v>4</v>
      </c>
      <c r="GE6">
        <v>4</v>
      </c>
      <c r="GF6">
        <v>4</v>
      </c>
      <c r="GG6">
        <v>4</v>
      </c>
      <c r="GH6">
        <v>4</v>
      </c>
      <c r="GI6">
        <v>4</v>
      </c>
      <c r="GJ6">
        <v>4</v>
      </c>
      <c r="GK6">
        <v>1</v>
      </c>
      <c r="GL6">
        <v>3</v>
      </c>
      <c r="GM6">
        <v>4</v>
      </c>
      <c r="GN6">
        <v>1</v>
      </c>
      <c r="GO6">
        <v>4</v>
      </c>
      <c r="GQ6" t="s">
        <v>221</v>
      </c>
      <c r="GR6" t="s">
        <v>306</v>
      </c>
      <c r="GT6" t="s">
        <v>222</v>
      </c>
    </row>
    <row r="7" spans="1:202" x14ac:dyDescent="0.2">
      <c r="A7">
        <v>6</v>
      </c>
      <c r="B7" t="s">
        <v>292</v>
      </c>
      <c r="C7" t="s">
        <v>307</v>
      </c>
      <c r="D7" t="s">
        <v>292</v>
      </c>
      <c r="E7" t="s">
        <v>294</v>
      </c>
      <c r="F7" t="s">
        <v>294</v>
      </c>
      <c r="G7" s="3">
        <v>2014</v>
      </c>
      <c r="J7" t="s">
        <v>285</v>
      </c>
      <c r="K7" t="s">
        <v>206</v>
      </c>
      <c r="L7" t="s">
        <v>286</v>
      </c>
      <c r="M7" t="s">
        <v>229</v>
      </c>
      <c r="O7">
        <v>100</v>
      </c>
      <c r="P7">
        <v>10</v>
      </c>
      <c r="Q7">
        <v>150</v>
      </c>
      <c r="R7">
        <v>20</v>
      </c>
      <c r="S7">
        <v>200</v>
      </c>
      <c r="T7">
        <v>50</v>
      </c>
      <c r="U7" s="4">
        <f t="shared" si="0"/>
        <v>0.1</v>
      </c>
      <c r="V7" s="4">
        <f t="shared" si="1"/>
        <v>0.13333333333333333</v>
      </c>
      <c r="W7" s="4">
        <f t="shared" si="2"/>
        <v>0.25</v>
      </c>
      <c r="X7" t="s">
        <v>209</v>
      </c>
      <c r="Y7" s="5">
        <f>71/101*100</f>
        <v>70.297029702970292</v>
      </c>
      <c r="Z7" s="5">
        <f>10/101*100</f>
        <v>9.9009900990099009</v>
      </c>
      <c r="AA7" s="5">
        <f>6/101*100</f>
        <v>5.9405940594059405</v>
      </c>
      <c r="AB7" s="5">
        <f>6/101*100</f>
        <v>5.9405940594059405</v>
      </c>
      <c r="AC7" s="5">
        <f>2/101*100</f>
        <v>1.9801980198019802</v>
      </c>
      <c r="AD7" s="5">
        <f>6/101*100</f>
        <v>5.9405940594059405</v>
      </c>
      <c r="AE7" t="s">
        <v>308</v>
      </c>
      <c r="AF7" t="s">
        <v>231</v>
      </c>
      <c r="AG7" t="s">
        <v>309</v>
      </c>
      <c r="AH7" s="6">
        <v>42430</v>
      </c>
      <c r="AI7" s="6">
        <v>42917</v>
      </c>
      <c r="AJ7" t="s">
        <v>310</v>
      </c>
      <c r="AK7" t="s">
        <v>232</v>
      </c>
      <c r="AO7" t="s">
        <v>311</v>
      </c>
      <c r="AP7" t="s">
        <v>312</v>
      </c>
      <c r="AR7" t="s">
        <v>263</v>
      </c>
      <c r="AT7" t="s">
        <v>313</v>
      </c>
      <c r="AX7" t="s">
        <v>266</v>
      </c>
      <c r="AZ7" t="s">
        <v>267</v>
      </c>
      <c r="BB7" t="s">
        <v>314</v>
      </c>
      <c r="BD7" t="s">
        <v>270</v>
      </c>
      <c r="BE7" t="s">
        <v>271</v>
      </c>
      <c r="BI7" t="s">
        <v>272</v>
      </c>
      <c r="BJ7" t="s">
        <v>273</v>
      </c>
      <c r="BM7" t="s">
        <v>245</v>
      </c>
      <c r="BN7" t="s">
        <v>245</v>
      </c>
      <c r="BO7" t="s">
        <v>274</v>
      </c>
      <c r="BP7" t="s">
        <v>274</v>
      </c>
      <c r="BS7" t="s">
        <v>274</v>
      </c>
      <c r="BT7" t="s">
        <v>274</v>
      </c>
      <c r="BU7" t="s">
        <v>245</v>
      </c>
      <c r="BV7" t="s">
        <v>274</v>
      </c>
      <c r="BY7">
        <v>22</v>
      </c>
      <c r="BZ7">
        <v>100</v>
      </c>
      <c r="CA7" t="s">
        <v>315</v>
      </c>
      <c r="CB7" t="s">
        <v>316</v>
      </c>
      <c r="DW7" s="3"/>
      <c r="DX7" s="3"/>
      <c r="DY7" s="3"/>
      <c r="DZ7" s="3"/>
      <c r="EA7" s="3"/>
      <c r="EB7" s="3"/>
      <c r="EC7" s="3"/>
      <c r="ED7" s="3"/>
      <c r="EE7" s="3"/>
      <c r="EF7">
        <v>0</v>
      </c>
      <c r="EG7">
        <v>100</v>
      </c>
      <c r="EH7">
        <v>0</v>
      </c>
      <c r="EI7">
        <v>0</v>
      </c>
      <c r="EJ7">
        <v>0</v>
      </c>
      <c r="EK7">
        <v>0</v>
      </c>
      <c r="EL7">
        <v>0</v>
      </c>
      <c r="EM7">
        <f t="shared" si="3"/>
        <v>100</v>
      </c>
      <c r="EN7">
        <v>0</v>
      </c>
      <c r="EO7">
        <v>0</v>
      </c>
      <c r="EP7">
        <v>50</v>
      </c>
      <c r="EQ7">
        <v>0</v>
      </c>
      <c r="ER7">
        <v>0</v>
      </c>
      <c r="ES7">
        <v>50</v>
      </c>
      <c r="ET7">
        <v>0</v>
      </c>
      <c r="EU7">
        <v>0</v>
      </c>
      <c r="EV7">
        <v>0</v>
      </c>
      <c r="EX7" s="7"/>
      <c r="FQ7">
        <v>5</v>
      </c>
      <c r="FS7">
        <v>5</v>
      </c>
      <c r="FT7">
        <v>5</v>
      </c>
      <c r="FU7">
        <v>4</v>
      </c>
      <c r="FV7">
        <v>3</v>
      </c>
      <c r="FW7">
        <v>4</v>
      </c>
      <c r="FX7">
        <v>3</v>
      </c>
      <c r="FY7">
        <v>4</v>
      </c>
      <c r="FZ7" t="s">
        <v>317</v>
      </c>
      <c r="GA7">
        <v>3</v>
      </c>
      <c r="GB7">
        <v>2</v>
      </c>
      <c r="GC7">
        <v>4</v>
      </c>
      <c r="GD7">
        <v>3</v>
      </c>
      <c r="GE7">
        <v>3</v>
      </c>
      <c r="GF7">
        <v>3</v>
      </c>
      <c r="GG7">
        <v>4</v>
      </c>
      <c r="GH7">
        <v>5</v>
      </c>
      <c r="GI7">
        <v>3</v>
      </c>
      <c r="GJ7">
        <v>2</v>
      </c>
      <c r="GK7">
        <v>3</v>
      </c>
      <c r="GL7">
        <v>4</v>
      </c>
      <c r="GM7">
        <v>2</v>
      </c>
      <c r="GN7">
        <v>4</v>
      </c>
      <c r="GQ7" t="s">
        <v>306</v>
      </c>
      <c r="GR7" t="s">
        <v>221</v>
      </c>
      <c r="GT7" t="s">
        <v>222</v>
      </c>
    </row>
    <row r="8" spans="1:202" x14ac:dyDescent="0.2">
      <c r="A8">
        <v>7</v>
      </c>
      <c r="B8" t="s">
        <v>319</v>
      </c>
      <c r="D8" t="s">
        <v>319</v>
      </c>
      <c r="E8" t="s">
        <v>320</v>
      </c>
      <c r="F8" t="s">
        <v>320</v>
      </c>
      <c r="G8" s="3">
        <v>2015</v>
      </c>
      <c r="J8" t="s">
        <v>205</v>
      </c>
      <c r="K8" t="s">
        <v>206</v>
      </c>
      <c r="L8" t="s">
        <v>286</v>
      </c>
      <c r="M8" t="s">
        <v>321</v>
      </c>
      <c r="O8">
        <v>2</v>
      </c>
      <c r="P8">
        <v>1</v>
      </c>
      <c r="Q8">
        <v>3</v>
      </c>
      <c r="R8">
        <v>1</v>
      </c>
      <c r="S8">
        <v>4</v>
      </c>
      <c r="T8">
        <v>2</v>
      </c>
      <c r="U8" s="4">
        <f t="shared" si="0"/>
        <v>0.5</v>
      </c>
      <c r="V8" s="4">
        <f t="shared" si="1"/>
        <v>0.33333333333333331</v>
      </c>
      <c r="W8" s="4">
        <f t="shared" si="2"/>
        <v>0.5</v>
      </c>
      <c r="X8" t="s">
        <v>230</v>
      </c>
      <c r="Y8" s="5">
        <f>25/99*100</f>
        <v>25.252525252525253</v>
      </c>
      <c r="Z8" s="5">
        <f>25/99*100</f>
        <v>25.252525252525253</v>
      </c>
      <c r="AA8" s="5">
        <f>12/99*100</f>
        <v>12.121212121212121</v>
      </c>
      <c r="AB8" s="5">
        <f>25/99*100</f>
        <v>25.252525252525253</v>
      </c>
      <c r="AC8" s="5">
        <f>12/99*100</f>
        <v>12.121212121212121</v>
      </c>
      <c r="AD8" s="5">
        <v>0</v>
      </c>
      <c r="AF8" t="s">
        <v>231</v>
      </c>
      <c r="CC8" t="s">
        <v>318</v>
      </c>
      <c r="CD8" s="6">
        <v>42370</v>
      </c>
      <c r="CE8" s="6">
        <v>42917</v>
      </c>
      <c r="CF8" t="s">
        <v>322</v>
      </c>
      <c r="CJ8" t="s">
        <v>311</v>
      </c>
      <c r="CK8" t="s">
        <v>323</v>
      </c>
      <c r="DJ8" t="s">
        <v>290</v>
      </c>
      <c r="DK8" t="s">
        <v>324</v>
      </c>
      <c r="DP8" t="s">
        <v>325</v>
      </c>
      <c r="DQ8" t="s">
        <v>326</v>
      </c>
      <c r="DS8" t="s">
        <v>216</v>
      </c>
      <c r="DT8" t="s">
        <v>216</v>
      </c>
      <c r="DW8">
        <v>0</v>
      </c>
      <c r="DX8">
        <v>0</v>
      </c>
      <c r="DY8">
        <v>0</v>
      </c>
      <c r="DZ8">
        <v>1</v>
      </c>
      <c r="EA8">
        <v>6</v>
      </c>
      <c r="EB8">
        <v>3</v>
      </c>
      <c r="EC8">
        <v>0</v>
      </c>
      <c r="ED8">
        <v>0</v>
      </c>
      <c r="EE8">
        <v>0</v>
      </c>
      <c r="EF8">
        <v>100</v>
      </c>
      <c r="EG8">
        <v>0</v>
      </c>
      <c r="EH8">
        <v>0</v>
      </c>
      <c r="EI8">
        <v>0</v>
      </c>
      <c r="EJ8">
        <v>0</v>
      </c>
      <c r="EK8">
        <v>0</v>
      </c>
      <c r="EL8">
        <v>0</v>
      </c>
      <c r="EM8">
        <f t="shared" si="3"/>
        <v>100</v>
      </c>
      <c r="EN8">
        <v>0</v>
      </c>
      <c r="EO8">
        <v>0</v>
      </c>
      <c r="EP8">
        <v>50</v>
      </c>
      <c r="EQ8">
        <v>25</v>
      </c>
      <c r="ER8">
        <v>0</v>
      </c>
      <c r="ES8">
        <v>25</v>
      </c>
      <c r="ET8">
        <v>0</v>
      </c>
      <c r="EU8">
        <v>0</v>
      </c>
      <c r="EV8">
        <v>0</v>
      </c>
      <c r="EW8" t="s">
        <v>327</v>
      </c>
      <c r="EX8" s="7" t="s">
        <v>328</v>
      </c>
      <c r="EY8" t="s">
        <v>274</v>
      </c>
      <c r="EZ8" t="s">
        <v>329</v>
      </c>
      <c r="FE8" t="s">
        <v>219</v>
      </c>
      <c r="FF8" t="s">
        <v>330</v>
      </c>
      <c r="FQ8">
        <v>3</v>
      </c>
      <c r="FS8">
        <v>5</v>
      </c>
      <c r="FT8">
        <v>2</v>
      </c>
      <c r="FU8">
        <v>4</v>
      </c>
      <c r="FV8">
        <v>2</v>
      </c>
      <c r="FW8">
        <v>2</v>
      </c>
      <c r="FX8">
        <v>2</v>
      </c>
      <c r="GA8">
        <v>5</v>
      </c>
      <c r="GB8">
        <v>5</v>
      </c>
      <c r="GC8">
        <v>2</v>
      </c>
      <c r="GD8">
        <v>3</v>
      </c>
      <c r="GE8">
        <v>4</v>
      </c>
      <c r="GF8">
        <v>2</v>
      </c>
      <c r="GG8">
        <v>4</v>
      </c>
      <c r="GH8">
        <v>2</v>
      </c>
      <c r="GI8">
        <v>2</v>
      </c>
      <c r="GJ8">
        <v>5</v>
      </c>
      <c r="GK8">
        <v>4</v>
      </c>
      <c r="GL8">
        <v>2</v>
      </c>
      <c r="GM8">
        <v>2</v>
      </c>
      <c r="GN8">
        <v>4</v>
      </c>
      <c r="GQ8" t="s">
        <v>253</v>
      </c>
      <c r="GR8" t="s">
        <v>253</v>
      </c>
      <c r="GT8" t="s">
        <v>222</v>
      </c>
    </row>
    <row r="9" spans="1:202" x14ac:dyDescent="0.2">
      <c r="A9">
        <v>8</v>
      </c>
      <c r="B9" t="s">
        <v>224</v>
      </c>
      <c r="C9" t="s">
        <v>331</v>
      </c>
      <c r="D9" t="s">
        <v>332</v>
      </c>
      <c r="E9" t="s">
        <v>227</v>
      </c>
      <c r="F9" t="s">
        <v>284</v>
      </c>
      <c r="G9">
        <v>2017</v>
      </c>
      <c r="H9">
        <v>2018</v>
      </c>
      <c r="I9">
        <f t="shared" ref="I9:I22" si="4">H9-G9</f>
        <v>1</v>
      </c>
      <c r="J9" t="s">
        <v>205</v>
      </c>
      <c r="K9" t="s">
        <v>206</v>
      </c>
      <c r="L9" t="s">
        <v>333</v>
      </c>
      <c r="M9" t="s">
        <v>208</v>
      </c>
      <c r="O9" s="3"/>
      <c r="P9" s="3"/>
      <c r="Q9" s="3"/>
      <c r="R9" s="3"/>
      <c r="S9" s="3"/>
      <c r="T9" s="3"/>
      <c r="U9" s="4"/>
      <c r="V9" s="4"/>
      <c r="W9" s="4"/>
      <c r="Y9" s="5">
        <f>30/161*100</f>
        <v>18.633540372670808</v>
      </c>
      <c r="Z9" s="5">
        <f>50/161*100</f>
        <v>31.05590062111801</v>
      </c>
      <c r="AA9" s="5">
        <f>50/161*100</f>
        <v>31.05590062111801</v>
      </c>
      <c r="AB9" s="5">
        <f>23/161*100</f>
        <v>14.285714285714285</v>
      </c>
      <c r="AC9" s="5">
        <f>8/161*100</f>
        <v>4.9689440993788816</v>
      </c>
      <c r="AD9" s="5">
        <v>0</v>
      </c>
      <c r="AF9" t="s">
        <v>231</v>
      </c>
      <c r="CC9" t="s">
        <v>334</v>
      </c>
      <c r="CD9" s="6">
        <v>43374</v>
      </c>
      <c r="CE9" s="6">
        <v>43160</v>
      </c>
      <c r="CF9" t="s">
        <v>322</v>
      </c>
      <c r="CJ9" t="s">
        <v>335</v>
      </c>
      <c r="CK9" t="s">
        <v>336</v>
      </c>
      <c r="CM9" t="s">
        <v>290</v>
      </c>
      <c r="CP9" t="s">
        <v>290</v>
      </c>
      <c r="CR9" t="s">
        <v>290</v>
      </c>
      <c r="DP9" t="s">
        <v>337</v>
      </c>
      <c r="DQ9" t="s">
        <v>215</v>
      </c>
      <c r="DS9" t="s">
        <v>338</v>
      </c>
      <c r="DT9" t="s">
        <v>338</v>
      </c>
      <c r="EB9">
        <v>6</v>
      </c>
      <c r="EF9">
        <v>0</v>
      </c>
      <c r="EG9">
        <v>0</v>
      </c>
      <c r="EH9">
        <v>0</v>
      </c>
      <c r="EI9">
        <v>30</v>
      </c>
      <c r="EJ9">
        <v>0</v>
      </c>
      <c r="EK9">
        <v>70</v>
      </c>
      <c r="EL9">
        <v>0</v>
      </c>
      <c r="EM9">
        <f t="shared" si="3"/>
        <v>100</v>
      </c>
      <c r="EN9" s="3">
        <v>0</v>
      </c>
      <c r="EO9" s="5">
        <f>29/99*100</f>
        <v>29.292929292929294</v>
      </c>
      <c r="EP9" s="3">
        <v>0</v>
      </c>
      <c r="EQ9" s="5">
        <f>70/99*100</f>
        <v>70.707070707070713</v>
      </c>
      <c r="ER9" s="3">
        <v>0</v>
      </c>
      <c r="ES9" s="3">
        <v>0</v>
      </c>
      <c r="ET9" s="3">
        <v>0</v>
      </c>
      <c r="EU9" s="3">
        <v>0</v>
      </c>
      <c r="EV9" s="3">
        <v>0</v>
      </c>
      <c r="EW9" t="s">
        <v>339</v>
      </c>
      <c r="EX9" s="7" t="s">
        <v>340</v>
      </c>
      <c r="EY9" t="s">
        <v>341</v>
      </c>
      <c r="FE9" t="s">
        <v>341</v>
      </c>
      <c r="FH9" t="s">
        <v>341</v>
      </c>
      <c r="FK9" t="s">
        <v>341</v>
      </c>
      <c r="FQ9">
        <v>4</v>
      </c>
      <c r="FS9">
        <v>5</v>
      </c>
      <c r="FT9">
        <v>5</v>
      </c>
      <c r="FU9">
        <v>2</v>
      </c>
      <c r="FV9">
        <v>1</v>
      </c>
      <c r="FW9">
        <v>4</v>
      </c>
      <c r="FX9">
        <v>5</v>
      </c>
      <c r="GA9">
        <v>5</v>
      </c>
      <c r="GB9">
        <v>5</v>
      </c>
      <c r="GC9">
        <v>4</v>
      </c>
      <c r="GD9">
        <v>2</v>
      </c>
      <c r="GE9">
        <v>4</v>
      </c>
      <c r="GF9">
        <v>3</v>
      </c>
      <c r="GG9">
        <v>2</v>
      </c>
      <c r="GH9">
        <v>2</v>
      </c>
      <c r="GI9">
        <v>4</v>
      </c>
      <c r="GJ9">
        <v>3</v>
      </c>
      <c r="GK9">
        <v>3</v>
      </c>
      <c r="GL9">
        <v>3</v>
      </c>
      <c r="GM9">
        <v>5</v>
      </c>
      <c r="GN9">
        <v>5</v>
      </c>
      <c r="GQ9" t="s">
        <v>306</v>
      </c>
      <c r="GR9" t="s">
        <v>306</v>
      </c>
      <c r="GT9" t="s">
        <v>222</v>
      </c>
    </row>
    <row r="10" spans="1:202" x14ac:dyDescent="0.2">
      <c r="A10">
        <v>9</v>
      </c>
      <c r="B10" t="s">
        <v>342</v>
      </c>
      <c r="C10" t="s">
        <v>343</v>
      </c>
      <c r="D10" t="s">
        <v>202</v>
      </c>
      <c r="E10" t="s">
        <v>320</v>
      </c>
      <c r="F10" t="s">
        <v>204</v>
      </c>
      <c r="G10">
        <v>2014</v>
      </c>
      <c r="H10">
        <v>2014</v>
      </c>
      <c r="I10">
        <f t="shared" si="4"/>
        <v>0</v>
      </c>
      <c r="J10" t="s">
        <v>205</v>
      </c>
      <c r="K10" t="s">
        <v>206</v>
      </c>
      <c r="L10" t="s">
        <v>228</v>
      </c>
      <c r="M10" t="s">
        <v>229</v>
      </c>
      <c r="O10">
        <v>3</v>
      </c>
      <c r="P10">
        <v>3</v>
      </c>
      <c r="Q10">
        <v>3</v>
      </c>
      <c r="R10">
        <v>3</v>
      </c>
      <c r="S10">
        <v>5</v>
      </c>
      <c r="T10">
        <v>5</v>
      </c>
      <c r="U10" s="4">
        <f>P10/O10</f>
        <v>1</v>
      </c>
      <c r="V10" s="4">
        <f>R10/Q10</f>
        <v>1</v>
      </c>
      <c r="W10" s="4">
        <f t="shared" ref="W10:W22" si="5">T10/S10</f>
        <v>1</v>
      </c>
      <c r="X10" t="s">
        <v>230</v>
      </c>
      <c r="Y10">
        <v>70</v>
      </c>
      <c r="Z10">
        <v>0</v>
      </c>
      <c r="AA10">
        <v>10</v>
      </c>
      <c r="AB10">
        <v>20</v>
      </c>
      <c r="AC10">
        <v>0</v>
      </c>
      <c r="AD10">
        <v>0</v>
      </c>
      <c r="AF10" t="s">
        <v>296</v>
      </c>
      <c r="AG10" t="s">
        <v>344</v>
      </c>
      <c r="AH10" s="6">
        <v>41974</v>
      </c>
      <c r="AI10" s="6">
        <v>42156</v>
      </c>
      <c r="AK10" t="s">
        <v>298</v>
      </c>
      <c r="AL10" t="s">
        <v>345</v>
      </c>
      <c r="AP10" t="s">
        <v>262</v>
      </c>
      <c r="AQ10" t="s">
        <v>346</v>
      </c>
      <c r="AT10" t="s">
        <v>313</v>
      </c>
      <c r="AX10" t="s">
        <v>237</v>
      </c>
      <c r="AY10" t="s">
        <v>347</v>
      </c>
      <c r="AZ10" t="s">
        <v>267</v>
      </c>
      <c r="BB10" t="s">
        <v>348</v>
      </c>
      <c r="BC10" t="s">
        <v>349</v>
      </c>
      <c r="BD10" t="s">
        <v>350</v>
      </c>
      <c r="BF10" t="s">
        <v>351</v>
      </c>
      <c r="BG10" t="s">
        <v>352</v>
      </c>
      <c r="BI10" s="3" t="s">
        <v>243</v>
      </c>
      <c r="BL10" t="s">
        <v>353</v>
      </c>
      <c r="BM10" t="s">
        <v>245</v>
      </c>
      <c r="BU10" t="s">
        <v>245</v>
      </c>
      <c r="BW10" t="s">
        <v>274</v>
      </c>
      <c r="BX10" t="s">
        <v>354</v>
      </c>
      <c r="BY10" s="3" t="s">
        <v>247</v>
      </c>
      <c r="BZ10" t="s">
        <v>355</v>
      </c>
      <c r="CA10" t="s">
        <v>356</v>
      </c>
      <c r="CB10" s="3">
        <v>1100</v>
      </c>
      <c r="DW10">
        <v>26524</v>
      </c>
      <c r="DX10">
        <v>55892</v>
      </c>
      <c r="DY10">
        <v>35139</v>
      </c>
      <c r="EF10">
        <v>5</v>
      </c>
      <c r="EG10">
        <v>15</v>
      </c>
      <c r="EH10">
        <v>40</v>
      </c>
      <c r="EI10">
        <v>15</v>
      </c>
      <c r="EJ10">
        <v>5</v>
      </c>
      <c r="EK10">
        <v>20</v>
      </c>
      <c r="EL10">
        <v>0</v>
      </c>
      <c r="EM10">
        <f t="shared" si="3"/>
        <v>100</v>
      </c>
      <c r="EN10" s="5">
        <f>10/111*100</f>
        <v>9.0090090090090094</v>
      </c>
      <c r="EO10" s="5">
        <f>25/111*100</f>
        <v>22.522522522522522</v>
      </c>
      <c r="EP10" s="5">
        <f>30/111*100</f>
        <v>27.027027027027028</v>
      </c>
      <c r="EQ10" s="5">
        <f>23/111*100</f>
        <v>20.72072072072072</v>
      </c>
      <c r="ER10" s="5">
        <f>3/111*100</f>
        <v>2.7027027027027026</v>
      </c>
      <c r="ES10" s="5">
        <f>10/111*100</f>
        <v>9.0090090090090094</v>
      </c>
      <c r="ET10" s="5">
        <f>10/111*100</f>
        <v>9.0090090090090094</v>
      </c>
      <c r="EU10" s="3">
        <v>0</v>
      </c>
      <c r="EV10" s="3">
        <v>0</v>
      </c>
      <c r="EW10" t="s">
        <v>357</v>
      </c>
      <c r="EX10" s="7" t="s">
        <v>358</v>
      </c>
      <c r="EY10" t="s">
        <v>219</v>
      </c>
      <c r="EZ10" t="s">
        <v>359</v>
      </c>
      <c r="FA10" t="s">
        <v>360</v>
      </c>
      <c r="FQ10">
        <v>2</v>
      </c>
      <c r="FS10">
        <v>3</v>
      </c>
      <c r="FT10">
        <v>3</v>
      </c>
      <c r="FU10">
        <v>5</v>
      </c>
      <c r="FV10">
        <v>3</v>
      </c>
      <c r="FW10">
        <v>1</v>
      </c>
      <c r="FX10">
        <v>4</v>
      </c>
      <c r="GA10">
        <v>3</v>
      </c>
      <c r="GB10">
        <v>5</v>
      </c>
      <c r="GC10">
        <v>4</v>
      </c>
      <c r="GD10">
        <v>1</v>
      </c>
      <c r="GE10">
        <v>5</v>
      </c>
      <c r="GF10">
        <v>1</v>
      </c>
      <c r="GG10">
        <v>2</v>
      </c>
      <c r="GH10">
        <v>4</v>
      </c>
      <c r="GI10">
        <v>3</v>
      </c>
      <c r="GJ10">
        <v>1</v>
      </c>
      <c r="GK10">
        <v>4</v>
      </c>
      <c r="GL10">
        <v>3</v>
      </c>
      <c r="GM10">
        <v>4</v>
      </c>
      <c r="GN10">
        <v>5</v>
      </c>
      <c r="GQ10" t="s">
        <v>252</v>
      </c>
      <c r="GR10" t="s">
        <v>252</v>
      </c>
      <c r="GS10" t="s">
        <v>361</v>
      </c>
      <c r="GT10" t="s">
        <v>222</v>
      </c>
    </row>
    <row r="11" spans="1:202" x14ac:dyDescent="0.2">
      <c r="A11">
        <v>10</v>
      </c>
      <c r="B11" t="s">
        <v>362</v>
      </c>
      <c r="C11" t="s">
        <v>363</v>
      </c>
      <c r="D11" t="s">
        <v>364</v>
      </c>
      <c r="E11" t="s">
        <v>294</v>
      </c>
      <c r="F11" t="s">
        <v>294</v>
      </c>
      <c r="G11">
        <v>2018</v>
      </c>
      <c r="H11">
        <v>2018</v>
      </c>
      <c r="I11">
        <f t="shared" si="4"/>
        <v>0</v>
      </c>
      <c r="J11" t="s">
        <v>205</v>
      </c>
      <c r="K11" t="s">
        <v>206</v>
      </c>
      <c r="L11" t="s">
        <v>333</v>
      </c>
      <c r="M11" t="s">
        <v>365</v>
      </c>
      <c r="O11" s="3"/>
      <c r="P11" s="3"/>
      <c r="Q11" s="3"/>
      <c r="R11" s="3"/>
      <c r="S11">
        <v>10</v>
      </c>
      <c r="T11">
        <v>10</v>
      </c>
      <c r="U11" s="4"/>
      <c r="V11" s="4"/>
      <c r="W11" s="4">
        <f t="shared" si="5"/>
        <v>1</v>
      </c>
      <c r="X11" t="s">
        <v>230</v>
      </c>
      <c r="Y11">
        <v>0</v>
      </c>
      <c r="Z11">
        <v>40</v>
      </c>
      <c r="AA11">
        <v>10</v>
      </c>
      <c r="AB11">
        <v>40</v>
      </c>
      <c r="AC11">
        <v>0</v>
      </c>
      <c r="AD11">
        <v>10</v>
      </c>
      <c r="AE11" t="s">
        <v>366</v>
      </c>
      <c r="CJ11" t="s">
        <v>233</v>
      </c>
      <c r="CK11" t="s">
        <v>367</v>
      </c>
      <c r="DM11" t="s">
        <v>368</v>
      </c>
      <c r="DN11" t="s">
        <v>263</v>
      </c>
      <c r="DO11" t="s">
        <v>369</v>
      </c>
      <c r="DP11" t="s">
        <v>370</v>
      </c>
      <c r="DQ11" t="s">
        <v>215</v>
      </c>
      <c r="DT11" t="s">
        <v>338</v>
      </c>
      <c r="DV11" t="s">
        <v>371</v>
      </c>
      <c r="EF11">
        <v>0</v>
      </c>
      <c r="EG11">
        <v>100</v>
      </c>
      <c r="EH11">
        <v>0</v>
      </c>
      <c r="EI11">
        <v>0</v>
      </c>
      <c r="EJ11">
        <v>0</v>
      </c>
      <c r="EK11">
        <v>0</v>
      </c>
      <c r="EL11">
        <v>0</v>
      </c>
      <c r="EM11">
        <f t="shared" si="3"/>
        <v>100</v>
      </c>
      <c r="EN11">
        <v>0</v>
      </c>
      <c r="EO11">
        <v>0</v>
      </c>
      <c r="EP11">
        <v>100</v>
      </c>
      <c r="EQ11">
        <v>0</v>
      </c>
      <c r="ER11">
        <v>0</v>
      </c>
      <c r="ES11">
        <v>0</v>
      </c>
      <c r="ET11">
        <v>0</v>
      </c>
      <c r="EU11">
        <v>0</v>
      </c>
      <c r="EW11" t="s">
        <v>372</v>
      </c>
      <c r="EX11" s="7"/>
      <c r="EY11" t="s">
        <v>341</v>
      </c>
      <c r="FA11" t="s">
        <v>373</v>
      </c>
      <c r="FQ11">
        <v>5</v>
      </c>
      <c r="FS11">
        <v>5</v>
      </c>
      <c r="FT11">
        <v>5</v>
      </c>
      <c r="FU11">
        <v>3</v>
      </c>
      <c r="FV11">
        <v>4</v>
      </c>
      <c r="FW11">
        <v>5</v>
      </c>
      <c r="FX11">
        <v>5</v>
      </c>
      <c r="GA11">
        <v>5</v>
      </c>
      <c r="GB11">
        <v>5</v>
      </c>
      <c r="GC11">
        <v>5</v>
      </c>
      <c r="GD11">
        <v>5</v>
      </c>
      <c r="GE11">
        <v>3</v>
      </c>
      <c r="GF11">
        <v>4</v>
      </c>
      <c r="GG11">
        <v>5</v>
      </c>
      <c r="GH11">
        <v>3</v>
      </c>
      <c r="GI11">
        <v>4</v>
      </c>
      <c r="GJ11">
        <v>4</v>
      </c>
      <c r="GK11">
        <v>5</v>
      </c>
      <c r="GL11">
        <v>4</v>
      </c>
      <c r="GM11">
        <v>5</v>
      </c>
      <c r="GN11">
        <v>4</v>
      </c>
      <c r="GO11">
        <v>4</v>
      </c>
      <c r="GQ11" t="s">
        <v>306</v>
      </c>
      <c r="GR11" t="s">
        <v>253</v>
      </c>
      <c r="GT11" t="s">
        <v>222</v>
      </c>
    </row>
    <row r="12" spans="1:202" x14ac:dyDescent="0.2">
      <c r="A12">
        <v>11</v>
      </c>
      <c r="B12" t="s">
        <v>224</v>
      </c>
      <c r="C12" t="s">
        <v>374</v>
      </c>
      <c r="D12" t="s">
        <v>224</v>
      </c>
      <c r="E12" t="s">
        <v>227</v>
      </c>
      <c r="F12" t="s">
        <v>227</v>
      </c>
      <c r="G12" s="3">
        <v>2018</v>
      </c>
      <c r="H12">
        <v>2018</v>
      </c>
      <c r="I12">
        <f t="shared" si="4"/>
        <v>0</v>
      </c>
      <c r="J12" t="s">
        <v>285</v>
      </c>
      <c r="K12" t="s">
        <v>206</v>
      </c>
      <c r="L12" t="s">
        <v>333</v>
      </c>
      <c r="M12" t="s">
        <v>375</v>
      </c>
      <c r="O12" s="3"/>
      <c r="P12" s="3"/>
      <c r="Q12" s="3"/>
      <c r="R12" s="3"/>
      <c r="S12">
        <v>200</v>
      </c>
      <c r="T12">
        <v>6</v>
      </c>
      <c r="U12" s="4"/>
      <c r="V12" s="4"/>
      <c r="W12" s="4">
        <f t="shared" si="5"/>
        <v>0.03</v>
      </c>
      <c r="X12" t="s">
        <v>230</v>
      </c>
      <c r="AF12" t="s">
        <v>231</v>
      </c>
      <c r="CC12" t="s">
        <v>376</v>
      </c>
      <c r="CD12" s="6">
        <v>43313</v>
      </c>
      <c r="CF12" t="s">
        <v>322</v>
      </c>
      <c r="CJ12" t="s">
        <v>261</v>
      </c>
      <c r="CK12" t="s">
        <v>377</v>
      </c>
      <c r="CM12" t="s">
        <v>378</v>
      </c>
      <c r="DP12" t="s">
        <v>379</v>
      </c>
      <c r="DQ12" t="s">
        <v>380</v>
      </c>
      <c r="DS12" t="s">
        <v>338</v>
      </c>
      <c r="DT12" t="s">
        <v>216</v>
      </c>
      <c r="EF12">
        <v>0</v>
      </c>
      <c r="EG12">
        <v>2</v>
      </c>
      <c r="EH12">
        <v>17</v>
      </c>
      <c r="EI12">
        <v>1</v>
      </c>
      <c r="EJ12">
        <v>3</v>
      </c>
      <c r="EK12">
        <v>77</v>
      </c>
      <c r="EL12">
        <v>0</v>
      </c>
      <c r="EM12">
        <f t="shared" si="3"/>
        <v>100</v>
      </c>
      <c r="EN12" s="3">
        <v>0</v>
      </c>
      <c r="EO12" s="3">
        <v>0</v>
      </c>
      <c r="EP12" s="5">
        <f>12/54*100</f>
        <v>22.222222222222221</v>
      </c>
      <c r="EQ12" s="5">
        <f>17/54*100</f>
        <v>31.481481481481481</v>
      </c>
      <c r="ER12" s="5">
        <v>0</v>
      </c>
      <c r="ES12" s="5">
        <f>9/54*100</f>
        <v>16.666666666666664</v>
      </c>
      <c r="ET12" s="5">
        <f>16/54*100</f>
        <v>29.629629629629626</v>
      </c>
      <c r="EU12" s="3">
        <v>0</v>
      </c>
      <c r="EV12" s="3">
        <v>0</v>
      </c>
      <c r="EX12" s="7"/>
      <c r="EY12" t="s">
        <v>274</v>
      </c>
      <c r="FQ12">
        <v>3</v>
      </c>
      <c r="FS12">
        <v>5</v>
      </c>
      <c r="FT12">
        <v>5</v>
      </c>
      <c r="FU12">
        <v>2</v>
      </c>
      <c r="FV12">
        <v>3</v>
      </c>
      <c r="FW12">
        <v>4</v>
      </c>
      <c r="FX12">
        <v>4</v>
      </c>
      <c r="GA12">
        <v>5</v>
      </c>
      <c r="GB12">
        <v>5</v>
      </c>
      <c r="GC12">
        <v>4</v>
      </c>
      <c r="GD12">
        <v>3</v>
      </c>
      <c r="GE12">
        <v>5</v>
      </c>
      <c r="GF12">
        <v>4</v>
      </c>
      <c r="GG12">
        <v>4</v>
      </c>
      <c r="GH12">
        <v>4</v>
      </c>
      <c r="GI12">
        <v>4</v>
      </c>
      <c r="GJ12">
        <v>4</v>
      </c>
      <c r="GK12">
        <v>4</v>
      </c>
      <c r="GL12">
        <v>3</v>
      </c>
      <c r="GM12">
        <v>3</v>
      </c>
      <c r="GN12">
        <v>5</v>
      </c>
      <c r="GQ12" t="s">
        <v>306</v>
      </c>
      <c r="GR12" t="s">
        <v>253</v>
      </c>
      <c r="GS12" t="s">
        <v>381</v>
      </c>
      <c r="GT12" t="s">
        <v>291</v>
      </c>
    </row>
    <row r="13" spans="1:202" x14ac:dyDescent="0.2">
      <c r="A13">
        <v>12</v>
      </c>
      <c r="B13" t="s">
        <v>382</v>
      </c>
      <c r="C13" t="s">
        <v>383</v>
      </c>
      <c r="D13" t="s">
        <v>382</v>
      </c>
      <c r="E13" t="s">
        <v>294</v>
      </c>
      <c r="F13" t="s">
        <v>294</v>
      </c>
      <c r="G13" s="3">
        <v>2014</v>
      </c>
      <c r="H13">
        <v>2017</v>
      </c>
      <c r="I13">
        <f t="shared" si="4"/>
        <v>3</v>
      </c>
      <c r="J13" t="s">
        <v>285</v>
      </c>
      <c r="K13" t="s">
        <v>206</v>
      </c>
      <c r="L13" t="s">
        <v>286</v>
      </c>
      <c r="M13" t="s">
        <v>321</v>
      </c>
      <c r="O13">
        <v>8</v>
      </c>
      <c r="P13">
        <v>2</v>
      </c>
      <c r="Q13">
        <v>12</v>
      </c>
      <c r="R13">
        <v>4</v>
      </c>
      <c r="S13">
        <v>20</v>
      </c>
      <c r="T13">
        <v>8</v>
      </c>
      <c r="U13" s="4">
        <f t="shared" ref="U13:U19" si="6">P13/O13</f>
        <v>0.25</v>
      </c>
      <c r="V13" s="4">
        <f t="shared" ref="V13:V22" si="7">R13/Q13</f>
        <v>0.33333333333333331</v>
      </c>
      <c r="W13" s="4">
        <f t="shared" si="5"/>
        <v>0.4</v>
      </c>
      <c r="X13" t="s">
        <v>230</v>
      </c>
      <c r="Y13" s="5">
        <f>5/13*100</f>
        <v>38.461538461538467</v>
      </c>
      <c r="Z13" s="5">
        <f>4/13*100</f>
        <v>30.76923076923077</v>
      </c>
      <c r="AA13" s="5">
        <f>2/13*100</f>
        <v>15.384615384615385</v>
      </c>
      <c r="AB13" s="5">
        <f>2/13*100</f>
        <v>15.384615384615385</v>
      </c>
      <c r="AC13" s="5">
        <v>0</v>
      </c>
      <c r="AD13" s="5">
        <v>0</v>
      </c>
      <c r="AF13" t="s">
        <v>296</v>
      </c>
      <c r="CC13" t="s">
        <v>384</v>
      </c>
      <c r="CD13" s="6">
        <v>42705</v>
      </c>
      <c r="CE13" s="6">
        <v>43070</v>
      </c>
      <c r="CF13" t="s">
        <v>298</v>
      </c>
      <c r="CG13" t="s">
        <v>385</v>
      </c>
      <c r="CK13" t="s">
        <v>377</v>
      </c>
      <c r="CM13" t="s">
        <v>290</v>
      </c>
      <c r="CR13" t="s">
        <v>290</v>
      </c>
      <c r="DP13" t="s">
        <v>386</v>
      </c>
      <c r="DQ13" t="s">
        <v>215</v>
      </c>
      <c r="EA13">
        <v>2</v>
      </c>
      <c r="EB13">
        <v>3</v>
      </c>
      <c r="EF13">
        <v>0</v>
      </c>
      <c r="EG13">
        <v>100</v>
      </c>
      <c r="EH13">
        <v>0</v>
      </c>
      <c r="EI13">
        <v>0</v>
      </c>
      <c r="EJ13">
        <v>0</v>
      </c>
      <c r="EK13">
        <v>0</v>
      </c>
      <c r="EL13">
        <v>0</v>
      </c>
      <c r="EM13">
        <f t="shared" si="3"/>
        <v>100</v>
      </c>
      <c r="EN13" s="3">
        <v>0</v>
      </c>
      <c r="EO13" s="3">
        <v>100</v>
      </c>
      <c r="EP13" s="3">
        <v>0</v>
      </c>
      <c r="EQ13" s="3">
        <v>0</v>
      </c>
      <c r="ER13" s="3">
        <v>0</v>
      </c>
      <c r="ES13" s="3">
        <v>0</v>
      </c>
      <c r="ET13" s="3">
        <v>0</v>
      </c>
      <c r="EU13" s="3">
        <v>0</v>
      </c>
      <c r="EV13" s="3">
        <v>0</v>
      </c>
      <c r="EW13" t="s">
        <v>387</v>
      </c>
      <c r="EX13" s="7" t="s">
        <v>388</v>
      </c>
      <c r="EY13" t="s">
        <v>219</v>
      </c>
      <c r="EZ13" t="s">
        <v>389</v>
      </c>
      <c r="FQ13">
        <v>5</v>
      </c>
      <c r="FR13" t="s">
        <v>390</v>
      </c>
      <c r="FS13">
        <v>5</v>
      </c>
      <c r="FT13">
        <v>4</v>
      </c>
      <c r="FU13">
        <v>4</v>
      </c>
      <c r="FV13">
        <v>4</v>
      </c>
      <c r="FW13">
        <v>3</v>
      </c>
      <c r="FX13">
        <v>4</v>
      </c>
      <c r="GA13">
        <v>4</v>
      </c>
      <c r="GB13">
        <v>4</v>
      </c>
      <c r="GC13">
        <v>5</v>
      </c>
      <c r="GD13">
        <v>3</v>
      </c>
      <c r="GE13">
        <v>5</v>
      </c>
      <c r="GF13">
        <v>5</v>
      </c>
      <c r="GG13">
        <v>5</v>
      </c>
      <c r="GH13">
        <v>5</v>
      </c>
      <c r="GI13">
        <v>4</v>
      </c>
      <c r="GJ13">
        <v>3</v>
      </c>
      <c r="GK13">
        <v>5</v>
      </c>
      <c r="GL13">
        <v>4</v>
      </c>
      <c r="GM13">
        <v>4</v>
      </c>
      <c r="GN13">
        <v>4</v>
      </c>
      <c r="GQ13" t="s">
        <v>306</v>
      </c>
      <c r="GR13" t="s">
        <v>253</v>
      </c>
      <c r="GT13" t="s">
        <v>222</v>
      </c>
    </row>
    <row r="14" spans="1:202" x14ac:dyDescent="0.2">
      <c r="A14">
        <v>13</v>
      </c>
      <c r="B14" t="s">
        <v>391</v>
      </c>
      <c r="C14" t="s">
        <v>392</v>
      </c>
      <c r="D14" t="s">
        <v>391</v>
      </c>
      <c r="E14" t="s">
        <v>320</v>
      </c>
      <c r="F14" t="s">
        <v>320</v>
      </c>
      <c r="G14">
        <v>2014</v>
      </c>
      <c r="H14">
        <v>2018</v>
      </c>
      <c r="I14">
        <f t="shared" si="4"/>
        <v>4</v>
      </c>
      <c r="J14" t="s">
        <v>285</v>
      </c>
      <c r="K14" t="s">
        <v>206</v>
      </c>
      <c r="L14" t="s">
        <v>333</v>
      </c>
      <c r="M14" t="s">
        <v>208</v>
      </c>
      <c r="O14">
        <v>5</v>
      </c>
      <c r="P14">
        <v>2</v>
      </c>
      <c r="Q14">
        <v>5</v>
      </c>
      <c r="R14">
        <v>2</v>
      </c>
      <c r="S14">
        <v>13</v>
      </c>
      <c r="T14">
        <v>8</v>
      </c>
      <c r="U14" s="4">
        <f t="shared" si="6"/>
        <v>0.4</v>
      </c>
      <c r="V14" s="4">
        <f t="shared" si="7"/>
        <v>0.4</v>
      </c>
      <c r="W14" s="4">
        <f t="shared" si="5"/>
        <v>0.61538461538461542</v>
      </c>
      <c r="X14" t="s">
        <v>230</v>
      </c>
      <c r="Y14" s="10">
        <f>30/102*100</f>
        <v>29.411764705882355</v>
      </c>
      <c r="Z14" s="10">
        <f>10/102*100</f>
        <v>9.8039215686274517</v>
      </c>
      <c r="AA14" s="10">
        <f>20/102*100</f>
        <v>19.607843137254903</v>
      </c>
      <c r="AB14" s="10">
        <f>30/102*100</f>
        <v>29.411764705882355</v>
      </c>
      <c r="AC14" s="10">
        <f>12/102*100</f>
        <v>11.76470588235294</v>
      </c>
      <c r="AD14" s="10">
        <v>0</v>
      </c>
      <c r="AF14" t="s">
        <v>231</v>
      </c>
      <c r="CC14" t="s">
        <v>393</v>
      </c>
      <c r="CD14" s="6">
        <v>42005</v>
      </c>
      <c r="CE14" s="6">
        <v>42887</v>
      </c>
      <c r="CF14" t="s">
        <v>322</v>
      </c>
      <c r="CJ14" t="s">
        <v>335</v>
      </c>
      <c r="CK14" t="s">
        <v>394</v>
      </c>
      <c r="CR14" t="s">
        <v>290</v>
      </c>
      <c r="CS14" t="s">
        <v>395</v>
      </c>
      <c r="DP14" t="s">
        <v>396</v>
      </c>
      <c r="DQ14" t="s">
        <v>215</v>
      </c>
      <c r="DS14" t="s">
        <v>233</v>
      </c>
      <c r="DT14" t="s">
        <v>233</v>
      </c>
      <c r="DU14" t="s">
        <v>397</v>
      </c>
      <c r="DW14" s="3"/>
      <c r="DX14" s="3"/>
      <c r="DY14">
        <v>1</v>
      </c>
      <c r="DZ14">
        <v>0</v>
      </c>
      <c r="EA14">
        <v>1</v>
      </c>
      <c r="EB14">
        <v>3</v>
      </c>
      <c r="EC14">
        <v>0</v>
      </c>
      <c r="ED14">
        <v>0</v>
      </c>
      <c r="EE14">
        <v>2</v>
      </c>
      <c r="EF14">
        <v>80</v>
      </c>
      <c r="EG14">
        <v>0</v>
      </c>
      <c r="EH14">
        <v>0</v>
      </c>
      <c r="EI14">
        <v>0</v>
      </c>
      <c r="EJ14">
        <v>0</v>
      </c>
      <c r="EK14">
        <v>20</v>
      </c>
      <c r="EL14">
        <v>0</v>
      </c>
      <c r="EM14">
        <f t="shared" si="3"/>
        <v>100</v>
      </c>
      <c r="EN14">
        <v>0</v>
      </c>
      <c r="EO14">
        <v>80</v>
      </c>
      <c r="EP14">
        <v>0</v>
      </c>
      <c r="EQ14">
        <v>20</v>
      </c>
      <c r="ER14">
        <v>0</v>
      </c>
      <c r="ES14">
        <v>0</v>
      </c>
      <c r="ET14">
        <v>0</v>
      </c>
      <c r="EU14">
        <v>0</v>
      </c>
      <c r="EV14">
        <v>0</v>
      </c>
      <c r="EW14" t="s">
        <v>398</v>
      </c>
      <c r="EX14" s="7" t="s">
        <v>399</v>
      </c>
      <c r="EY14" t="s">
        <v>219</v>
      </c>
      <c r="EZ14" t="s">
        <v>400</v>
      </c>
      <c r="FQ14">
        <v>1</v>
      </c>
      <c r="FS14">
        <v>3</v>
      </c>
      <c r="FT14">
        <v>3</v>
      </c>
      <c r="FU14">
        <v>4</v>
      </c>
      <c r="FV14">
        <v>5</v>
      </c>
      <c r="FW14">
        <v>4</v>
      </c>
      <c r="FX14">
        <v>4</v>
      </c>
      <c r="GA14">
        <v>4</v>
      </c>
      <c r="GB14">
        <v>5</v>
      </c>
      <c r="GC14">
        <v>5</v>
      </c>
      <c r="GD14">
        <v>1</v>
      </c>
      <c r="GE14">
        <v>1</v>
      </c>
      <c r="GF14">
        <v>4</v>
      </c>
      <c r="GG14">
        <v>5</v>
      </c>
      <c r="GH14">
        <v>3</v>
      </c>
      <c r="GI14">
        <v>4</v>
      </c>
      <c r="GJ14">
        <v>4</v>
      </c>
      <c r="GK14">
        <v>1</v>
      </c>
      <c r="GL14">
        <v>1</v>
      </c>
      <c r="GM14">
        <v>1</v>
      </c>
      <c r="GN14">
        <v>5</v>
      </c>
      <c r="GQ14" t="s">
        <v>221</v>
      </c>
      <c r="GR14" t="s">
        <v>306</v>
      </c>
      <c r="GT14" t="s">
        <v>222</v>
      </c>
    </row>
    <row r="15" spans="1:202" x14ac:dyDescent="0.2">
      <c r="A15">
        <v>14</v>
      </c>
      <c r="B15" t="s">
        <v>282</v>
      </c>
      <c r="C15" t="s">
        <v>283</v>
      </c>
      <c r="D15" t="s">
        <v>282</v>
      </c>
      <c r="E15" t="s">
        <v>284</v>
      </c>
      <c r="F15" t="s">
        <v>284</v>
      </c>
      <c r="G15">
        <v>2016</v>
      </c>
      <c r="H15">
        <v>2017</v>
      </c>
      <c r="I15">
        <f t="shared" si="4"/>
        <v>1</v>
      </c>
      <c r="J15" t="s">
        <v>285</v>
      </c>
      <c r="K15" t="s">
        <v>206</v>
      </c>
      <c r="L15" t="s">
        <v>333</v>
      </c>
      <c r="M15" t="s">
        <v>401</v>
      </c>
      <c r="O15">
        <v>2</v>
      </c>
      <c r="P15">
        <v>0</v>
      </c>
      <c r="Q15">
        <v>5</v>
      </c>
      <c r="R15">
        <v>1</v>
      </c>
      <c r="S15">
        <v>25</v>
      </c>
      <c r="T15">
        <v>3</v>
      </c>
      <c r="U15" s="4">
        <f t="shared" si="6"/>
        <v>0</v>
      </c>
      <c r="V15" s="4">
        <f t="shared" si="7"/>
        <v>0.2</v>
      </c>
      <c r="W15" s="4">
        <f t="shared" si="5"/>
        <v>0.12</v>
      </c>
      <c r="X15" t="s">
        <v>230</v>
      </c>
      <c r="Y15" s="5">
        <f>61/101*100</f>
        <v>60.396039603960396</v>
      </c>
      <c r="Z15" s="5">
        <f>30/101*100</f>
        <v>29.702970297029701</v>
      </c>
      <c r="AA15" s="5">
        <f>5/101*100</f>
        <v>4.9504950495049505</v>
      </c>
      <c r="AB15" s="5">
        <f>5/101*100</f>
        <v>4.9504950495049505</v>
      </c>
      <c r="AC15" s="5">
        <v>0</v>
      </c>
      <c r="AD15" s="5">
        <v>0</v>
      </c>
      <c r="AF15" t="s">
        <v>231</v>
      </c>
      <c r="CC15" t="s">
        <v>402</v>
      </c>
      <c r="CD15" s="6">
        <v>43040</v>
      </c>
      <c r="CF15" t="s">
        <v>322</v>
      </c>
      <c r="CJ15" t="s">
        <v>233</v>
      </c>
      <c r="CK15" t="s">
        <v>403</v>
      </c>
      <c r="CM15" t="s">
        <v>290</v>
      </c>
      <c r="CN15" t="s">
        <v>404</v>
      </c>
      <c r="CP15" t="s">
        <v>290</v>
      </c>
      <c r="DP15" t="s">
        <v>405</v>
      </c>
      <c r="DQ15" t="s">
        <v>215</v>
      </c>
      <c r="EF15">
        <v>0</v>
      </c>
      <c r="EG15">
        <v>0</v>
      </c>
      <c r="EH15">
        <v>10</v>
      </c>
      <c r="EI15">
        <v>70</v>
      </c>
      <c r="EJ15">
        <v>0</v>
      </c>
      <c r="EK15">
        <v>20</v>
      </c>
      <c r="EL15">
        <v>0</v>
      </c>
      <c r="EM15">
        <f t="shared" si="3"/>
        <v>100</v>
      </c>
      <c r="EN15">
        <v>0</v>
      </c>
      <c r="EO15">
        <v>0</v>
      </c>
      <c r="EP15">
        <v>0</v>
      </c>
      <c r="EQ15">
        <v>100</v>
      </c>
      <c r="ER15">
        <v>0</v>
      </c>
      <c r="ES15">
        <v>0</v>
      </c>
      <c r="ET15">
        <v>0</v>
      </c>
      <c r="EU15">
        <v>0</v>
      </c>
      <c r="EV15">
        <v>0</v>
      </c>
      <c r="EX15" s="7"/>
      <c r="EZ15" t="s">
        <v>406</v>
      </c>
      <c r="FQ15">
        <v>5</v>
      </c>
      <c r="FS15">
        <v>4</v>
      </c>
      <c r="FT15">
        <v>4</v>
      </c>
      <c r="FU15">
        <v>3</v>
      </c>
      <c r="FV15">
        <v>4</v>
      </c>
      <c r="FW15">
        <v>3</v>
      </c>
      <c r="FX15">
        <v>2</v>
      </c>
      <c r="GA15">
        <v>4</v>
      </c>
      <c r="GB15">
        <v>4</v>
      </c>
      <c r="GC15">
        <v>4</v>
      </c>
      <c r="GD15">
        <v>2</v>
      </c>
      <c r="GE15">
        <v>4</v>
      </c>
      <c r="GF15">
        <v>4</v>
      </c>
      <c r="GG15">
        <v>4</v>
      </c>
      <c r="GH15">
        <v>3</v>
      </c>
      <c r="GI15">
        <v>3</v>
      </c>
      <c r="GJ15">
        <v>3</v>
      </c>
      <c r="GK15">
        <v>3</v>
      </c>
      <c r="GL15">
        <v>4</v>
      </c>
      <c r="GM15">
        <v>3</v>
      </c>
      <c r="GN15">
        <v>4</v>
      </c>
      <c r="GQ15" t="s">
        <v>221</v>
      </c>
      <c r="GR15" t="s">
        <v>306</v>
      </c>
      <c r="GT15" t="s">
        <v>222</v>
      </c>
    </row>
    <row r="16" spans="1:202" x14ac:dyDescent="0.2">
      <c r="A16">
        <v>15</v>
      </c>
      <c r="B16" t="s">
        <v>407</v>
      </c>
      <c r="C16" t="s">
        <v>408</v>
      </c>
      <c r="D16" s="3" t="s">
        <v>202</v>
      </c>
      <c r="E16" t="s">
        <v>320</v>
      </c>
      <c r="F16" t="s">
        <v>204</v>
      </c>
      <c r="G16" s="3">
        <v>2015</v>
      </c>
      <c r="H16" s="3">
        <v>2017</v>
      </c>
      <c r="I16">
        <f t="shared" si="4"/>
        <v>2</v>
      </c>
      <c r="J16" t="s">
        <v>205</v>
      </c>
      <c r="K16" t="s">
        <v>206</v>
      </c>
      <c r="L16" t="s">
        <v>409</v>
      </c>
      <c r="M16" t="s">
        <v>410</v>
      </c>
      <c r="O16">
        <v>2</v>
      </c>
      <c r="P16">
        <v>2</v>
      </c>
      <c r="Q16">
        <v>5</v>
      </c>
      <c r="R16">
        <v>2</v>
      </c>
      <c r="S16">
        <v>10</v>
      </c>
      <c r="T16">
        <v>4</v>
      </c>
      <c r="U16" s="4">
        <f t="shared" si="6"/>
        <v>1</v>
      </c>
      <c r="V16" s="4">
        <f t="shared" si="7"/>
        <v>0.4</v>
      </c>
      <c r="W16" s="4">
        <f t="shared" si="5"/>
        <v>0.4</v>
      </c>
      <c r="X16" t="s">
        <v>230</v>
      </c>
      <c r="Y16" s="5">
        <f>80/102*100</f>
        <v>78.431372549019613</v>
      </c>
      <c r="Z16" s="5">
        <f>12/102*100</f>
        <v>11.76470588235294</v>
      </c>
      <c r="AA16" s="5">
        <f>4/102*100</f>
        <v>3.9215686274509802</v>
      </c>
      <c r="AB16" s="5">
        <f>4/102*100</f>
        <v>3.9215686274509802</v>
      </c>
      <c r="AC16" s="5">
        <f>2/102*100</f>
        <v>1.9607843137254901</v>
      </c>
      <c r="AD16" s="5">
        <v>0</v>
      </c>
      <c r="AF16" t="s">
        <v>231</v>
      </c>
      <c r="AG16" t="s">
        <v>263</v>
      </c>
      <c r="AH16" s="6">
        <v>42095</v>
      </c>
      <c r="AI16" s="6">
        <v>42917</v>
      </c>
      <c r="AJ16" t="s">
        <v>263</v>
      </c>
      <c r="AK16" t="s">
        <v>232</v>
      </c>
      <c r="AO16" t="s">
        <v>261</v>
      </c>
      <c r="AP16" t="s">
        <v>262</v>
      </c>
      <c r="AQ16" t="s">
        <v>263</v>
      </c>
      <c r="AT16" t="s">
        <v>264</v>
      </c>
      <c r="AU16" t="s">
        <v>411</v>
      </c>
      <c r="AX16" t="s">
        <v>300</v>
      </c>
      <c r="AZ16" t="s">
        <v>300</v>
      </c>
      <c r="BB16" t="s">
        <v>412</v>
      </c>
      <c r="BC16" s="3" t="s">
        <v>413</v>
      </c>
      <c r="BD16" t="s">
        <v>270</v>
      </c>
      <c r="BI16" t="s">
        <v>272</v>
      </c>
      <c r="BM16" t="s">
        <v>245</v>
      </c>
      <c r="BN16" t="s">
        <v>245</v>
      </c>
      <c r="BO16" t="s">
        <v>245</v>
      </c>
      <c r="BT16" t="s">
        <v>245</v>
      </c>
      <c r="BU16" t="s">
        <v>245</v>
      </c>
      <c r="BY16">
        <v>100</v>
      </c>
      <c r="BZ16">
        <v>60</v>
      </c>
      <c r="CA16" t="s">
        <v>414</v>
      </c>
      <c r="CB16" s="3">
        <v>10</v>
      </c>
      <c r="CC16" t="s">
        <v>415</v>
      </c>
      <c r="CD16" s="6">
        <v>42461</v>
      </c>
      <c r="CE16" s="6">
        <v>43282</v>
      </c>
      <c r="CF16" t="s">
        <v>322</v>
      </c>
      <c r="CJ16" t="s">
        <v>311</v>
      </c>
      <c r="CK16" t="s">
        <v>416</v>
      </c>
      <c r="CM16" t="s">
        <v>290</v>
      </c>
      <c r="CP16" t="s">
        <v>290</v>
      </c>
      <c r="CR16" t="s">
        <v>290</v>
      </c>
      <c r="CT16" t="s">
        <v>368</v>
      </c>
      <c r="CV16" t="s">
        <v>368</v>
      </c>
      <c r="CX16" t="s">
        <v>368</v>
      </c>
      <c r="CZ16" t="s">
        <v>368</v>
      </c>
      <c r="DB16" t="s">
        <v>368</v>
      </c>
      <c r="DD16" t="s">
        <v>368</v>
      </c>
      <c r="DF16" t="s">
        <v>368</v>
      </c>
      <c r="DH16" t="s">
        <v>368</v>
      </c>
      <c r="DM16" t="s">
        <v>290</v>
      </c>
      <c r="DN16" t="s">
        <v>263</v>
      </c>
      <c r="DP16" t="s">
        <v>417</v>
      </c>
      <c r="DQ16" t="s">
        <v>418</v>
      </c>
      <c r="DS16" t="s">
        <v>338</v>
      </c>
      <c r="DT16" t="s">
        <v>338</v>
      </c>
      <c r="DW16" s="3"/>
      <c r="DX16">
        <v>0</v>
      </c>
      <c r="DY16">
        <v>0</v>
      </c>
      <c r="DZ16">
        <v>1</v>
      </c>
      <c r="EA16">
        <v>3</v>
      </c>
      <c r="EB16">
        <v>20</v>
      </c>
      <c r="EC16">
        <v>1</v>
      </c>
      <c r="ED16">
        <v>10</v>
      </c>
      <c r="EE16">
        <v>20</v>
      </c>
      <c r="EF16">
        <v>63</v>
      </c>
      <c r="EG16">
        <v>0</v>
      </c>
      <c r="EH16">
        <v>29</v>
      </c>
      <c r="EI16">
        <v>0</v>
      </c>
      <c r="EJ16">
        <v>8</v>
      </c>
      <c r="EK16">
        <v>0</v>
      </c>
      <c r="EL16">
        <v>0</v>
      </c>
      <c r="EM16">
        <f t="shared" si="3"/>
        <v>100</v>
      </c>
      <c r="EN16" s="5">
        <f>14/166*100</f>
        <v>8.4337349397590362</v>
      </c>
      <c r="EO16" s="5">
        <f>14/166*100</f>
        <v>8.4337349397590362</v>
      </c>
      <c r="EP16" s="5">
        <v>0</v>
      </c>
      <c r="EQ16" s="5">
        <f>47/166*100</f>
        <v>28.313253012048197</v>
      </c>
      <c r="ER16" s="5">
        <f>28/166*100</f>
        <v>16.867469879518072</v>
      </c>
      <c r="ES16" s="5">
        <f>50/166*100</f>
        <v>30.120481927710845</v>
      </c>
      <c r="ET16" s="5">
        <f>13/166*100</f>
        <v>7.8313253012048198</v>
      </c>
      <c r="EU16" s="3">
        <v>0</v>
      </c>
      <c r="EV16" s="3">
        <v>0</v>
      </c>
      <c r="EW16" t="s">
        <v>419</v>
      </c>
      <c r="EX16" s="7" t="s">
        <v>420</v>
      </c>
      <c r="EY16" t="s">
        <v>219</v>
      </c>
      <c r="FE16" t="s">
        <v>219</v>
      </c>
      <c r="FH16" t="s">
        <v>219</v>
      </c>
      <c r="FK16" t="s">
        <v>219</v>
      </c>
      <c r="FQ16">
        <v>3</v>
      </c>
      <c r="FS16">
        <v>5</v>
      </c>
      <c r="FT16">
        <v>5</v>
      </c>
      <c r="FU16">
        <v>3</v>
      </c>
      <c r="FV16">
        <v>3</v>
      </c>
      <c r="FW16">
        <v>4</v>
      </c>
      <c r="FX16">
        <v>2</v>
      </c>
      <c r="GA16">
        <v>4</v>
      </c>
      <c r="GB16">
        <v>3</v>
      </c>
      <c r="GC16">
        <v>4</v>
      </c>
      <c r="GD16">
        <v>2</v>
      </c>
      <c r="GE16">
        <v>3</v>
      </c>
      <c r="GF16">
        <v>2</v>
      </c>
      <c r="GG16">
        <v>3</v>
      </c>
      <c r="GH16">
        <v>3</v>
      </c>
      <c r="GI16">
        <v>3</v>
      </c>
      <c r="GJ16">
        <v>3</v>
      </c>
      <c r="GK16">
        <v>2</v>
      </c>
      <c r="GL16">
        <v>3</v>
      </c>
      <c r="GM16">
        <v>3</v>
      </c>
      <c r="GN16">
        <v>2</v>
      </c>
      <c r="GQ16" t="s">
        <v>221</v>
      </c>
      <c r="GR16" t="s">
        <v>253</v>
      </c>
      <c r="GT16" t="s">
        <v>222</v>
      </c>
    </row>
    <row r="17" spans="1:202" x14ac:dyDescent="0.2">
      <c r="A17">
        <v>16</v>
      </c>
      <c r="B17" t="s">
        <v>421</v>
      </c>
      <c r="C17" t="s">
        <v>422</v>
      </c>
      <c r="D17" t="s">
        <v>421</v>
      </c>
      <c r="E17" t="s">
        <v>294</v>
      </c>
      <c r="F17" t="s">
        <v>294</v>
      </c>
      <c r="G17">
        <v>2014</v>
      </c>
      <c r="H17">
        <v>2015</v>
      </c>
      <c r="I17">
        <f t="shared" si="4"/>
        <v>1</v>
      </c>
      <c r="J17" t="s">
        <v>205</v>
      </c>
      <c r="K17" t="s">
        <v>206</v>
      </c>
      <c r="L17" t="s">
        <v>423</v>
      </c>
      <c r="M17" t="s">
        <v>424</v>
      </c>
      <c r="O17">
        <v>12</v>
      </c>
      <c r="P17">
        <v>5</v>
      </c>
      <c r="Q17">
        <v>20</v>
      </c>
      <c r="R17">
        <v>8</v>
      </c>
      <c r="S17">
        <v>12</v>
      </c>
      <c r="T17">
        <v>5</v>
      </c>
      <c r="U17" s="4">
        <f t="shared" si="6"/>
        <v>0.41666666666666669</v>
      </c>
      <c r="V17" s="4">
        <f t="shared" si="7"/>
        <v>0.4</v>
      </c>
      <c r="W17" s="4">
        <f t="shared" si="5"/>
        <v>0.41666666666666669</v>
      </c>
      <c r="X17" t="s">
        <v>230</v>
      </c>
      <c r="Y17" s="10">
        <f>8/14*100</f>
        <v>57.142857142857139</v>
      </c>
      <c r="Z17" s="10">
        <f>2/14*100</f>
        <v>14.285714285714285</v>
      </c>
      <c r="AA17" s="10">
        <f>2/14*100</f>
        <v>14.285714285714285</v>
      </c>
      <c r="AB17" s="10">
        <f>2/14*100</f>
        <v>14.285714285714285</v>
      </c>
      <c r="AC17" s="10">
        <v>0</v>
      </c>
      <c r="AD17" s="10">
        <v>0</v>
      </c>
      <c r="AF17" t="s">
        <v>231</v>
      </c>
      <c r="AG17" t="s">
        <v>425</v>
      </c>
      <c r="AH17" s="6">
        <v>42675</v>
      </c>
      <c r="AI17" s="6" t="s">
        <v>426</v>
      </c>
      <c r="AK17" t="s">
        <v>232</v>
      </c>
      <c r="AO17" t="s">
        <v>427</v>
      </c>
      <c r="AP17" t="s">
        <v>234</v>
      </c>
      <c r="AT17" t="s">
        <v>235</v>
      </c>
      <c r="AV17" t="s">
        <v>428</v>
      </c>
      <c r="AX17" t="s">
        <v>300</v>
      </c>
      <c r="AZ17" t="s">
        <v>237</v>
      </c>
      <c r="BA17" t="s">
        <v>429</v>
      </c>
      <c r="BB17" t="s">
        <v>430</v>
      </c>
      <c r="BH17" t="s">
        <v>431</v>
      </c>
      <c r="BK17" t="s">
        <v>432</v>
      </c>
      <c r="BM17" t="s">
        <v>245</v>
      </c>
      <c r="BN17" t="s">
        <v>245</v>
      </c>
      <c r="BU17" t="s">
        <v>245</v>
      </c>
      <c r="BW17" t="s">
        <v>245</v>
      </c>
      <c r="BX17" t="s">
        <v>433</v>
      </c>
      <c r="BY17" t="s">
        <v>434</v>
      </c>
      <c r="BZ17" t="s">
        <v>435</v>
      </c>
      <c r="CA17" t="s">
        <v>436</v>
      </c>
      <c r="CB17" t="s">
        <v>437</v>
      </c>
      <c r="CC17" t="s">
        <v>438</v>
      </c>
      <c r="CD17" s="6">
        <v>43132</v>
      </c>
      <c r="CE17" s="6">
        <v>43252</v>
      </c>
      <c r="CF17" t="s">
        <v>322</v>
      </c>
      <c r="CJ17" t="s">
        <v>311</v>
      </c>
      <c r="DJ17" t="s">
        <v>290</v>
      </c>
      <c r="DK17" t="s">
        <v>439</v>
      </c>
      <c r="DL17" t="s">
        <v>440</v>
      </c>
      <c r="DQ17" t="s">
        <v>441</v>
      </c>
      <c r="DS17" t="s">
        <v>338</v>
      </c>
      <c r="DT17" t="s">
        <v>216</v>
      </c>
      <c r="DV17" t="s">
        <v>442</v>
      </c>
      <c r="DZ17">
        <v>1</v>
      </c>
      <c r="EA17">
        <v>2</v>
      </c>
      <c r="EB17">
        <v>4</v>
      </c>
      <c r="EF17">
        <v>0</v>
      </c>
      <c r="EG17">
        <v>100</v>
      </c>
      <c r="EH17">
        <v>0</v>
      </c>
      <c r="EI17">
        <v>0</v>
      </c>
      <c r="EJ17">
        <v>0</v>
      </c>
      <c r="EK17">
        <v>0</v>
      </c>
      <c r="EL17">
        <v>0</v>
      </c>
      <c r="EM17">
        <f t="shared" si="3"/>
        <v>100</v>
      </c>
      <c r="EN17">
        <v>0</v>
      </c>
      <c r="EO17">
        <v>0</v>
      </c>
      <c r="EP17" s="10">
        <f>25/101*100</f>
        <v>24.752475247524753</v>
      </c>
      <c r="EQ17" s="10">
        <f>25/101*100</f>
        <v>24.752475247524753</v>
      </c>
      <c r="ER17" s="10">
        <f>51/101*100</f>
        <v>50.495049504950494</v>
      </c>
      <c r="ES17">
        <v>0</v>
      </c>
      <c r="ET17">
        <v>0</v>
      </c>
      <c r="EU17">
        <v>0</v>
      </c>
      <c r="EV17">
        <v>0</v>
      </c>
      <c r="EW17" t="s">
        <v>443</v>
      </c>
      <c r="EX17" s="7" t="s">
        <v>218</v>
      </c>
      <c r="FQ17">
        <v>5</v>
      </c>
      <c r="FS17">
        <v>5</v>
      </c>
      <c r="FT17">
        <v>5</v>
      </c>
      <c r="FU17">
        <v>3</v>
      </c>
      <c r="FV17">
        <v>4</v>
      </c>
      <c r="FW17">
        <v>4</v>
      </c>
      <c r="FX17">
        <v>4</v>
      </c>
      <c r="GA17">
        <v>5</v>
      </c>
      <c r="GB17">
        <v>4</v>
      </c>
      <c r="GC17">
        <v>4</v>
      </c>
      <c r="GD17">
        <v>4</v>
      </c>
      <c r="GE17">
        <v>5</v>
      </c>
      <c r="GF17">
        <v>4</v>
      </c>
      <c r="GG17">
        <v>5</v>
      </c>
      <c r="GH17">
        <v>5</v>
      </c>
      <c r="GI17">
        <v>4</v>
      </c>
      <c r="GJ17">
        <v>3</v>
      </c>
      <c r="GK17">
        <v>4</v>
      </c>
      <c r="GL17">
        <v>5</v>
      </c>
      <c r="GM17">
        <v>4</v>
      </c>
      <c r="GN17">
        <v>3</v>
      </c>
      <c r="GQ17" t="s">
        <v>306</v>
      </c>
      <c r="GR17" t="s">
        <v>444</v>
      </c>
      <c r="GS17" t="s">
        <v>445</v>
      </c>
      <c r="GT17" t="s">
        <v>222</v>
      </c>
    </row>
    <row r="18" spans="1:202" x14ac:dyDescent="0.2">
      <c r="A18">
        <v>17</v>
      </c>
      <c r="B18" t="s">
        <v>224</v>
      </c>
      <c r="C18" t="s">
        <v>446</v>
      </c>
      <c r="D18" t="s">
        <v>224</v>
      </c>
      <c r="E18" t="s">
        <v>227</v>
      </c>
      <c r="F18" t="s">
        <v>227</v>
      </c>
      <c r="G18" s="3">
        <v>2016</v>
      </c>
      <c r="H18">
        <v>2018</v>
      </c>
      <c r="I18">
        <f t="shared" si="4"/>
        <v>2</v>
      </c>
      <c r="J18" t="s">
        <v>205</v>
      </c>
      <c r="K18" t="s">
        <v>206</v>
      </c>
      <c r="L18" t="s">
        <v>423</v>
      </c>
      <c r="M18" t="s">
        <v>447</v>
      </c>
      <c r="O18">
        <v>4</v>
      </c>
      <c r="P18">
        <v>4</v>
      </c>
      <c r="Q18">
        <v>4</v>
      </c>
      <c r="R18">
        <v>4</v>
      </c>
      <c r="S18">
        <v>20</v>
      </c>
      <c r="T18">
        <v>20</v>
      </c>
      <c r="U18" s="4">
        <f t="shared" si="6"/>
        <v>1</v>
      </c>
      <c r="V18" s="4">
        <f t="shared" si="7"/>
        <v>1</v>
      </c>
      <c r="W18" s="4">
        <f t="shared" si="5"/>
        <v>1</v>
      </c>
      <c r="X18" t="s">
        <v>209</v>
      </c>
      <c r="Y18" s="5">
        <f>14/18*100</f>
        <v>77.777777777777786</v>
      </c>
      <c r="Z18" s="5">
        <v>0</v>
      </c>
      <c r="AA18" s="5">
        <f>1/18*100</f>
        <v>5.5555555555555554</v>
      </c>
      <c r="AB18" s="5">
        <f>3/18*100</f>
        <v>16.666666666666664</v>
      </c>
      <c r="AC18" s="5">
        <v>0</v>
      </c>
      <c r="AD18" s="5">
        <v>0</v>
      </c>
      <c r="AF18" t="s">
        <v>448</v>
      </c>
      <c r="AG18" t="s">
        <v>449</v>
      </c>
      <c r="AH18" s="6">
        <v>43070</v>
      </c>
      <c r="AI18" s="6">
        <v>43221</v>
      </c>
      <c r="AJ18" t="s">
        <v>310</v>
      </c>
      <c r="AK18" t="s">
        <v>298</v>
      </c>
      <c r="AO18" t="s">
        <v>233</v>
      </c>
      <c r="AP18" t="s">
        <v>262</v>
      </c>
      <c r="AQ18" t="s">
        <v>263</v>
      </c>
      <c r="AT18" t="s">
        <v>313</v>
      </c>
      <c r="AX18" t="s">
        <v>237</v>
      </c>
      <c r="AY18" t="s">
        <v>450</v>
      </c>
      <c r="AZ18" t="s">
        <v>237</v>
      </c>
      <c r="BA18" t="s">
        <v>451</v>
      </c>
      <c r="BB18" t="s">
        <v>412</v>
      </c>
      <c r="BC18" t="s">
        <v>452</v>
      </c>
      <c r="BD18" t="s">
        <v>270</v>
      </c>
      <c r="BE18" t="s">
        <v>271</v>
      </c>
      <c r="BI18" t="s">
        <v>272</v>
      </c>
      <c r="BJ18" t="s">
        <v>273</v>
      </c>
      <c r="BM18" t="s">
        <v>245</v>
      </c>
      <c r="BN18" t="s">
        <v>245</v>
      </c>
      <c r="BO18" t="s">
        <v>245</v>
      </c>
      <c r="BQ18" t="s">
        <v>245</v>
      </c>
      <c r="BR18" t="s">
        <v>453</v>
      </c>
      <c r="BS18" t="s">
        <v>245</v>
      </c>
      <c r="BT18" t="s">
        <v>245</v>
      </c>
      <c r="BV18" t="s">
        <v>245</v>
      </c>
      <c r="CA18" t="s">
        <v>454</v>
      </c>
      <c r="CC18" t="s">
        <v>455</v>
      </c>
      <c r="CD18" s="6">
        <v>43070</v>
      </c>
      <c r="CE18" s="6">
        <v>43221</v>
      </c>
      <c r="CF18" t="s">
        <v>259</v>
      </c>
      <c r="CI18" s="3" t="s">
        <v>456</v>
      </c>
      <c r="CJ18" t="s">
        <v>335</v>
      </c>
      <c r="DB18" t="s">
        <v>290</v>
      </c>
      <c r="DM18" t="s">
        <v>290</v>
      </c>
      <c r="DN18" t="s">
        <v>457</v>
      </c>
      <c r="DP18" t="s">
        <v>458</v>
      </c>
      <c r="DQ18" s="3" t="s">
        <v>215</v>
      </c>
      <c r="DR18" t="s">
        <v>459</v>
      </c>
      <c r="DS18" t="s">
        <v>233</v>
      </c>
      <c r="DT18" t="s">
        <v>233</v>
      </c>
      <c r="EE18" s="3">
        <v>800</v>
      </c>
      <c r="EF18">
        <v>0</v>
      </c>
      <c r="EG18">
        <v>20</v>
      </c>
      <c r="EH18">
        <v>20</v>
      </c>
      <c r="EI18">
        <v>5</v>
      </c>
      <c r="EJ18">
        <v>5</v>
      </c>
      <c r="EK18">
        <v>50</v>
      </c>
      <c r="EL18">
        <v>0</v>
      </c>
      <c r="EM18">
        <f t="shared" si="3"/>
        <v>100</v>
      </c>
      <c r="EW18" t="s">
        <v>460</v>
      </c>
      <c r="EX18" s="7"/>
      <c r="EY18" t="s">
        <v>219</v>
      </c>
      <c r="FB18" t="s">
        <v>219</v>
      </c>
      <c r="FE18" t="s">
        <v>219</v>
      </c>
      <c r="FH18" t="s">
        <v>219</v>
      </c>
      <c r="FQ18">
        <v>4</v>
      </c>
      <c r="FS18">
        <v>5</v>
      </c>
      <c r="FT18">
        <v>5</v>
      </c>
      <c r="FU18">
        <v>4</v>
      </c>
      <c r="FV18">
        <v>3</v>
      </c>
      <c r="FW18">
        <v>4</v>
      </c>
      <c r="FX18">
        <v>2</v>
      </c>
      <c r="FY18">
        <v>4</v>
      </c>
      <c r="FZ18" t="s">
        <v>461</v>
      </c>
      <c r="GA18">
        <v>4</v>
      </c>
      <c r="GB18">
        <v>5</v>
      </c>
      <c r="GC18">
        <v>4</v>
      </c>
      <c r="GD18">
        <v>2</v>
      </c>
      <c r="GE18">
        <v>3</v>
      </c>
      <c r="GF18">
        <v>3</v>
      </c>
      <c r="GG18">
        <v>5</v>
      </c>
      <c r="GH18">
        <v>5</v>
      </c>
      <c r="GI18">
        <v>4</v>
      </c>
      <c r="GJ18">
        <v>2</v>
      </c>
      <c r="GK18">
        <v>3</v>
      </c>
      <c r="GL18">
        <v>4</v>
      </c>
      <c r="GM18">
        <v>5</v>
      </c>
      <c r="GN18">
        <v>5</v>
      </c>
      <c r="GQ18" t="s">
        <v>221</v>
      </c>
      <c r="GR18" t="s">
        <v>306</v>
      </c>
      <c r="GT18" t="s">
        <v>222</v>
      </c>
    </row>
    <row r="19" spans="1:202" x14ac:dyDescent="0.2">
      <c r="A19">
        <v>18</v>
      </c>
      <c r="B19" t="s">
        <v>224</v>
      </c>
      <c r="C19" t="s">
        <v>462</v>
      </c>
      <c r="D19" t="s">
        <v>463</v>
      </c>
      <c r="E19" t="s">
        <v>227</v>
      </c>
      <c r="F19" t="s">
        <v>204</v>
      </c>
      <c r="G19">
        <v>2015</v>
      </c>
      <c r="H19">
        <v>2018</v>
      </c>
      <c r="I19">
        <f t="shared" si="4"/>
        <v>3</v>
      </c>
      <c r="J19" t="s">
        <v>205</v>
      </c>
      <c r="K19" t="s">
        <v>206</v>
      </c>
      <c r="L19" t="s">
        <v>228</v>
      </c>
      <c r="M19" t="s">
        <v>464</v>
      </c>
      <c r="O19">
        <v>10</v>
      </c>
      <c r="P19">
        <v>5</v>
      </c>
      <c r="Q19">
        <v>20</v>
      </c>
      <c r="R19">
        <v>15</v>
      </c>
      <c r="S19">
        <v>32</v>
      </c>
      <c r="T19">
        <v>30</v>
      </c>
      <c r="U19" s="4">
        <f t="shared" si="6"/>
        <v>0.5</v>
      </c>
      <c r="V19" s="4">
        <f t="shared" si="7"/>
        <v>0.75</v>
      </c>
      <c r="W19" s="4">
        <f t="shared" si="5"/>
        <v>0.9375</v>
      </c>
      <c r="X19" t="s">
        <v>209</v>
      </c>
      <c r="Y19" s="5">
        <f>21/32*100</f>
        <v>65.625</v>
      </c>
      <c r="Z19" s="5">
        <f>2/32*100</f>
        <v>6.25</v>
      </c>
      <c r="AA19" s="5">
        <f>2/32*100</f>
        <v>6.25</v>
      </c>
      <c r="AB19" s="5">
        <f>5/32*100</f>
        <v>15.625</v>
      </c>
      <c r="AC19" s="5">
        <f>2/32*100</f>
        <v>6.25</v>
      </c>
      <c r="AD19" s="5">
        <v>0</v>
      </c>
      <c r="AF19" t="s">
        <v>296</v>
      </c>
      <c r="AG19" t="s">
        <v>465</v>
      </c>
      <c r="AH19" s="6">
        <v>43101</v>
      </c>
      <c r="AI19" s="6">
        <v>43466</v>
      </c>
      <c r="AJ19" t="s">
        <v>466</v>
      </c>
      <c r="AK19" t="s">
        <v>298</v>
      </c>
      <c r="AO19" s="3"/>
      <c r="AP19" t="s">
        <v>262</v>
      </c>
      <c r="AQ19" t="s">
        <v>466</v>
      </c>
      <c r="AT19" t="s">
        <v>235</v>
      </c>
      <c r="AV19" t="s">
        <v>467</v>
      </c>
      <c r="AX19" t="s">
        <v>266</v>
      </c>
      <c r="AZ19" t="s">
        <v>267</v>
      </c>
      <c r="BB19" t="s">
        <v>468</v>
      </c>
      <c r="BD19" s="3"/>
      <c r="BH19" t="s">
        <v>469</v>
      </c>
      <c r="BI19" s="3"/>
      <c r="CF19" t="s">
        <v>298</v>
      </c>
      <c r="CJ19" t="s">
        <v>311</v>
      </c>
      <c r="CM19" t="s">
        <v>368</v>
      </c>
      <c r="CN19" t="s">
        <v>470</v>
      </c>
      <c r="DQ19" t="s">
        <v>215</v>
      </c>
      <c r="DT19" t="s">
        <v>216</v>
      </c>
      <c r="EF19">
        <v>0</v>
      </c>
      <c r="EG19">
        <v>4</v>
      </c>
      <c r="EH19">
        <v>9</v>
      </c>
      <c r="EI19">
        <v>0</v>
      </c>
      <c r="EJ19">
        <v>0</v>
      </c>
      <c r="EK19">
        <v>7</v>
      </c>
      <c r="EL19">
        <v>80</v>
      </c>
      <c r="EM19">
        <f t="shared" si="3"/>
        <v>100</v>
      </c>
      <c r="EN19" s="5">
        <f>30/32*100</f>
        <v>93.75</v>
      </c>
      <c r="EO19" s="5">
        <f>2/32*100</f>
        <v>6.25</v>
      </c>
      <c r="EP19" s="3">
        <v>0</v>
      </c>
      <c r="EQ19" s="3">
        <v>0</v>
      </c>
      <c r="ER19" s="3">
        <v>0</v>
      </c>
      <c r="ES19" s="3">
        <v>0</v>
      </c>
      <c r="ET19" s="3">
        <v>0</v>
      </c>
      <c r="EU19" s="3">
        <v>0</v>
      </c>
      <c r="EV19" s="3">
        <v>0</v>
      </c>
      <c r="EW19" t="s">
        <v>471</v>
      </c>
      <c r="EX19" s="7"/>
      <c r="EY19" t="s">
        <v>341</v>
      </c>
      <c r="FA19" t="s">
        <v>472</v>
      </c>
      <c r="FQ19">
        <v>1</v>
      </c>
      <c r="FR19" t="s">
        <v>473</v>
      </c>
      <c r="FS19">
        <v>3</v>
      </c>
      <c r="FT19">
        <v>3</v>
      </c>
      <c r="FU19">
        <v>3</v>
      </c>
      <c r="FV19">
        <v>1</v>
      </c>
      <c r="FW19">
        <v>4</v>
      </c>
      <c r="FX19">
        <v>4</v>
      </c>
      <c r="GA19">
        <v>2</v>
      </c>
      <c r="GB19">
        <v>5</v>
      </c>
      <c r="GC19">
        <v>5</v>
      </c>
      <c r="GD19">
        <v>3</v>
      </c>
      <c r="GE19">
        <v>4</v>
      </c>
      <c r="GF19">
        <v>2</v>
      </c>
      <c r="GG19">
        <v>4</v>
      </c>
      <c r="GH19">
        <v>3</v>
      </c>
      <c r="GI19">
        <v>3</v>
      </c>
      <c r="GJ19">
        <v>4</v>
      </c>
      <c r="GK19">
        <v>3</v>
      </c>
      <c r="GL19">
        <v>2</v>
      </c>
      <c r="GM19">
        <v>3</v>
      </c>
      <c r="GN19">
        <v>4</v>
      </c>
      <c r="GQ19" t="s">
        <v>221</v>
      </c>
      <c r="GR19" t="s">
        <v>306</v>
      </c>
      <c r="GS19" t="s">
        <v>474</v>
      </c>
      <c r="GT19" t="s">
        <v>222</v>
      </c>
    </row>
    <row r="20" spans="1:202" x14ac:dyDescent="0.2">
      <c r="A20">
        <v>20</v>
      </c>
      <c r="B20" t="s">
        <v>475</v>
      </c>
      <c r="C20" t="s">
        <v>476</v>
      </c>
      <c r="D20" t="s">
        <v>475</v>
      </c>
      <c r="E20" t="s">
        <v>204</v>
      </c>
      <c r="F20" t="s">
        <v>204</v>
      </c>
      <c r="G20">
        <v>2017</v>
      </c>
      <c r="H20">
        <v>2018</v>
      </c>
      <c r="I20">
        <f t="shared" si="4"/>
        <v>1</v>
      </c>
      <c r="J20" t="s">
        <v>205</v>
      </c>
      <c r="K20" t="s">
        <v>206</v>
      </c>
      <c r="L20" t="s">
        <v>423</v>
      </c>
      <c r="M20" t="s">
        <v>477</v>
      </c>
      <c r="N20" t="s">
        <v>478</v>
      </c>
      <c r="O20" s="3"/>
      <c r="P20" s="3"/>
      <c r="Q20">
        <v>8</v>
      </c>
      <c r="R20">
        <v>8</v>
      </c>
      <c r="S20">
        <v>17</v>
      </c>
      <c r="T20">
        <v>17</v>
      </c>
      <c r="U20" s="4"/>
      <c r="V20" s="4">
        <f t="shared" si="7"/>
        <v>1</v>
      </c>
      <c r="W20" s="4">
        <f t="shared" si="5"/>
        <v>1</v>
      </c>
      <c r="X20" t="s">
        <v>209</v>
      </c>
      <c r="Y20">
        <v>100</v>
      </c>
      <c r="Z20">
        <v>0</v>
      </c>
      <c r="AA20">
        <v>0</v>
      </c>
      <c r="AB20">
        <v>0</v>
      </c>
      <c r="AC20">
        <v>0</v>
      </c>
      <c r="AD20">
        <v>0</v>
      </c>
      <c r="AF20" t="s">
        <v>479</v>
      </c>
      <c r="AG20" t="s">
        <v>310</v>
      </c>
      <c r="AH20" s="6">
        <v>42795</v>
      </c>
      <c r="AI20" s="6">
        <v>43388</v>
      </c>
      <c r="AK20" t="s">
        <v>232</v>
      </c>
      <c r="AO20" t="s">
        <v>311</v>
      </c>
      <c r="AP20" t="s">
        <v>262</v>
      </c>
      <c r="AQ20" t="s">
        <v>310</v>
      </c>
      <c r="AT20" t="s">
        <v>313</v>
      </c>
      <c r="AX20" t="s">
        <v>237</v>
      </c>
      <c r="AY20" t="s">
        <v>480</v>
      </c>
      <c r="AZ20" t="s">
        <v>237</v>
      </c>
      <c r="BA20" s="7" t="s">
        <v>481</v>
      </c>
      <c r="BB20" t="s">
        <v>482</v>
      </c>
      <c r="BD20" t="s">
        <v>270</v>
      </c>
      <c r="BE20" t="s">
        <v>483</v>
      </c>
      <c r="BI20" t="s">
        <v>272</v>
      </c>
      <c r="BN20" t="s">
        <v>274</v>
      </c>
      <c r="BT20" t="s">
        <v>274</v>
      </c>
      <c r="BU20" t="s">
        <v>274</v>
      </c>
      <c r="BY20" s="3" t="s">
        <v>247</v>
      </c>
      <c r="BZ20" s="3" t="s">
        <v>247</v>
      </c>
      <c r="CA20" t="s">
        <v>484</v>
      </c>
      <c r="CB20">
        <v>20000</v>
      </c>
      <c r="CC20" t="s">
        <v>485</v>
      </c>
      <c r="CD20" s="6">
        <v>42887</v>
      </c>
      <c r="CE20" s="6">
        <v>43388</v>
      </c>
      <c r="CF20" t="s">
        <v>259</v>
      </c>
      <c r="CJ20" t="s">
        <v>311</v>
      </c>
      <c r="CM20" t="s">
        <v>378</v>
      </c>
      <c r="CN20" t="s">
        <v>486</v>
      </c>
      <c r="DQ20" t="s">
        <v>215</v>
      </c>
      <c r="EF20">
        <v>0</v>
      </c>
      <c r="EG20">
        <v>20</v>
      </c>
      <c r="EH20">
        <v>80</v>
      </c>
      <c r="EI20">
        <v>0</v>
      </c>
      <c r="EJ20">
        <v>0</v>
      </c>
      <c r="EK20">
        <v>0</v>
      </c>
      <c r="EL20">
        <v>0</v>
      </c>
      <c r="EM20">
        <f t="shared" si="3"/>
        <v>100</v>
      </c>
      <c r="EN20">
        <v>0</v>
      </c>
      <c r="EO20">
        <v>0</v>
      </c>
      <c r="EP20">
        <v>0</v>
      </c>
      <c r="EQ20">
        <v>50</v>
      </c>
      <c r="ER20">
        <v>50</v>
      </c>
      <c r="ES20">
        <v>0</v>
      </c>
      <c r="ET20">
        <v>0</v>
      </c>
      <c r="EU20">
        <v>0</v>
      </c>
      <c r="EV20">
        <v>0</v>
      </c>
      <c r="EW20" t="s">
        <v>487</v>
      </c>
      <c r="EX20" s="7"/>
      <c r="GB20">
        <v>5</v>
      </c>
      <c r="GC20">
        <v>3</v>
      </c>
      <c r="GD20">
        <v>1</v>
      </c>
      <c r="GE20">
        <v>4</v>
      </c>
      <c r="GF20">
        <v>1</v>
      </c>
      <c r="GG20">
        <v>4</v>
      </c>
      <c r="GH20">
        <v>4</v>
      </c>
      <c r="GI20">
        <v>4</v>
      </c>
      <c r="GJ20">
        <v>1</v>
      </c>
      <c r="GL20">
        <v>5</v>
      </c>
      <c r="GM20">
        <v>5</v>
      </c>
      <c r="GN20">
        <v>5</v>
      </c>
      <c r="GQ20" t="s">
        <v>488</v>
      </c>
      <c r="GR20" t="s">
        <v>221</v>
      </c>
      <c r="GT20" t="s">
        <v>222</v>
      </c>
    </row>
    <row r="21" spans="1:202" x14ac:dyDescent="0.2">
      <c r="A21">
        <v>21</v>
      </c>
      <c r="B21" t="s">
        <v>489</v>
      </c>
      <c r="C21" t="s">
        <v>490</v>
      </c>
      <c r="D21" t="s">
        <v>489</v>
      </c>
      <c r="E21" t="s">
        <v>204</v>
      </c>
      <c r="F21" t="s">
        <v>204</v>
      </c>
      <c r="G21">
        <v>2016</v>
      </c>
      <c r="H21">
        <v>2018</v>
      </c>
      <c r="I21">
        <f t="shared" si="4"/>
        <v>2</v>
      </c>
      <c r="J21" t="s">
        <v>285</v>
      </c>
      <c r="K21" t="s">
        <v>206</v>
      </c>
      <c r="L21" t="s">
        <v>207</v>
      </c>
      <c r="M21" t="s">
        <v>491</v>
      </c>
      <c r="O21">
        <v>1</v>
      </c>
      <c r="P21">
        <v>0</v>
      </c>
      <c r="Q21">
        <v>1</v>
      </c>
      <c r="R21">
        <v>0</v>
      </c>
      <c r="S21">
        <v>1</v>
      </c>
      <c r="T21">
        <v>0</v>
      </c>
      <c r="U21" s="4">
        <f>P21/O21</f>
        <v>0</v>
      </c>
      <c r="V21" s="4">
        <f t="shared" si="7"/>
        <v>0</v>
      </c>
      <c r="W21" s="4">
        <f t="shared" si="5"/>
        <v>0</v>
      </c>
      <c r="X21" t="s">
        <v>230</v>
      </c>
      <c r="Y21" s="5">
        <f>100/149*100</f>
        <v>67.114093959731548</v>
      </c>
      <c r="Z21" s="5">
        <v>0</v>
      </c>
      <c r="AA21" s="5">
        <v>0</v>
      </c>
      <c r="AB21" s="5">
        <f>49/149*100</f>
        <v>32.885906040268459</v>
      </c>
      <c r="AC21" s="5">
        <v>0</v>
      </c>
      <c r="AD21" s="5">
        <v>0</v>
      </c>
      <c r="AF21" t="s">
        <v>288</v>
      </c>
      <c r="AH21" s="6"/>
      <c r="AI21" s="6"/>
      <c r="CC21" t="s">
        <v>492</v>
      </c>
      <c r="CD21" s="6">
        <v>42430</v>
      </c>
      <c r="CE21" s="6">
        <v>43252</v>
      </c>
      <c r="CF21" t="s">
        <v>289</v>
      </c>
      <c r="CH21" t="s">
        <v>493</v>
      </c>
      <c r="CJ21" t="s">
        <v>335</v>
      </c>
      <c r="CR21" t="s">
        <v>290</v>
      </c>
      <c r="DP21" t="s">
        <v>494</v>
      </c>
      <c r="DQ21" t="s">
        <v>495</v>
      </c>
      <c r="DS21" t="s">
        <v>216</v>
      </c>
      <c r="DT21" t="s">
        <v>216</v>
      </c>
      <c r="EA21">
        <v>1</v>
      </c>
      <c r="EB21">
        <v>2</v>
      </c>
      <c r="EF21">
        <v>0</v>
      </c>
      <c r="EG21">
        <v>0</v>
      </c>
      <c r="EH21">
        <v>50</v>
      </c>
      <c r="EI21">
        <v>50</v>
      </c>
      <c r="EJ21">
        <v>0</v>
      </c>
      <c r="EK21">
        <v>0</v>
      </c>
      <c r="EL21">
        <v>0</v>
      </c>
      <c r="EM21">
        <f t="shared" si="3"/>
        <v>100</v>
      </c>
      <c r="EN21">
        <v>0</v>
      </c>
      <c r="EO21">
        <v>0</v>
      </c>
      <c r="EP21">
        <v>0</v>
      </c>
      <c r="EQ21">
        <v>0</v>
      </c>
      <c r="ER21">
        <v>0</v>
      </c>
      <c r="ES21">
        <v>100</v>
      </c>
      <c r="ET21">
        <v>0</v>
      </c>
      <c r="EU21">
        <v>0</v>
      </c>
      <c r="EV21">
        <v>0</v>
      </c>
      <c r="EW21" t="s">
        <v>496</v>
      </c>
      <c r="EX21" s="7" t="s">
        <v>497</v>
      </c>
      <c r="EY21" t="s">
        <v>219</v>
      </c>
      <c r="EZ21" t="s">
        <v>389</v>
      </c>
      <c r="FB21" t="s">
        <v>219</v>
      </c>
      <c r="FC21" t="s">
        <v>498</v>
      </c>
      <c r="FE21" t="s">
        <v>219</v>
      </c>
      <c r="FF21" t="s">
        <v>499</v>
      </c>
      <c r="FQ21">
        <v>2</v>
      </c>
      <c r="FS21">
        <v>4</v>
      </c>
      <c r="FT21">
        <v>5</v>
      </c>
      <c r="FU21">
        <v>4</v>
      </c>
      <c r="FV21">
        <v>4</v>
      </c>
      <c r="FW21">
        <v>5</v>
      </c>
      <c r="FX21">
        <v>2</v>
      </c>
      <c r="GA21">
        <v>2</v>
      </c>
      <c r="GB21">
        <v>5</v>
      </c>
      <c r="GC21">
        <v>5</v>
      </c>
      <c r="GD21">
        <v>5</v>
      </c>
      <c r="GE21">
        <v>5</v>
      </c>
      <c r="GF21">
        <v>2</v>
      </c>
      <c r="GG21">
        <v>5</v>
      </c>
      <c r="GH21">
        <v>2</v>
      </c>
      <c r="GI21">
        <v>2</v>
      </c>
      <c r="GJ21">
        <v>2</v>
      </c>
      <c r="GK21">
        <v>4</v>
      </c>
      <c r="GL21">
        <v>5</v>
      </c>
      <c r="GM21">
        <v>5</v>
      </c>
      <c r="GN21">
        <v>5</v>
      </c>
      <c r="GQ21" t="s">
        <v>306</v>
      </c>
      <c r="GR21" t="s">
        <v>221</v>
      </c>
      <c r="GT21" t="s">
        <v>222</v>
      </c>
    </row>
    <row r="22" spans="1:202" x14ac:dyDescent="0.2">
      <c r="A22">
        <v>22</v>
      </c>
      <c r="B22" t="s">
        <v>500</v>
      </c>
      <c r="C22" t="s">
        <v>501</v>
      </c>
      <c r="D22" t="s">
        <v>500</v>
      </c>
      <c r="E22" t="s">
        <v>204</v>
      </c>
      <c r="F22" t="s">
        <v>204</v>
      </c>
      <c r="G22">
        <v>2016</v>
      </c>
      <c r="H22">
        <v>2016</v>
      </c>
      <c r="I22">
        <f t="shared" si="4"/>
        <v>0</v>
      </c>
      <c r="J22" t="s">
        <v>285</v>
      </c>
      <c r="K22" t="s">
        <v>206</v>
      </c>
      <c r="L22" t="s">
        <v>286</v>
      </c>
      <c r="M22" t="s">
        <v>208</v>
      </c>
      <c r="O22">
        <v>331</v>
      </c>
      <c r="P22">
        <v>0.5</v>
      </c>
      <c r="Q22">
        <v>346</v>
      </c>
      <c r="R22">
        <v>1</v>
      </c>
      <c r="S22">
        <v>380</v>
      </c>
      <c r="T22">
        <v>1</v>
      </c>
      <c r="U22" s="4">
        <f>P22/O22</f>
        <v>1.5105740181268882E-3</v>
      </c>
      <c r="V22" s="4">
        <f t="shared" si="7"/>
        <v>2.8901734104046241E-3</v>
      </c>
      <c r="W22" s="4">
        <f t="shared" si="5"/>
        <v>2.631578947368421E-3</v>
      </c>
      <c r="X22" t="s">
        <v>230</v>
      </c>
      <c r="Y22">
        <v>20</v>
      </c>
      <c r="Z22">
        <v>60</v>
      </c>
      <c r="AA22">
        <v>0</v>
      </c>
      <c r="AB22">
        <v>20</v>
      </c>
      <c r="AC22">
        <v>0</v>
      </c>
      <c r="AD22">
        <v>0</v>
      </c>
      <c r="AF22" t="s">
        <v>231</v>
      </c>
      <c r="CC22" t="s">
        <v>502</v>
      </c>
      <c r="CD22" s="6">
        <v>42583</v>
      </c>
      <c r="CF22" t="s">
        <v>322</v>
      </c>
      <c r="CJ22" t="s">
        <v>427</v>
      </c>
      <c r="CK22" t="s">
        <v>503</v>
      </c>
      <c r="CR22" t="s">
        <v>290</v>
      </c>
      <c r="DP22" t="s">
        <v>504</v>
      </c>
      <c r="DQ22" t="s">
        <v>505</v>
      </c>
      <c r="DS22" t="s">
        <v>216</v>
      </c>
      <c r="DT22" t="s">
        <v>216</v>
      </c>
      <c r="DZ22">
        <v>1</v>
      </c>
      <c r="EA22">
        <v>4</v>
      </c>
      <c r="EB22">
        <v>1</v>
      </c>
      <c r="EF22">
        <v>0</v>
      </c>
      <c r="EG22">
        <v>0</v>
      </c>
      <c r="EH22">
        <v>100</v>
      </c>
      <c r="EI22">
        <v>0</v>
      </c>
      <c r="EJ22">
        <v>0</v>
      </c>
      <c r="EK22">
        <v>0</v>
      </c>
      <c r="EL22">
        <v>0</v>
      </c>
      <c r="EM22">
        <f t="shared" si="3"/>
        <v>100</v>
      </c>
      <c r="EN22">
        <v>0</v>
      </c>
      <c r="EO22">
        <v>0</v>
      </c>
      <c r="EP22">
        <v>10</v>
      </c>
      <c r="EQ22">
        <v>0</v>
      </c>
      <c r="ER22">
        <v>0</v>
      </c>
      <c r="ES22">
        <v>90</v>
      </c>
      <c r="ET22">
        <v>0</v>
      </c>
      <c r="EU22">
        <v>0</v>
      </c>
      <c r="EV22">
        <v>0</v>
      </c>
      <c r="EW22" t="s">
        <v>506</v>
      </c>
      <c r="EX22" s="7" t="s">
        <v>507</v>
      </c>
      <c r="EY22" t="s">
        <v>219</v>
      </c>
      <c r="EZ22" t="s">
        <v>389</v>
      </c>
      <c r="FB22" t="s">
        <v>219</v>
      </c>
      <c r="FC22" t="s">
        <v>508</v>
      </c>
      <c r="FQ22">
        <v>4</v>
      </c>
      <c r="FR22" t="s">
        <v>509</v>
      </c>
      <c r="FS22">
        <v>3</v>
      </c>
      <c r="FT22">
        <v>3</v>
      </c>
      <c r="FU22">
        <v>4</v>
      </c>
      <c r="FV22">
        <v>3</v>
      </c>
      <c r="FW22">
        <v>2</v>
      </c>
      <c r="FX22">
        <v>2</v>
      </c>
      <c r="GA22">
        <v>4</v>
      </c>
      <c r="GB22">
        <v>3</v>
      </c>
      <c r="GC22">
        <v>4</v>
      </c>
      <c r="GD22">
        <v>1</v>
      </c>
      <c r="GE22">
        <v>3</v>
      </c>
      <c r="GF22">
        <v>3</v>
      </c>
      <c r="GG22">
        <v>4</v>
      </c>
      <c r="GH22">
        <v>2</v>
      </c>
      <c r="GI22">
        <v>2</v>
      </c>
      <c r="GJ22">
        <v>3</v>
      </c>
      <c r="GK22">
        <v>3</v>
      </c>
      <c r="GL22">
        <v>3</v>
      </c>
      <c r="GM22">
        <v>5</v>
      </c>
      <c r="GN22">
        <v>3</v>
      </c>
      <c r="GQ22" t="s">
        <v>221</v>
      </c>
      <c r="GR22" t="s">
        <v>306</v>
      </c>
      <c r="GT22" t="s">
        <v>222</v>
      </c>
    </row>
    <row r="23" spans="1:202" x14ac:dyDescent="0.2">
      <c r="A23">
        <v>23</v>
      </c>
      <c r="B23" t="s">
        <v>224</v>
      </c>
      <c r="C23" t="s">
        <v>510</v>
      </c>
      <c r="D23" t="s">
        <v>224</v>
      </c>
      <c r="E23" t="s">
        <v>227</v>
      </c>
      <c r="F23" t="s">
        <v>227</v>
      </c>
      <c r="G23" s="3"/>
      <c r="H23" s="3">
        <v>2016</v>
      </c>
      <c r="J23" t="s">
        <v>285</v>
      </c>
      <c r="K23" t="s">
        <v>206</v>
      </c>
      <c r="L23" t="s">
        <v>423</v>
      </c>
      <c r="M23" t="s">
        <v>511</v>
      </c>
      <c r="N23" t="s">
        <v>512</v>
      </c>
      <c r="P23" s="3">
        <v>100</v>
      </c>
      <c r="R23" s="3">
        <v>800</v>
      </c>
      <c r="T23">
        <v>1600</v>
      </c>
      <c r="U23" s="4"/>
      <c r="V23" s="4"/>
      <c r="W23" s="4"/>
      <c r="X23" t="s">
        <v>513</v>
      </c>
      <c r="AF23" t="s">
        <v>296</v>
      </c>
      <c r="AG23" t="s">
        <v>310</v>
      </c>
      <c r="AH23" s="6">
        <v>42192</v>
      </c>
      <c r="AI23" s="6">
        <v>42401</v>
      </c>
      <c r="AJ23" t="s">
        <v>514</v>
      </c>
      <c r="AK23" t="s">
        <v>298</v>
      </c>
      <c r="AL23" s="3" t="s">
        <v>456</v>
      </c>
      <c r="AP23" t="s">
        <v>234</v>
      </c>
      <c r="AT23" s="3" t="s">
        <v>235</v>
      </c>
      <c r="AW23" t="s">
        <v>515</v>
      </c>
      <c r="AX23" s="3" t="s">
        <v>516</v>
      </c>
      <c r="AY23" t="s">
        <v>517</v>
      </c>
      <c r="AZ23" s="3" t="s">
        <v>518</v>
      </c>
      <c r="BA23" t="s">
        <v>517</v>
      </c>
      <c r="BB23" t="s">
        <v>237</v>
      </c>
      <c r="BC23" s="3" t="s">
        <v>519</v>
      </c>
      <c r="BD23" s="3" t="s">
        <v>241</v>
      </c>
      <c r="BF23" s="3" t="s">
        <v>520</v>
      </c>
      <c r="BH23" t="s">
        <v>521</v>
      </c>
      <c r="BI23" s="3" t="s">
        <v>272</v>
      </c>
      <c r="BJ23" s="3" t="s">
        <v>273</v>
      </c>
      <c r="BL23" t="s">
        <v>517</v>
      </c>
      <c r="BN23" t="s">
        <v>245</v>
      </c>
      <c r="BQ23" t="s">
        <v>245</v>
      </c>
      <c r="BR23" t="s">
        <v>522</v>
      </c>
      <c r="BT23" t="s">
        <v>245</v>
      </c>
      <c r="BU23" t="s">
        <v>245</v>
      </c>
      <c r="BY23" s="3">
        <v>15</v>
      </c>
      <c r="BZ23" s="9"/>
      <c r="CA23" s="3" t="s">
        <v>523</v>
      </c>
      <c r="CB23" s="3">
        <v>3560</v>
      </c>
      <c r="CC23" t="s">
        <v>524</v>
      </c>
      <c r="CD23">
        <v>2016</v>
      </c>
      <c r="CE23">
        <v>2017</v>
      </c>
      <c r="CF23" t="s">
        <v>298</v>
      </c>
      <c r="CG23" t="s">
        <v>456</v>
      </c>
      <c r="CK23" t="s">
        <v>525</v>
      </c>
      <c r="CL23" t="s">
        <v>526</v>
      </c>
      <c r="CM23" t="s">
        <v>378</v>
      </c>
      <c r="CX23" t="s">
        <v>290</v>
      </c>
      <c r="CY23" t="s">
        <v>527</v>
      </c>
      <c r="DM23" t="s">
        <v>290</v>
      </c>
      <c r="DN23" t="s">
        <v>528</v>
      </c>
      <c r="DO23" t="s">
        <v>529</v>
      </c>
      <c r="DP23" t="s">
        <v>530</v>
      </c>
      <c r="DQ23" t="s">
        <v>237</v>
      </c>
      <c r="DR23" t="s">
        <v>531</v>
      </c>
      <c r="ED23">
        <v>400</v>
      </c>
      <c r="EE23">
        <v>500</v>
      </c>
      <c r="EF23">
        <v>2</v>
      </c>
      <c r="EG23">
        <v>28</v>
      </c>
      <c r="EH23">
        <v>33</v>
      </c>
      <c r="EI23">
        <v>0</v>
      </c>
      <c r="EJ23">
        <v>7</v>
      </c>
      <c r="EK23">
        <v>30</v>
      </c>
      <c r="EL23">
        <v>0</v>
      </c>
      <c r="EM23">
        <f t="shared" si="3"/>
        <v>100</v>
      </c>
      <c r="EW23" t="s">
        <v>532</v>
      </c>
      <c r="EX23" s="7" t="s">
        <v>533</v>
      </c>
      <c r="EY23" t="s">
        <v>219</v>
      </c>
      <c r="EZ23" t="s">
        <v>534</v>
      </c>
      <c r="FB23" t="s">
        <v>219</v>
      </c>
      <c r="FC23" t="s">
        <v>535</v>
      </c>
      <c r="FK23" t="s">
        <v>219</v>
      </c>
      <c r="FL23" t="s">
        <v>536</v>
      </c>
      <c r="FQ23">
        <v>2</v>
      </c>
      <c r="FS23">
        <v>4</v>
      </c>
      <c r="FT23">
        <v>4</v>
      </c>
      <c r="FU23">
        <v>2</v>
      </c>
      <c r="FV23">
        <v>1</v>
      </c>
      <c r="FW23">
        <v>4</v>
      </c>
      <c r="FX23">
        <v>3</v>
      </c>
      <c r="GA23">
        <v>4</v>
      </c>
      <c r="GB23">
        <v>2</v>
      </c>
      <c r="GC23">
        <v>2</v>
      </c>
      <c r="GD23">
        <v>2</v>
      </c>
      <c r="GE23">
        <v>4</v>
      </c>
      <c r="GF23">
        <v>2</v>
      </c>
      <c r="GG23">
        <v>4</v>
      </c>
      <c r="GH23">
        <v>5</v>
      </c>
      <c r="GI23">
        <v>2</v>
      </c>
      <c r="GJ23">
        <v>4</v>
      </c>
      <c r="GK23">
        <v>3</v>
      </c>
      <c r="GL23">
        <v>4</v>
      </c>
      <c r="GM23">
        <v>2</v>
      </c>
      <c r="GN23">
        <v>4</v>
      </c>
      <c r="GQ23" t="s">
        <v>221</v>
      </c>
      <c r="GR23" t="s">
        <v>306</v>
      </c>
      <c r="GS23" t="s">
        <v>537</v>
      </c>
      <c r="GT23" t="s">
        <v>291</v>
      </c>
    </row>
    <row r="24" spans="1:202" x14ac:dyDescent="0.2">
      <c r="A24" s="8">
        <v>24</v>
      </c>
      <c r="B24" t="s">
        <v>224</v>
      </c>
      <c r="C24" s="8" t="s">
        <v>538</v>
      </c>
      <c r="D24" s="8" t="s">
        <v>224</v>
      </c>
      <c r="E24" t="s">
        <v>227</v>
      </c>
      <c r="F24" t="s">
        <v>227</v>
      </c>
      <c r="G24" s="3">
        <v>2014</v>
      </c>
      <c r="H24" s="8">
        <v>2018</v>
      </c>
      <c r="I24">
        <f t="shared" ref="I24:I30" si="8">H24-G24</f>
        <v>4</v>
      </c>
      <c r="J24" t="s">
        <v>205</v>
      </c>
      <c r="K24" t="s">
        <v>206</v>
      </c>
      <c r="L24" s="8" t="s">
        <v>423</v>
      </c>
      <c r="M24" s="8" t="s">
        <v>237</v>
      </c>
      <c r="N24" s="8" t="s">
        <v>539</v>
      </c>
      <c r="O24" s="8">
        <v>72</v>
      </c>
      <c r="P24" s="8">
        <v>72</v>
      </c>
      <c r="Q24" s="8">
        <v>128</v>
      </c>
      <c r="R24" s="8">
        <v>128</v>
      </c>
      <c r="S24" s="8">
        <v>149</v>
      </c>
      <c r="T24" s="8">
        <v>149</v>
      </c>
      <c r="U24" s="4">
        <f>P24/O24</f>
        <v>1</v>
      </c>
      <c r="V24" s="4">
        <f>R24/Q24</f>
        <v>1</v>
      </c>
      <c r="W24" s="4">
        <f>T24/S24</f>
        <v>1</v>
      </c>
      <c r="X24" t="s">
        <v>513</v>
      </c>
      <c r="Y24" s="8">
        <v>75</v>
      </c>
      <c r="Z24" s="8">
        <v>0</v>
      </c>
      <c r="AA24" s="8">
        <v>0</v>
      </c>
      <c r="AB24" s="8">
        <v>10</v>
      </c>
      <c r="AC24" s="8">
        <v>3</v>
      </c>
      <c r="AD24" s="8">
        <v>12</v>
      </c>
      <c r="AE24" s="8" t="s">
        <v>540</v>
      </c>
      <c r="AF24" s="8"/>
      <c r="AG24" s="8"/>
      <c r="AH24" s="11"/>
      <c r="AI24" s="11"/>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3"/>
      <c r="DX24" s="3"/>
      <c r="DY24" s="3"/>
      <c r="DZ24" s="3"/>
      <c r="EA24" s="3"/>
      <c r="EB24" s="3"/>
      <c r="EC24" s="3"/>
      <c r="ED24" s="3"/>
      <c r="EE24" s="3"/>
      <c r="EF24" s="8">
        <v>0</v>
      </c>
      <c r="EG24" s="8">
        <v>33</v>
      </c>
      <c r="EH24" s="8">
        <v>33</v>
      </c>
      <c r="EI24" s="8">
        <v>0</v>
      </c>
      <c r="EJ24" s="8">
        <v>0</v>
      </c>
      <c r="EK24" s="8">
        <v>33</v>
      </c>
      <c r="EL24" s="8">
        <v>1</v>
      </c>
      <c r="EM24">
        <f t="shared" si="3"/>
        <v>100</v>
      </c>
      <c r="EN24" s="8">
        <v>0</v>
      </c>
      <c r="EO24" s="8">
        <v>5</v>
      </c>
      <c r="EP24" s="8">
        <v>0</v>
      </c>
      <c r="EQ24" s="8">
        <v>90</v>
      </c>
      <c r="ER24" s="8">
        <v>5</v>
      </c>
      <c r="ES24" s="8">
        <v>0</v>
      </c>
      <c r="ET24" s="8">
        <v>0</v>
      </c>
      <c r="EU24" s="8">
        <v>0</v>
      </c>
      <c r="EV24" s="8">
        <v>0</v>
      </c>
      <c r="EW24" s="8" t="s">
        <v>541</v>
      </c>
      <c r="EX24" s="7" t="s">
        <v>420</v>
      </c>
      <c r="EY24" s="8" t="s">
        <v>341</v>
      </c>
      <c r="EZ24" s="8" t="s">
        <v>542</v>
      </c>
      <c r="FA24" s="8"/>
      <c r="FB24" s="8" t="s">
        <v>219</v>
      </c>
      <c r="FC24" s="8" t="s">
        <v>543</v>
      </c>
      <c r="FD24" s="8"/>
      <c r="FE24" s="8"/>
      <c r="FF24" s="8" t="s">
        <v>544</v>
      </c>
      <c r="FG24" s="8"/>
      <c r="FH24" s="8" t="s">
        <v>341</v>
      </c>
      <c r="FI24" s="8" t="s">
        <v>545</v>
      </c>
      <c r="FJ24" s="8"/>
      <c r="FK24" s="8"/>
      <c r="FL24" s="8"/>
      <c r="FM24" s="8"/>
      <c r="FN24" s="8" t="s">
        <v>219</v>
      </c>
      <c r="FO24" s="8" t="s">
        <v>546</v>
      </c>
      <c r="FP24" s="8"/>
      <c r="FQ24" s="8">
        <v>3</v>
      </c>
      <c r="FR24" s="8"/>
      <c r="FS24" s="8">
        <v>2</v>
      </c>
      <c r="FT24" s="8">
        <v>2</v>
      </c>
      <c r="FU24" s="8">
        <v>5</v>
      </c>
      <c r="FV24" s="8">
        <v>2</v>
      </c>
      <c r="FW24" s="8">
        <v>5</v>
      </c>
      <c r="FX24" s="8">
        <v>3</v>
      </c>
      <c r="FY24" s="8"/>
      <c r="FZ24" s="8"/>
      <c r="GA24" s="8">
        <v>4</v>
      </c>
      <c r="GB24" s="8">
        <v>5</v>
      </c>
      <c r="GC24" s="8">
        <v>5</v>
      </c>
      <c r="GD24" s="8">
        <v>2</v>
      </c>
      <c r="GE24" s="8">
        <v>3</v>
      </c>
      <c r="GF24" s="8">
        <v>2</v>
      </c>
      <c r="GG24" s="8">
        <v>3</v>
      </c>
      <c r="GH24" s="8">
        <v>3</v>
      </c>
      <c r="GI24" s="8">
        <v>2</v>
      </c>
      <c r="GJ24" s="8">
        <v>5</v>
      </c>
      <c r="GK24" s="8">
        <v>3</v>
      </c>
      <c r="GL24" s="8">
        <v>2</v>
      </c>
      <c r="GM24" s="8">
        <v>4</v>
      </c>
      <c r="GN24" s="8">
        <v>5</v>
      </c>
      <c r="GO24" s="8"/>
      <c r="GP24" s="8"/>
      <c r="GQ24" s="8" t="s">
        <v>306</v>
      </c>
      <c r="GR24" s="8" t="s">
        <v>253</v>
      </c>
      <c r="GS24" s="8" t="s">
        <v>547</v>
      </c>
      <c r="GT24" s="8" t="s">
        <v>222</v>
      </c>
    </row>
    <row r="25" spans="1:202" x14ac:dyDescent="0.2">
      <c r="A25">
        <v>25</v>
      </c>
      <c r="B25" s="3" t="s">
        <v>202</v>
      </c>
      <c r="C25" t="s">
        <v>203</v>
      </c>
      <c r="D25" s="3" t="s">
        <v>202</v>
      </c>
      <c r="E25" t="s">
        <v>204</v>
      </c>
      <c r="F25" t="s">
        <v>204</v>
      </c>
      <c r="G25">
        <v>2015</v>
      </c>
      <c r="H25">
        <v>2018</v>
      </c>
      <c r="I25">
        <f t="shared" si="8"/>
        <v>3</v>
      </c>
      <c r="J25" t="s">
        <v>205</v>
      </c>
      <c r="K25" t="s">
        <v>206</v>
      </c>
      <c r="L25" t="s">
        <v>423</v>
      </c>
      <c r="M25" t="s">
        <v>548</v>
      </c>
      <c r="O25">
        <v>10</v>
      </c>
      <c r="P25">
        <v>10</v>
      </c>
      <c r="Q25">
        <v>35</v>
      </c>
      <c r="R25">
        <v>35</v>
      </c>
      <c r="S25">
        <v>80</v>
      </c>
      <c r="T25">
        <v>80</v>
      </c>
      <c r="U25" s="4">
        <f>P25/O25</f>
        <v>1</v>
      </c>
      <c r="V25" s="4">
        <f>R25/Q25</f>
        <v>1</v>
      </c>
      <c r="W25" s="4">
        <f>T25/S25</f>
        <v>1</v>
      </c>
      <c r="X25" t="s">
        <v>513</v>
      </c>
      <c r="Y25" s="5">
        <f>75/91*100</f>
        <v>82.417582417582409</v>
      </c>
      <c r="Z25" s="5">
        <f>5/91*100</f>
        <v>5.4945054945054945</v>
      </c>
      <c r="AA25" s="5">
        <f>5/91*100</f>
        <v>5.4945054945054945</v>
      </c>
      <c r="AB25" s="5">
        <f>3/91*100</f>
        <v>3.296703296703297</v>
      </c>
      <c r="AC25" s="5">
        <f>3/91*100</f>
        <v>3.296703296703297</v>
      </c>
      <c r="AD25" s="5">
        <v>0</v>
      </c>
      <c r="AF25" t="s">
        <v>231</v>
      </c>
      <c r="AG25" t="s">
        <v>549</v>
      </c>
      <c r="AH25" s="6">
        <v>41791</v>
      </c>
      <c r="AI25" s="6">
        <v>42156</v>
      </c>
      <c r="AJ25" t="s">
        <v>550</v>
      </c>
      <c r="AK25" t="s">
        <v>232</v>
      </c>
      <c r="AO25" t="s">
        <v>335</v>
      </c>
      <c r="AP25" t="s">
        <v>234</v>
      </c>
      <c r="AT25" t="s">
        <v>264</v>
      </c>
      <c r="AU25" t="s">
        <v>551</v>
      </c>
      <c r="AX25" t="s">
        <v>266</v>
      </c>
      <c r="AZ25" t="s">
        <v>267</v>
      </c>
      <c r="BB25" s="3"/>
      <c r="BC25" t="s">
        <v>552</v>
      </c>
      <c r="BD25" t="s">
        <v>241</v>
      </c>
      <c r="BI25" t="s">
        <v>272</v>
      </c>
      <c r="BJ25" t="s">
        <v>553</v>
      </c>
      <c r="BM25" t="s">
        <v>245</v>
      </c>
      <c r="BN25" t="s">
        <v>245</v>
      </c>
      <c r="BU25" t="s">
        <v>245</v>
      </c>
      <c r="BY25" s="3" t="s">
        <v>247</v>
      </c>
      <c r="BZ25" s="3" t="s">
        <v>247</v>
      </c>
      <c r="CA25" t="s">
        <v>554</v>
      </c>
      <c r="CB25" s="12">
        <v>20000</v>
      </c>
      <c r="CC25" t="s">
        <v>549</v>
      </c>
      <c r="CD25" s="6">
        <v>41791</v>
      </c>
      <c r="CE25" s="6">
        <v>42156</v>
      </c>
      <c r="CF25" t="s">
        <v>322</v>
      </c>
      <c r="CJ25" t="s">
        <v>335</v>
      </c>
      <c r="CK25" t="s">
        <v>555</v>
      </c>
      <c r="DD25" t="s">
        <v>290</v>
      </c>
      <c r="DQ25" t="s">
        <v>556</v>
      </c>
      <c r="DS25" t="s">
        <v>338</v>
      </c>
      <c r="DT25" t="s">
        <v>338</v>
      </c>
      <c r="DZ25">
        <v>0</v>
      </c>
      <c r="EA25">
        <v>2</v>
      </c>
      <c r="EB25">
        <v>3</v>
      </c>
      <c r="EF25">
        <v>0</v>
      </c>
      <c r="EG25">
        <v>0</v>
      </c>
      <c r="EH25">
        <v>80</v>
      </c>
      <c r="EI25">
        <v>0</v>
      </c>
      <c r="EJ25">
        <v>0</v>
      </c>
      <c r="EK25">
        <v>20</v>
      </c>
      <c r="EL25">
        <v>0</v>
      </c>
      <c r="EM25">
        <f t="shared" si="3"/>
        <v>100</v>
      </c>
      <c r="EN25">
        <v>0</v>
      </c>
      <c r="EO25">
        <v>0</v>
      </c>
      <c r="EP25">
        <v>0</v>
      </c>
      <c r="EQ25">
        <v>100</v>
      </c>
      <c r="ER25">
        <v>0</v>
      </c>
      <c r="ES25">
        <v>0</v>
      </c>
      <c r="ET25">
        <v>0</v>
      </c>
      <c r="EU25">
        <v>0</v>
      </c>
      <c r="EV25">
        <v>0</v>
      </c>
      <c r="EW25" t="s">
        <v>557</v>
      </c>
      <c r="EX25" s="7" t="s">
        <v>388</v>
      </c>
      <c r="GA25">
        <v>5</v>
      </c>
      <c r="GB25">
        <v>4</v>
      </c>
      <c r="GC25">
        <v>4</v>
      </c>
      <c r="GD25">
        <v>3</v>
      </c>
      <c r="GE25">
        <v>4</v>
      </c>
      <c r="GF25">
        <v>5</v>
      </c>
      <c r="GG25">
        <v>3</v>
      </c>
      <c r="GH25">
        <v>4</v>
      </c>
      <c r="GI25">
        <v>3</v>
      </c>
      <c r="GJ25">
        <v>4</v>
      </c>
      <c r="GK25">
        <v>2</v>
      </c>
      <c r="GL25">
        <v>3</v>
      </c>
      <c r="GM25">
        <v>2</v>
      </c>
      <c r="GN25">
        <v>2</v>
      </c>
      <c r="GQ25" t="s">
        <v>221</v>
      </c>
      <c r="GR25" t="s">
        <v>306</v>
      </c>
      <c r="GT25" t="s">
        <v>222</v>
      </c>
    </row>
    <row r="26" spans="1:202" x14ac:dyDescent="0.2">
      <c r="A26">
        <v>26</v>
      </c>
      <c r="B26" t="s">
        <v>558</v>
      </c>
      <c r="C26" t="s">
        <v>559</v>
      </c>
      <c r="D26" t="s">
        <v>558</v>
      </c>
      <c r="E26" t="s">
        <v>204</v>
      </c>
      <c r="F26" t="s">
        <v>204</v>
      </c>
      <c r="G26">
        <v>2013</v>
      </c>
      <c r="H26">
        <v>2018</v>
      </c>
      <c r="I26">
        <f t="shared" si="8"/>
        <v>5</v>
      </c>
      <c r="J26" t="s">
        <v>285</v>
      </c>
      <c r="K26" t="s">
        <v>206</v>
      </c>
      <c r="L26" t="s">
        <v>423</v>
      </c>
      <c r="M26" t="s">
        <v>560</v>
      </c>
      <c r="N26" t="s">
        <v>561</v>
      </c>
      <c r="O26" s="3"/>
      <c r="P26" s="3"/>
      <c r="Q26" s="3"/>
      <c r="R26" s="3"/>
      <c r="S26" s="3"/>
      <c r="T26" s="3"/>
      <c r="U26" s="4"/>
      <c r="V26" s="4"/>
      <c r="W26" s="4"/>
      <c r="X26" s="3"/>
      <c r="Y26">
        <v>40</v>
      </c>
      <c r="Z26">
        <v>20</v>
      </c>
      <c r="AA26">
        <v>15</v>
      </c>
      <c r="AB26">
        <v>15</v>
      </c>
      <c r="AC26">
        <v>5</v>
      </c>
      <c r="AD26">
        <v>5</v>
      </c>
      <c r="AE26" t="s">
        <v>562</v>
      </c>
      <c r="AF26" t="s">
        <v>257</v>
      </c>
      <c r="AH26" s="6"/>
      <c r="AI26" s="6"/>
      <c r="CC26" t="s">
        <v>563</v>
      </c>
      <c r="CE26" s="6">
        <v>43160</v>
      </c>
      <c r="CF26" t="s">
        <v>289</v>
      </c>
      <c r="CJ26" t="s">
        <v>261</v>
      </c>
      <c r="CK26" t="s">
        <v>564</v>
      </c>
      <c r="CL26" t="s">
        <v>565</v>
      </c>
      <c r="CM26" t="s">
        <v>290</v>
      </c>
      <c r="CR26" t="s">
        <v>290</v>
      </c>
      <c r="DB26" t="s">
        <v>290</v>
      </c>
      <c r="DJ26" t="s">
        <v>290</v>
      </c>
      <c r="DK26" s="3"/>
      <c r="DN26" s="3" t="s">
        <v>566</v>
      </c>
      <c r="DP26" t="s">
        <v>567</v>
      </c>
      <c r="DQ26" t="s">
        <v>568</v>
      </c>
      <c r="DS26" t="s">
        <v>216</v>
      </c>
      <c r="DT26" t="s">
        <v>216</v>
      </c>
      <c r="EF26">
        <v>0</v>
      </c>
      <c r="EG26">
        <v>40</v>
      </c>
      <c r="EH26">
        <v>40</v>
      </c>
      <c r="EI26">
        <v>0</v>
      </c>
      <c r="EJ26">
        <v>0</v>
      </c>
      <c r="EK26">
        <v>20</v>
      </c>
      <c r="EL26">
        <v>0</v>
      </c>
      <c r="EM26">
        <f t="shared" si="3"/>
        <v>100</v>
      </c>
      <c r="EN26">
        <v>0</v>
      </c>
      <c r="EO26">
        <v>0</v>
      </c>
      <c r="EP26">
        <v>30</v>
      </c>
      <c r="EQ26">
        <v>50</v>
      </c>
      <c r="ER26">
        <v>0</v>
      </c>
      <c r="ES26">
        <v>20</v>
      </c>
      <c r="ET26">
        <v>0</v>
      </c>
      <c r="EU26">
        <v>0</v>
      </c>
      <c r="EV26">
        <v>0</v>
      </c>
      <c r="EW26" t="s">
        <v>569</v>
      </c>
      <c r="EX26" s="7"/>
      <c r="EY26" t="s">
        <v>219</v>
      </c>
      <c r="EZ26" t="s">
        <v>389</v>
      </c>
      <c r="FB26" t="s">
        <v>219</v>
      </c>
      <c r="FC26" t="s">
        <v>570</v>
      </c>
      <c r="FN26" t="s">
        <v>219</v>
      </c>
      <c r="FO26" t="s">
        <v>571</v>
      </c>
      <c r="FP26" t="s">
        <v>572</v>
      </c>
      <c r="FQ26">
        <v>3</v>
      </c>
      <c r="FS26">
        <v>1</v>
      </c>
      <c r="FT26">
        <v>1</v>
      </c>
      <c r="FU26">
        <v>2</v>
      </c>
      <c r="FV26">
        <v>1</v>
      </c>
      <c r="FW26">
        <v>1</v>
      </c>
      <c r="FX26">
        <v>1</v>
      </c>
      <c r="FY26">
        <v>5</v>
      </c>
      <c r="FZ26" t="s">
        <v>573</v>
      </c>
      <c r="GA26">
        <v>4</v>
      </c>
      <c r="GB26">
        <v>5</v>
      </c>
      <c r="GC26">
        <v>4</v>
      </c>
      <c r="GD26">
        <v>3</v>
      </c>
      <c r="GE26">
        <v>4</v>
      </c>
      <c r="GF26">
        <v>4</v>
      </c>
      <c r="GG26">
        <v>3</v>
      </c>
      <c r="GH26">
        <v>2</v>
      </c>
      <c r="GI26">
        <v>1</v>
      </c>
      <c r="GJ26">
        <v>1</v>
      </c>
      <c r="GK26">
        <v>3</v>
      </c>
      <c r="GL26">
        <v>4</v>
      </c>
      <c r="GM26">
        <v>4</v>
      </c>
      <c r="GN26">
        <v>4</v>
      </c>
      <c r="GQ26" t="s">
        <v>221</v>
      </c>
      <c r="GR26" t="s">
        <v>306</v>
      </c>
      <c r="GS26" t="s">
        <v>574</v>
      </c>
      <c r="GT26" t="s">
        <v>222</v>
      </c>
    </row>
    <row r="27" spans="1:202" x14ac:dyDescent="0.2">
      <c r="A27">
        <v>27</v>
      </c>
      <c r="B27" t="s">
        <v>202</v>
      </c>
      <c r="C27" t="s">
        <v>203</v>
      </c>
      <c r="D27" t="s">
        <v>202</v>
      </c>
      <c r="E27" t="s">
        <v>204</v>
      </c>
      <c r="F27" t="s">
        <v>204</v>
      </c>
      <c r="G27">
        <v>2017</v>
      </c>
      <c r="H27">
        <v>2018</v>
      </c>
      <c r="I27">
        <f t="shared" si="8"/>
        <v>1</v>
      </c>
      <c r="J27" t="s">
        <v>205</v>
      </c>
      <c r="K27" t="s">
        <v>206</v>
      </c>
      <c r="L27" t="s">
        <v>333</v>
      </c>
      <c r="M27" t="s">
        <v>576</v>
      </c>
      <c r="O27" s="3"/>
      <c r="P27" s="3"/>
      <c r="Q27">
        <v>3</v>
      </c>
      <c r="R27">
        <v>1</v>
      </c>
      <c r="S27">
        <v>4</v>
      </c>
      <c r="T27">
        <v>2</v>
      </c>
      <c r="U27" s="4"/>
      <c r="V27" s="4">
        <f t="shared" ref="V27:V41" si="9">R27/Q27</f>
        <v>0.33333333333333331</v>
      </c>
      <c r="W27" s="4">
        <f t="shared" ref="W27:W56" si="10">T27/S27</f>
        <v>0.5</v>
      </c>
      <c r="X27" t="s">
        <v>230</v>
      </c>
      <c r="Y27">
        <v>60</v>
      </c>
      <c r="Z27">
        <v>40</v>
      </c>
      <c r="AA27">
        <v>0</v>
      </c>
      <c r="AB27">
        <v>0</v>
      </c>
      <c r="AC27">
        <v>0</v>
      </c>
      <c r="AD27">
        <v>0</v>
      </c>
      <c r="AF27" t="s">
        <v>257</v>
      </c>
      <c r="CC27" t="s">
        <v>575</v>
      </c>
      <c r="CD27" s="6">
        <v>42917</v>
      </c>
      <c r="CE27" s="6">
        <v>43435</v>
      </c>
      <c r="CF27" t="s">
        <v>259</v>
      </c>
      <c r="CJ27" t="s">
        <v>335</v>
      </c>
      <c r="DM27" t="s">
        <v>290</v>
      </c>
      <c r="DN27" t="s">
        <v>263</v>
      </c>
      <c r="DP27" t="s">
        <v>577</v>
      </c>
      <c r="DQ27" t="s">
        <v>556</v>
      </c>
      <c r="DS27" t="s">
        <v>338</v>
      </c>
      <c r="DT27" t="s">
        <v>338</v>
      </c>
      <c r="DW27" s="3"/>
      <c r="DX27" s="3"/>
      <c r="DY27" s="3"/>
      <c r="DZ27" s="3"/>
      <c r="EA27">
        <v>1</v>
      </c>
      <c r="EB27">
        <v>2</v>
      </c>
      <c r="EC27" s="3"/>
      <c r="ED27" s="3"/>
      <c r="EE27" s="3"/>
      <c r="EF27">
        <v>0</v>
      </c>
      <c r="EG27">
        <v>0</v>
      </c>
      <c r="EH27">
        <v>80</v>
      </c>
      <c r="EI27">
        <v>0</v>
      </c>
      <c r="EJ27">
        <v>0</v>
      </c>
      <c r="EK27">
        <v>10</v>
      </c>
      <c r="EL27">
        <v>10</v>
      </c>
      <c r="EM27">
        <f t="shared" si="3"/>
        <v>100</v>
      </c>
      <c r="EN27">
        <v>80</v>
      </c>
      <c r="EO27">
        <v>10</v>
      </c>
      <c r="EP27">
        <v>10</v>
      </c>
      <c r="EQ27">
        <v>0</v>
      </c>
      <c r="ER27">
        <v>0</v>
      </c>
      <c r="ES27">
        <v>0</v>
      </c>
      <c r="ET27">
        <v>0</v>
      </c>
      <c r="EU27">
        <v>0</v>
      </c>
      <c r="EV27">
        <v>0</v>
      </c>
      <c r="EW27" t="s">
        <v>578</v>
      </c>
      <c r="EX27" s="7"/>
      <c r="EY27" t="s">
        <v>219</v>
      </c>
      <c r="FE27" t="s">
        <v>219</v>
      </c>
      <c r="FQ27">
        <v>1</v>
      </c>
      <c r="FS27">
        <v>3</v>
      </c>
      <c r="FT27">
        <v>4</v>
      </c>
      <c r="FU27">
        <v>2</v>
      </c>
      <c r="FV27">
        <v>2</v>
      </c>
      <c r="FW27">
        <v>4</v>
      </c>
      <c r="FX27">
        <v>4</v>
      </c>
      <c r="GF27">
        <v>2</v>
      </c>
      <c r="GG27">
        <v>4</v>
      </c>
      <c r="GH27">
        <v>3</v>
      </c>
      <c r="GI27">
        <v>5</v>
      </c>
      <c r="GJ27">
        <v>3</v>
      </c>
      <c r="GK27">
        <v>4</v>
      </c>
      <c r="GL27">
        <v>2</v>
      </c>
      <c r="GM27">
        <v>3</v>
      </c>
      <c r="GN27">
        <v>4</v>
      </c>
      <c r="GQ27" t="s">
        <v>221</v>
      </c>
      <c r="GR27" t="s">
        <v>306</v>
      </c>
      <c r="GT27" t="s">
        <v>222</v>
      </c>
    </row>
    <row r="28" spans="1:202" x14ac:dyDescent="0.2">
      <c r="A28">
        <v>29</v>
      </c>
      <c r="B28" t="s">
        <v>579</v>
      </c>
      <c r="C28" t="s">
        <v>580</v>
      </c>
      <c r="D28" t="s">
        <v>579</v>
      </c>
      <c r="E28" t="s">
        <v>284</v>
      </c>
      <c r="F28" t="s">
        <v>284</v>
      </c>
      <c r="G28" s="3">
        <v>2015</v>
      </c>
      <c r="H28">
        <v>2016</v>
      </c>
      <c r="I28">
        <f t="shared" si="8"/>
        <v>1</v>
      </c>
      <c r="J28" t="s">
        <v>285</v>
      </c>
      <c r="K28" t="s">
        <v>206</v>
      </c>
      <c r="L28" t="s">
        <v>409</v>
      </c>
      <c r="M28" t="s">
        <v>581</v>
      </c>
      <c r="O28">
        <v>12</v>
      </c>
      <c r="P28">
        <v>6</v>
      </c>
      <c r="Q28">
        <v>25</v>
      </c>
      <c r="R28">
        <v>15</v>
      </c>
      <c r="S28">
        <v>43</v>
      </c>
      <c r="T28">
        <v>33</v>
      </c>
      <c r="U28" s="4">
        <f>P28/O28</f>
        <v>0.5</v>
      </c>
      <c r="V28" s="4">
        <f t="shared" si="9"/>
        <v>0.6</v>
      </c>
      <c r="W28" s="4">
        <f t="shared" si="10"/>
        <v>0.76744186046511631</v>
      </c>
      <c r="X28" t="s">
        <v>209</v>
      </c>
      <c r="Y28" s="5">
        <f>81/108*100</f>
        <v>75</v>
      </c>
      <c r="Z28" s="5">
        <f>18/108*100</f>
        <v>16.666666666666664</v>
      </c>
      <c r="AA28" s="5">
        <f>3/108*100</f>
        <v>2.7777777777777777</v>
      </c>
      <c r="AB28" s="5">
        <f>6/108*100</f>
        <v>5.5555555555555554</v>
      </c>
      <c r="AC28" s="5">
        <v>0</v>
      </c>
      <c r="AD28" s="5">
        <v>0</v>
      </c>
      <c r="AF28" s="7" t="s">
        <v>288</v>
      </c>
      <c r="AG28" s="7" t="s">
        <v>582</v>
      </c>
      <c r="AH28" s="6">
        <v>42856</v>
      </c>
      <c r="AI28" s="6">
        <v>43160</v>
      </c>
      <c r="AJ28" t="s">
        <v>583</v>
      </c>
      <c r="AK28" t="s">
        <v>289</v>
      </c>
      <c r="AO28" t="s">
        <v>233</v>
      </c>
      <c r="AP28" t="s">
        <v>262</v>
      </c>
      <c r="AQ28" t="s">
        <v>263</v>
      </c>
      <c r="AT28" t="s">
        <v>313</v>
      </c>
      <c r="AX28" t="s">
        <v>266</v>
      </c>
      <c r="AZ28" t="s">
        <v>267</v>
      </c>
      <c r="BB28" t="s">
        <v>482</v>
      </c>
      <c r="BD28" t="s">
        <v>270</v>
      </c>
      <c r="BE28" t="s">
        <v>584</v>
      </c>
      <c r="BI28" t="s">
        <v>272</v>
      </c>
      <c r="BJ28" t="s">
        <v>273</v>
      </c>
      <c r="BM28" t="s">
        <v>245</v>
      </c>
      <c r="CC28" t="s">
        <v>585</v>
      </c>
      <c r="CD28" s="6">
        <v>43101</v>
      </c>
      <c r="CE28" s="6">
        <v>43466</v>
      </c>
      <c r="CF28" t="s">
        <v>298</v>
      </c>
      <c r="CJ28" t="s">
        <v>233</v>
      </c>
      <c r="CK28" t="s">
        <v>336</v>
      </c>
      <c r="CM28" t="s">
        <v>290</v>
      </c>
      <c r="DQ28" t="s">
        <v>586</v>
      </c>
      <c r="DZ28">
        <v>1</v>
      </c>
      <c r="EA28">
        <v>3</v>
      </c>
      <c r="EB28">
        <v>8</v>
      </c>
      <c r="EF28">
        <v>0</v>
      </c>
      <c r="EG28">
        <v>11</v>
      </c>
      <c r="EH28">
        <v>49</v>
      </c>
      <c r="EI28">
        <v>39</v>
      </c>
      <c r="EJ28">
        <v>0</v>
      </c>
      <c r="EK28">
        <v>1</v>
      </c>
      <c r="EL28">
        <v>0</v>
      </c>
      <c r="EM28">
        <f t="shared" si="3"/>
        <v>100</v>
      </c>
      <c r="EN28" s="5">
        <f>31/125*100</f>
        <v>24.8</v>
      </c>
      <c r="EO28" s="5">
        <f>9/125*100</f>
        <v>7.1999999999999993</v>
      </c>
      <c r="EP28" s="5">
        <f>22/125*100</f>
        <v>17.599999999999998</v>
      </c>
      <c r="EQ28" s="5">
        <f>15/125*100</f>
        <v>12</v>
      </c>
      <c r="ER28" s="5">
        <f>7/125*100</f>
        <v>5.6000000000000005</v>
      </c>
      <c r="ES28" s="5">
        <f>32/125*100</f>
        <v>25.6</v>
      </c>
      <c r="ET28" s="5">
        <f>9/125*100</f>
        <v>7.1999999999999993</v>
      </c>
      <c r="EU28" s="3">
        <v>0</v>
      </c>
      <c r="EV28" s="3">
        <v>0</v>
      </c>
      <c r="EW28" t="s">
        <v>587</v>
      </c>
      <c r="EX28" s="7" t="s">
        <v>497</v>
      </c>
      <c r="EY28" t="s">
        <v>341</v>
      </c>
      <c r="EZ28" t="s">
        <v>588</v>
      </c>
      <c r="FQ28">
        <v>3</v>
      </c>
      <c r="FS28">
        <v>5</v>
      </c>
      <c r="FT28">
        <v>4</v>
      </c>
      <c r="FU28">
        <v>1</v>
      </c>
      <c r="FV28">
        <v>2</v>
      </c>
      <c r="FW28">
        <v>4</v>
      </c>
      <c r="FX28">
        <v>3</v>
      </c>
      <c r="GA28">
        <v>5</v>
      </c>
      <c r="GB28">
        <v>4</v>
      </c>
      <c r="GD28">
        <v>2</v>
      </c>
      <c r="GE28">
        <v>3</v>
      </c>
      <c r="GF28">
        <v>5</v>
      </c>
      <c r="GG28">
        <v>4</v>
      </c>
      <c r="GH28">
        <v>3</v>
      </c>
      <c r="GI28">
        <v>2</v>
      </c>
      <c r="GJ28">
        <v>5</v>
      </c>
      <c r="GK28">
        <v>4</v>
      </c>
      <c r="GL28">
        <v>4</v>
      </c>
      <c r="GM28">
        <v>2</v>
      </c>
      <c r="GN28">
        <v>1</v>
      </c>
      <c r="GQ28" t="s">
        <v>306</v>
      </c>
      <c r="GR28" t="s">
        <v>253</v>
      </c>
      <c r="GT28" t="s">
        <v>222</v>
      </c>
    </row>
    <row r="29" spans="1:202" x14ac:dyDescent="0.2">
      <c r="A29">
        <v>30</v>
      </c>
      <c r="B29" t="s">
        <v>224</v>
      </c>
      <c r="C29" t="s">
        <v>589</v>
      </c>
      <c r="D29" t="s">
        <v>224</v>
      </c>
      <c r="E29" t="s">
        <v>227</v>
      </c>
      <c r="F29" t="s">
        <v>227</v>
      </c>
      <c r="G29">
        <v>2015</v>
      </c>
      <c r="H29">
        <v>2016</v>
      </c>
      <c r="I29">
        <f t="shared" si="8"/>
        <v>1</v>
      </c>
      <c r="J29" t="s">
        <v>205</v>
      </c>
      <c r="K29" t="s">
        <v>206</v>
      </c>
      <c r="L29" t="s">
        <v>207</v>
      </c>
      <c r="M29" t="s">
        <v>229</v>
      </c>
      <c r="O29">
        <v>5</v>
      </c>
      <c r="P29" s="3">
        <v>5</v>
      </c>
      <c r="Q29">
        <v>10</v>
      </c>
      <c r="R29" s="3">
        <v>10</v>
      </c>
      <c r="S29">
        <v>20</v>
      </c>
      <c r="T29" s="3">
        <v>20</v>
      </c>
      <c r="U29" s="4">
        <f>P29/O29</f>
        <v>1</v>
      </c>
      <c r="V29" s="4">
        <f t="shared" si="9"/>
        <v>1</v>
      </c>
      <c r="W29" s="4">
        <f t="shared" si="10"/>
        <v>1</v>
      </c>
      <c r="X29" t="s">
        <v>209</v>
      </c>
      <c r="Y29" s="5">
        <f>80/101*100</f>
        <v>79.207920792079207</v>
      </c>
      <c r="Z29" s="5">
        <f>11/101*100</f>
        <v>10.891089108910892</v>
      </c>
      <c r="AA29" s="5">
        <v>0</v>
      </c>
      <c r="AB29" s="5">
        <f>10/101*100</f>
        <v>9.9009900990099009</v>
      </c>
      <c r="AC29" s="5">
        <v>0</v>
      </c>
      <c r="AD29" s="5">
        <v>0</v>
      </c>
      <c r="AF29" t="s">
        <v>296</v>
      </c>
      <c r="AG29" t="s">
        <v>449</v>
      </c>
      <c r="AH29" s="6">
        <v>42278</v>
      </c>
      <c r="AI29" s="6">
        <v>42644</v>
      </c>
      <c r="AK29" t="s">
        <v>298</v>
      </c>
      <c r="AL29" t="s">
        <v>590</v>
      </c>
      <c r="AO29" s="3"/>
      <c r="AP29" t="s">
        <v>262</v>
      </c>
      <c r="AQ29" t="s">
        <v>263</v>
      </c>
      <c r="AT29" t="s">
        <v>313</v>
      </c>
      <c r="AX29" t="s">
        <v>266</v>
      </c>
      <c r="AZ29" t="s">
        <v>300</v>
      </c>
      <c r="BB29" t="s">
        <v>591</v>
      </c>
      <c r="BD29" t="s">
        <v>302</v>
      </c>
      <c r="BE29" t="s">
        <v>271</v>
      </c>
      <c r="BF29" t="s">
        <v>592</v>
      </c>
      <c r="BI29" t="s">
        <v>272</v>
      </c>
      <c r="BM29" t="s">
        <v>274</v>
      </c>
      <c r="BN29" t="s">
        <v>245</v>
      </c>
      <c r="BO29" t="s">
        <v>245</v>
      </c>
      <c r="BP29" t="s">
        <v>245</v>
      </c>
      <c r="BQ29" t="s">
        <v>274</v>
      </c>
      <c r="BU29" t="s">
        <v>274</v>
      </c>
      <c r="BY29" t="s">
        <v>593</v>
      </c>
      <c r="BZ29" t="s">
        <v>594</v>
      </c>
      <c r="CA29" t="s">
        <v>595</v>
      </c>
      <c r="CB29" t="s">
        <v>596</v>
      </c>
      <c r="EC29">
        <v>1</v>
      </c>
      <c r="ED29">
        <v>5</v>
      </c>
      <c r="EE29" s="3">
        <v>20</v>
      </c>
      <c r="EF29">
        <v>0</v>
      </c>
      <c r="EG29">
        <v>0</v>
      </c>
      <c r="EH29">
        <v>0</v>
      </c>
      <c r="EI29">
        <v>0</v>
      </c>
      <c r="EJ29">
        <v>0</v>
      </c>
      <c r="EK29">
        <v>0</v>
      </c>
      <c r="EL29">
        <v>100</v>
      </c>
      <c r="EM29">
        <f t="shared" si="3"/>
        <v>100</v>
      </c>
      <c r="EN29">
        <v>50</v>
      </c>
      <c r="EO29">
        <v>10</v>
      </c>
      <c r="EP29">
        <v>10</v>
      </c>
      <c r="EQ29">
        <v>5</v>
      </c>
      <c r="ER29">
        <v>20</v>
      </c>
      <c r="ES29">
        <v>5</v>
      </c>
      <c r="ET29">
        <v>0</v>
      </c>
      <c r="EU29">
        <v>0</v>
      </c>
      <c r="EW29" t="s">
        <v>597</v>
      </c>
      <c r="EX29" s="7"/>
      <c r="EY29" t="s">
        <v>219</v>
      </c>
      <c r="EZ29" s="3" t="s">
        <v>279</v>
      </c>
      <c r="FB29" t="s">
        <v>219</v>
      </c>
      <c r="FC29" s="3" t="s">
        <v>279</v>
      </c>
      <c r="FE29" t="s">
        <v>219</v>
      </c>
      <c r="FF29" s="3" t="s">
        <v>598</v>
      </c>
      <c r="FH29" t="s">
        <v>219</v>
      </c>
      <c r="FK29" t="s">
        <v>219</v>
      </c>
      <c r="FQ29">
        <v>3</v>
      </c>
      <c r="FS29">
        <v>2</v>
      </c>
      <c r="FT29">
        <v>4</v>
      </c>
      <c r="FU29">
        <v>2</v>
      </c>
      <c r="FV29">
        <v>4</v>
      </c>
      <c r="FW29">
        <v>4</v>
      </c>
      <c r="FX29">
        <v>1</v>
      </c>
      <c r="GA29">
        <v>3</v>
      </c>
      <c r="GB29">
        <v>5</v>
      </c>
      <c r="GC29">
        <v>5</v>
      </c>
      <c r="GD29">
        <v>3</v>
      </c>
      <c r="GE29">
        <v>4</v>
      </c>
      <c r="GF29">
        <v>3</v>
      </c>
      <c r="GG29">
        <v>4</v>
      </c>
      <c r="GH29">
        <v>4</v>
      </c>
      <c r="GI29">
        <v>1</v>
      </c>
      <c r="GJ29">
        <v>2</v>
      </c>
      <c r="GK29">
        <v>1</v>
      </c>
      <c r="GL29">
        <v>2</v>
      </c>
      <c r="GM29">
        <v>4</v>
      </c>
      <c r="GN29">
        <v>4</v>
      </c>
      <c r="GQ29" t="s">
        <v>221</v>
      </c>
      <c r="GR29" t="s">
        <v>306</v>
      </c>
      <c r="GT29" t="s">
        <v>222</v>
      </c>
    </row>
    <row r="30" spans="1:202" x14ac:dyDescent="0.2">
      <c r="A30">
        <v>31</v>
      </c>
      <c r="B30" t="s">
        <v>224</v>
      </c>
      <c r="C30" t="s">
        <v>538</v>
      </c>
      <c r="D30" t="s">
        <v>224</v>
      </c>
      <c r="E30" t="s">
        <v>227</v>
      </c>
      <c r="F30" t="s">
        <v>227</v>
      </c>
      <c r="G30" s="3">
        <v>2014</v>
      </c>
      <c r="H30">
        <v>2016</v>
      </c>
      <c r="I30">
        <f t="shared" si="8"/>
        <v>2</v>
      </c>
      <c r="J30" t="s">
        <v>205</v>
      </c>
      <c r="K30" t="s">
        <v>599</v>
      </c>
      <c r="L30" t="s">
        <v>228</v>
      </c>
      <c r="M30" t="s">
        <v>229</v>
      </c>
      <c r="O30">
        <v>65</v>
      </c>
      <c r="P30">
        <v>65</v>
      </c>
      <c r="Q30">
        <v>150</v>
      </c>
      <c r="R30">
        <v>150</v>
      </c>
      <c r="S30">
        <v>190</v>
      </c>
      <c r="T30">
        <v>190</v>
      </c>
      <c r="U30" s="4">
        <f>P30/O30</f>
        <v>1</v>
      </c>
      <c r="V30" s="4">
        <f t="shared" si="9"/>
        <v>1</v>
      </c>
      <c r="W30" s="4">
        <f t="shared" si="10"/>
        <v>1</v>
      </c>
      <c r="X30" t="s">
        <v>513</v>
      </c>
      <c r="Y30" s="5">
        <f>42/101*100</f>
        <v>41.584158415841586</v>
      </c>
      <c r="Z30" s="5">
        <f>11/101*100</f>
        <v>10.891089108910892</v>
      </c>
      <c r="AA30" s="5">
        <f>15/101*100</f>
        <v>14.85148514851485</v>
      </c>
      <c r="AB30" s="5">
        <f>15/101*100</f>
        <v>14.85148514851485</v>
      </c>
      <c r="AC30" s="5">
        <f>18/101*100</f>
        <v>17.82178217821782</v>
      </c>
      <c r="AD30" s="5">
        <v>0</v>
      </c>
      <c r="AF30" t="s">
        <v>296</v>
      </c>
      <c r="AG30" t="s">
        <v>600</v>
      </c>
      <c r="AH30" s="6">
        <v>42248</v>
      </c>
      <c r="AI30" s="6">
        <v>42675</v>
      </c>
      <c r="AK30" t="s">
        <v>298</v>
      </c>
      <c r="AL30" s="3" t="s">
        <v>456</v>
      </c>
      <c r="AP30" t="s">
        <v>234</v>
      </c>
      <c r="AT30" t="s">
        <v>313</v>
      </c>
      <c r="AX30" t="s">
        <v>237</v>
      </c>
      <c r="AY30" t="s">
        <v>601</v>
      </c>
      <c r="AZ30" t="s">
        <v>300</v>
      </c>
      <c r="BB30" t="s">
        <v>602</v>
      </c>
      <c r="BC30" t="s">
        <v>603</v>
      </c>
      <c r="BD30" t="s">
        <v>241</v>
      </c>
      <c r="BF30" t="s">
        <v>604</v>
      </c>
      <c r="BI30" t="s">
        <v>272</v>
      </c>
      <c r="BJ30" t="s">
        <v>605</v>
      </c>
      <c r="BM30" t="s">
        <v>245</v>
      </c>
      <c r="BN30" t="s">
        <v>245</v>
      </c>
      <c r="BO30" t="s">
        <v>274</v>
      </c>
      <c r="BP30" t="s">
        <v>274</v>
      </c>
      <c r="BQ30" t="s">
        <v>274</v>
      </c>
      <c r="BR30" t="s">
        <v>606</v>
      </c>
      <c r="BT30" t="s">
        <v>274</v>
      </c>
      <c r="BU30" t="s">
        <v>245</v>
      </c>
      <c r="BW30" t="s">
        <v>274</v>
      </c>
      <c r="BX30" t="s">
        <v>607</v>
      </c>
      <c r="BY30" s="3" t="s">
        <v>247</v>
      </c>
      <c r="BZ30" s="3" t="s">
        <v>247</v>
      </c>
      <c r="CA30" t="s">
        <v>608</v>
      </c>
      <c r="CB30" s="3" t="s">
        <v>247</v>
      </c>
      <c r="DW30">
        <v>75</v>
      </c>
      <c r="DX30">
        <v>2160</v>
      </c>
      <c r="DY30">
        <v>3755</v>
      </c>
      <c r="DZ30">
        <v>20</v>
      </c>
      <c r="EA30">
        <v>62</v>
      </c>
      <c r="EB30">
        <v>39</v>
      </c>
      <c r="EC30">
        <v>14</v>
      </c>
      <c r="ED30">
        <v>123</v>
      </c>
      <c r="EE30">
        <v>155</v>
      </c>
      <c r="EF30">
        <v>6</v>
      </c>
      <c r="EG30">
        <v>29</v>
      </c>
      <c r="EH30">
        <v>25</v>
      </c>
      <c r="EI30">
        <v>7</v>
      </c>
      <c r="EJ30">
        <v>6</v>
      </c>
      <c r="EK30">
        <v>27</v>
      </c>
      <c r="EL30">
        <v>0</v>
      </c>
      <c r="EM30">
        <f t="shared" si="3"/>
        <v>100</v>
      </c>
      <c r="EN30" s="5">
        <f>3/161*100</f>
        <v>1.8633540372670807</v>
      </c>
      <c r="EO30" s="5">
        <f>23/161*100</f>
        <v>14.285714285714285</v>
      </c>
      <c r="EP30" s="5">
        <f>32/161*100</f>
        <v>19.875776397515526</v>
      </c>
      <c r="EQ30" s="5">
        <f>57/161*100</f>
        <v>35.403726708074537</v>
      </c>
      <c r="ER30" s="5">
        <f>17/161*100</f>
        <v>10.559006211180124</v>
      </c>
      <c r="ES30" s="5">
        <f>17/161*100</f>
        <v>10.559006211180124</v>
      </c>
      <c r="ET30" s="5">
        <f>9/161*100</f>
        <v>5.5900621118012426</v>
      </c>
      <c r="EU30" s="5">
        <f>3/161*100</f>
        <v>1.8633540372670807</v>
      </c>
      <c r="EV30" s="3">
        <v>0</v>
      </c>
      <c r="EW30" t="s">
        <v>609</v>
      </c>
      <c r="EX30" s="7" t="s">
        <v>610</v>
      </c>
      <c r="EY30" t="s">
        <v>219</v>
      </c>
      <c r="EZ30" t="s">
        <v>611</v>
      </c>
      <c r="FA30" t="s">
        <v>612</v>
      </c>
      <c r="FB30" t="s">
        <v>219</v>
      </c>
      <c r="FC30" t="s">
        <v>613</v>
      </c>
      <c r="FE30" t="s">
        <v>219</v>
      </c>
      <c r="FF30" t="s">
        <v>614</v>
      </c>
      <c r="FG30" t="s">
        <v>615</v>
      </c>
      <c r="FH30" t="s">
        <v>219</v>
      </c>
      <c r="FI30" t="s">
        <v>616</v>
      </c>
      <c r="FK30" t="s">
        <v>219</v>
      </c>
      <c r="FN30" t="s">
        <v>219</v>
      </c>
      <c r="FO30" t="s">
        <v>617</v>
      </c>
      <c r="FP30" t="s">
        <v>618</v>
      </c>
      <c r="FQ30">
        <v>4</v>
      </c>
      <c r="FS30">
        <v>4</v>
      </c>
      <c r="FT30">
        <v>3</v>
      </c>
      <c r="FU30">
        <v>5</v>
      </c>
      <c r="FV30">
        <v>3</v>
      </c>
      <c r="FW30">
        <v>2</v>
      </c>
      <c r="FX30">
        <v>4</v>
      </c>
      <c r="GA30">
        <v>2</v>
      </c>
      <c r="GB30">
        <v>4</v>
      </c>
      <c r="GC30">
        <v>5</v>
      </c>
      <c r="GD30">
        <v>2</v>
      </c>
      <c r="GE30">
        <v>3</v>
      </c>
      <c r="GF30">
        <v>1</v>
      </c>
      <c r="GG30">
        <v>3</v>
      </c>
      <c r="GH30">
        <v>2</v>
      </c>
      <c r="GI30">
        <v>3</v>
      </c>
      <c r="GJ30">
        <v>3</v>
      </c>
      <c r="GK30">
        <v>2</v>
      </c>
      <c r="GL30">
        <v>2</v>
      </c>
      <c r="GM30">
        <v>3</v>
      </c>
      <c r="GN30">
        <v>4</v>
      </c>
      <c r="GQ30" t="s">
        <v>306</v>
      </c>
      <c r="GR30" t="s">
        <v>306</v>
      </c>
      <c r="GS30" t="s">
        <v>619</v>
      </c>
      <c r="GT30" t="s">
        <v>222</v>
      </c>
    </row>
    <row r="31" spans="1:202" x14ac:dyDescent="0.2">
      <c r="A31">
        <v>32</v>
      </c>
      <c r="B31" t="s">
        <v>579</v>
      </c>
      <c r="C31" t="s">
        <v>580</v>
      </c>
      <c r="D31" t="s">
        <v>579</v>
      </c>
      <c r="E31" t="s">
        <v>284</v>
      </c>
      <c r="F31" t="s">
        <v>284</v>
      </c>
      <c r="G31" s="3">
        <v>2017</v>
      </c>
      <c r="H31">
        <v>2017</v>
      </c>
      <c r="J31" t="s">
        <v>205</v>
      </c>
      <c r="K31" t="s">
        <v>206</v>
      </c>
      <c r="L31" t="s">
        <v>286</v>
      </c>
      <c r="M31" t="s">
        <v>620</v>
      </c>
      <c r="O31" s="3"/>
      <c r="P31" s="3"/>
      <c r="Q31">
        <v>4</v>
      </c>
      <c r="R31">
        <v>1</v>
      </c>
      <c r="S31">
        <v>6</v>
      </c>
      <c r="T31">
        <v>2</v>
      </c>
      <c r="U31" s="4"/>
      <c r="V31" s="4">
        <f t="shared" si="9"/>
        <v>0.25</v>
      </c>
      <c r="W31" s="4">
        <f t="shared" si="10"/>
        <v>0.33333333333333331</v>
      </c>
      <c r="X31" t="s">
        <v>230</v>
      </c>
      <c r="Y31" s="10">
        <f>100/180*100</f>
        <v>55.555555555555557</v>
      </c>
      <c r="Z31" s="10">
        <f>40/180*100</f>
        <v>22.222222222222221</v>
      </c>
      <c r="AA31" s="10">
        <v>0</v>
      </c>
      <c r="AB31" s="10">
        <f>40/180*100</f>
        <v>22.222222222222221</v>
      </c>
      <c r="AC31" s="10">
        <v>0</v>
      </c>
      <c r="AD31" s="10">
        <v>0</v>
      </c>
      <c r="DP31" t="s">
        <v>621</v>
      </c>
      <c r="DQ31" t="s">
        <v>622</v>
      </c>
      <c r="DS31" t="s">
        <v>338</v>
      </c>
      <c r="DT31" t="s">
        <v>338</v>
      </c>
      <c r="DZ31">
        <v>0</v>
      </c>
      <c r="EA31">
        <v>3</v>
      </c>
      <c r="EB31">
        <v>1</v>
      </c>
      <c r="EF31">
        <v>0</v>
      </c>
      <c r="EG31">
        <v>0</v>
      </c>
      <c r="EH31">
        <v>0</v>
      </c>
      <c r="EI31">
        <v>100</v>
      </c>
      <c r="EJ31">
        <v>0</v>
      </c>
      <c r="EK31">
        <v>0</v>
      </c>
      <c r="EL31">
        <v>0</v>
      </c>
      <c r="EM31">
        <f t="shared" si="3"/>
        <v>100</v>
      </c>
      <c r="EN31">
        <v>80</v>
      </c>
      <c r="EO31">
        <v>0</v>
      </c>
      <c r="EP31">
        <v>20</v>
      </c>
      <c r="EQ31">
        <v>0</v>
      </c>
      <c r="ER31">
        <v>0</v>
      </c>
      <c r="ES31">
        <v>0</v>
      </c>
      <c r="ET31">
        <v>0</v>
      </c>
      <c r="EU31">
        <v>0</v>
      </c>
      <c r="EV31">
        <v>0</v>
      </c>
      <c r="EX31" s="7"/>
      <c r="FE31" t="s">
        <v>219</v>
      </c>
      <c r="FF31" t="s">
        <v>623</v>
      </c>
      <c r="FS31">
        <v>4</v>
      </c>
      <c r="FT31">
        <v>4</v>
      </c>
      <c r="FU31">
        <v>4</v>
      </c>
      <c r="FV31">
        <v>5</v>
      </c>
      <c r="FW31">
        <v>2</v>
      </c>
      <c r="FX31">
        <v>2</v>
      </c>
      <c r="GA31">
        <v>4</v>
      </c>
      <c r="GB31">
        <v>4</v>
      </c>
      <c r="GC31">
        <v>3</v>
      </c>
      <c r="GD31">
        <v>3</v>
      </c>
      <c r="GE31">
        <v>4</v>
      </c>
      <c r="GF31">
        <v>4</v>
      </c>
      <c r="GG31">
        <v>3</v>
      </c>
      <c r="GH31">
        <v>3</v>
      </c>
      <c r="GI31">
        <v>3</v>
      </c>
      <c r="GJ31">
        <v>3</v>
      </c>
      <c r="GK31">
        <v>4</v>
      </c>
      <c r="GL31">
        <v>4</v>
      </c>
      <c r="GM31">
        <v>2</v>
      </c>
      <c r="GN31">
        <v>4</v>
      </c>
      <c r="GQ31" t="s">
        <v>306</v>
      </c>
      <c r="GR31" t="s">
        <v>253</v>
      </c>
      <c r="GT31" t="s">
        <v>222</v>
      </c>
    </row>
    <row r="32" spans="1:202" x14ac:dyDescent="0.2">
      <c r="A32">
        <v>33</v>
      </c>
      <c r="B32" t="s">
        <v>500</v>
      </c>
      <c r="C32" t="s">
        <v>624</v>
      </c>
      <c r="D32" t="s">
        <v>500</v>
      </c>
      <c r="E32" t="s">
        <v>204</v>
      </c>
      <c r="F32" t="s">
        <v>204</v>
      </c>
      <c r="G32" s="3">
        <v>2014</v>
      </c>
      <c r="H32">
        <v>2016</v>
      </c>
      <c r="I32">
        <f>H32-G32</f>
        <v>2</v>
      </c>
      <c r="J32" t="s">
        <v>205</v>
      </c>
      <c r="K32" t="s">
        <v>206</v>
      </c>
      <c r="L32" t="s">
        <v>333</v>
      </c>
      <c r="M32" t="s">
        <v>208</v>
      </c>
      <c r="O32">
        <v>8</v>
      </c>
      <c r="P32">
        <v>5</v>
      </c>
      <c r="Q32">
        <v>15</v>
      </c>
      <c r="R32">
        <v>10</v>
      </c>
      <c r="S32">
        <v>20</v>
      </c>
      <c r="T32">
        <v>15</v>
      </c>
      <c r="U32" s="4">
        <f>P32/O32</f>
        <v>0.625</v>
      </c>
      <c r="V32" s="4">
        <f t="shared" si="9"/>
        <v>0.66666666666666663</v>
      </c>
      <c r="W32" s="4">
        <f t="shared" si="10"/>
        <v>0.75</v>
      </c>
      <c r="X32" t="s">
        <v>209</v>
      </c>
      <c r="Y32">
        <v>70</v>
      </c>
      <c r="Z32">
        <v>25</v>
      </c>
      <c r="AA32">
        <v>0</v>
      </c>
      <c r="AB32">
        <v>5</v>
      </c>
      <c r="AC32">
        <v>0</v>
      </c>
      <c r="AD32">
        <v>0</v>
      </c>
      <c r="AF32" t="s">
        <v>257</v>
      </c>
      <c r="CC32" t="s">
        <v>625</v>
      </c>
      <c r="CD32" s="6">
        <v>43040</v>
      </c>
      <c r="CE32" s="6">
        <v>43221</v>
      </c>
      <c r="CF32" t="s">
        <v>289</v>
      </c>
      <c r="CH32" s="3"/>
      <c r="CJ32" t="s">
        <v>261</v>
      </c>
      <c r="CK32" t="s">
        <v>626</v>
      </c>
      <c r="CL32" t="s">
        <v>627</v>
      </c>
      <c r="CP32" t="s">
        <v>290</v>
      </c>
      <c r="CQ32" t="s">
        <v>628</v>
      </c>
      <c r="DB32" t="s">
        <v>378</v>
      </c>
      <c r="DM32" t="s">
        <v>378</v>
      </c>
      <c r="DN32" t="s">
        <v>263</v>
      </c>
      <c r="DP32" t="s">
        <v>629</v>
      </c>
      <c r="DQ32" t="s">
        <v>630</v>
      </c>
      <c r="DS32" t="s">
        <v>338</v>
      </c>
      <c r="DT32" t="s">
        <v>216</v>
      </c>
      <c r="EF32">
        <v>0</v>
      </c>
      <c r="EG32">
        <v>20</v>
      </c>
      <c r="EH32">
        <v>80</v>
      </c>
      <c r="EI32">
        <v>0</v>
      </c>
      <c r="EJ32">
        <v>0</v>
      </c>
      <c r="EK32">
        <v>0</v>
      </c>
      <c r="EL32">
        <v>0</v>
      </c>
      <c r="EM32">
        <f t="shared" si="3"/>
        <v>100</v>
      </c>
      <c r="EN32">
        <v>0</v>
      </c>
      <c r="EO32">
        <v>0</v>
      </c>
      <c r="EP32">
        <v>15</v>
      </c>
      <c r="EQ32">
        <v>80</v>
      </c>
      <c r="ER32">
        <v>0</v>
      </c>
      <c r="ES32">
        <v>0</v>
      </c>
      <c r="ET32">
        <v>5</v>
      </c>
      <c r="EU32">
        <v>0</v>
      </c>
      <c r="EV32">
        <v>0</v>
      </c>
      <c r="EW32" t="s">
        <v>631</v>
      </c>
      <c r="EX32" s="7" t="s">
        <v>497</v>
      </c>
      <c r="EY32" t="s">
        <v>341</v>
      </c>
      <c r="FB32" t="s">
        <v>341</v>
      </c>
      <c r="FH32" t="s">
        <v>274</v>
      </c>
      <c r="FK32" t="s">
        <v>274</v>
      </c>
      <c r="FQ32">
        <v>3</v>
      </c>
      <c r="FS32">
        <v>4</v>
      </c>
      <c r="FT32">
        <v>4</v>
      </c>
      <c r="FU32">
        <v>1</v>
      </c>
      <c r="FV32">
        <v>4</v>
      </c>
      <c r="FW32">
        <v>2</v>
      </c>
      <c r="FX32">
        <v>1</v>
      </c>
      <c r="GA32">
        <v>5</v>
      </c>
      <c r="GB32">
        <v>4</v>
      </c>
      <c r="GC32">
        <v>5</v>
      </c>
      <c r="GD32">
        <v>2</v>
      </c>
      <c r="GE32">
        <v>4</v>
      </c>
      <c r="GF32">
        <v>3</v>
      </c>
      <c r="GG32">
        <v>4</v>
      </c>
      <c r="GH32">
        <v>4</v>
      </c>
      <c r="GI32">
        <v>3</v>
      </c>
      <c r="GJ32">
        <v>3</v>
      </c>
      <c r="GK32">
        <v>3</v>
      </c>
      <c r="GL32">
        <v>4</v>
      </c>
      <c r="GM32">
        <v>5</v>
      </c>
      <c r="GN32">
        <v>4</v>
      </c>
      <c r="GQ32" t="s">
        <v>444</v>
      </c>
      <c r="GR32" t="s">
        <v>632</v>
      </c>
      <c r="GT32" t="s">
        <v>222</v>
      </c>
    </row>
    <row r="33" spans="1:202" x14ac:dyDescent="0.2">
      <c r="A33">
        <v>34</v>
      </c>
      <c r="B33" t="s">
        <v>633</v>
      </c>
      <c r="C33" t="s">
        <v>634</v>
      </c>
      <c r="D33" t="s">
        <v>633</v>
      </c>
      <c r="E33" t="s">
        <v>204</v>
      </c>
      <c r="F33" t="s">
        <v>204</v>
      </c>
      <c r="G33" s="3">
        <v>2017</v>
      </c>
      <c r="H33" s="3">
        <v>2018</v>
      </c>
      <c r="I33">
        <f>H33-G33</f>
        <v>1</v>
      </c>
      <c r="J33" t="s">
        <v>205</v>
      </c>
      <c r="K33" t="s">
        <v>206</v>
      </c>
      <c r="L33" t="s">
        <v>333</v>
      </c>
      <c r="M33" t="s">
        <v>208</v>
      </c>
      <c r="O33" s="3"/>
      <c r="P33" s="3"/>
      <c r="Q33">
        <v>225</v>
      </c>
      <c r="R33">
        <v>12</v>
      </c>
      <c r="S33">
        <v>310</v>
      </c>
      <c r="T33">
        <v>85</v>
      </c>
      <c r="U33" s="4"/>
      <c r="V33" s="4">
        <f t="shared" si="9"/>
        <v>5.3333333333333337E-2</v>
      </c>
      <c r="W33" s="4">
        <f t="shared" si="10"/>
        <v>0.27419354838709675</v>
      </c>
      <c r="X33" t="s">
        <v>513</v>
      </c>
      <c r="Y33" s="5">
        <f>30/105*100</f>
        <v>28.571428571428569</v>
      </c>
      <c r="Z33" s="5">
        <f>11/105*100</f>
        <v>10.476190476190476</v>
      </c>
      <c r="AA33" s="5">
        <f>8/105*100</f>
        <v>7.6190476190476195</v>
      </c>
      <c r="AB33" s="5">
        <f>9/105*100</f>
        <v>8.5714285714285712</v>
      </c>
      <c r="AC33" s="5">
        <f>1/105*100</f>
        <v>0.95238095238095244</v>
      </c>
      <c r="AD33" s="5">
        <f>46/105*100</f>
        <v>43.80952380952381</v>
      </c>
      <c r="AE33" t="s">
        <v>635</v>
      </c>
      <c r="AF33" t="s">
        <v>257</v>
      </c>
      <c r="CC33" t="s">
        <v>636</v>
      </c>
      <c r="CD33" s="6">
        <v>43101</v>
      </c>
      <c r="CE33" s="6">
        <v>43344</v>
      </c>
      <c r="CF33" t="s">
        <v>289</v>
      </c>
      <c r="CJ33" t="s">
        <v>233</v>
      </c>
      <c r="CK33" t="s">
        <v>637</v>
      </c>
      <c r="CM33" t="s">
        <v>290</v>
      </c>
      <c r="CN33" t="s">
        <v>638</v>
      </c>
      <c r="DQ33" t="s">
        <v>215</v>
      </c>
      <c r="EF33">
        <v>0</v>
      </c>
      <c r="EG33">
        <v>11</v>
      </c>
      <c r="EH33">
        <v>50</v>
      </c>
      <c r="EI33">
        <v>10</v>
      </c>
      <c r="EJ33">
        <v>9</v>
      </c>
      <c r="EK33">
        <v>20</v>
      </c>
      <c r="EL33">
        <v>0</v>
      </c>
      <c r="EM33">
        <f t="shared" si="3"/>
        <v>100</v>
      </c>
      <c r="EN33" s="5">
        <f>9/109*100</f>
        <v>8.2568807339449553</v>
      </c>
      <c r="EO33" s="5">
        <f>37/109*100</f>
        <v>33.944954128440372</v>
      </c>
      <c r="EP33" s="5">
        <f>31/109*100</f>
        <v>28.440366972477065</v>
      </c>
      <c r="EQ33" s="5">
        <f>32/109*100</f>
        <v>29.357798165137616</v>
      </c>
      <c r="ER33" s="3">
        <v>0</v>
      </c>
      <c r="ES33" s="3">
        <v>0</v>
      </c>
      <c r="ET33" s="3">
        <v>0</v>
      </c>
      <c r="EU33" s="3">
        <v>0</v>
      </c>
      <c r="EV33" s="3">
        <v>0</v>
      </c>
      <c r="EW33" t="s">
        <v>639</v>
      </c>
      <c r="EX33" s="7" t="s">
        <v>640</v>
      </c>
      <c r="EY33" t="s">
        <v>274</v>
      </c>
      <c r="FQ33">
        <v>1</v>
      </c>
      <c r="FS33">
        <v>1</v>
      </c>
      <c r="FT33">
        <v>1</v>
      </c>
      <c r="FU33">
        <v>1</v>
      </c>
      <c r="FV33">
        <v>1</v>
      </c>
      <c r="FW33">
        <v>1</v>
      </c>
      <c r="FX33">
        <v>1</v>
      </c>
      <c r="FY33">
        <v>4</v>
      </c>
      <c r="FZ33" t="s">
        <v>641</v>
      </c>
      <c r="GA33">
        <v>5</v>
      </c>
      <c r="GB33">
        <v>4</v>
      </c>
      <c r="GC33">
        <v>4</v>
      </c>
      <c r="GD33">
        <v>2</v>
      </c>
      <c r="GE33">
        <v>2</v>
      </c>
      <c r="GF33">
        <v>1</v>
      </c>
      <c r="GG33">
        <v>4</v>
      </c>
      <c r="GH33">
        <v>4</v>
      </c>
      <c r="GI33">
        <v>4</v>
      </c>
      <c r="GJ33">
        <v>4</v>
      </c>
      <c r="GK33">
        <v>1</v>
      </c>
      <c r="GL33">
        <v>4</v>
      </c>
      <c r="GM33">
        <v>4</v>
      </c>
      <c r="GN33">
        <v>4</v>
      </c>
      <c r="GQ33" t="s">
        <v>306</v>
      </c>
      <c r="GR33" t="s">
        <v>221</v>
      </c>
      <c r="GT33" t="s">
        <v>222</v>
      </c>
    </row>
    <row r="34" spans="1:202" x14ac:dyDescent="0.2">
      <c r="A34">
        <v>35</v>
      </c>
      <c r="B34" t="s">
        <v>642</v>
      </c>
      <c r="C34" t="s">
        <v>643</v>
      </c>
      <c r="D34" t="s">
        <v>642</v>
      </c>
      <c r="E34" t="s">
        <v>294</v>
      </c>
      <c r="F34" t="s">
        <v>294</v>
      </c>
      <c r="G34" s="3">
        <v>2015</v>
      </c>
      <c r="H34">
        <v>2016</v>
      </c>
      <c r="I34">
        <f>H34-G34</f>
        <v>1</v>
      </c>
      <c r="J34" t="s">
        <v>285</v>
      </c>
      <c r="K34" t="s">
        <v>206</v>
      </c>
      <c r="L34" t="s">
        <v>333</v>
      </c>
      <c r="M34" t="s">
        <v>560</v>
      </c>
      <c r="N34" t="s">
        <v>644</v>
      </c>
      <c r="O34" s="13">
        <v>172912</v>
      </c>
      <c r="P34">
        <v>350</v>
      </c>
      <c r="Q34" s="13">
        <v>160000</v>
      </c>
      <c r="R34">
        <v>807</v>
      </c>
      <c r="S34" s="13">
        <v>165659</v>
      </c>
      <c r="T34">
        <v>3010</v>
      </c>
      <c r="U34" s="4">
        <f>P34/O34</f>
        <v>2.0241510132321641E-3</v>
      </c>
      <c r="V34" s="4">
        <f t="shared" si="9"/>
        <v>5.0437499999999996E-3</v>
      </c>
      <c r="W34" s="4">
        <f t="shared" si="10"/>
        <v>1.816985494298529E-2</v>
      </c>
      <c r="X34" t="s">
        <v>513</v>
      </c>
      <c r="Y34" s="5">
        <f>55/102*100</f>
        <v>53.921568627450981</v>
      </c>
      <c r="Z34" s="5">
        <f>25/102*100</f>
        <v>24.509803921568626</v>
      </c>
      <c r="AA34" s="5">
        <f>10/102*100</f>
        <v>9.8039215686274517</v>
      </c>
      <c r="AB34" s="5">
        <f>5/102*100</f>
        <v>4.9019607843137258</v>
      </c>
      <c r="AC34" s="5">
        <f>1/102*100</f>
        <v>0.98039215686274506</v>
      </c>
      <c r="AD34" s="5">
        <f>6/102*100</f>
        <v>5.8823529411764701</v>
      </c>
      <c r="AE34" t="s">
        <v>645</v>
      </c>
      <c r="AF34" t="s">
        <v>231</v>
      </c>
      <c r="CC34" t="s">
        <v>646</v>
      </c>
      <c r="CD34" s="6">
        <v>42887</v>
      </c>
      <c r="CE34" s="6">
        <v>43160</v>
      </c>
      <c r="CF34" t="s">
        <v>322</v>
      </c>
      <c r="CJ34" t="s">
        <v>647</v>
      </c>
      <c r="CK34" t="s">
        <v>648</v>
      </c>
      <c r="CL34" t="s">
        <v>649</v>
      </c>
      <c r="CM34" t="s">
        <v>290</v>
      </c>
      <c r="CN34" t="s">
        <v>650</v>
      </c>
      <c r="CP34" t="s">
        <v>290</v>
      </c>
      <c r="CR34" t="s">
        <v>290</v>
      </c>
      <c r="DB34" t="s">
        <v>290</v>
      </c>
      <c r="DJ34" t="s">
        <v>290</v>
      </c>
      <c r="DK34" t="s">
        <v>651</v>
      </c>
      <c r="DM34" t="s">
        <v>290</v>
      </c>
      <c r="DN34" t="s">
        <v>652</v>
      </c>
      <c r="DP34" t="s">
        <v>653</v>
      </c>
      <c r="DQ34" t="s">
        <v>654</v>
      </c>
      <c r="DS34" t="s">
        <v>216</v>
      </c>
      <c r="DT34" t="s">
        <v>216</v>
      </c>
      <c r="DZ34">
        <v>17</v>
      </c>
      <c r="EA34">
        <v>33</v>
      </c>
      <c r="EB34">
        <v>29</v>
      </c>
      <c r="EF34">
        <v>2</v>
      </c>
      <c r="EG34">
        <v>18</v>
      </c>
      <c r="EH34">
        <v>31</v>
      </c>
      <c r="EI34">
        <v>3</v>
      </c>
      <c r="EJ34">
        <v>8</v>
      </c>
      <c r="EK34">
        <v>38</v>
      </c>
      <c r="EL34">
        <v>0</v>
      </c>
      <c r="EM34">
        <f t="shared" si="3"/>
        <v>100</v>
      </c>
      <c r="EN34">
        <v>7</v>
      </c>
      <c r="EO34">
        <v>5</v>
      </c>
      <c r="EP34">
        <v>12</v>
      </c>
      <c r="EQ34">
        <v>55</v>
      </c>
      <c r="ER34">
        <v>5</v>
      </c>
      <c r="ES34">
        <v>8</v>
      </c>
      <c r="ET34">
        <v>5</v>
      </c>
      <c r="EU34">
        <v>3</v>
      </c>
      <c r="EV34">
        <v>0</v>
      </c>
      <c r="EW34" t="s">
        <v>655</v>
      </c>
      <c r="EX34" s="7" t="s">
        <v>533</v>
      </c>
      <c r="EY34" t="s">
        <v>219</v>
      </c>
      <c r="FB34" t="s">
        <v>219</v>
      </c>
      <c r="FE34" t="s">
        <v>219</v>
      </c>
      <c r="FH34" t="s">
        <v>219</v>
      </c>
      <c r="FK34" t="s">
        <v>219</v>
      </c>
      <c r="FQ34">
        <v>3</v>
      </c>
      <c r="FS34">
        <v>4</v>
      </c>
      <c r="FT34">
        <v>5</v>
      </c>
      <c r="FU34">
        <v>2</v>
      </c>
      <c r="FV34">
        <v>4</v>
      </c>
      <c r="FW34">
        <v>5</v>
      </c>
      <c r="FX34">
        <v>4</v>
      </c>
      <c r="GA34">
        <v>5</v>
      </c>
      <c r="GB34">
        <v>4</v>
      </c>
      <c r="GC34">
        <v>5</v>
      </c>
      <c r="GD34">
        <v>2</v>
      </c>
      <c r="GE34">
        <v>4</v>
      </c>
      <c r="GF34">
        <v>2</v>
      </c>
      <c r="GG34">
        <v>4</v>
      </c>
      <c r="GH34">
        <v>5</v>
      </c>
      <c r="GI34">
        <v>2</v>
      </c>
      <c r="GJ34">
        <v>5</v>
      </c>
      <c r="GK34">
        <v>4</v>
      </c>
      <c r="GL34">
        <v>4</v>
      </c>
      <c r="GM34">
        <v>4</v>
      </c>
      <c r="GN34">
        <v>4</v>
      </c>
      <c r="GQ34" t="s">
        <v>221</v>
      </c>
      <c r="GR34" t="s">
        <v>306</v>
      </c>
      <c r="GT34" t="s">
        <v>222</v>
      </c>
    </row>
    <row r="35" spans="1:202" x14ac:dyDescent="0.2">
      <c r="A35">
        <v>36</v>
      </c>
      <c r="B35" t="s">
        <v>202</v>
      </c>
      <c r="C35" t="s">
        <v>203</v>
      </c>
      <c r="D35" t="s">
        <v>224</v>
      </c>
      <c r="E35" t="s">
        <v>204</v>
      </c>
      <c r="F35" t="s">
        <v>227</v>
      </c>
      <c r="G35" s="3"/>
      <c r="H35">
        <v>2018</v>
      </c>
      <c r="J35" t="s">
        <v>285</v>
      </c>
      <c r="K35" t="s">
        <v>206</v>
      </c>
      <c r="L35" t="s">
        <v>228</v>
      </c>
      <c r="M35" t="s">
        <v>295</v>
      </c>
      <c r="O35" s="14">
        <v>136000</v>
      </c>
      <c r="P35" s="3">
        <v>0</v>
      </c>
      <c r="Q35" s="14">
        <v>138000</v>
      </c>
      <c r="R35">
        <v>4</v>
      </c>
      <c r="S35" s="14">
        <v>137000</v>
      </c>
      <c r="T35">
        <v>12</v>
      </c>
      <c r="U35" s="4">
        <f>P35/O35</f>
        <v>0</v>
      </c>
      <c r="V35" s="4">
        <f t="shared" si="9"/>
        <v>2.898550724637681E-5</v>
      </c>
      <c r="W35" s="4">
        <f t="shared" si="10"/>
        <v>8.7591240875912405E-5</v>
      </c>
      <c r="X35" t="s">
        <v>209</v>
      </c>
      <c r="Y35">
        <v>24</v>
      </c>
      <c r="Z35">
        <v>20</v>
      </c>
      <c r="AA35">
        <v>50</v>
      </c>
      <c r="AB35">
        <v>5</v>
      </c>
      <c r="AC35">
        <v>1</v>
      </c>
      <c r="AD35">
        <v>0</v>
      </c>
      <c r="AF35" t="s">
        <v>288</v>
      </c>
      <c r="AG35" t="s">
        <v>310</v>
      </c>
      <c r="AH35" s="6">
        <v>42917</v>
      </c>
      <c r="AI35" s="6">
        <v>43252</v>
      </c>
      <c r="AK35" t="s">
        <v>289</v>
      </c>
      <c r="AM35" s="3" t="s">
        <v>456</v>
      </c>
      <c r="AO35" t="s">
        <v>311</v>
      </c>
      <c r="AP35" t="s">
        <v>262</v>
      </c>
      <c r="AQ35" t="s">
        <v>310</v>
      </c>
      <c r="AT35" t="s">
        <v>313</v>
      </c>
      <c r="AX35" t="s">
        <v>300</v>
      </c>
      <c r="AZ35" t="s">
        <v>300</v>
      </c>
      <c r="BB35" t="s">
        <v>314</v>
      </c>
      <c r="BD35" t="s">
        <v>241</v>
      </c>
      <c r="BF35" t="s">
        <v>656</v>
      </c>
      <c r="BI35" t="s">
        <v>272</v>
      </c>
      <c r="BJ35" t="s">
        <v>657</v>
      </c>
      <c r="BN35" t="s">
        <v>245</v>
      </c>
      <c r="BQ35" t="s">
        <v>274</v>
      </c>
      <c r="BR35" t="s">
        <v>658</v>
      </c>
      <c r="BU35" t="s">
        <v>245</v>
      </c>
      <c r="BV35" t="s">
        <v>274</v>
      </c>
      <c r="BW35" t="s">
        <v>245</v>
      </c>
      <c r="BX35" t="s">
        <v>659</v>
      </c>
      <c r="BY35">
        <v>1000</v>
      </c>
      <c r="BZ35">
        <v>200</v>
      </c>
      <c r="CA35" t="s">
        <v>660</v>
      </c>
      <c r="CB35" s="3">
        <v>1320</v>
      </c>
      <c r="CC35" t="s">
        <v>661</v>
      </c>
      <c r="CD35" s="6">
        <v>42917</v>
      </c>
      <c r="CE35" s="6">
        <v>43252</v>
      </c>
      <c r="CF35" t="s">
        <v>289</v>
      </c>
      <c r="CH35" t="s">
        <v>662</v>
      </c>
      <c r="CJ35" t="s">
        <v>647</v>
      </c>
      <c r="CK35" t="s">
        <v>305</v>
      </c>
      <c r="CM35" t="s">
        <v>290</v>
      </c>
      <c r="CN35" t="s">
        <v>486</v>
      </c>
      <c r="DP35" t="s">
        <v>663</v>
      </c>
      <c r="DQ35" t="s">
        <v>215</v>
      </c>
      <c r="DS35" t="s">
        <v>338</v>
      </c>
      <c r="DT35" t="s">
        <v>338</v>
      </c>
      <c r="DW35" s="3"/>
      <c r="DX35" s="3"/>
      <c r="DY35" s="3"/>
      <c r="DZ35" s="3"/>
      <c r="EA35">
        <v>40</v>
      </c>
      <c r="EB35">
        <v>80</v>
      </c>
      <c r="EC35" s="3"/>
      <c r="ED35">
        <v>0</v>
      </c>
      <c r="EE35">
        <v>4</v>
      </c>
      <c r="EF35">
        <v>5</v>
      </c>
      <c r="EG35">
        <v>20</v>
      </c>
      <c r="EH35">
        <v>20</v>
      </c>
      <c r="EI35">
        <v>0</v>
      </c>
      <c r="EJ35">
        <v>20</v>
      </c>
      <c r="EK35">
        <v>20</v>
      </c>
      <c r="EL35">
        <v>15</v>
      </c>
      <c r="EM35">
        <f t="shared" si="3"/>
        <v>100</v>
      </c>
      <c r="EN35" s="3">
        <v>0</v>
      </c>
      <c r="EO35" s="5">
        <f>8/98*100</f>
        <v>8.1632653061224492</v>
      </c>
      <c r="EP35" s="3">
        <v>0</v>
      </c>
      <c r="EQ35" s="5">
        <f>80/98*100</f>
        <v>81.632653061224488</v>
      </c>
      <c r="ER35" s="3">
        <v>0</v>
      </c>
      <c r="ES35" s="5">
        <f>10/98*100</f>
        <v>10.204081632653061</v>
      </c>
      <c r="ET35" s="3">
        <v>0</v>
      </c>
      <c r="EU35" s="3">
        <v>0</v>
      </c>
      <c r="EV35" s="3">
        <v>0</v>
      </c>
      <c r="EW35" t="s">
        <v>664</v>
      </c>
      <c r="EX35" s="7" t="s">
        <v>640</v>
      </c>
      <c r="EY35" t="s">
        <v>219</v>
      </c>
      <c r="EZ35" t="s">
        <v>665</v>
      </c>
      <c r="FA35" t="s">
        <v>666</v>
      </c>
      <c r="FE35" t="s">
        <v>274</v>
      </c>
      <c r="FF35" t="s">
        <v>667</v>
      </c>
      <c r="FQ35">
        <v>3</v>
      </c>
      <c r="FS35">
        <v>3</v>
      </c>
      <c r="FT35">
        <v>2</v>
      </c>
      <c r="FU35">
        <v>4</v>
      </c>
      <c r="FV35">
        <v>1</v>
      </c>
      <c r="FW35">
        <v>4</v>
      </c>
      <c r="FX35">
        <v>5</v>
      </c>
      <c r="GA35">
        <v>4</v>
      </c>
      <c r="GB35">
        <v>5</v>
      </c>
      <c r="GC35">
        <v>5</v>
      </c>
      <c r="GD35">
        <v>2</v>
      </c>
      <c r="GE35">
        <v>3</v>
      </c>
      <c r="GF35">
        <v>2</v>
      </c>
      <c r="GG35">
        <v>3</v>
      </c>
      <c r="GH35">
        <v>5</v>
      </c>
      <c r="GI35">
        <v>4</v>
      </c>
      <c r="GJ35">
        <v>5</v>
      </c>
      <c r="GK35">
        <v>3</v>
      </c>
      <c r="GL35">
        <v>4</v>
      </c>
      <c r="GM35">
        <v>4</v>
      </c>
      <c r="GN35">
        <v>5</v>
      </c>
      <c r="GO35">
        <v>5</v>
      </c>
      <c r="GP35" t="s">
        <v>668</v>
      </c>
      <c r="GQ35" t="s">
        <v>488</v>
      </c>
      <c r="GR35" t="s">
        <v>221</v>
      </c>
      <c r="GT35" t="s">
        <v>222</v>
      </c>
    </row>
    <row r="36" spans="1:202" x14ac:dyDescent="0.2">
      <c r="A36">
        <v>37</v>
      </c>
      <c r="B36" t="s">
        <v>500</v>
      </c>
      <c r="C36" t="s">
        <v>669</v>
      </c>
      <c r="D36" s="3" t="s">
        <v>500</v>
      </c>
      <c r="E36" t="s">
        <v>204</v>
      </c>
      <c r="F36" t="s">
        <v>204</v>
      </c>
      <c r="G36">
        <v>2015</v>
      </c>
      <c r="H36">
        <v>2017</v>
      </c>
      <c r="I36">
        <f t="shared" ref="I36:I45" si="11">H36-G36</f>
        <v>2</v>
      </c>
      <c r="J36" t="s">
        <v>285</v>
      </c>
      <c r="K36" t="s">
        <v>206</v>
      </c>
      <c r="L36" t="s">
        <v>333</v>
      </c>
      <c r="M36" t="s">
        <v>670</v>
      </c>
      <c r="O36">
        <v>15</v>
      </c>
      <c r="P36">
        <v>3</v>
      </c>
      <c r="Q36">
        <v>40</v>
      </c>
      <c r="R36">
        <v>10</v>
      </c>
      <c r="S36">
        <v>70</v>
      </c>
      <c r="T36">
        <v>15</v>
      </c>
      <c r="U36" s="4">
        <f>P36/O36</f>
        <v>0.2</v>
      </c>
      <c r="V36" s="4">
        <f t="shared" si="9"/>
        <v>0.25</v>
      </c>
      <c r="W36" s="4">
        <f t="shared" si="10"/>
        <v>0.21428571428571427</v>
      </c>
      <c r="X36" t="s">
        <v>209</v>
      </c>
      <c r="Y36" s="5">
        <f>26/212*100</f>
        <v>12.264150943396226</v>
      </c>
      <c r="Z36" s="5">
        <f>71/212*100</f>
        <v>33.490566037735846</v>
      </c>
      <c r="AA36" s="5">
        <v>0</v>
      </c>
      <c r="AB36" s="5">
        <f>15/212*100</f>
        <v>7.0754716981132075</v>
      </c>
      <c r="AC36" s="5">
        <f>50/212*100</f>
        <v>23.584905660377359</v>
      </c>
      <c r="AD36" s="5">
        <f>50/212*100</f>
        <v>23.584905660377359</v>
      </c>
      <c r="AE36" t="s">
        <v>671</v>
      </c>
      <c r="AF36" t="s">
        <v>257</v>
      </c>
      <c r="CC36" t="s">
        <v>672</v>
      </c>
      <c r="CD36" s="6">
        <v>42767</v>
      </c>
      <c r="CE36" s="6">
        <v>43070</v>
      </c>
      <c r="CF36" t="s">
        <v>259</v>
      </c>
      <c r="CJ36" t="s">
        <v>261</v>
      </c>
      <c r="CK36" t="s">
        <v>416</v>
      </c>
      <c r="CM36" t="s">
        <v>290</v>
      </c>
      <c r="CP36" t="s">
        <v>290</v>
      </c>
      <c r="DD36" t="s">
        <v>290</v>
      </c>
      <c r="DQ36" t="s">
        <v>215</v>
      </c>
      <c r="DS36" t="s">
        <v>673</v>
      </c>
      <c r="DT36" t="s">
        <v>673</v>
      </c>
      <c r="DZ36">
        <v>3</v>
      </c>
      <c r="EA36">
        <v>24</v>
      </c>
      <c r="EB36">
        <v>40</v>
      </c>
      <c r="EF36">
        <v>0</v>
      </c>
      <c r="EG36">
        <v>10</v>
      </c>
      <c r="EH36">
        <v>90</v>
      </c>
      <c r="EI36">
        <v>0</v>
      </c>
      <c r="EJ36">
        <v>0</v>
      </c>
      <c r="EK36">
        <v>0</v>
      </c>
      <c r="EL36">
        <v>0</v>
      </c>
      <c r="EM36">
        <f t="shared" si="3"/>
        <v>100</v>
      </c>
      <c r="EN36" s="3">
        <v>0</v>
      </c>
      <c r="EO36" s="3">
        <v>0</v>
      </c>
      <c r="EP36" s="5">
        <f>75/225*100</f>
        <v>33.333333333333329</v>
      </c>
      <c r="EQ36" s="5">
        <f>74/225*100</f>
        <v>32.888888888888893</v>
      </c>
      <c r="ER36" s="3">
        <v>0</v>
      </c>
      <c r="ES36" s="5">
        <f>76/225*100</f>
        <v>33.777777777777779</v>
      </c>
      <c r="ET36" s="3">
        <v>0</v>
      </c>
      <c r="EU36" s="3">
        <v>0</v>
      </c>
      <c r="EV36" s="3">
        <v>0</v>
      </c>
      <c r="EX36" s="7"/>
      <c r="EY36" t="s">
        <v>219</v>
      </c>
      <c r="FB36" t="s">
        <v>219</v>
      </c>
      <c r="FE36" t="s">
        <v>219</v>
      </c>
      <c r="FK36" t="s">
        <v>219</v>
      </c>
      <c r="FQ36">
        <v>4</v>
      </c>
      <c r="FS36">
        <v>4</v>
      </c>
      <c r="FT36">
        <v>4</v>
      </c>
      <c r="FU36">
        <v>4</v>
      </c>
      <c r="FV36">
        <v>4</v>
      </c>
      <c r="FW36">
        <v>4</v>
      </c>
      <c r="FX36">
        <v>4</v>
      </c>
      <c r="GA36">
        <v>5</v>
      </c>
      <c r="GB36">
        <v>4</v>
      </c>
      <c r="GC36">
        <v>4</v>
      </c>
      <c r="GD36">
        <v>4</v>
      </c>
      <c r="GE36">
        <v>3</v>
      </c>
      <c r="GF36">
        <v>1</v>
      </c>
      <c r="GG36">
        <v>3</v>
      </c>
      <c r="GH36">
        <v>5</v>
      </c>
      <c r="GI36">
        <v>3</v>
      </c>
      <c r="GJ36">
        <v>5</v>
      </c>
      <c r="GK36">
        <v>3</v>
      </c>
      <c r="GL36">
        <v>4</v>
      </c>
      <c r="GM36">
        <v>4</v>
      </c>
      <c r="GN36">
        <v>3</v>
      </c>
      <c r="GQ36" t="s">
        <v>488</v>
      </c>
      <c r="GR36" t="s">
        <v>221</v>
      </c>
      <c r="GT36" t="s">
        <v>291</v>
      </c>
    </row>
    <row r="37" spans="1:202" x14ac:dyDescent="0.2">
      <c r="A37" s="15">
        <v>38</v>
      </c>
      <c r="B37" s="15" t="s">
        <v>674</v>
      </c>
      <c r="C37" s="15" t="s">
        <v>675</v>
      </c>
      <c r="D37" s="15" t="s">
        <v>674</v>
      </c>
      <c r="E37" t="s">
        <v>204</v>
      </c>
      <c r="F37" t="s">
        <v>204</v>
      </c>
      <c r="G37" s="15">
        <v>2014</v>
      </c>
      <c r="H37" s="15">
        <v>2014</v>
      </c>
      <c r="I37">
        <f t="shared" si="11"/>
        <v>0</v>
      </c>
      <c r="J37" s="15" t="s">
        <v>285</v>
      </c>
      <c r="K37" t="s">
        <v>206</v>
      </c>
      <c r="L37" s="15" t="s">
        <v>286</v>
      </c>
      <c r="M37" s="15" t="s">
        <v>676</v>
      </c>
      <c r="N37" s="15"/>
      <c r="O37" s="15">
        <v>40</v>
      </c>
      <c r="P37" s="15">
        <v>4</v>
      </c>
      <c r="Q37" s="15">
        <v>60</v>
      </c>
      <c r="R37" s="15">
        <v>8</v>
      </c>
      <c r="S37" s="15">
        <v>117</v>
      </c>
      <c r="T37" s="15">
        <v>28</v>
      </c>
      <c r="U37" s="4">
        <f>P37/O37</f>
        <v>0.1</v>
      </c>
      <c r="V37" s="4">
        <f t="shared" si="9"/>
        <v>0.13333333333333333</v>
      </c>
      <c r="W37" s="4">
        <f t="shared" si="10"/>
        <v>0.23931623931623933</v>
      </c>
      <c r="X37" t="s">
        <v>209</v>
      </c>
      <c r="Y37" s="15">
        <v>80</v>
      </c>
      <c r="Z37" s="15">
        <v>9</v>
      </c>
      <c r="AA37" s="15">
        <v>9</v>
      </c>
      <c r="AB37" s="15">
        <v>2</v>
      </c>
      <c r="AC37" s="15">
        <v>0</v>
      </c>
      <c r="AD37" s="15">
        <v>0</v>
      </c>
      <c r="AE37" s="15"/>
      <c r="AF37" s="15" t="s">
        <v>288</v>
      </c>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t="s">
        <v>677</v>
      </c>
      <c r="CD37" s="16">
        <v>43070</v>
      </c>
      <c r="CE37" s="16">
        <v>43191</v>
      </c>
      <c r="CF37" s="15" t="s">
        <v>259</v>
      </c>
      <c r="CG37" s="15"/>
      <c r="CH37" s="15"/>
      <c r="CI37" s="15" t="s">
        <v>678</v>
      </c>
      <c r="CJ37" s="15" t="s">
        <v>311</v>
      </c>
      <c r="CK37" s="15"/>
      <c r="CL37" s="15"/>
      <c r="CM37" s="15" t="s">
        <v>290</v>
      </c>
      <c r="CN37" s="15"/>
      <c r="CO37" s="15"/>
      <c r="CP37" s="15" t="s">
        <v>290</v>
      </c>
      <c r="CQ37" s="15"/>
      <c r="CR37" s="15"/>
      <c r="CS37" s="15"/>
      <c r="CT37" s="15"/>
      <c r="CU37" s="15"/>
      <c r="CV37" s="15"/>
      <c r="CW37" s="15"/>
      <c r="CX37" s="15"/>
      <c r="CY37" s="15"/>
      <c r="CZ37" s="15"/>
      <c r="DA37" s="15"/>
      <c r="DB37" s="15" t="s">
        <v>290</v>
      </c>
      <c r="DC37" s="15"/>
      <c r="DD37" s="15"/>
      <c r="DE37" s="15"/>
      <c r="DF37" s="15" t="s">
        <v>290</v>
      </c>
      <c r="DG37" s="15"/>
      <c r="DH37" s="15"/>
      <c r="DI37" s="15"/>
      <c r="DJ37" s="15"/>
      <c r="DK37" s="15"/>
      <c r="DL37" s="15"/>
      <c r="DM37" s="15"/>
      <c r="DN37" s="15"/>
      <c r="DO37" s="15"/>
      <c r="DP37" s="15" t="s">
        <v>679</v>
      </c>
      <c r="DQ37" s="15" t="s">
        <v>556</v>
      </c>
      <c r="DR37" s="15"/>
      <c r="DS37" s="15" t="s">
        <v>216</v>
      </c>
      <c r="DT37" s="15" t="s">
        <v>216</v>
      </c>
      <c r="DU37" s="15"/>
      <c r="DV37" s="15"/>
      <c r="DW37" s="15"/>
      <c r="DX37" s="15"/>
      <c r="DY37" s="15"/>
      <c r="DZ37" s="15">
        <v>1</v>
      </c>
      <c r="EA37" s="15">
        <v>2</v>
      </c>
      <c r="EB37" s="15">
        <v>5</v>
      </c>
      <c r="EC37" s="15"/>
      <c r="ED37" s="15"/>
      <c r="EE37" s="15"/>
      <c r="EF37" s="15">
        <v>0</v>
      </c>
      <c r="EG37" s="15">
        <v>0</v>
      </c>
      <c r="EH37" s="15">
        <v>90</v>
      </c>
      <c r="EI37" s="15">
        <v>0</v>
      </c>
      <c r="EJ37" s="15">
        <v>0</v>
      </c>
      <c r="EK37" s="15">
        <v>10</v>
      </c>
      <c r="EL37" s="15">
        <v>0</v>
      </c>
      <c r="EM37">
        <f t="shared" si="3"/>
        <v>100</v>
      </c>
      <c r="EN37" s="15">
        <v>0</v>
      </c>
      <c r="EO37" s="15">
        <v>0</v>
      </c>
      <c r="EP37" s="15">
        <v>0</v>
      </c>
      <c r="EQ37" s="15">
        <v>80</v>
      </c>
      <c r="ER37" s="15">
        <v>0</v>
      </c>
      <c r="ES37" s="15">
        <v>20</v>
      </c>
      <c r="ET37" s="15">
        <v>0</v>
      </c>
      <c r="EU37" s="15">
        <v>0</v>
      </c>
      <c r="EV37" s="15">
        <v>0</v>
      </c>
      <c r="EW37" s="3" t="s">
        <v>680</v>
      </c>
      <c r="EX37" s="7"/>
      <c r="EY37" s="15" t="s">
        <v>219</v>
      </c>
      <c r="EZ37" s="15" t="s">
        <v>681</v>
      </c>
      <c r="FA37" s="15"/>
      <c r="FB37" s="15" t="s">
        <v>219</v>
      </c>
      <c r="FC37" s="15" t="s">
        <v>682</v>
      </c>
      <c r="FD37" s="15"/>
      <c r="FE37" s="15"/>
      <c r="FF37" s="15"/>
      <c r="FG37" s="15"/>
      <c r="FH37" s="15"/>
      <c r="FI37" s="15"/>
      <c r="FJ37" s="15"/>
      <c r="FK37" s="15"/>
      <c r="FL37" s="15"/>
      <c r="FM37" s="15"/>
      <c r="FN37" s="15"/>
      <c r="FO37" s="15"/>
      <c r="FP37" s="15"/>
      <c r="FQ37" s="15">
        <v>4</v>
      </c>
      <c r="FR37" s="15"/>
      <c r="FS37" s="15">
        <v>2</v>
      </c>
      <c r="FT37" s="15">
        <v>2</v>
      </c>
      <c r="FU37" s="15">
        <v>4</v>
      </c>
      <c r="FV37" s="15">
        <v>2</v>
      </c>
      <c r="FW37" s="15">
        <v>5</v>
      </c>
      <c r="FX37" s="15">
        <v>5</v>
      </c>
      <c r="FY37" s="15"/>
      <c r="FZ37" s="15"/>
      <c r="GA37" s="15">
        <v>5</v>
      </c>
      <c r="GB37" s="15">
        <v>4</v>
      </c>
      <c r="GC37" s="15">
        <v>5</v>
      </c>
      <c r="GD37" s="15">
        <v>2</v>
      </c>
      <c r="GE37" s="15">
        <v>4</v>
      </c>
      <c r="GF37" s="15">
        <v>2</v>
      </c>
      <c r="GG37" s="15">
        <v>3</v>
      </c>
      <c r="GH37" s="15">
        <v>4</v>
      </c>
      <c r="GI37" s="15">
        <v>3</v>
      </c>
      <c r="GJ37" s="15">
        <v>4</v>
      </c>
      <c r="GK37" s="15">
        <v>3</v>
      </c>
      <c r="GL37" s="15">
        <v>3</v>
      </c>
      <c r="GM37" s="15">
        <v>3</v>
      </c>
      <c r="GN37" s="15">
        <v>4</v>
      </c>
      <c r="GO37" s="15"/>
      <c r="GP37" s="15"/>
      <c r="GQ37" s="15" t="s">
        <v>221</v>
      </c>
      <c r="GR37" s="15" t="s">
        <v>221</v>
      </c>
      <c r="GS37" s="15"/>
      <c r="GT37" s="15" t="s">
        <v>222</v>
      </c>
    </row>
    <row r="38" spans="1:202" x14ac:dyDescent="0.2">
      <c r="A38">
        <v>39</v>
      </c>
      <c r="B38" t="s">
        <v>558</v>
      </c>
      <c r="C38" t="s">
        <v>683</v>
      </c>
      <c r="D38" t="s">
        <v>558</v>
      </c>
      <c r="E38" t="s">
        <v>204</v>
      </c>
      <c r="F38" t="s">
        <v>204</v>
      </c>
      <c r="G38" s="3">
        <v>2014</v>
      </c>
      <c r="H38">
        <v>2017</v>
      </c>
      <c r="I38">
        <f t="shared" si="11"/>
        <v>3</v>
      </c>
      <c r="J38" t="s">
        <v>205</v>
      </c>
      <c r="K38" t="s">
        <v>206</v>
      </c>
      <c r="L38" t="s">
        <v>333</v>
      </c>
      <c r="M38" t="s">
        <v>684</v>
      </c>
      <c r="O38">
        <v>5</v>
      </c>
      <c r="P38">
        <v>3</v>
      </c>
      <c r="Q38">
        <v>10</v>
      </c>
      <c r="R38">
        <v>3</v>
      </c>
      <c r="S38">
        <v>15</v>
      </c>
      <c r="T38">
        <v>4</v>
      </c>
      <c r="U38" s="4">
        <f>P38/O38</f>
        <v>0.6</v>
      </c>
      <c r="V38" s="4">
        <f t="shared" si="9"/>
        <v>0.3</v>
      </c>
      <c r="W38" s="4">
        <f t="shared" si="10"/>
        <v>0.26666666666666666</v>
      </c>
      <c r="X38" t="s">
        <v>230</v>
      </c>
      <c r="Y38">
        <v>68</v>
      </c>
      <c r="Z38">
        <v>0</v>
      </c>
      <c r="AA38">
        <v>6</v>
      </c>
      <c r="AB38">
        <v>14</v>
      </c>
      <c r="AC38">
        <v>6</v>
      </c>
      <c r="AD38">
        <v>6</v>
      </c>
      <c r="AE38" t="s">
        <v>685</v>
      </c>
      <c r="AF38" t="s">
        <v>231</v>
      </c>
      <c r="CC38" t="s">
        <v>686</v>
      </c>
      <c r="CD38" s="6">
        <v>42644</v>
      </c>
      <c r="CE38" s="6">
        <v>42826</v>
      </c>
      <c r="CF38" t="s">
        <v>322</v>
      </c>
      <c r="DM38" t="s">
        <v>290</v>
      </c>
      <c r="DN38" t="s">
        <v>263</v>
      </c>
      <c r="DP38" t="s">
        <v>687</v>
      </c>
      <c r="DQ38" t="s">
        <v>556</v>
      </c>
      <c r="DS38" t="s">
        <v>673</v>
      </c>
      <c r="DT38" t="s">
        <v>338</v>
      </c>
      <c r="DU38" t="s">
        <v>688</v>
      </c>
      <c r="DZ38">
        <v>3</v>
      </c>
      <c r="EA38">
        <v>3</v>
      </c>
      <c r="EB38">
        <v>5</v>
      </c>
      <c r="EC38">
        <v>0</v>
      </c>
      <c r="ED38">
        <v>1</v>
      </c>
      <c r="EE38">
        <v>2</v>
      </c>
      <c r="EF38">
        <v>0</v>
      </c>
      <c r="EG38">
        <v>0</v>
      </c>
      <c r="EH38">
        <v>100</v>
      </c>
      <c r="EI38">
        <v>0</v>
      </c>
      <c r="EJ38">
        <v>0</v>
      </c>
      <c r="EK38">
        <v>0</v>
      </c>
      <c r="EL38">
        <v>0</v>
      </c>
      <c r="EM38">
        <f t="shared" si="3"/>
        <v>100</v>
      </c>
      <c r="EN38">
        <v>0</v>
      </c>
      <c r="EO38">
        <v>0</v>
      </c>
      <c r="EP38">
        <v>10</v>
      </c>
      <c r="EQ38">
        <v>90</v>
      </c>
      <c r="ER38">
        <v>0</v>
      </c>
      <c r="ES38">
        <v>0</v>
      </c>
      <c r="ET38">
        <v>0</v>
      </c>
      <c r="EU38">
        <v>0</v>
      </c>
      <c r="EV38">
        <v>0</v>
      </c>
      <c r="EW38" t="s">
        <v>689</v>
      </c>
      <c r="EX38" s="7"/>
      <c r="FB38" t="s">
        <v>219</v>
      </c>
      <c r="FC38" t="s">
        <v>690</v>
      </c>
      <c r="FQ38">
        <v>4</v>
      </c>
      <c r="FS38">
        <v>4</v>
      </c>
      <c r="FT38">
        <v>4</v>
      </c>
      <c r="FU38">
        <v>2</v>
      </c>
      <c r="FV38">
        <v>4</v>
      </c>
      <c r="FW38">
        <v>2</v>
      </c>
      <c r="FX38">
        <v>4</v>
      </c>
      <c r="GA38">
        <v>4</v>
      </c>
      <c r="GB38">
        <v>4</v>
      </c>
      <c r="GC38">
        <v>4</v>
      </c>
      <c r="GD38">
        <v>4</v>
      </c>
      <c r="GE38">
        <v>4</v>
      </c>
      <c r="GF38">
        <v>3</v>
      </c>
      <c r="GG38">
        <v>2</v>
      </c>
      <c r="GH38">
        <v>2</v>
      </c>
      <c r="GI38">
        <v>3</v>
      </c>
      <c r="GJ38">
        <v>3</v>
      </c>
      <c r="GK38">
        <v>4</v>
      </c>
      <c r="GL38">
        <v>4</v>
      </c>
      <c r="GM38">
        <v>2</v>
      </c>
      <c r="GN38">
        <v>4</v>
      </c>
      <c r="GQ38" t="s">
        <v>253</v>
      </c>
      <c r="GR38" t="s">
        <v>306</v>
      </c>
      <c r="GT38" t="s">
        <v>291</v>
      </c>
    </row>
    <row r="39" spans="1:202" x14ac:dyDescent="0.2">
      <c r="A39">
        <v>40</v>
      </c>
      <c r="B39" t="s">
        <v>224</v>
      </c>
      <c r="C39" t="s">
        <v>538</v>
      </c>
      <c r="D39" t="s">
        <v>224</v>
      </c>
      <c r="E39" t="s">
        <v>227</v>
      </c>
      <c r="F39" t="s">
        <v>227</v>
      </c>
      <c r="G39" s="3">
        <v>2017</v>
      </c>
      <c r="H39">
        <v>2018</v>
      </c>
      <c r="I39">
        <f t="shared" si="11"/>
        <v>1</v>
      </c>
      <c r="J39" t="s">
        <v>205</v>
      </c>
      <c r="K39" t="s">
        <v>206</v>
      </c>
      <c r="L39" t="s">
        <v>333</v>
      </c>
      <c r="M39" t="s">
        <v>576</v>
      </c>
      <c r="O39" s="3"/>
      <c r="P39" s="3"/>
      <c r="Q39">
        <v>5</v>
      </c>
      <c r="R39">
        <v>5</v>
      </c>
      <c r="S39">
        <v>15</v>
      </c>
      <c r="T39">
        <v>15</v>
      </c>
      <c r="U39" s="4"/>
      <c r="V39" s="4">
        <f t="shared" si="9"/>
        <v>1</v>
      </c>
      <c r="W39" s="4">
        <f t="shared" si="10"/>
        <v>1</v>
      </c>
      <c r="X39" t="s">
        <v>209</v>
      </c>
      <c r="Y39">
        <v>50</v>
      </c>
      <c r="Z39">
        <v>10</v>
      </c>
      <c r="AA39">
        <v>5</v>
      </c>
      <c r="AB39">
        <v>30</v>
      </c>
      <c r="AC39">
        <v>5</v>
      </c>
      <c r="AD39">
        <v>0</v>
      </c>
      <c r="AF39" t="s">
        <v>231</v>
      </c>
      <c r="CD39" s="6">
        <v>42979</v>
      </c>
      <c r="CE39" s="6">
        <v>43435</v>
      </c>
      <c r="CF39" t="s">
        <v>322</v>
      </c>
      <c r="CJ39" t="s">
        <v>647</v>
      </c>
      <c r="CM39" t="s">
        <v>290</v>
      </c>
      <c r="CP39" t="s">
        <v>290</v>
      </c>
      <c r="CR39" t="s">
        <v>290</v>
      </c>
      <c r="CX39" t="s">
        <v>290</v>
      </c>
      <c r="DB39" t="s">
        <v>290</v>
      </c>
      <c r="DF39" t="s">
        <v>290</v>
      </c>
      <c r="DP39" t="s">
        <v>691</v>
      </c>
      <c r="DQ39" t="s">
        <v>556</v>
      </c>
      <c r="DS39" t="s">
        <v>338</v>
      </c>
      <c r="DT39" t="s">
        <v>216</v>
      </c>
      <c r="DZ39">
        <v>0</v>
      </c>
      <c r="EA39">
        <v>1</v>
      </c>
      <c r="EB39">
        <v>2</v>
      </c>
      <c r="EF39">
        <v>0</v>
      </c>
      <c r="EG39">
        <v>0</v>
      </c>
      <c r="EH39">
        <v>0</v>
      </c>
      <c r="EI39">
        <v>0</v>
      </c>
      <c r="EJ39">
        <v>0</v>
      </c>
      <c r="EK39">
        <v>100</v>
      </c>
      <c r="EL39">
        <v>0</v>
      </c>
      <c r="EM39">
        <f t="shared" si="3"/>
        <v>100</v>
      </c>
      <c r="EN39">
        <v>0</v>
      </c>
      <c r="EO39">
        <v>0</v>
      </c>
      <c r="EP39">
        <v>0</v>
      </c>
      <c r="EQ39">
        <v>100</v>
      </c>
      <c r="ER39">
        <v>0</v>
      </c>
      <c r="ES39">
        <v>0</v>
      </c>
      <c r="ET39">
        <v>0</v>
      </c>
      <c r="EU39">
        <v>0</v>
      </c>
      <c r="EV39">
        <v>0</v>
      </c>
      <c r="EW39" t="s">
        <v>692</v>
      </c>
      <c r="EX39" s="7" t="s">
        <v>420</v>
      </c>
      <c r="EY39" t="s">
        <v>341</v>
      </c>
      <c r="FE39" t="s">
        <v>274</v>
      </c>
      <c r="FH39" t="s">
        <v>341</v>
      </c>
      <c r="FK39" t="s">
        <v>274</v>
      </c>
      <c r="FQ39">
        <v>4</v>
      </c>
      <c r="FS39">
        <v>5</v>
      </c>
      <c r="FT39">
        <v>4</v>
      </c>
      <c r="FU39">
        <v>5</v>
      </c>
      <c r="FV39">
        <v>5</v>
      </c>
      <c r="FW39">
        <v>4</v>
      </c>
      <c r="FX39">
        <v>4</v>
      </c>
      <c r="GA39">
        <v>4</v>
      </c>
      <c r="GB39">
        <v>4</v>
      </c>
      <c r="GC39">
        <v>5</v>
      </c>
      <c r="GD39">
        <v>2</v>
      </c>
      <c r="GE39">
        <v>2</v>
      </c>
      <c r="GF39">
        <v>2</v>
      </c>
      <c r="GG39">
        <v>4</v>
      </c>
      <c r="GH39">
        <v>5</v>
      </c>
      <c r="GI39">
        <v>4</v>
      </c>
      <c r="GJ39">
        <v>4</v>
      </c>
      <c r="GK39">
        <v>4</v>
      </c>
      <c r="GL39">
        <v>5</v>
      </c>
      <c r="GM39">
        <v>4</v>
      </c>
      <c r="GN39">
        <v>3</v>
      </c>
      <c r="GQ39" t="s">
        <v>221</v>
      </c>
      <c r="GR39" t="s">
        <v>306</v>
      </c>
      <c r="GT39" t="s">
        <v>222</v>
      </c>
    </row>
    <row r="40" spans="1:202" x14ac:dyDescent="0.2">
      <c r="A40">
        <v>41</v>
      </c>
      <c r="B40" t="s">
        <v>693</v>
      </c>
      <c r="C40" t="s">
        <v>694</v>
      </c>
      <c r="D40" t="s">
        <v>693</v>
      </c>
      <c r="E40" t="s">
        <v>204</v>
      </c>
      <c r="F40" t="s">
        <v>204</v>
      </c>
      <c r="G40">
        <v>2015</v>
      </c>
      <c r="H40">
        <v>2017</v>
      </c>
      <c r="I40">
        <f t="shared" si="11"/>
        <v>2</v>
      </c>
      <c r="J40" t="s">
        <v>205</v>
      </c>
      <c r="K40" t="s">
        <v>206</v>
      </c>
      <c r="L40" t="s">
        <v>207</v>
      </c>
      <c r="M40" t="s">
        <v>695</v>
      </c>
      <c r="O40">
        <v>400</v>
      </c>
      <c r="P40">
        <v>40</v>
      </c>
      <c r="Q40">
        <v>550</v>
      </c>
      <c r="R40">
        <v>70</v>
      </c>
      <c r="S40">
        <v>700</v>
      </c>
      <c r="T40">
        <v>120</v>
      </c>
      <c r="U40" s="4">
        <f>P40/O40</f>
        <v>0.1</v>
      </c>
      <c r="V40" s="4">
        <f t="shared" si="9"/>
        <v>0.12727272727272726</v>
      </c>
      <c r="W40" s="4">
        <f t="shared" si="10"/>
        <v>0.17142857142857143</v>
      </c>
      <c r="X40" t="s">
        <v>513</v>
      </c>
      <c r="Y40" s="5">
        <v>70</v>
      </c>
      <c r="Z40" s="5">
        <v>5</v>
      </c>
      <c r="AA40" s="5">
        <v>10</v>
      </c>
      <c r="AB40" s="5">
        <v>10</v>
      </c>
      <c r="AC40" s="5">
        <v>5</v>
      </c>
      <c r="AD40" s="5">
        <v>10</v>
      </c>
      <c r="AE40" t="s">
        <v>696</v>
      </c>
      <c r="AF40" t="s">
        <v>448</v>
      </c>
      <c r="AG40" t="s">
        <v>697</v>
      </c>
      <c r="AH40" s="6">
        <v>42430</v>
      </c>
      <c r="AI40" s="6">
        <v>42917</v>
      </c>
      <c r="AK40" t="s">
        <v>298</v>
      </c>
      <c r="AL40" t="s">
        <v>456</v>
      </c>
      <c r="AO40" s="3"/>
      <c r="AP40" t="s">
        <v>234</v>
      </c>
      <c r="AT40" t="s">
        <v>235</v>
      </c>
      <c r="AV40" t="s">
        <v>698</v>
      </c>
      <c r="AX40" t="s">
        <v>266</v>
      </c>
      <c r="AZ40" t="s">
        <v>267</v>
      </c>
      <c r="BB40" t="s">
        <v>314</v>
      </c>
      <c r="BD40" t="s">
        <v>241</v>
      </c>
      <c r="BF40" t="s">
        <v>699</v>
      </c>
      <c r="BI40" s="3" t="s">
        <v>272</v>
      </c>
      <c r="BJ40" s="3" t="s">
        <v>700</v>
      </c>
      <c r="BL40" t="s">
        <v>701</v>
      </c>
      <c r="BM40" t="s">
        <v>245</v>
      </c>
      <c r="BN40" t="s">
        <v>274</v>
      </c>
      <c r="BO40" t="s">
        <v>274</v>
      </c>
      <c r="BT40" t="s">
        <v>274</v>
      </c>
      <c r="BU40" t="s">
        <v>245</v>
      </c>
      <c r="BY40" s="3" t="s">
        <v>247</v>
      </c>
      <c r="BZ40" t="s">
        <v>702</v>
      </c>
      <c r="CA40" t="s">
        <v>703</v>
      </c>
      <c r="CB40">
        <v>17000</v>
      </c>
      <c r="CC40" t="s">
        <v>704</v>
      </c>
      <c r="CD40" s="6">
        <v>42644</v>
      </c>
      <c r="CF40" t="s">
        <v>259</v>
      </c>
      <c r="CJ40" t="s">
        <v>427</v>
      </c>
      <c r="CK40" t="s">
        <v>705</v>
      </c>
      <c r="CV40" t="s">
        <v>290</v>
      </c>
      <c r="CW40" t="s">
        <v>706</v>
      </c>
      <c r="DQ40" t="s">
        <v>707</v>
      </c>
      <c r="DS40" t="s">
        <v>216</v>
      </c>
      <c r="DU40" t="s">
        <v>708</v>
      </c>
      <c r="DZ40">
        <v>1</v>
      </c>
      <c r="EA40">
        <v>7</v>
      </c>
      <c r="EB40">
        <v>7</v>
      </c>
      <c r="EC40">
        <v>1</v>
      </c>
      <c r="ED40">
        <v>3</v>
      </c>
      <c r="EE40">
        <v>8</v>
      </c>
      <c r="EF40">
        <v>0</v>
      </c>
      <c r="EG40">
        <v>0</v>
      </c>
      <c r="EH40">
        <v>66</v>
      </c>
      <c r="EI40">
        <v>15</v>
      </c>
      <c r="EJ40">
        <v>9</v>
      </c>
      <c r="EK40">
        <v>10</v>
      </c>
      <c r="EL40">
        <v>0</v>
      </c>
      <c r="EM40">
        <f t="shared" si="3"/>
        <v>100</v>
      </c>
      <c r="EN40" s="3">
        <v>0</v>
      </c>
      <c r="EO40" s="5">
        <f>20/161*100</f>
        <v>12.422360248447205</v>
      </c>
      <c r="EP40" s="5">
        <f>18/161*100</f>
        <v>11.180124223602485</v>
      </c>
      <c r="EQ40" s="5">
        <f>26/161*100</f>
        <v>16.149068322981368</v>
      </c>
      <c r="ER40" s="5">
        <v>0</v>
      </c>
      <c r="ES40" s="5">
        <f>72/161*100</f>
        <v>44.720496894409941</v>
      </c>
      <c r="ET40" s="5">
        <f>25/161*100</f>
        <v>15.527950310559005</v>
      </c>
      <c r="EU40" s="3"/>
      <c r="EV40" s="3"/>
      <c r="EX40" s="7"/>
      <c r="EY40" t="s">
        <v>219</v>
      </c>
      <c r="FE40" t="s">
        <v>219</v>
      </c>
      <c r="FH40" t="s">
        <v>219</v>
      </c>
      <c r="FK40" t="s">
        <v>219</v>
      </c>
      <c r="FQ40">
        <v>4</v>
      </c>
      <c r="FR40" t="s">
        <v>709</v>
      </c>
      <c r="FS40">
        <v>5</v>
      </c>
      <c r="FT40">
        <v>2</v>
      </c>
      <c r="FU40">
        <v>4</v>
      </c>
      <c r="FV40">
        <v>4</v>
      </c>
      <c r="FW40">
        <v>4</v>
      </c>
      <c r="FX40">
        <v>3</v>
      </c>
      <c r="GA40">
        <v>4</v>
      </c>
      <c r="GB40">
        <v>5</v>
      </c>
      <c r="GC40">
        <v>5</v>
      </c>
      <c r="GD40">
        <v>1</v>
      </c>
      <c r="GE40">
        <v>5</v>
      </c>
      <c r="GF40">
        <v>2</v>
      </c>
      <c r="GG40">
        <v>5</v>
      </c>
      <c r="GH40">
        <v>2</v>
      </c>
      <c r="GI40">
        <v>4</v>
      </c>
      <c r="GJ40">
        <v>4</v>
      </c>
      <c r="GK40">
        <v>4</v>
      </c>
      <c r="GL40">
        <v>4</v>
      </c>
      <c r="GM40">
        <v>5</v>
      </c>
      <c r="GN40">
        <v>5</v>
      </c>
      <c r="GQ40" t="s">
        <v>306</v>
      </c>
      <c r="GR40" t="s">
        <v>221</v>
      </c>
      <c r="GT40" t="s">
        <v>222</v>
      </c>
    </row>
    <row r="41" spans="1:202" x14ac:dyDescent="0.2">
      <c r="A41">
        <v>43</v>
      </c>
      <c r="B41" t="s">
        <v>224</v>
      </c>
      <c r="C41" t="s">
        <v>710</v>
      </c>
      <c r="D41" t="s">
        <v>224</v>
      </c>
      <c r="E41" t="s">
        <v>227</v>
      </c>
      <c r="F41" t="s">
        <v>227</v>
      </c>
      <c r="G41">
        <v>2013</v>
      </c>
      <c r="H41">
        <v>2014</v>
      </c>
      <c r="I41">
        <f t="shared" si="11"/>
        <v>1</v>
      </c>
      <c r="J41" t="s">
        <v>205</v>
      </c>
      <c r="K41" t="s">
        <v>206</v>
      </c>
      <c r="L41" t="s">
        <v>423</v>
      </c>
      <c r="M41" t="s">
        <v>711</v>
      </c>
      <c r="N41" t="s">
        <v>712</v>
      </c>
      <c r="O41">
        <v>30</v>
      </c>
      <c r="P41">
        <v>28</v>
      </c>
      <c r="Q41">
        <v>45</v>
      </c>
      <c r="R41">
        <v>43</v>
      </c>
      <c r="S41">
        <v>52</v>
      </c>
      <c r="T41">
        <v>50</v>
      </c>
      <c r="U41" s="4">
        <f>P41/O41</f>
        <v>0.93333333333333335</v>
      </c>
      <c r="V41" s="4">
        <f t="shared" si="9"/>
        <v>0.9555555555555556</v>
      </c>
      <c r="W41" s="4">
        <f t="shared" si="10"/>
        <v>0.96153846153846156</v>
      </c>
      <c r="X41" t="s">
        <v>209</v>
      </c>
      <c r="Y41" s="5">
        <f>100/400*100</f>
        <v>25</v>
      </c>
      <c r="Z41" s="5">
        <v>0</v>
      </c>
      <c r="AA41" s="5">
        <f>100/400*100</f>
        <v>25</v>
      </c>
      <c r="AB41" s="5">
        <f>100/400*100</f>
        <v>25</v>
      </c>
      <c r="AC41" s="5">
        <v>0</v>
      </c>
      <c r="AD41" s="5">
        <f>100/400*100</f>
        <v>25</v>
      </c>
      <c r="AE41" t="s">
        <v>713</v>
      </c>
      <c r="AF41" t="s">
        <v>288</v>
      </c>
      <c r="AG41" t="s">
        <v>714</v>
      </c>
      <c r="AH41" s="6">
        <v>41974</v>
      </c>
      <c r="AI41" s="6">
        <v>42401</v>
      </c>
      <c r="AK41" t="s">
        <v>259</v>
      </c>
      <c r="AO41" t="s">
        <v>311</v>
      </c>
      <c r="AP41" t="s">
        <v>234</v>
      </c>
      <c r="AT41" t="s">
        <v>235</v>
      </c>
      <c r="AV41" t="s">
        <v>715</v>
      </c>
      <c r="AX41" t="s">
        <v>516</v>
      </c>
      <c r="AZ41" t="s">
        <v>300</v>
      </c>
      <c r="BB41" t="s">
        <v>716</v>
      </c>
      <c r="BC41" s="7" t="s">
        <v>717</v>
      </c>
      <c r="BD41" t="s">
        <v>350</v>
      </c>
      <c r="BF41" t="s">
        <v>718</v>
      </c>
      <c r="BG41" t="s">
        <v>719</v>
      </c>
      <c r="BI41" t="s">
        <v>243</v>
      </c>
      <c r="BK41" t="s">
        <v>720</v>
      </c>
      <c r="BM41" t="s">
        <v>245</v>
      </c>
      <c r="BN41" t="s">
        <v>245</v>
      </c>
      <c r="BQ41" t="s">
        <v>245</v>
      </c>
      <c r="BR41" t="s">
        <v>721</v>
      </c>
      <c r="BU41" t="s">
        <v>245</v>
      </c>
      <c r="BY41" s="3" t="s">
        <v>247</v>
      </c>
      <c r="CC41" t="s">
        <v>714</v>
      </c>
      <c r="CD41" s="6">
        <v>41974</v>
      </c>
      <c r="CE41" s="6">
        <v>42401</v>
      </c>
      <c r="CF41" t="s">
        <v>289</v>
      </c>
      <c r="CJ41" t="s">
        <v>427</v>
      </c>
      <c r="DJ41" t="s">
        <v>290</v>
      </c>
      <c r="DK41" t="s">
        <v>714</v>
      </c>
      <c r="DL41" t="s">
        <v>722</v>
      </c>
      <c r="DQ41" t="s">
        <v>556</v>
      </c>
      <c r="DS41" t="s">
        <v>338</v>
      </c>
      <c r="DT41" t="s">
        <v>338</v>
      </c>
      <c r="DZ41">
        <v>3</v>
      </c>
      <c r="EA41">
        <v>2</v>
      </c>
      <c r="EB41">
        <v>1</v>
      </c>
      <c r="EF41">
        <v>0</v>
      </c>
      <c r="EG41">
        <v>0</v>
      </c>
      <c r="EH41">
        <v>50</v>
      </c>
      <c r="EI41">
        <v>0</v>
      </c>
      <c r="EJ41">
        <v>0</v>
      </c>
      <c r="EK41">
        <v>50</v>
      </c>
      <c r="EL41">
        <v>0</v>
      </c>
      <c r="EM41">
        <f t="shared" si="3"/>
        <v>100</v>
      </c>
      <c r="EN41">
        <v>0</v>
      </c>
      <c r="EO41">
        <v>0</v>
      </c>
      <c r="EP41">
        <v>0</v>
      </c>
      <c r="EQ41">
        <v>100</v>
      </c>
      <c r="ER41">
        <v>0</v>
      </c>
      <c r="ES41">
        <v>0</v>
      </c>
      <c r="ET41">
        <v>0</v>
      </c>
      <c r="EU41">
        <v>0</v>
      </c>
      <c r="EV41">
        <v>0</v>
      </c>
      <c r="EW41" t="s">
        <v>723</v>
      </c>
      <c r="EX41" s="7" t="s">
        <v>420</v>
      </c>
      <c r="EY41" t="s">
        <v>341</v>
      </c>
      <c r="EZ41" t="s">
        <v>724</v>
      </c>
      <c r="FB41" t="s">
        <v>274</v>
      </c>
      <c r="FH41" t="s">
        <v>341</v>
      </c>
      <c r="FI41" t="s">
        <v>725</v>
      </c>
      <c r="FQ41">
        <v>3</v>
      </c>
      <c r="FS41">
        <v>4</v>
      </c>
      <c r="FT41">
        <v>5</v>
      </c>
      <c r="FU41">
        <v>3</v>
      </c>
      <c r="FV41">
        <v>4</v>
      </c>
      <c r="FW41">
        <v>5</v>
      </c>
      <c r="FX41">
        <v>4</v>
      </c>
      <c r="GA41">
        <v>4</v>
      </c>
      <c r="GB41">
        <v>2</v>
      </c>
      <c r="GC41">
        <v>4</v>
      </c>
      <c r="GD41">
        <v>2</v>
      </c>
      <c r="GE41">
        <v>4</v>
      </c>
      <c r="GF41">
        <v>4</v>
      </c>
      <c r="GG41">
        <v>2</v>
      </c>
      <c r="GH41">
        <v>5</v>
      </c>
      <c r="GI41">
        <v>3</v>
      </c>
      <c r="GJ41">
        <v>3</v>
      </c>
      <c r="GK41">
        <v>3</v>
      </c>
      <c r="GL41">
        <v>4</v>
      </c>
      <c r="GM41">
        <v>3</v>
      </c>
      <c r="GN41">
        <v>4</v>
      </c>
      <c r="GQ41" t="s">
        <v>221</v>
      </c>
      <c r="GR41" t="s">
        <v>306</v>
      </c>
      <c r="GT41" t="s">
        <v>222</v>
      </c>
    </row>
    <row r="42" spans="1:202" x14ac:dyDescent="0.2">
      <c r="A42">
        <v>44</v>
      </c>
      <c r="B42" t="s">
        <v>500</v>
      </c>
      <c r="C42" t="s">
        <v>726</v>
      </c>
      <c r="D42" t="s">
        <v>500</v>
      </c>
      <c r="E42" t="s">
        <v>204</v>
      </c>
      <c r="F42" t="s">
        <v>204</v>
      </c>
      <c r="G42" s="3">
        <v>2015</v>
      </c>
      <c r="H42">
        <v>2015</v>
      </c>
      <c r="I42">
        <f t="shared" si="11"/>
        <v>0</v>
      </c>
      <c r="J42" t="s">
        <v>205</v>
      </c>
      <c r="K42" t="s">
        <v>206</v>
      </c>
      <c r="L42" t="s">
        <v>423</v>
      </c>
      <c r="M42" t="s">
        <v>727</v>
      </c>
      <c r="O42" s="3"/>
      <c r="P42" s="3"/>
      <c r="Q42" s="3"/>
      <c r="R42" s="3"/>
      <c r="S42">
        <v>10</v>
      </c>
      <c r="T42">
        <v>10</v>
      </c>
      <c r="U42" s="4"/>
      <c r="V42" s="4"/>
      <c r="W42" s="4">
        <f t="shared" si="10"/>
        <v>1</v>
      </c>
      <c r="X42" t="s">
        <v>230</v>
      </c>
      <c r="Y42">
        <v>50</v>
      </c>
      <c r="Z42">
        <v>20</v>
      </c>
      <c r="AA42">
        <v>10</v>
      </c>
      <c r="AB42">
        <v>20</v>
      </c>
      <c r="AC42">
        <v>0</v>
      </c>
      <c r="AD42">
        <v>0</v>
      </c>
      <c r="AF42" t="s">
        <v>288</v>
      </c>
      <c r="AG42" t="s">
        <v>728</v>
      </c>
      <c r="AH42" s="6">
        <v>42767</v>
      </c>
      <c r="AI42" s="6">
        <v>42856</v>
      </c>
      <c r="AJ42" t="s">
        <v>729</v>
      </c>
      <c r="AK42" t="s">
        <v>259</v>
      </c>
      <c r="AO42" t="s">
        <v>311</v>
      </c>
      <c r="AP42" t="s">
        <v>262</v>
      </c>
      <c r="AQ42" t="s">
        <v>729</v>
      </c>
      <c r="AT42" t="s">
        <v>235</v>
      </c>
      <c r="AV42" t="s">
        <v>730</v>
      </c>
      <c r="AX42" t="s">
        <v>300</v>
      </c>
      <c r="AZ42" t="s">
        <v>267</v>
      </c>
      <c r="BB42" t="s">
        <v>237</v>
      </c>
      <c r="BC42" t="s">
        <v>413</v>
      </c>
      <c r="BI42" t="s">
        <v>237</v>
      </c>
      <c r="BL42" t="s">
        <v>731</v>
      </c>
      <c r="BM42" t="s">
        <v>245</v>
      </c>
      <c r="BN42" t="s">
        <v>245</v>
      </c>
      <c r="BU42" t="s">
        <v>245</v>
      </c>
      <c r="BY42">
        <v>20</v>
      </c>
      <c r="BZ42">
        <v>20</v>
      </c>
      <c r="CA42" t="s">
        <v>732</v>
      </c>
      <c r="CB42" s="3">
        <v>600</v>
      </c>
      <c r="CC42" t="s">
        <v>728</v>
      </c>
      <c r="CD42" s="6">
        <v>42767</v>
      </c>
      <c r="CE42" s="6">
        <v>42856</v>
      </c>
      <c r="CF42" t="s">
        <v>259</v>
      </c>
      <c r="CI42" s="3" t="s">
        <v>456</v>
      </c>
      <c r="CJ42" t="s">
        <v>311</v>
      </c>
      <c r="DJ42" t="s">
        <v>290</v>
      </c>
      <c r="DK42" t="s">
        <v>729</v>
      </c>
      <c r="DM42" t="s">
        <v>290</v>
      </c>
      <c r="DN42" t="s">
        <v>263</v>
      </c>
      <c r="DP42" t="s">
        <v>733</v>
      </c>
      <c r="DQ42" t="s">
        <v>215</v>
      </c>
      <c r="DS42" t="s">
        <v>216</v>
      </c>
      <c r="DT42" t="s">
        <v>216</v>
      </c>
      <c r="DU42" t="s">
        <v>734</v>
      </c>
      <c r="DV42" t="s">
        <v>735</v>
      </c>
      <c r="EB42">
        <v>10</v>
      </c>
      <c r="EF42">
        <v>0</v>
      </c>
      <c r="EG42">
        <v>0</v>
      </c>
      <c r="EH42">
        <v>70</v>
      </c>
      <c r="EI42">
        <v>0</v>
      </c>
      <c r="EJ42">
        <v>30</v>
      </c>
      <c r="EK42">
        <v>0</v>
      </c>
      <c r="EL42">
        <v>0</v>
      </c>
      <c r="EM42">
        <f t="shared" si="3"/>
        <v>100</v>
      </c>
      <c r="EN42">
        <v>0</v>
      </c>
      <c r="EO42">
        <v>0</v>
      </c>
      <c r="EP42">
        <v>0</v>
      </c>
      <c r="EQ42">
        <v>100</v>
      </c>
      <c r="ER42">
        <v>0</v>
      </c>
      <c r="ES42">
        <v>0</v>
      </c>
      <c r="ET42">
        <v>0</v>
      </c>
      <c r="EU42">
        <v>0</v>
      </c>
      <c r="EV42">
        <v>0</v>
      </c>
      <c r="EW42" t="s">
        <v>736</v>
      </c>
      <c r="EX42" s="7" t="s">
        <v>737</v>
      </c>
      <c r="EY42" t="s">
        <v>219</v>
      </c>
      <c r="EZ42" t="s">
        <v>738</v>
      </c>
      <c r="FB42" t="s">
        <v>219</v>
      </c>
      <c r="FC42" t="s">
        <v>739</v>
      </c>
      <c r="FS42">
        <v>4</v>
      </c>
      <c r="FT42">
        <v>4</v>
      </c>
      <c r="FU42">
        <v>4</v>
      </c>
      <c r="FV42">
        <v>4</v>
      </c>
      <c r="FW42">
        <v>3</v>
      </c>
      <c r="FX42">
        <v>3</v>
      </c>
      <c r="GA42">
        <v>5</v>
      </c>
      <c r="GB42">
        <v>3</v>
      </c>
      <c r="GC42">
        <v>3</v>
      </c>
      <c r="GD42">
        <v>2</v>
      </c>
      <c r="GE42">
        <v>3</v>
      </c>
      <c r="GF42">
        <v>4</v>
      </c>
      <c r="GG42">
        <v>3</v>
      </c>
      <c r="GH42">
        <v>5</v>
      </c>
      <c r="GI42">
        <v>3</v>
      </c>
      <c r="GJ42">
        <v>3</v>
      </c>
      <c r="GK42">
        <v>4</v>
      </c>
      <c r="GL42">
        <v>3</v>
      </c>
      <c r="GM42">
        <v>3</v>
      </c>
      <c r="GN42">
        <v>3</v>
      </c>
      <c r="GQ42" t="s">
        <v>488</v>
      </c>
      <c r="GT42" t="s">
        <v>222</v>
      </c>
    </row>
    <row r="43" spans="1:202" x14ac:dyDescent="0.2">
      <c r="A43">
        <v>45</v>
      </c>
      <c r="B43" t="s">
        <v>463</v>
      </c>
      <c r="C43" t="s">
        <v>740</v>
      </c>
      <c r="D43" t="s">
        <v>463</v>
      </c>
      <c r="E43" t="s">
        <v>204</v>
      </c>
      <c r="F43" t="s">
        <v>204</v>
      </c>
      <c r="G43">
        <v>2015</v>
      </c>
      <c r="H43">
        <v>2016</v>
      </c>
      <c r="I43">
        <f t="shared" si="11"/>
        <v>1</v>
      </c>
      <c r="J43" t="s">
        <v>205</v>
      </c>
      <c r="K43" t="s">
        <v>206</v>
      </c>
      <c r="L43" t="s">
        <v>423</v>
      </c>
      <c r="M43" t="s">
        <v>727</v>
      </c>
      <c r="O43">
        <v>4</v>
      </c>
      <c r="P43">
        <v>4</v>
      </c>
      <c r="Q43">
        <v>8</v>
      </c>
      <c r="R43">
        <v>6</v>
      </c>
      <c r="S43">
        <v>31</v>
      </c>
      <c r="T43">
        <v>22</v>
      </c>
      <c r="U43" s="4">
        <f>P43/O43</f>
        <v>1</v>
      </c>
      <c r="V43" s="4">
        <f>R43/Q43</f>
        <v>0.75</v>
      </c>
      <c r="W43" s="4">
        <f t="shared" si="10"/>
        <v>0.70967741935483875</v>
      </c>
      <c r="X43" t="s">
        <v>209</v>
      </c>
      <c r="Y43" s="5">
        <f>45/101*100</f>
        <v>44.554455445544555</v>
      </c>
      <c r="Z43" s="5">
        <f>9/101*100</f>
        <v>8.9108910891089099</v>
      </c>
      <c r="AA43" s="5">
        <f>12/101*100</f>
        <v>11.881188118811881</v>
      </c>
      <c r="AB43" s="5">
        <f>30/101*100</f>
        <v>29.702970297029701</v>
      </c>
      <c r="AC43" s="5">
        <f>5/101*100</f>
        <v>4.9504950495049505</v>
      </c>
      <c r="AD43" s="5">
        <v>0</v>
      </c>
      <c r="AF43" t="s">
        <v>296</v>
      </c>
      <c r="AG43" t="s">
        <v>741</v>
      </c>
      <c r="AH43" s="6">
        <v>42522</v>
      </c>
      <c r="AI43" s="6">
        <v>42826</v>
      </c>
      <c r="AJ43" t="s">
        <v>742</v>
      </c>
      <c r="AK43" t="s">
        <v>298</v>
      </c>
      <c r="AL43" s="3" t="s">
        <v>456</v>
      </c>
      <c r="AP43" t="s">
        <v>262</v>
      </c>
      <c r="AQ43" t="s">
        <v>528</v>
      </c>
      <c r="AT43" t="s">
        <v>264</v>
      </c>
      <c r="AU43" t="s">
        <v>743</v>
      </c>
      <c r="AX43" t="s">
        <v>300</v>
      </c>
      <c r="AZ43" t="s">
        <v>300</v>
      </c>
      <c r="BB43" t="s">
        <v>314</v>
      </c>
      <c r="BD43" s="3"/>
      <c r="BH43" t="s">
        <v>744</v>
      </c>
      <c r="BI43" s="3"/>
      <c r="EF43">
        <v>0</v>
      </c>
      <c r="EG43">
        <v>0</v>
      </c>
      <c r="EH43">
        <v>0</v>
      </c>
      <c r="EI43">
        <v>0</v>
      </c>
      <c r="EJ43">
        <v>0</v>
      </c>
      <c r="EK43">
        <v>0</v>
      </c>
      <c r="EL43">
        <v>100</v>
      </c>
      <c r="EM43">
        <f t="shared" si="3"/>
        <v>100</v>
      </c>
      <c r="EW43" s="3"/>
      <c r="EX43" s="7"/>
      <c r="EY43" t="s">
        <v>341</v>
      </c>
      <c r="EZ43" t="s">
        <v>745</v>
      </c>
      <c r="FQ43">
        <v>5</v>
      </c>
      <c r="FR43" t="s">
        <v>746</v>
      </c>
      <c r="FS43">
        <v>4</v>
      </c>
      <c r="FT43">
        <v>2</v>
      </c>
      <c r="FU43">
        <v>2</v>
      </c>
      <c r="FV43">
        <v>3</v>
      </c>
      <c r="FW43">
        <v>2</v>
      </c>
      <c r="FX43">
        <v>4</v>
      </c>
      <c r="GA43">
        <v>4</v>
      </c>
      <c r="GB43">
        <v>5</v>
      </c>
      <c r="GC43">
        <v>3</v>
      </c>
      <c r="GD43">
        <v>2</v>
      </c>
      <c r="GE43">
        <v>3</v>
      </c>
      <c r="GF43">
        <v>1</v>
      </c>
      <c r="GG43">
        <v>5</v>
      </c>
      <c r="GH43">
        <v>2</v>
      </c>
      <c r="GI43">
        <v>2</v>
      </c>
      <c r="GJ43">
        <v>4</v>
      </c>
      <c r="GK43">
        <v>4</v>
      </c>
      <c r="GL43">
        <v>2</v>
      </c>
      <c r="GM43">
        <v>4</v>
      </c>
      <c r="GN43">
        <v>5</v>
      </c>
      <c r="GQ43" t="s">
        <v>306</v>
      </c>
      <c r="GR43" t="s">
        <v>253</v>
      </c>
      <c r="GT43" t="s">
        <v>222</v>
      </c>
    </row>
    <row r="44" spans="1:202" x14ac:dyDescent="0.2">
      <c r="A44">
        <v>46</v>
      </c>
      <c r="B44" t="s">
        <v>558</v>
      </c>
      <c r="C44" s="3" t="s">
        <v>748</v>
      </c>
      <c r="D44" t="s">
        <v>224</v>
      </c>
      <c r="E44" t="s">
        <v>204</v>
      </c>
      <c r="F44" t="s">
        <v>227</v>
      </c>
      <c r="G44">
        <v>2015</v>
      </c>
      <c r="H44">
        <v>2017</v>
      </c>
      <c r="I44">
        <f t="shared" si="11"/>
        <v>2</v>
      </c>
      <c r="J44" t="s">
        <v>205</v>
      </c>
      <c r="K44" t="s">
        <v>206</v>
      </c>
      <c r="L44" t="s">
        <v>286</v>
      </c>
      <c r="M44" t="s">
        <v>620</v>
      </c>
      <c r="O44">
        <v>7</v>
      </c>
      <c r="P44">
        <v>2</v>
      </c>
      <c r="Q44">
        <v>9</v>
      </c>
      <c r="R44">
        <v>3</v>
      </c>
      <c r="S44">
        <v>12</v>
      </c>
      <c r="T44">
        <v>4</v>
      </c>
      <c r="U44" s="4">
        <f>P44/O44</f>
        <v>0.2857142857142857</v>
      </c>
      <c r="V44" s="4">
        <f>R44/Q44</f>
        <v>0.33333333333333331</v>
      </c>
      <c r="W44" s="4">
        <f t="shared" si="10"/>
        <v>0.33333333333333331</v>
      </c>
      <c r="X44" t="s">
        <v>230</v>
      </c>
      <c r="Y44" s="5">
        <f>65/90*100</f>
        <v>72.222222222222214</v>
      </c>
      <c r="Z44" s="5">
        <v>0</v>
      </c>
      <c r="AA44" s="5">
        <f>9/90*100</f>
        <v>10</v>
      </c>
      <c r="AB44" s="5">
        <f>16/90*100</f>
        <v>17.777777777777779</v>
      </c>
      <c r="AC44" s="5">
        <v>0</v>
      </c>
      <c r="AD44" s="5">
        <v>0</v>
      </c>
      <c r="AF44" t="s">
        <v>231</v>
      </c>
      <c r="CC44" t="s">
        <v>747</v>
      </c>
      <c r="CD44" s="6">
        <v>42736</v>
      </c>
      <c r="CE44" s="6">
        <v>43617</v>
      </c>
      <c r="CF44" t="s">
        <v>322</v>
      </c>
      <c r="CJ44" t="s">
        <v>647</v>
      </c>
      <c r="CM44" t="s">
        <v>290</v>
      </c>
      <c r="CP44" t="s">
        <v>378</v>
      </c>
      <c r="DB44" t="s">
        <v>378</v>
      </c>
      <c r="DD44" t="s">
        <v>378</v>
      </c>
      <c r="DJ44" t="s">
        <v>290</v>
      </c>
      <c r="DK44" t="s">
        <v>749</v>
      </c>
      <c r="DQ44" t="s">
        <v>556</v>
      </c>
      <c r="DS44" t="s">
        <v>216</v>
      </c>
      <c r="DT44" t="s">
        <v>216</v>
      </c>
      <c r="DU44" t="s">
        <v>220</v>
      </c>
      <c r="DV44" t="s">
        <v>750</v>
      </c>
      <c r="EF44">
        <v>0</v>
      </c>
      <c r="EG44">
        <v>20</v>
      </c>
      <c r="EH44">
        <v>50</v>
      </c>
      <c r="EI44">
        <v>0</v>
      </c>
      <c r="EJ44">
        <v>20</v>
      </c>
      <c r="EK44">
        <v>10</v>
      </c>
      <c r="EL44">
        <v>0</v>
      </c>
      <c r="EM44">
        <f t="shared" si="3"/>
        <v>100</v>
      </c>
      <c r="EN44" s="3">
        <v>0</v>
      </c>
      <c r="EO44" s="3">
        <v>0</v>
      </c>
      <c r="EP44" s="3">
        <v>0</v>
      </c>
      <c r="EQ44" s="5">
        <f>51/101*100</f>
        <v>50.495049504950494</v>
      </c>
      <c r="ER44" s="5">
        <f>24/101*100</f>
        <v>23.762376237623762</v>
      </c>
      <c r="ES44" s="5">
        <f>26/101*100</f>
        <v>25.742574257425744</v>
      </c>
      <c r="ET44" s="3">
        <v>0</v>
      </c>
      <c r="EU44" s="3">
        <v>0</v>
      </c>
      <c r="EV44" s="3">
        <v>0</v>
      </c>
      <c r="EW44" t="s">
        <v>751</v>
      </c>
      <c r="EX44" s="7" t="s">
        <v>420</v>
      </c>
      <c r="EY44" t="s">
        <v>341</v>
      </c>
      <c r="FA44" t="s">
        <v>752</v>
      </c>
      <c r="FB44" t="s">
        <v>341</v>
      </c>
      <c r="FC44" s="3" t="s">
        <v>753</v>
      </c>
      <c r="FE44" t="s">
        <v>341</v>
      </c>
      <c r="FG44" t="s">
        <v>754</v>
      </c>
      <c r="FH44" t="s">
        <v>341</v>
      </c>
      <c r="FJ44" t="s">
        <v>754</v>
      </c>
      <c r="FQ44">
        <v>1</v>
      </c>
      <c r="FS44">
        <v>4</v>
      </c>
      <c r="FT44">
        <v>4</v>
      </c>
      <c r="FU44">
        <v>1</v>
      </c>
      <c r="FV44">
        <v>2</v>
      </c>
      <c r="FW44">
        <v>2</v>
      </c>
      <c r="FX44">
        <v>4</v>
      </c>
      <c r="GA44">
        <v>4</v>
      </c>
      <c r="GB44">
        <v>4</v>
      </c>
      <c r="GC44">
        <v>4</v>
      </c>
      <c r="GD44">
        <v>4</v>
      </c>
      <c r="GE44">
        <v>2</v>
      </c>
      <c r="GF44">
        <v>2</v>
      </c>
      <c r="GG44">
        <v>4</v>
      </c>
      <c r="GH44">
        <v>4</v>
      </c>
      <c r="GI44">
        <v>4</v>
      </c>
      <c r="GJ44">
        <v>2</v>
      </c>
      <c r="GK44">
        <v>2</v>
      </c>
      <c r="GL44">
        <v>4</v>
      </c>
      <c r="GM44">
        <v>2</v>
      </c>
      <c r="GN44">
        <v>2</v>
      </c>
      <c r="GQ44" t="s">
        <v>306</v>
      </c>
      <c r="GR44" t="s">
        <v>306</v>
      </c>
      <c r="GT44" t="s">
        <v>291</v>
      </c>
    </row>
    <row r="45" spans="1:202" x14ac:dyDescent="0.2">
      <c r="A45">
        <v>42</v>
      </c>
      <c r="B45" t="s">
        <v>224</v>
      </c>
      <c r="C45" t="s">
        <v>755</v>
      </c>
      <c r="D45" t="s">
        <v>224</v>
      </c>
      <c r="E45" t="s">
        <v>227</v>
      </c>
      <c r="F45" t="s">
        <v>227</v>
      </c>
      <c r="G45" s="3">
        <v>2017</v>
      </c>
      <c r="H45">
        <v>2018</v>
      </c>
      <c r="I45">
        <f t="shared" si="11"/>
        <v>1</v>
      </c>
      <c r="J45" t="s">
        <v>285</v>
      </c>
      <c r="K45" t="s">
        <v>206</v>
      </c>
      <c r="L45" t="s">
        <v>423</v>
      </c>
      <c r="M45" t="s">
        <v>208</v>
      </c>
      <c r="O45" s="3"/>
      <c r="P45" s="3"/>
      <c r="Q45" s="3"/>
      <c r="R45" s="3"/>
      <c r="S45">
        <v>3</v>
      </c>
      <c r="T45">
        <v>1</v>
      </c>
      <c r="U45" s="4"/>
      <c r="V45" s="4"/>
      <c r="W45" s="4">
        <f t="shared" si="10"/>
        <v>0.33333333333333331</v>
      </c>
      <c r="X45" t="s">
        <v>230</v>
      </c>
      <c r="Y45" s="10">
        <f>1/3*100</f>
        <v>33.333333333333329</v>
      </c>
      <c r="Z45" s="10">
        <f>1/3*100</f>
        <v>33.333333333333329</v>
      </c>
      <c r="AA45" s="10">
        <v>0</v>
      </c>
      <c r="AB45" s="10">
        <f>1/3*100</f>
        <v>33.333333333333329</v>
      </c>
      <c r="AC45" s="10">
        <v>0</v>
      </c>
      <c r="AD45" s="10">
        <v>0</v>
      </c>
      <c r="AH45" s="6"/>
      <c r="AI45" s="6"/>
      <c r="CC45" t="s">
        <v>756</v>
      </c>
      <c r="CD45" s="6">
        <v>43252</v>
      </c>
      <c r="CJ45" t="s">
        <v>311</v>
      </c>
      <c r="CK45" t="s">
        <v>757</v>
      </c>
      <c r="DQ45" t="s">
        <v>237</v>
      </c>
      <c r="DR45" t="s">
        <v>758</v>
      </c>
      <c r="DS45" t="s">
        <v>338</v>
      </c>
      <c r="DT45" t="s">
        <v>338</v>
      </c>
      <c r="EF45">
        <v>0</v>
      </c>
      <c r="EG45">
        <v>0</v>
      </c>
      <c r="EH45">
        <v>0</v>
      </c>
      <c r="EI45">
        <v>0</v>
      </c>
      <c r="EJ45">
        <v>0</v>
      </c>
      <c r="EK45">
        <v>100</v>
      </c>
      <c r="EL45">
        <v>0</v>
      </c>
      <c r="EM45">
        <f t="shared" si="3"/>
        <v>100</v>
      </c>
      <c r="EP45">
        <v>20</v>
      </c>
      <c r="EQ45">
        <v>80</v>
      </c>
      <c r="EW45" t="s">
        <v>759</v>
      </c>
      <c r="EX45" s="7" t="s">
        <v>420</v>
      </c>
      <c r="EY45" t="s">
        <v>274</v>
      </c>
      <c r="FA45" t="s">
        <v>760</v>
      </c>
      <c r="FE45" t="s">
        <v>274</v>
      </c>
      <c r="FG45" t="s">
        <v>761</v>
      </c>
      <c r="FQ45">
        <v>5</v>
      </c>
      <c r="FS45">
        <v>5</v>
      </c>
      <c r="FT45">
        <v>5</v>
      </c>
      <c r="FU45">
        <v>5</v>
      </c>
      <c r="FV45">
        <v>5</v>
      </c>
      <c r="FW45">
        <v>5</v>
      </c>
      <c r="FX45">
        <v>5</v>
      </c>
      <c r="GA45">
        <v>5</v>
      </c>
      <c r="GB45">
        <v>5</v>
      </c>
      <c r="GC45">
        <v>5</v>
      </c>
      <c r="GD45">
        <v>4</v>
      </c>
      <c r="GE45">
        <v>5</v>
      </c>
      <c r="GF45">
        <v>5</v>
      </c>
      <c r="GG45">
        <v>5</v>
      </c>
      <c r="GH45">
        <v>5</v>
      </c>
      <c r="GI45">
        <v>5</v>
      </c>
      <c r="GJ45">
        <v>5</v>
      </c>
      <c r="GK45">
        <v>5</v>
      </c>
      <c r="GL45">
        <v>5</v>
      </c>
      <c r="GM45">
        <v>5</v>
      </c>
      <c r="GN45">
        <v>5</v>
      </c>
      <c r="GQ45" t="s">
        <v>306</v>
      </c>
      <c r="GR45" t="s">
        <v>253</v>
      </c>
      <c r="GS45" t="s">
        <v>762</v>
      </c>
      <c r="GT45" t="s">
        <v>222</v>
      </c>
    </row>
    <row r="46" spans="1:202" x14ac:dyDescent="0.2">
      <c r="A46">
        <v>47</v>
      </c>
      <c r="B46" t="s">
        <v>558</v>
      </c>
      <c r="C46" t="s">
        <v>748</v>
      </c>
      <c r="D46" t="s">
        <v>558</v>
      </c>
      <c r="E46" t="s">
        <v>204</v>
      </c>
      <c r="F46" t="s">
        <v>204</v>
      </c>
      <c r="J46" t="s">
        <v>285</v>
      </c>
      <c r="K46" t="s">
        <v>206</v>
      </c>
      <c r="L46" t="s">
        <v>333</v>
      </c>
      <c r="M46" t="s">
        <v>676</v>
      </c>
      <c r="O46">
        <v>180000</v>
      </c>
      <c r="P46">
        <v>2</v>
      </c>
      <c r="Q46">
        <v>190000</v>
      </c>
      <c r="R46">
        <v>5</v>
      </c>
      <c r="S46">
        <v>200000</v>
      </c>
      <c r="T46">
        <v>10</v>
      </c>
      <c r="U46" s="4">
        <f>P46/O46</f>
        <v>1.1111111111111112E-5</v>
      </c>
      <c r="V46" s="4">
        <f t="shared" ref="V46:V56" si="12">R46/Q46</f>
        <v>2.6315789473684212E-5</v>
      </c>
      <c r="W46" s="4">
        <f t="shared" si="10"/>
        <v>5.0000000000000002E-5</v>
      </c>
      <c r="X46" t="s">
        <v>230</v>
      </c>
      <c r="Y46">
        <v>30</v>
      </c>
      <c r="Z46">
        <v>20</v>
      </c>
      <c r="AA46">
        <v>20</v>
      </c>
      <c r="AB46">
        <v>20</v>
      </c>
      <c r="AC46">
        <v>10</v>
      </c>
      <c r="AF46" t="s">
        <v>296</v>
      </c>
      <c r="CC46" t="s">
        <v>763</v>
      </c>
      <c r="CD46" s="6">
        <v>43435</v>
      </c>
      <c r="CE46" s="6">
        <v>43647</v>
      </c>
      <c r="CF46" t="s">
        <v>298</v>
      </c>
      <c r="CJ46" s="3"/>
      <c r="CP46" t="s">
        <v>368</v>
      </c>
      <c r="DP46" t="s">
        <v>764</v>
      </c>
      <c r="DQ46" t="s">
        <v>556</v>
      </c>
      <c r="DS46" t="s">
        <v>216</v>
      </c>
      <c r="DT46" t="s">
        <v>216</v>
      </c>
      <c r="EF46">
        <v>0</v>
      </c>
      <c r="EG46">
        <v>25</v>
      </c>
      <c r="EH46">
        <v>25</v>
      </c>
      <c r="EI46">
        <v>15</v>
      </c>
      <c r="EJ46">
        <v>5</v>
      </c>
      <c r="EK46">
        <v>30</v>
      </c>
      <c r="EL46">
        <v>0</v>
      </c>
      <c r="EM46">
        <f t="shared" si="3"/>
        <v>100</v>
      </c>
      <c r="FQ46">
        <v>3</v>
      </c>
      <c r="FS46">
        <v>4</v>
      </c>
      <c r="FT46">
        <v>3</v>
      </c>
      <c r="FU46">
        <v>1</v>
      </c>
      <c r="FV46">
        <v>1</v>
      </c>
      <c r="FW46">
        <v>4</v>
      </c>
      <c r="FX46">
        <v>3</v>
      </c>
      <c r="GA46">
        <v>4</v>
      </c>
      <c r="GB46">
        <v>5</v>
      </c>
      <c r="GC46">
        <v>4</v>
      </c>
      <c r="GD46">
        <v>4</v>
      </c>
      <c r="GE46">
        <v>5</v>
      </c>
      <c r="GF46">
        <v>2</v>
      </c>
      <c r="GG46">
        <v>4</v>
      </c>
      <c r="GH46">
        <v>5</v>
      </c>
      <c r="GI46">
        <v>4</v>
      </c>
      <c r="GJ46">
        <v>4</v>
      </c>
      <c r="GK46">
        <v>2</v>
      </c>
      <c r="GL46">
        <v>4</v>
      </c>
      <c r="GM46">
        <v>4</v>
      </c>
      <c r="GN46">
        <v>4</v>
      </c>
      <c r="GQ46" t="s">
        <v>306</v>
      </c>
      <c r="GR46" t="s">
        <v>632</v>
      </c>
      <c r="GT46" t="s">
        <v>291</v>
      </c>
    </row>
    <row r="47" spans="1:202" x14ac:dyDescent="0.2">
      <c r="A47" s="8">
        <v>60</v>
      </c>
      <c r="B47" s="8" t="s">
        <v>202</v>
      </c>
      <c r="C47" s="8" t="s">
        <v>203</v>
      </c>
      <c r="D47" s="8" t="s">
        <v>202</v>
      </c>
      <c r="E47" t="s">
        <v>204</v>
      </c>
      <c r="F47" t="s">
        <v>204</v>
      </c>
      <c r="G47" s="8">
        <v>2015</v>
      </c>
      <c r="H47" s="3"/>
      <c r="J47" s="3" t="s">
        <v>205</v>
      </c>
      <c r="K47" t="s">
        <v>206</v>
      </c>
      <c r="L47" s="8" t="s">
        <v>228</v>
      </c>
      <c r="M47" s="8" t="s">
        <v>548</v>
      </c>
      <c r="N47" s="8"/>
      <c r="O47" s="8">
        <v>6</v>
      </c>
      <c r="P47" s="8">
        <v>6</v>
      </c>
      <c r="Q47" s="8">
        <v>7</v>
      </c>
      <c r="R47" s="8">
        <v>7</v>
      </c>
      <c r="S47" s="8">
        <v>6</v>
      </c>
      <c r="T47" s="8">
        <v>6</v>
      </c>
      <c r="U47" s="4">
        <f>P47/O47</f>
        <v>1</v>
      </c>
      <c r="V47" s="4">
        <f t="shared" si="12"/>
        <v>1</v>
      </c>
      <c r="W47" s="4">
        <f t="shared" si="10"/>
        <v>1</v>
      </c>
      <c r="X47" t="s">
        <v>230</v>
      </c>
      <c r="Y47" s="5">
        <f>29/99*100</f>
        <v>29.292929292929294</v>
      </c>
      <c r="Z47" s="5">
        <f>29/99*100</f>
        <v>29.292929292929294</v>
      </c>
      <c r="AA47" s="5">
        <f>20/99*100</f>
        <v>20.202020202020201</v>
      </c>
      <c r="AB47" s="5">
        <f>21/99*100</f>
        <v>21.212121212121211</v>
      </c>
      <c r="AC47" s="5">
        <v>0</v>
      </c>
      <c r="AD47" s="5">
        <v>0</v>
      </c>
      <c r="AE47" s="8"/>
      <c r="AF47" t="s">
        <v>296</v>
      </c>
      <c r="AG47" s="8" t="s">
        <v>449</v>
      </c>
      <c r="AH47" s="11">
        <v>42887</v>
      </c>
      <c r="AI47" s="11">
        <v>43831</v>
      </c>
      <c r="AJ47" s="8"/>
      <c r="AK47" s="8" t="s">
        <v>298</v>
      </c>
      <c r="AL47" s="8"/>
      <c r="AM47" s="8"/>
      <c r="AN47" s="8"/>
      <c r="AO47" s="8"/>
      <c r="AP47" s="8" t="s">
        <v>262</v>
      </c>
      <c r="AQ47" s="8"/>
      <c r="AR47" s="8"/>
      <c r="AS47" s="8"/>
      <c r="AT47" s="8" t="s">
        <v>264</v>
      </c>
      <c r="AU47" s="8" t="s">
        <v>765</v>
      </c>
      <c r="AV47" s="8"/>
      <c r="AW47" s="8"/>
      <c r="AX47" s="8" t="s">
        <v>516</v>
      </c>
      <c r="AY47" s="8"/>
      <c r="AZ47" s="8" t="s">
        <v>518</v>
      </c>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row>
    <row r="48" spans="1:202" x14ac:dyDescent="0.2">
      <c r="A48" s="8">
        <v>70</v>
      </c>
      <c r="B48" t="s">
        <v>224</v>
      </c>
      <c r="C48" s="8" t="s">
        <v>766</v>
      </c>
      <c r="D48" s="8" t="s">
        <v>224</v>
      </c>
      <c r="E48" t="s">
        <v>227</v>
      </c>
      <c r="F48" t="s">
        <v>227</v>
      </c>
      <c r="G48" s="8">
        <v>2015</v>
      </c>
      <c r="H48" s="8">
        <v>2016</v>
      </c>
      <c r="I48">
        <f t="shared" ref="I48:I56" si="13">H48-G48</f>
        <v>1</v>
      </c>
      <c r="J48" s="8" t="s">
        <v>205</v>
      </c>
      <c r="K48" t="s">
        <v>206</v>
      </c>
      <c r="L48" s="8" t="s">
        <v>286</v>
      </c>
      <c r="M48" s="8" t="s">
        <v>548</v>
      </c>
      <c r="N48" s="8"/>
      <c r="O48" s="8">
        <v>165</v>
      </c>
      <c r="P48" s="8">
        <v>16</v>
      </c>
      <c r="Q48" s="8">
        <v>180</v>
      </c>
      <c r="R48" s="8">
        <v>34</v>
      </c>
      <c r="S48" s="8">
        <v>200</v>
      </c>
      <c r="T48" s="8">
        <v>48</v>
      </c>
      <c r="U48" s="4">
        <f>P48/O48</f>
        <v>9.696969696969697E-2</v>
      </c>
      <c r="V48" s="4">
        <f t="shared" si="12"/>
        <v>0.18888888888888888</v>
      </c>
      <c r="W48" s="4">
        <f t="shared" si="10"/>
        <v>0.24</v>
      </c>
      <c r="X48" t="s">
        <v>209</v>
      </c>
      <c r="Y48" s="5">
        <f>60/106*100</f>
        <v>56.60377358490566</v>
      </c>
      <c r="Z48" s="5">
        <f>25/106*100</f>
        <v>23.584905660377359</v>
      </c>
      <c r="AA48" s="5">
        <f>7/106*100</f>
        <v>6.6037735849056602</v>
      </c>
      <c r="AB48" s="5">
        <f>7/106*100</f>
        <v>6.6037735849056602</v>
      </c>
      <c r="AC48" s="5">
        <v>0</v>
      </c>
      <c r="AD48" s="5">
        <f>7/106*100</f>
        <v>6.6037735849056602</v>
      </c>
      <c r="AE48" s="8" t="s">
        <v>767</v>
      </c>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row>
    <row r="49" spans="1:202" x14ac:dyDescent="0.2">
      <c r="A49" s="8">
        <v>73</v>
      </c>
      <c r="B49" s="8" t="s">
        <v>292</v>
      </c>
      <c r="C49" s="8" t="s">
        <v>768</v>
      </c>
      <c r="D49" s="8" t="s">
        <v>292</v>
      </c>
      <c r="E49" t="s">
        <v>294</v>
      </c>
      <c r="F49" t="s">
        <v>294</v>
      </c>
      <c r="G49" s="8">
        <v>2015</v>
      </c>
      <c r="H49" s="8">
        <v>2017</v>
      </c>
      <c r="I49">
        <f t="shared" si="13"/>
        <v>2</v>
      </c>
      <c r="J49" s="8" t="s">
        <v>205</v>
      </c>
      <c r="K49" t="s">
        <v>206</v>
      </c>
      <c r="L49" s="8" t="s">
        <v>207</v>
      </c>
      <c r="M49" s="8" t="s">
        <v>424</v>
      </c>
      <c r="N49" s="8"/>
      <c r="O49" s="8">
        <v>10</v>
      </c>
      <c r="P49" s="8">
        <v>4</v>
      </c>
      <c r="Q49" s="8">
        <v>18</v>
      </c>
      <c r="R49" s="8">
        <v>9</v>
      </c>
      <c r="S49" s="8">
        <v>30</v>
      </c>
      <c r="T49" s="8">
        <v>15</v>
      </c>
      <c r="U49" s="4">
        <f>P49/O49</f>
        <v>0.4</v>
      </c>
      <c r="V49" s="4">
        <f t="shared" si="12"/>
        <v>0.5</v>
      </c>
      <c r="W49" s="4">
        <f t="shared" si="10"/>
        <v>0.5</v>
      </c>
      <c r="X49" t="s">
        <v>209</v>
      </c>
      <c r="Y49" s="8">
        <v>23</v>
      </c>
      <c r="Z49" s="8">
        <v>17</v>
      </c>
      <c r="AA49" s="8">
        <v>10</v>
      </c>
      <c r="AB49" s="8">
        <v>27</v>
      </c>
      <c r="AC49" s="8">
        <v>6</v>
      </c>
      <c r="AD49" s="8">
        <v>17</v>
      </c>
      <c r="AE49" s="8"/>
      <c r="AF49" s="8"/>
      <c r="AG49" s="8"/>
      <c r="AH49" s="11"/>
      <c r="AI49" s="11"/>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row>
    <row r="50" spans="1:202" x14ac:dyDescent="0.2">
      <c r="A50" s="8">
        <v>81</v>
      </c>
      <c r="B50" s="8" t="s">
        <v>769</v>
      </c>
      <c r="C50" s="8" t="s">
        <v>770</v>
      </c>
      <c r="D50" s="8" t="s">
        <v>769</v>
      </c>
      <c r="E50" t="s">
        <v>294</v>
      </c>
      <c r="F50" t="s">
        <v>294</v>
      </c>
      <c r="G50" s="3">
        <v>2016</v>
      </c>
      <c r="H50" s="8">
        <v>2016</v>
      </c>
      <c r="I50">
        <f t="shared" si="13"/>
        <v>0</v>
      </c>
      <c r="J50" s="8" t="s">
        <v>205</v>
      </c>
      <c r="K50" t="s">
        <v>206</v>
      </c>
      <c r="L50" s="8" t="s">
        <v>423</v>
      </c>
      <c r="M50" s="8" t="s">
        <v>771</v>
      </c>
      <c r="N50" s="8"/>
      <c r="O50" s="8">
        <v>0</v>
      </c>
      <c r="P50" s="8">
        <v>0</v>
      </c>
      <c r="Q50" s="8">
        <v>1</v>
      </c>
      <c r="R50" s="8">
        <v>1</v>
      </c>
      <c r="S50" s="8">
        <v>6</v>
      </c>
      <c r="T50" s="8">
        <v>6</v>
      </c>
      <c r="U50" s="4"/>
      <c r="V50" s="4">
        <f t="shared" si="12"/>
        <v>1</v>
      </c>
      <c r="W50" s="4">
        <f t="shared" si="10"/>
        <v>1</v>
      </c>
      <c r="X50" t="s">
        <v>230</v>
      </c>
      <c r="Y50" s="8">
        <f>100/400*100</f>
        <v>25</v>
      </c>
      <c r="Z50" s="8">
        <f>100/400*100</f>
        <v>25</v>
      </c>
      <c r="AA50" s="8">
        <f>100/400*100</f>
        <v>25</v>
      </c>
      <c r="AB50" s="8">
        <f>100/400*100</f>
        <v>25</v>
      </c>
      <c r="AC50" s="8">
        <v>0</v>
      </c>
      <c r="AD50" s="8">
        <v>0</v>
      </c>
      <c r="AE50" s="8"/>
      <c r="AF50" s="8"/>
      <c r="AG50" s="8"/>
      <c r="AH50" s="11"/>
      <c r="AI50" s="11"/>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row>
    <row r="51" spans="1:202" x14ac:dyDescent="0.2">
      <c r="A51" s="15">
        <v>82</v>
      </c>
      <c r="B51" t="s">
        <v>224</v>
      </c>
      <c r="C51" s="15" t="s">
        <v>772</v>
      </c>
      <c r="D51" s="15" t="s">
        <v>633</v>
      </c>
      <c r="E51" t="s">
        <v>227</v>
      </c>
      <c r="F51" s="15" t="s">
        <v>204</v>
      </c>
      <c r="G51" s="15">
        <v>2015</v>
      </c>
      <c r="H51" s="15">
        <v>2015</v>
      </c>
      <c r="I51">
        <f t="shared" si="13"/>
        <v>0</v>
      </c>
      <c r="J51" s="15" t="s">
        <v>205</v>
      </c>
      <c r="K51" t="s">
        <v>206</v>
      </c>
      <c r="L51" s="15" t="s">
        <v>423</v>
      </c>
      <c r="M51" s="15" t="s">
        <v>511</v>
      </c>
      <c r="N51" s="15" t="s">
        <v>773</v>
      </c>
      <c r="O51" s="15">
        <v>100</v>
      </c>
      <c r="P51" s="15">
        <v>100</v>
      </c>
      <c r="Q51" s="15">
        <v>250</v>
      </c>
      <c r="R51" s="15">
        <v>250</v>
      </c>
      <c r="S51" s="15">
        <v>1000</v>
      </c>
      <c r="T51" s="15">
        <v>1000</v>
      </c>
      <c r="U51" s="4">
        <f>P51/O51</f>
        <v>1</v>
      </c>
      <c r="V51" s="4">
        <f t="shared" si="12"/>
        <v>1</v>
      </c>
      <c r="W51" s="4">
        <f t="shared" si="10"/>
        <v>1</v>
      </c>
      <c r="X51" t="s">
        <v>513</v>
      </c>
      <c r="Y51" s="15">
        <v>40</v>
      </c>
      <c r="Z51" s="15">
        <v>30</v>
      </c>
      <c r="AA51" s="15">
        <v>10</v>
      </c>
      <c r="AB51" s="15">
        <v>10</v>
      </c>
      <c r="AC51" s="15">
        <v>5</v>
      </c>
      <c r="AD51" s="15">
        <v>5</v>
      </c>
      <c r="AE51" s="15" t="s">
        <v>774</v>
      </c>
      <c r="AF51" t="s">
        <v>296</v>
      </c>
      <c r="AG51" s="15" t="s">
        <v>775</v>
      </c>
      <c r="AH51" s="16">
        <v>41821</v>
      </c>
      <c r="AI51" s="16">
        <v>42186</v>
      </c>
      <c r="AJ51" s="15"/>
      <c r="AK51" s="15" t="s">
        <v>298</v>
      </c>
      <c r="AL51" s="15" t="s">
        <v>776</v>
      </c>
      <c r="AM51" s="15"/>
      <c r="AN51" s="15"/>
      <c r="AO51" s="15"/>
      <c r="AP51" s="15" t="s">
        <v>262</v>
      </c>
      <c r="AQ51" s="15" t="s">
        <v>263</v>
      </c>
      <c r="AR51" s="15"/>
      <c r="AS51" s="15"/>
      <c r="AT51" s="15" t="s">
        <v>313</v>
      </c>
      <c r="AU51" s="15"/>
      <c r="AV51" s="15"/>
      <c r="AW51" s="15"/>
      <c r="AX51" s="15" t="s">
        <v>266</v>
      </c>
      <c r="AY51" s="15"/>
      <c r="AZ51" s="15" t="s">
        <v>518</v>
      </c>
      <c r="BA51" s="15"/>
      <c r="BB51" s="15" t="s">
        <v>412</v>
      </c>
      <c r="BC51" s="15" t="s">
        <v>777</v>
      </c>
      <c r="BD51" s="15" t="s">
        <v>302</v>
      </c>
      <c r="BE51" s="15" t="s">
        <v>271</v>
      </c>
      <c r="BF51" s="15" t="s">
        <v>778</v>
      </c>
      <c r="BG51" s="15"/>
      <c r="BH51" s="15"/>
      <c r="BI51" s="15" t="s">
        <v>272</v>
      </c>
      <c r="BJ51" s="15" t="s">
        <v>273</v>
      </c>
      <c r="BK51" s="15"/>
      <c r="BL51" s="15"/>
      <c r="BM51" s="15" t="s">
        <v>245</v>
      </c>
      <c r="BN51" s="15" t="s">
        <v>245</v>
      </c>
      <c r="BO51" s="15" t="s">
        <v>245</v>
      </c>
      <c r="BP51" s="15" t="s">
        <v>245</v>
      </c>
      <c r="BQ51" s="15" t="s">
        <v>245</v>
      </c>
      <c r="BR51" s="15" t="s">
        <v>779</v>
      </c>
      <c r="BS51" s="15"/>
      <c r="BT51" s="15" t="s">
        <v>245</v>
      </c>
      <c r="BU51" s="15" t="s">
        <v>245</v>
      </c>
      <c r="BV51" s="15" t="s">
        <v>245</v>
      </c>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row>
    <row r="52" spans="1:202" x14ac:dyDescent="0.2">
      <c r="A52" s="8">
        <v>85</v>
      </c>
      <c r="B52" t="s">
        <v>224</v>
      </c>
      <c r="C52" s="8" t="s">
        <v>780</v>
      </c>
      <c r="D52" s="8" t="s">
        <v>224</v>
      </c>
      <c r="E52" t="s">
        <v>227</v>
      </c>
      <c r="F52" t="s">
        <v>227</v>
      </c>
      <c r="G52" s="8">
        <v>2015</v>
      </c>
      <c r="H52" s="8">
        <v>2017</v>
      </c>
      <c r="I52">
        <f t="shared" si="13"/>
        <v>2</v>
      </c>
      <c r="J52" s="8" t="s">
        <v>205</v>
      </c>
      <c r="K52" t="s">
        <v>206</v>
      </c>
      <c r="L52" s="8" t="s">
        <v>228</v>
      </c>
      <c r="M52" s="8" t="s">
        <v>464</v>
      </c>
      <c r="N52" s="8"/>
      <c r="O52" s="8">
        <v>3</v>
      </c>
      <c r="P52" s="8">
        <v>1</v>
      </c>
      <c r="Q52" s="8">
        <v>5</v>
      </c>
      <c r="R52" s="8">
        <v>3</v>
      </c>
      <c r="S52" s="8">
        <v>8</v>
      </c>
      <c r="T52" s="8">
        <v>4</v>
      </c>
      <c r="U52" s="4">
        <f>P52/O52</f>
        <v>0.33333333333333331</v>
      </c>
      <c r="V52" s="4">
        <f t="shared" si="12"/>
        <v>0.6</v>
      </c>
      <c r="W52" s="4">
        <f t="shared" si="10"/>
        <v>0.5</v>
      </c>
      <c r="X52" t="s">
        <v>230</v>
      </c>
      <c r="Y52" s="5">
        <f>59/99*100</f>
        <v>59.595959595959592</v>
      </c>
      <c r="Z52" s="5">
        <f>5/99*100</f>
        <v>5.0505050505050502</v>
      </c>
      <c r="AA52" s="5">
        <f>20/99*100</f>
        <v>20.202020202020201</v>
      </c>
      <c r="AB52" s="5">
        <f>10/99*100</f>
        <v>10.1010101010101</v>
      </c>
      <c r="AC52" s="5">
        <f>5/99*100</f>
        <v>5.0505050505050502</v>
      </c>
      <c r="AD52" s="5">
        <v>0</v>
      </c>
      <c r="AE52" s="8"/>
      <c r="AF52" s="8"/>
      <c r="AG52" s="8"/>
      <c r="AH52" s="11"/>
      <c r="AI52" s="11"/>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row>
    <row r="53" spans="1:202" x14ac:dyDescent="0.2">
      <c r="A53" s="8">
        <v>96</v>
      </c>
      <c r="B53" s="8" t="s">
        <v>781</v>
      </c>
      <c r="C53" s="8" t="s">
        <v>782</v>
      </c>
      <c r="D53" s="8" t="s">
        <v>781</v>
      </c>
      <c r="E53" t="s">
        <v>204</v>
      </c>
      <c r="F53" t="s">
        <v>204</v>
      </c>
      <c r="G53" s="8">
        <v>2017</v>
      </c>
      <c r="H53" s="8">
        <v>2018</v>
      </c>
      <c r="I53">
        <f t="shared" si="13"/>
        <v>1</v>
      </c>
      <c r="J53" s="8" t="s">
        <v>205</v>
      </c>
      <c r="K53" t="s">
        <v>206</v>
      </c>
      <c r="L53" s="8" t="s">
        <v>286</v>
      </c>
      <c r="M53" s="8" t="s">
        <v>237</v>
      </c>
      <c r="N53" s="8" t="s">
        <v>783</v>
      </c>
      <c r="O53" s="3"/>
      <c r="P53" s="3"/>
      <c r="Q53" s="8">
        <v>10</v>
      </c>
      <c r="R53" s="8">
        <v>8</v>
      </c>
      <c r="S53" s="8">
        <v>10</v>
      </c>
      <c r="T53" s="8">
        <v>8</v>
      </c>
      <c r="U53" s="4"/>
      <c r="V53" s="4">
        <f t="shared" si="12"/>
        <v>0.8</v>
      </c>
      <c r="W53" s="4">
        <f t="shared" si="10"/>
        <v>0.8</v>
      </c>
      <c r="X53" t="s">
        <v>230</v>
      </c>
      <c r="Y53" s="8">
        <v>65</v>
      </c>
      <c r="Z53" s="8">
        <v>5</v>
      </c>
      <c r="AA53" s="8">
        <v>30</v>
      </c>
      <c r="AB53" s="8">
        <v>0</v>
      </c>
      <c r="AC53" s="8">
        <v>0</v>
      </c>
      <c r="AD53" s="8">
        <v>0</v>
      </c>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row>
    <row r="54" spans="1:202" x14ac:dyDescent="0.2">
      <c r="A54" s="8">
        <v>99</v>
      </c>
      <c r="B54" t="s">
        <v>224</v>
      </c>
      <c r="C54" s="8" t="s">
        <v>784</v>
      </c>
      <c r="D54" s="8" t="s">
        <v>224</v>
      </c>
      <c r="E54" t="s">
        <v>227</v>
      </c>
      <c r="F54" t="s">
        <v>227</v>
      </c>
      <c r="G54" s="3">
        <v>2016</v>
      </c>
      <c r="H54" s="8">
        <v>2017</v>
      </c>
      <c r="I54">
        <f t="shared" si="13"/>
        <v>1</v>
      </c>
      <c r="J54" s="8" t="s">
        <v>205</v>
      </c>
      <c r="K54" t="s">
        <v>206</v>
      </c>
      <c r="L54" s="8" t="s">
        <v>207</v>
      </c>
      <c r="M54" s="8" t="s">
        <v>375</v>
      </c>
      <c r="N54" s="8"/>
      <c r="O54" s="8">
        <v>4</v>
      </c>
      <c r="P54" s="8">
        <v>4</v>
      </c>
      <c r="Q54" s="8">
        <v>7</v>
      </c>
      <c r="R54" s="8">
        <v>7</v>
      </c>
      <c r="S54" s="8">
        <v>10</v>
      </c>
      <c r="T54" s="8">
        <v>10</v>
      </c>
      <c r="U54" s="4">
        <f>P54/O54</f>
        <v>1</v>
      </c>
      <c r="V54" s="4">
        <f t="shared" si="12"/>
        <v>1</v>
      </c>
      <c r="W54" s="4">
        <f t="shared" si="10"/>
        <v>1</v>
      </c>
      <c r="X54" t="s">
        <v>230</v>
      </c>
      <c r="Y54" s="8">
        <v>30</v>
      </c>
      <c r="Z54" s="8">
        <v>30</v>
      </c>
      <c r="AA54" s="8">
        <v>10</v>
      </c>
      <c r="AB54" s="8">
        <v>10</v>
      </c>
      <c r="AC54" s="8">
        <v>5</v>
      </c>
      <c r="AD54" s="8">
        <v>15</v>
      </c>
      <c r="AE54" s="8" t="s">
        <v>366</v>
      </c>
      <c r="AF54" s="8"/>
      <c r="AG54" s="8"/>
      <c r="AH54" s="11"/>
      <c r="AI54" s="11"/>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row>
    <row r="55" spans="1:202" x14ac:dyDescent="0.2">
      <c r="A55" s="8">
        <v>101</v>
      </c>
      <c r="B55" s="8" t="s">
        <v>674</v>
      </c>
      <c r="C55" s="8" t="s">
        <v>785</v>
      </c>
      <c r="D55" s="8" t="s">
        <v>674</v>
      </c>
      <c r="E55" t="s">
        <v>204</v>
      </c>
      <c r="F55" t="s">
        <v>204</v>
      </c>
      <c r="G55" s="8">
        <v>2015</v>
      </c>
      <c r="H55" s="8">
        <v>2015</v>
      </c>
      <c r="I55">
        <f t="shared" si="13"/>
        <v>0</v>
      </c>
      <c r="J55" s="8" t="s">
        <v>285</v>
      </c>
      <c r="K55" t="s">
        <v>206</v>
      </c>
      <c r="L55" s="8" t="s">
        <v>423</v>
      </c>
      <c r="M55" s="8" t="s">
        <v>786</v>
      </c>
      <c r="N55" s="8"/>
      <c r="O55" s="8">
        <v>10</v>
      </c>
      <c r="P55" s="8"/>
      <c r="Q55" s="8">
        <v>10</v>
      </c>
      <c r="R55" s="8"/>
      <c r="S55" s="8">
        <v>10</v>
      </c>
      <c r="T55" s="8"/>
      <c r="U55" s="4">
        <f>P55/O55</f>
        <v>0</v>
      </c>
      <c r="V55" s="4">
        <f t="shared" si="12"/>
        <v>0</v>
      </c>
      <c r="W55" s="4">
        <f t="shared" si="10"/>
        <v>0</v>
      </c>
      <c r="X55" t="s">
        <v>513</v>
      </c>
      <c r="Y55" s="5">
        <f>63/288*100</f>
        <v>21.875</v>
      </c>
      <c r="Z55" s="5">
        <f>61/288*100</f>
        <v>21.180555555555554</v>
      </c>
      <c r="AA55" s="5">
        <f>50/288*100</f>
        <v>17.361111111111111</v>
      </c>
      <c r="AB55" s="5">
        <f>43/288*100</f>
        <v>14.930555555555555</v>
      </c>
      <c r="AC55" s="5">
        <f>38/288*100</f>
        <v>13.194444444444445</v>
      </c>
      <c r="AD55" s="5">
        <f>33/288*100</f>
        <v>11.458333333333332</v>
      </c>
      <c r="AE55" s="8"/>
      <c r="AF55" s="8"/>
      <c r="AG55" s="8"/>
      <c r="AH55" s="11"/>
      <c r="AI55" s="11"/>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row>
    <row r="56" spans="1:202" x14ac:dyDescent="0.2">
      <c r="A56" s="8">
        <v>107</v>
      </c>
      <c r="B56" s="8" t="s">
        <v>787</v>
      </c>
      <c r="C56" s="8" t="s">
        <v>788</v>
      </c>
      <c r="D56" s="8" t="s">
        <v>633</v>
      </c>
      <c r="E56" t="s">
        <v>204</v>
      </c>
      <c r="F56" t="s">
        <v>204</v>
      </c>
      <c r="G56" s="3">
        <v>2017</v>
      </c>
      <c r="H56" s="8">
        <v>2017</v>
      </c>
      <c r="I56">
        <f t="shared" si="13"/>
        <v>0</v>
      </c>
      <c r="J56" s="8" t="s">
        <v>285</v>
      </c>
      <c r="K56" t="s">
        <v>206</v>
      </c>
      <c r="L56" s="8" t="s">
        <v>423</v>
      </c>
      <c r="M56" s="8" t="s">
        <v>295</v>
      </c>
      <c r="N56" s="8"/>
      <c r="O56" s="3"/>
      <c r="P56" s="3"/>
      <c r="Q56" s="8">
        <v>3</v>
      </c>
      <c r="R56" s="8">
        <v>3</v>
      </c>
      <c r="S56" s="8">
        <v>5</v>
      </c>
      <c r="T56" s="8">
        <v>5</v>
      </c>
      <c r="U56" s="4"/>
      <c r="V56" s="4">
        <f t="shared" si="12"/>
        <v>1</v>
      </c>
      <c r="W56" s="4">
        <f t="shared" si="10"/>
        <v>1</v>
      </c>
      <c r="X56" t="s">
        <v>230</v>
      </c>
      <c r="Y56" s="5">
        <f>20/31*100</f>
        <v>64.516129032258064</v>
      </c>
      <c r="Z56" s="5">
        <f>10/31*100</f>
        <v>32.258064516129032</v>
      </c>
      <c r="AA56" s="5">
        <v>0</v>
      </c>
      <c r="AB56" s="5">
        <v>0</v>
      </c>
      <c r="AC56" s="5">
        <f>1/31*100</f>
        <v>3.225806451612903</v>
      </c>
      <c r="AD56" s="5">
        <v>0</v>
      </c>
      <c r="AE56" s="8"/>
      <c r="AF56" s="8"/>
      <c r="AG56" s="8"/>
      <c r="AH56" s="11"/>
      <c r="AI56" s="11"/>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row>
    <row r="57" spans="1:202" x14ac:dyDescent="0.2">
      <c r="A57" s="8">
        <v>117</v>
      </c>
      <c r="B57" s="8" t="s">
        <v>633</v>
      </c>
      <c r="C57" s="8" t="s">
        <v>789</v>
      </c>
      <c r="D57" s="8" t="s">
        <v>633</v>
      </c>
      <c r="E57" t="s">
        <v>204</v>
      </c>
      <c r="F57" t="s">
        <v>204</v>
      </c>
      <c r="G57" s="3"/>
      <c r="H57" s="8">
        <v>2018</v>
      </c>
      <c r="J57" s="8" t="s">
        <v>285</v>
      </c>
      <c r="K57" t="s">
        <v>206</v>
      </c>
      <c r="L57" s="8" t="s">
        <v>286</v>
      </c>
      <c r="M57" s="8" t="s">
        <v>365</v>
      </c>
      <c r="N57" s="8"/>
      <c r="O57" s="8"/>
      <c r="P57" s="8"/>
      <c r="Q57" s="8"/>
      <c r="R57" s="8"/>
      <c r="S57" s="8"/>
      <c r="T57" s="8"/>
      <c r="U57" s="4"/>
      <c r="V57" s="4"/>
      <c r="W57" s="4"/>
      <c r="X57" s="8"/>
      <c r="Y57" s="5">
        <f>51/101*100</f>
        <v>50.495049504950494</v>
      </c>
      <c r="Z57" s="5">
        <f>50/101*100</f>
        <v>49.504950495049506</v>
      </c>
      <c r="AA57" s="5">
        <v>0</v>
      </c>
      <c r="AB57" s="5">
        <v>0</v>
      </c>
      <c r="AC57" s="5">
        <v>0</v>
      </c>
      <c r="AD57" s="5">
        <v>0</v>
      </c>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row>
    <row r="58" spans="1:202" x14ac:dyDescent="0.2">
      <c r="A58">
        <v>118</v>
      </c>
      <c r="B58" t="s">
        <v>202</v>
      </c>
      <c r="C58" t="s">
        <v>203</v>
      </c>
      <c r="D58" t="s">
        <v>202</v>
      </c>
      <c r="E58" t="s">
        <v>204</v>
      </c>
      <c r="F58" t="s">
        <v>204</v>
      </c>
      <c r="G58" s="3">
        <v>2018</v>
      </c>
      <c r="H58" s="3">
        <v>2018</v>
      </c>
      <c r="I58">
        <f>H58-G58</f>
        <v>0</v>
      </c>
      <c r="J58" s="3" t="s">
        <v>205</v>
      </c>
      <c r="K58" t="s">
        <v>206</v>
      </c>
      <c r="L58" t="s">
        <v>286</v>
      </c>
      <c r="M58" t="s">
        <v>620</v>
      </c>
      <c r="O58" s="3"/>
      <c r="P58" s="3"/>
      <c r="Q58" s="3"/>
      <c r="R58" s="3"/>
      <c r="S58">
        <v>6</v>
      </c>
      <c r="T58">
        <v>4</v>
      </c>
      <c r="U58" s="4"/>
      <c r="V58" s="4"/>
      <c r="W58" s="4">
        <f>T58/S58</f>
        <v>0.66666666666666663</v>
      </c>
      <c r="X58" t="s">
        <v>230</v>
      </c>
      <c r="Y58" s="5">
        <f>4/6*100</f>
        <v>66.666666666666657</v>
      </c>
      <c r="Z58" s="5">
        <f>1/6*100</f>
        <v>16.666666666666664</v>
      </c>
      <c r="AA58" s="5">
        <f>0/6*100</f>
        <v>0</v>
      </c>
      <c r="AB58" s="5">
        <v>0</v>
      </c>
      <c r="AC58" s="5">
        <v>0</v>
      </c>
      <c r="AD58" s="5">
        <f>1/6*100</f>
        <v>16.666666666666664</v>
      </c>
      <c r="AE58" t="s">
        <v>790</v>
      </c>
      <c r="AF58" t="s">
        <v>231</v>
      </c>
      <c r="CC58" t="s">
        <v>791</v>
      </c>
      <c r="CD58" s="6">
        <v>43221</v>
      </c>
      <c r="CE58" s="6">
        <v>43435</v>
      </c>
      <c r="CF58" t="s">
        <v>322</v>
      </c>
      <c r="CJ58" t="s">
        <v>335</v>
      </c>
      <c r="CP58" t="s">
        <v>290</v>
      </c>
      <c r="DP58" t="s">
        <v>792</v>
      </c>
      <c r="DQ58" t="s">
        <v>556</v>
      </c>
      <c r="DS58" t="s">
        <v>338</v>
      </c>
      <c r="DT58" t="s">
        <v>216</v>
      </c>
      <c r="DV58" t="s">
        <v>793</v>
      </c>
      <c r="GA58" s="10">
        <f t="shared" ref="GA58:GN58" si="14">AVERAGE(GA2:GA46)</f>
        <v>4.1463414634146343</v>
      </c>
      <c r="GB58" s="10">
        <f t="shared" si="14"/>
        <v>4.2093023255813957</v>
      </c>
      <c r="GC58" s="10">
        <f t="shared" si="14"/>
        <v>4.166666666666667</v>
      </c>
      <c r="GD58" s="10">
        <f t="shared" si="14"/>
        <v>2.558139534883721</v>
      </c>
      <c r="GE58" s="10">
        <f t="shared" si="14"/>
        <v>3.7209302325581395</v>
      </c>
      <c r="GF58" s="10">
        <f t="shared" si="14"/>
        <v>2.7727272727272729</v>
      </c>
      <c r="GG58" s="10">
        <f t="shared" si="14"/>
        <v>3.7727272727272729</v>
      </c>
      <c r="GH58" s="10">
        <f t="shared" si="14"/>
        <v>3.6136363636363638</v>
      </c>
      <c r="GI58" s="10">
        <f t="shared" si="14"/>
        <v>3.1363636363636362</v>
      </c>
      <c r="GJ58" s="10">
        <f t="shared" si="14"/>
        <v>3.4090909090909092</v>
      </c>
      <c r="GK58" s="10">
        <f t="shared" si="14"/>
        <v>3.1162790697674421</v>
      </c>
      <c r="GL58" s="10">
        <f t="shared" si="14"/>
        <v>3.5</v>
      </c>
      <c r="GM58" s="10">
        <f t="shared" si="14"/>
        <v>3.5454545454545454</v>
      </c>
      <c r="GN58" s="10">
        <f t="shared" si="14"/>
        <v>3.9090909090909092</v>
      </c>
    </row>
    <row r="59" spans="1:202" s="9" customFormat="1" x14ac:dyDescent="0.2">
      <c r="A59" s="9">
        <v>119</v>
      </c>
      <c r="B59" s="9" t="s">
        <v>224</v>
      </c>
      <c r="C59" s="9" t="s">
        <v>794</v>
      </c>
      <c r="D59" s="9" t="s">
        <v>224</v>
      </c>
      <c r="E59" s="9" t="s">
        <v>227</v>
      </c>
      <c r="F59" s="9" t="s">
        <v>227</v>
      </c>
      <c r="G59" s="9" t="s">
        <v>795</v>
      </c>
      <c r="H59" s="9">
        <v>2017</v>
      </c>
      <c r="I59"/>
      <c r="J59" s="9" t="s">
        <v>205</v>
      </c>
      <c r="K59" t="s">
        <v>206</v>
      </c>
      <c r="L59" s="9" t="s">
        <v>333</v>
      </c>
      <c r="O59" s="9">
        <v>0</v>
      </c>
      <c r="P59" s="9">
        <v>0</v>
      </c>
      <c r="Q59" s="9">
        <v>3</v>
      </c>
      <c r="R59" s="9">
        <v>3</v>
      </c>
      <c r="S59" s="9">
        <v>6</v>
      </c>
      <c r="T59" s="9">
        <v>4</v>
      </c>
      <c r="U59" s="4"/>
      <c r="V59" s="4">
        <f>R59/Q59</f>
        <v>1</v>
      </c>
      <c r="W59" s="4">
        <f>T59/S59</f>
        <v>0.66666666666666663</v>
      </c>
      <c r="X59" t="s">
        <v>230</v>
      </c>
      <c r="CC59" s="9" t="s">
        <v>796</v>
      </c>
      <c r="CD59" s="17">
        <v>42552</v>
      </c>
      <c r="CE59" s="17">
        <v>43282</v>
      </c>
      <c r="CR59" s="9" t="s">
        <v>378</v>
      </c>
      <c r="DQ59" s="9" t="s">
        <v>797</v>
      </c>
      <c r="EY59" s="9" t="s">
        <v>274</v>
      </c>
      <c r="EZ59" s="9" t="s">
        <v>798</v>
      </c>
      <c r="FH59" s="9" t="s">
        <v>274</v>
      </c>
      <c r="FI59" s="9" t="s">
        <v>799</v>
      </c>
      <c r="FS59" s="9">
        <v>5</v>
      </c>
      <c r="FU59" s="9">
        <v>3</v>
      </c>
      <c r="GA59" s="9">
        <v>4</v>
      </c>
      <c r="GB59" s="9">
        <v>5</v>
      </c>
      <c r="GC59" s="9">
        <v>5</v>
      </c>
      <c r="GD59" s="9">
        <v>4</v>
      </c>
      <c r="GE59" s="9">
        <v>3</v>
      </c>
      <c r="GF59" s="9">
        <v>4</v>
      </c>
      <c r="GG59" s="9">
        <v>3</v>
      </c>
      <c r="GH59" s="9">
        <v>2</v>
      </c>
      <c r="GI59" s="9">
        <v>2</v>
      </c>
      <c r="GJ59" s="9">
        <v>3</v>
      </c>
      <c r="GK59" s="9">
        <v>3</v>
      </c>
      <c r="GL59" s="9">
        <v>2</v>
      </c>
      <c r="GM59" s="9">
        <v>2</v>
      </c>
      <c r="GN59" s="9">
        <v>5</v>
      </c>
    </row>
    <row r="60" spans="1:202" s="9" customFormat="1" x14ac:dyDescent="0.2">
      <c r="A60" s="9">
        <v>121</v>
      </c>
      <c r="B60" s="9" t="s">
        <v>579</v>
      </c>
      <c r="C60" s="9" t="s">
        <v>800</v>
      </c>
      <c r="D60" s="9" t="s">
        <v>579</v>
      </c>
      <c r="E60" s="9" t="s">
        <v>284</v>
      </c>
      <c r="F60" s="9" t="s">
        <v>284</v>
      </c>
      <c r="G60" s="9">
        <v>2013</v>
      </c>
      <c r="H60" s="9">
        <v>2015</v>
      </c>
      <c r="I60">
        <f>H60-G60</f>
        <v>2</v>
      </c>
      <c r="J60" s="9" t="s">
        <v>205</v>
      </c>
      <c r="K60" t="s">
        <v>206</v>
      </c>
      <c r="L60" s="9" t="s">
        <v>801</v>
      </c>
      <c r="O60" s="9">
        <v>5</v>
      </c>
      <c r="P60" s="9">
        <v>3</v>
      </c>
      <c r="Q60" s="9">
        <v>10</v>
      </c>
      <c r="R60" s="9">
        <v>7</v>
      </c>
      <c r="S60" s="9">
        <v>14</v>
      </c>
      <c r="T60" s="9">
        <v>9</v>
      </c>
      <c r="U60" s="4">
        <f>P60/O60</f>
        <v>0.6</v>
      </c>
      <c r="V60" s="4">
        <f>R60/Q60</f>
        <v>0.7</v>
      </c>
      <c r="W60" s="4">
        <f>T60/S60</f>
        <v>0.6428571428571429</v>
      </c>
      <c r="X60" t="s">
        <v>230</v>
      </c>
    </row>
    <row r="61" spans="1:202" s="9" customFormat="1" x14ac:dyDescent="0.2">
      <c r="A61" s="9">
        <v>122</v>
      </c>
      <c r="B61" s="9" t="s">
        <v>787</v>
      </c>
      <c r="C61" s="9" t="s">
        <v>802</v>
      </c>
      <c r="D61" s="9" t="s">
        <v>787</v>
      </c>
      <c r="E61" s="9" t="s">
        <v>204</v>
      </c>
      <c r="F61" s="9" t="s">
        <v>204</v>
      </c>
      <c r="G61" s="9">
        <v>2015</v>
      </c>
      <c r="H61" s="9">
        <v>2017</v>
      </c>
      <c r="I61">
        <f>H61-G61</f>
        <v>2</v>
      </c>
      <c r="J61" s="9" t="s">
        <v>285</v>
      </c>
      <c r="K61" t="s">
        <v>206</v>
      </c>
      <c r="L61" s="9" t="s">
        <v>333</v>
      </c>
      <c r="O61" s="9">
        <v>1460</v>
      </c>
      <c r="P61" s="9">
        <v>4</v>
      </c>
      <c r="Q61" s="9">
        <v>1468</v>
      </c>
      <c r="R61" s="9">
        <v>4</v>
      </c>
      <c r="S61" s="9">
        <v>1474</v>
      </c>
      <c r="T61" s="9">
        <v>8</v>
      </c>
      <c r="U61" s="4">
        <f>P61/O61</f>
        <v>2.7397260273972603E-3</v>
      </c>
      <c r="V61" s="4">
        <f>R61/Q61</f>
        <v>2.7247956403269754E-3</v>
      </c>
      <c r="W61" s="4">
        <f>T61/S61</f>
        <v>5.4274084124830389E-3</v>
      </c>
      <c r="X61" t="s">
        <v>230</v>
      </c>
      <c r="CD61" s="9">
        <v>2015</v>
      </c>
      <c r="CE61" s="9">
        <v>2017</v>
      </c>
      <c r="CM61" s="9" t="s">
        <v>378</v>
      </c>
      <c r="CP61" s="9" t="s">
        <v>378</v>
      </c>
      <c r="DB61" s="9" t="s">
        <v>378</v>
      </c>
      <c r="DQ61" s="9" t="s">
        <v>556</v>
      </c>
    </row>
    <row r="1048574" spans="11:11" x14ac:dyDescent="0.2">
      <c r="K1048574" t="s">
        <v>206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2019-03-24T22:38:24Z</dcterms:created>
  <dcterms:modified xsi:type="dcterms:W3CDTF">2019-03-24T23:42:36Z</dcterms:modified>
</cp:coreProperties>
</file>