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b907a774605ac934/Desktop/"/>
    </mc:Choice>
  </mc:AlternateContent>
  <xr:revisionPtr revIDLastSave="0" documentId="8_{29B2F108-B240-444E-9CB9-BF3AAEA12133}" xr6:coauthVersionLast="47" xr6:coauthVersionMax="47" xr10:uidLastSave="{00000000-0000-0000-0000-000000000000}"/>
  <bookViews>
    <workbookView xWindow="-120" yWindow="-120" windowWidth="20730" windowHeight="11160" xr2:uid="{9F367FA8-1B5D-430E-8944-3EFFBAB1587A}"/>
  </bookViews>
  <sheets>
    <sheet name="Sheet1" sheetId="1" r:id="rId1"/>
    <sheet name="Sheet2" sheetId="2" r:id="rId2"/>
    <sheet name="Sharon" sheetId="3" r:id="rId3"/>
    <sheet name="IDGM"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7" i="3" l="1"/>
  <c r="F48" i="3" s="1"/>
  <c r="F49" i="3" s="1"/>
  <c r="E21" i="3"/>
  <c r="E44" i="3"/>
  <c r="H28" i="4"/>
  <c r="G16" i="4"/>
  <c r="H44" i="4" s="1"/>
  <c r="D100" i="4"/>
  <c r="E87" i="4"/>
  <c r="F87" i="4" s="1"/>
  <c r="E100" i="4" s="1"/>
  <c r="F100" i="4" s="1"/>
  <c r="G100" i="4" s="1"/>
  <c r="I100" i="4" s="1"/>
  <c r="C75" i="4"/>
  <c r="C74" i="4"/>
  <c r="C73" i="4"/>
  <c r="C72" i="4"/>
  <c r="C71" i="4"/>
  <c r="C70" i="4"/>
  <c r="C69" i="4"/>
  <c r="C68" i="4"/>
  <c r="C67" i="4"/>
  <c r="E54" i="4"/>
  <c r="F54" i="4" s="1"/>
  <c r="E49" i="4"/>
  <c r="E48" i="4"/>
  <c r="E47" i="4"/>
  <c r="E46" i="4"/>
  <c r="E45" i="4"/>
  <c r="E44" i="4"/>
  <c r="E43" i="4"/>
  <c r="E42" i="4"/>
  <c r="H40" i="4"/>
  <c r="G40" i="4"/>
  <c r="H39" i="4"/>
  <c r="G39" i="4"/>
  <c r="D38" i="4"/>
  <c r="E50" i="4" s="1"/>
  <c r="C67" i="3"/>
  <c r="C66" i="3"/>
  <c r="D67" i="3" s="1"/>
  <c r="C91" i="3" s="1"/>
  <c r="D91" i="3" s="1"/>
  <c r="C104" i="3" s="1"/>
  <c r="C65" i="3"/>
  <c r="C64" i="3"/>
  <c r="D63" i="3"/>
  <c r="C87" i="3" s="1"/>
  <c r="D87" i="3" s="1"/>
  <c r="C100" i="3" s="1"/>
  <c r="C63" i="3"/>
  <c r="D64" i="3" s="1"/>
  <c r="C88" i="3" s="1"/>
  <c r="D88" i="3" s="1"/>
  <c r="C101" i="3" s="1"/>
  <c r="C62" i="3"/>
  <c r="C61" i="3"/>
  <c r="D62" i="3" s="1"/>
  <c r="C86" i="3" s="1"/>
  <c r="D86" i="3" s="1"/>
  <c r="C99" i="3" s="1"/>
  <c r="C60" i="3"/>
  <c r="D61" i="3" s="1"/>
  <c r="C85" i="3" s="1"/>
  <c r="D85" i="3" s="1"/>
  <c r="C98" i="3" s="1"/>
  <c r="D59" i="3"/>
  <c r="B83" i="3" s="1"/>
  <c r="C59" i="3"/>
  <c r="G55" i="3"/>
  <c r="C55" i="3"/>
  <c r="F45" i="3"/>
  <c r="E45" i="3"/>
  <c r="B43" i="3"/>
  <c r="D42" i="3"/>
  <c r="F42" i="3" s="1"/>
  <c r="G54" i="3" s="1"/>
  <c r="C79" i="3" s="1"/>
  <c r="C42" i="3"/>
  <c r="B54" i="3" s="1"/>
  <c r="D54" i="3" s="1"/>
  <c r="C41" i="3"/>
  <c r="B53" i="3" s="1"/>
  <c r="D53" i="3" s="1"/>
  <c r="D40" i="3"/>
  <c r="F40" i="3" s="1"/>
  <c r="G52" i="3" s="1"/>
  <c r="C77" i="3" s="1"/>
  <c r="C40" i="3"/>
  <c r="B52" i="3" s="1"/>
  <c r="D52" i="3" s="1"/>
  <c r="C39" i="3"/>
  <c r="B51" i="3" s="1"/>
  <c r="D51" i="3" s="1"/>
  <c r="D38" i="3"/>
  <c r="F38" i="3" s="1"/>
  <c r="G50" i="3" s="1"/>
  <c r="C75" i="3" s="1"/>
  <c r="C38" i="3"/>
  <c r="B50" i="3" s="1"/>
  <c r="D50" i="3" s="1"/>
  <c r="C37" i="3"/>
  <c r="B49" i="3" s="1"/>
  <c r="D49" i="3" s="1"/>
  <c r="D36" i="3"/>
  <c r="F36" i="3" s="1"/>
  <c r="G48" i="3" s="1"/>
  <c r="C73" i="3" s="1"/>
  <c r="C36" i="3"/>
  <c r="B48" i="3" s="1"/>
  <c r="D48" i="3" s="1"/>
  <c r="D35" i="3"/>
  <c r="F35" i="3" s="1"/>
  <c r="C35" i="3"/>
  <c r="B47" i="3" s="1"/>
  <c r="D47" i="3" s="1"/>
  <c r="F33" i="3"/>
  <c r="D83" i="3" s="1"/>
  <c r="C96" i="3" s="1"/>
  <c r="E33" i="3"/>
  <c r="K18" i="4"/>
  <c r="K17" i="4"/>
  <c r="K16" i="4"/>
  <c r="K15" i="4"/>
  <c r="K11" i="4"/>
  <c r="K12" i="4" s="1"/>
  <c r="K6" i="4"/>
  <c r="K5" i="4"/>
  <c r="K4" i="4"/>
  <c r="K3" i="4"/>
  <c r="D42" i="4" s="1"/>
  <c r="F42" i="4" s="1"/>
  <c r="K2" i="4"/>
  <c r="Q5" i="4"/>
  <c r="P8" i="4"/>
  <c r="P9" i="4"/>
  <c r="P10" i="4"/>
  <c r="P7" i="4"/>
  <c r="O11" i="4"/>
  <c r="O8" i="4"/>
  <c r="O9" i="4"/>
  <c r="O10" i="4"/>
  <c r="O7" i="4"/>
  <c r="G47" i="3" l="1"/>
  <c r="C72" i="3" s="1"/>
  <c r="G35" i="3"/>
  <c r="G36" i="3" s="1"/>
  <c r="G37" i="3" s="1"/>
  <c r="G38" i="3" s="1"/>
  <c r="G39" i="3" s="1"/>
  <c r="G40" i="3" s="1"/>
  <c r="F50" i="3"/>
  <c r="F51" i="3"/>
  <c r="P12" i="4"/>
  <c r="Q9" i="4" s="1"/>
  <c r="R9" i="4" s="1"/>
  <c r="D66" i="3"/>
  <c r="C90" i="3" s="1"/>
  <c r="D90" i="3" s="1"/>
  <c r="C103" i="3" s="1"/>
  <c r="H45" i="4"/>
  <c r="D37" i="3"/>
  <c r="F37" i="3" s="1"/>
  <c r="G49" i="3" s="1"/>
  <c r="C74" i="3" s="1"/>
  <c r="D41" i="3"/>
  <c r="F41" i="3" s="1"/>
  <c r="G53" i="3" s="1"/>
  <c r="C78" i="3" s="1"/>
  <c r="D65" i="3"/>
  <c r="C89" i="3" s="1"/>
  <c r="D89" i="3" s="1"/>
  <c r="C102" i="3" s="1"/>
  <c r="H42" i="4"/>
  <c r="H46" i="4"/>
  <c r="H47" i="4" s="1"/>
  <c r="H43" i="4"/>
  <c r="D39" i="3"/>
  <c r="F39" i="3" s="1"/>
  <c r="G51" i="3" s="1"/>
  <c r="C76" i="3" s="1"/>
  <c r="C92" i="3"/>
  <c r="D92" i="3" s="1"/>
  <c r="E37" i="4"/>
  <c r="F37" i="4" s="1"/>
  <c r="E36" i="4"/>
  <c r="F36" i="4" s="1"/>
  <c r="E35" i="4"/>
  <c r="F35" i="4" s="1"/>
  <c r="E34" i="4"/>
  <c r="F34" i="4" s="1"/>
  <c r="E33" i="4"/>
  <c r="F33" i="4" s="1"/>
  <c r="E32" i="4"/>
  <c r="F32" i="4" s="1"/>
  <c r="E30" i="4"/>
  <c r="F30" i="4" s="1"/>
  <c r="E31" i="4"/>
  <c r="F31" i="4" s="1"/>
  <c r="F45" i="4"/>
  <c r="D58" i="4" s="1"/>
  <c r="E58" i="4" s="1"/>
  <c r="F49" i="4"/>
  <c r="D62" i="4" s="1"/>
  <c r="E62" i="4" s="1"/>
  <c r="F44" i="4"/>
  <c r="D57" i="4" s="1"/>
  <c r="E57" i="4" s="1"/>
  <c r="F46" i="4"/>
  <c r="D59" i="4" s="1"/>
  <c r="E59" i="4" s="1"/>
  <c r="F48" i="4"/>
  <c r="D61" i="4" s="1"/>
  <c r="E61" i="4" s="1"/>
  <c r="F47" i="4"/>
  <c r="F43" i="4"/>
  <c r="D56" i="4" s="1"/>
  <c r="E56" i="4" s="1"/>
  <c r="D49" i="4"/>
  <c r="D48" i="4"/>
  <c r="D47" i="4"/>
  <c r="D46" i="4"/>
  <c r="D45" i="4"/>
  <c r="D44" i="4"/>
  <c r="D43" i="4"/>
  <c r="D55" i="4"/>
  <c r="E55" i="4" s="1"/>
  <c r="G102" i="3"/>
  <c r="G99" i="3"/>
  <c r="G100" i="3"/>
  <c r="G101" i="3"/>
  <c r="G98" i="3"/>
  <c r="G96" i="3"/>
  <c r="D96" i="3"/>
  <c r="E96" i="3" s="1"/>
  <c r="G103" i="3"/>
  <c r="G104" i="3"/>
  <c r="D60" i="3"/>
  <c r="C84" i="3" s="1"/>
  <c r="D84" i="3" s="1"/>
  <c r="C97" i="3" s="1"/>
  <c r="L3" i="4"/>
  <c r="L4" i="4" s="1"/>
  <c r="K19" i="4"/>
  <c r="G41" i="3" l="1"/>
  <c r="G42" i="3" s="1"/>
  <c r="F54" i="3"/>
  <c r="F53" i="3"/>
  <c r="F52" i="3"/>
  <c r="Q10" i="4"/>
  <c r="R10" i="4" s="1"/>
  <c r="Q11" i="4"/>
  <c r="H48" i="4"/>
  <c r="H49" i="4"/>
  <c r="Q8" i="4"/>
  <c r="R8" i="4" s="1"/>
  <c r="Q7" i="4"/>
  <c r="R7" i="4" s="1"/>
  <c r="F57" i="4"/>
  <c r="E81" i="4" s="1"/>
  <c r="F81" i="4" s="1"/>
  <c r="E94" i="4" s="1"/>
  <c r="H30" i="4"/>
  <c r="I30" i="4" s="1"/>
  <c r="H31" i="4"/>
  <c r="I43" i="4" s="1"/>
  <c r="H35" i="4"/>
  <c r="I47" i="4" s="1"/>
  <c r="E72" i="4" s="1"/>
  <c r="H32" i="4"/>
  <c r="I44" i="4" s="1"/>
  <c r="E69" i="4" s="1"/>
  <c r="H36" i="4"/>
  <c r="I48" i="4" s="1"/>
  <c r="E73" i="4" s="1"/>
  <c r="H33" i="4"/>
  <c r="I45" i="4" s="1"/>
  <c r="H37" i="4"/>
  <c r="I49" i="4" s="1"/>
  <c r="E74" i="4" s="1"/>
  <c r="H34" i="4"/>
  <c r="I46" i="4" s="1"/>
  <c r="E71" i="4" s="1"/>
  <c r="D60" i="4"/>
  <c r="E60" i="4" s="1"/>
  <c r="F61" i="4" s="1"/>
  <c r="E85" i="4" s="1"/>
  <c r="F85" i="4" s="1"/>
  <c r="E98" i="4" s="1"/>
  <c r="F62" i="4"/>
  <c r="E86" i="4" s="1"/>
  <c r="F86" i="4" s="1"/>
  <c r="E99" i="4" s="1"/>
  <c r="L5" i="4"/>
  <c r="F59" i="4"/>
  <c r="E83" i="4" s="1"/>
  <c r="F83" i="4" s="1"/>
  <c r="E96" i="4" s="1"/>
  <c r="F58" i="4"/>
  <c r="E82" i="4" s="1"/>
  <c r="F82" i="4" s="1"/>
  <c r="E95" i="4" s="1"/>
  <c r="F56" i="4"/>
  <c r="E80" i="4" s="1"/>
  <c r="F80" i="4" s="1"/>
  <c r="F55" i="4"/>
  <c r="D79" i="4" s="1"/>
  <c r="F79" i="4" s="1"/>
  <c r="G97" i="3"/>
  <c r="G105" i="3" s="1"/>
  <c r="F99" i="3" s="1"/>
  <c r="L6" i="4"/>
  <c r="R12" i="4" l="1"/>
  <c r="S9" i="4" s="1"/>
  <c r="T9" i="4" s="1"/>
  <c r="U9" i="4" s="1"/>
  <c r="S10" i="4"/>
  <c r="T10" i="4" s="1"/>
  <c r="U10" i="4" s="1"/>
  <c r="L7" i="4" s="1"/>
  <c r="L8" i="4" s="1"/>
  <c r="L9" i="4" s="1"/>
  <c r="L10" i="4" s="1"/>
  <c r="I42" i="4"/>
  <c r="E67" i="4" s="1"/>
  <c r="E93" i="4"/>
  <c r="E92" i="4"/>
  <c r="F92" i="4" s="1"/>
  <c r="G92" i="4" s="1"/>
  <c r="I92" i="4" s="1"/>
  <c r="E70" i="4"/>
  <c r="E68" i="4"/>
  <c r="I31" i="4"/>
  <c r="I32" i="4" s="1"/>
  <c r="I33" i="4" s="1"/>
  <c r="I34" i="4" s="1"/>
  <c r="I35" i="4" s="1"/>
  <c r="I36" i="4" s="1"/>
  <c r="I37" i="4" s="1"/>
  <c r="F60" i="4"/>
  <c r="E84" i="4" s="1"/>
  <c r="F84" i="4" s="1"/>
  <c r="E97" i="4" s="1"/>
  <c r="J21" i="3"/>
  <c r="I4" i="1"/>
  <c r="I6" i="1"/>
  <c r="H7" i="3"/>
  <c r="K8" i="3"/>
  <c r="L8" i="3"/>
  <c r="K11" i="3"/>
  <c r="L11" i="3"/>
  <c r="K13" i="3"/>
  <c r="L13" i="3"/>
  <c r="K14" i="3"/>
  <c r="L7" i="3"/>
  <c r="K7" i="3"/>
  <c r="S8" i="4" l="1"/>
  <c r="T8" i="4" s="1"/>
  <c r="U8" i="4" s="1"/>
  <c r="F88" i="4"/>
  <c r="F89" i="4" s="1"/>
  <c r="L11" i="4"/>
  <c r="L12" i="4"/>
  <c r="L15" i="3"/>
  <c r="M14" i="3" s="1"/>
  <c r="L16" i="4" l="1"/>
  <c r="C4" i="4" s="1"/>
  <c r="G20" i="4"/>
  <c r="M14" i="4"/>
  <c r="L15" i="4" s="1"/>
  <c r="C3" i="4" s="1"/>
  <c r="O14" i="4"/>
  <c r="G19" i="4" s="1"/>
  <c r="L18" i="4"/>
  <c r="C19" i="4" s="1"/>
  <c r="L19" i="4"/>
  <c r="L17" i="4"/>
  <c r="C18" i="4" s="1"/>
  <c r="M7" i="3"/>
  <c r="M8" i="3"/>
  <c r="M11" i="3"/>
  <c r="M13" i="3"/>
  <c r="G23" i="4" l="1"/>
  <c r="C23" i="4"/>
  <c r="N6" i="3"/>
  <c r="H20" i="3"/>
  <c r="H19" i="3"/>
  <c r="H18" i="3"/>
  <c r="H17" i="3"/>
  <c r="H13" i="3"/>
  <c r="H14" i="3" s="1"/>
  <c r="H8" i="3"/>
  <c r="H6" i="3"/>
  <c r="H5" i="3"/>
  <c r="H4" i="3"/>
  <c r="I4" i="3" s="1"/>
  <c r="C24" i="1"/>
  <c r="J5" i="1"/>
  <c r="I5" i="1"/>
  <c r="N5" i="1" s="1"/>
  <c r="J7" i="1"/>
  <c r="I7" i="1"/>
  <c r="J6" i="1"/>
  <c r="J4" i="2"/>
  <c r="J5" i="2"/>
  <c r="J6" i="2"/>
  <c r="J7" i="2"/>
  <c r="J8" i="2"/>
  <c r="J9" i="2"/>
  <c r="J10" i="2"/>
  <c r="J3" i="2"/>
  <c r="J14" i="1"/>
  <c r="I14" i="1"/>
  <c r="J13" i="1"/>
  <c r="I13" i="1"/>
  <c r="I16" i="1"/>
  <c r="J16" i="1"/>
  <c r="J15" i="1"/>
  <c r="I15" i="1"/>
  <c r="J9" i="1"/>
  <c r="J10" i="1" s="1"/>
  <c r="I9" i="1"/>
  <c r="I10" i="1" s="1"/>
  <c r="J4" i="1"/>
  <c r="J3" i="1"/>
  <c r="I2" i="2" s="1"/>
  <c r="I3" i="1"/>
  <c r="G24" i="1"/>
  <c r="D24" i="1"/>
  <c r="I5" i="3" l="1"/>
  <c r="I8" i="3" s="1"/>
  <c r="O5" i="1"/>
  <c r="O7" i="1" s="1"/>
  <c r="N7" i="1"/>
  <c r="N7" i="3"/>
  <c r="N8" i="3"/>
  <c r="N11" i="3"/>
  <c r="N13" i="3"/>
  <c r="N14" i="3"/>
  <c r="H21" i="3"/>
  <c r="H3" i="2"/>
  <c r="H7" i="2"/>
  <c r="H10" i="2"/>
  <c r="H6" i="2"/>
  <c r="H9" i="2"/>
  <c r="H5" i="2"/>
  <c r="H8" i="2"/>
  <c r="H4" i="2"/>
  <c r="D2" i="2"/>
  <c r="C3" i="2" s="1"/>
  <c r="J17" i="1"/>
  <c r="I17" i="1"/>
  <c r="F24" i="1"/>
  <c r="I6" i="3" l="1"/>
  <c r="I7" i="3"/>
  <c r="N6" i="1"/>
  <c r="P7" i="1" s="1"/>
  <c r="P8" i="1" s="1"/>
  <c r="F44" i="3" s="1"/>
  <c r="O11" i="3"/>
  <c r="P11" i="3" s="1"/>
  <c r="Q11" i="3" s="1"/>
  <c r="R11" i="3" s="1"/>
  <c r="O6" i="1"/>
  <c r="C8" i="2"/>
  <c r="C10" i="2"/>
  <c r="C5" i="2"/>
  <c r="C7" i="2"/>
  <c r="C9" i="2"/>
  <c r="C4" i="2"/>
  <c r="C6" i="2"/>
  <c r="E53" i="3" l="1"/>
  <c r="H53" i="3" s="1"/>
  <c r="B78" i="3" s="1"/>
  <c r="E54" i="3"/>
  <c r="E51" i="3"/>
  <c r="E52" i="3"/>
  <c r="H52" i="3" s="1"/>
  <c r="B77" i="3" s="1"/>
  <c r="E49" i="3"/>
  <c r="H49" i="3" s="1"/>
  <c r="B74" i="3" s="1"/>
  <c r="E50" i="3"/>
  <c r="E47" i="3"/>
  <c r="H47" i="3" s="1"/>
  <c r="B72" i="3" s="1"/>
  <c r="E48" i="3"/>
  <c r="H48" i="3" s="1"/>
  <c r="B73" i="3" s="1"/>
  <c r="P13" i="3"/>
  <c r="Q13" i="3" s="1"/>
  <c r="R13" i="3" s="1"/>
  <c r="I9" i="3" s="1"/>
  <c r="I10" i="3" s="1"/>
  <c r="I11" i="3" s="1"/>
  <c r="I12" i="3" s="1"/>
  <c r="I13" i="3" s="1"/>
  <c r="P8" i="3"/>
  <c r="Q8" i="3" s="1"/>
  <c r="R8" i="3" s="1"/>
  <c r="Q7" i="1"/>
  <c r="Q8" i="1" s="1"/>
  <c r="G42" i="4" s="1"/>
  <c r="D78" i="3" l="1"/>
  <c r="E78" i="3" s="1"/>
  <c r="B103" i="3" s="1"/>
  <c r="D103" i="3" s="1"/>
  <c r="E103" i="3" s="1"/>
  <c r="D77" i="3"/>
  <c r="E77" i="3" s="1"/>
  <c r="B102" i="3" s="1"/>
  <c r="D102" i="3" s="1"/>
  <c r="E102" i="3" s="1"/>
  <c r="D74" i="3"/>
  <c r="E74" i="3" s="1"/>
  <c r="B99" i="3" s="1"/>
  <c r="D99" i="3" s="1"/>
  <c r="E99" i="3" s="1"/>
  <c r="D73" i="3"/>
  <c r="E73" i="3" s="1"/>
  <c r="B98" i="3" s="1"/>
  <c r="D98" i="3" s="1"/>
  <c r="E98" i="3" s="1"/>
  <c r="D72" i="3"/>
  <c r="E72" i="3" s="1"/>
  <c r="B97" i="3" s="1"/>
  <c r="D97" i="3" s="1"/>
  <c r="E97" i="3" s="1"/>
  <c r="J42" i="4"/>
  <c r="K42" i="4" s="1"/>
  <c r="G43" i="4"/>
  <c r="I14" i="3"/>
  <c r="L21" i="3" s="1"/>
  <c r="E24" i="3" s="1"/>
  <c r="H50" i="3" s="1"/>
  <c r="B75" i="3" s="1"/>
  <c r="D75" i="3" l="1"/>
  <c r="E75" i="3" s="1"/>
  <c r="B100" i="3" s="1"/>
  <c r="D100" i="3" s="1"/>
  <c r="E100" i="3" s="1"/>
  <c r="F67" i="4"/>
  <c r="D67" i="4"/>
  <c r="J43" i="4"/>
  <c r="K43" i="4" s="1"/>
  <c r="G44" i="4"/>
  <c r="L42" i="4"/>
  <c r="E25" i="3"/>
  <c r="K21" i="3"/>
  <c r="E28" i="3" l="1"/>
  <c r="H54" i="3" s="1"/>
  <c r="B79" i="3" s="1"/>
  <c r="H51" i="3"/>
  <c r="B76" i="3" s="1"/>
  <c r="D68" i="4"/>
  <c r="F68" i="4"/>
  <c r="G67" i="4"/>
  <c r="J44" i="4"/>
  <c r="K44" i="4" s="1"/>
  <c r="G45" i="4"/>
  <c r="I17" i="3"/>
  <c r="B5" i="3" s="1"/>
  <c r="I20" i="3"/>
  <c r="B24" i="3" s="1"/>
  <c r="I18" i="3"/>
  <c r="B6" i="3" s="1"/>
  <c r="I19" i="3"/>
  <c r="B23" i="3" s="1"/>
  <c r="I21" i="3"/>
  <c r="B15" i="3" s="1"/>
  <c r="D79" i="3" l="1"/>
  <c r="E79" i="3" s="1"/>
  <c r="B104" i="3" s="1"/>
  <c r="D104" i="3" s="1"/>
  <c r="E104" i="3" s="1"/>
  <c r="D76" i="3"/>
  <c r="E76" i="3" s="1"/>
  <c r="B101" i="3" s="1"/>
  <c r="G68" i="4"/>
  <c r="D93" i="4" s="1"/>
  <c r="F93" i="4" s="1"/>
  <c r="F69" i="4"/>
  <c r="L43" i="4"/>
  <c r="D69" i="4"/>
  <c r="G46" i="4"/>
  <c r="J45" i="4"/>
  <c r="K45" i="4" s="1"/>
  <c r="L44" i="4"/>
  <c r="B28" i="3"/>
  <c r="D101" i="3" l="1"/>
  <c r="E101" i="3" s="1"/>
  <c r="E105" i="3" s="1"/>
  <c r="E106" i="3" s="1"/>
  <c r="B105" i="3"/>
  <c r="G93" i="4"/>
  <c r="I93" i="4" s="1"/>
  <c r="G69" i="4"/>
  <c r="D94" i="4" s="1"/>
  <c r="F94" i="4" s="1"/>
  <c r="G94" i="4" s="1"/>
  <c r="I94" i="4" s="1"/>
  <c r="D70" i="4"/>
  <c r="F70" i="4"/>
  <c r="G47" i="4"/>
  <c r="J46" i="4"/>
  <c r="K46" i="4" s="1"/>
  <c r="L45" i="4" l="1"/>
  <c r="G48" i="4"/>
  <c r="J47" i="4"/>
  <c r="K47" i="4" s="1"/>
  <c r="D71" i="4"/>
  <c r="F71" i="4"/>
  <c r="G70" i="4"/>
  <c r="D95" i="4" s="1"/>
  <c r="F95" i="4" l="1"/>
  <c r="G71" i="4"/>
  <c r="D96" i="4" s="1"/>
  <c r="F96" i="4" s="1"/>
  <c r="G96" i="4" s="1"/>
  <c r="I96" i="4" s="1"/>
  <c r="F72" i="4"/>
  <c r="D72" i="4"/>
  <c r="L46" i="4"/>
  <c r="G49" i="4"/>
  <c r="J49" i="4" s="1"/>
  <c r="K49" i="4" s="1"/>
  <c r="J48" i="4"/>
  <c r="K48" i="4" s="1"/>
  <c r="G95" i="4" l="1"/>
  <c r="I95" i="4" s="1"/>
  <c r="L47" i="4"/>
  <c r="D73" i="4"/>
  <c r="F73" i="4"/>
  <c r="D74" i="4"/>
  <c r="F74" i="4"/>
  <c r="G72" i="4"/>
  <c r="D97" i="4" s="1"/>
  <c r="F97" i="4" s="1"/>
  <c r="G97" i="4" s="1"/>
  <c r="I97" i="4" s="1"/>
  <c r="G73" i="4" l="1"/>
  <c r="D98" i="4" s="1"/>
  <c r="F98" i="4" s="1"/>
  <c r="G98" i="4" s="1"/>
  <c r="I98" i="4" s="1"/>
  <c r="L49" i="4"/>
  <c r="L48" i="4"/>
  <c r="G74" i="4"/>
  <c r="D99" i="4" s="1"/>
  <c r="F99" i="4" s="1"/>
  <c r="G99" i="4" s="1"/>
  <c r="I99" i="4" s="1"/>
  <c r="I101" i="4" l="1"/>
  <c r="H95" i="4" s="1"/>
  <c r="F101" i="4"/>
  <c r="F102" i="4" s="1"/>
  <c r="D101" i="4"/>
</calcChain>
</file>

<file path=xl/sharedStrings.xml><?xml version="1.0" encoding="utf-8"?>
<sst xmlns="http://schemas.openxmlformats.org/spreadsheetml/2006/main" count="281" uniqueCount="98">
  <si>
    <t xml:space="preserve">Current Assets </t>
  </si>
  <si>
    <t xml:space="preserve">Current Liabilities </t>
  </si>
  <si>
    <t xml:space="preserve">Cash/ Cash equivalents </t>
  </si>
  <si>
    <t xml:space="preserve">ST Loans payable </t>
  </si>
  <si>
    <t xml:space="preserve">ST Investments </t>
  </si>
  <si>
    <t>Long Term Debts payable</t>
  </si>
  <si>
    <t xml:space="preserve">AR - NET </t>
  </si>
  <si>
    <t xml:space="preserve">AP </t>
  </si>
  <si>
    <t xml:space="preserve">Other Receivables </t>
  </si>
  <si>
    <t xml:space="preserve">Compensation &amp; benefits </t>
  </si>
  <si>
    <t xml:space="preserve">Inventory </t>
  </si>
  <si>
    <t xml:space="preserve">IT payable </t>
  </si>
  <si>
    <t xml:space="preserve">Supplies </t>
  </si>
  <si>
    <t xml:space="preserve">Accrued Liabilities </t>
  </si>
  <si>
    <t>Prepaid Expenses</t>
  </si>
  <si>
    <t xml:space="preserve">Deferred revenues </t>
  </si>
  <si>
    <t xml:space="preserve">(Var Depr) </t>
  </si>
  <si>
    <t xml:space="preserve">Investments </t>
  </si>
  <si>
    <t xml:space="preserve">Fixed Assets </t>
  </si>
  <si>
    <t xml:space="preserve">Long Term Liabilities </t>
  </si>
  <si>
    <t xml:space="preserve">Land </t>
  </si>
  <si>
    <t xml:space="preserve">Notes Payable </t>
  </si>
  <si>
    <t xml:space="preserve">Land improvements </t>
  </si>
  <si>
    <t xml:space="preserve">Bond Payable </t>
  </si>
  <si>
    <t xml:space="preserve">Buildings </t>
  </si>
  <si>
    <t xml:space="preserve">Deferred Income taxes </t>
  </si>
  <si>
    <t xml:space="preserve">Equipment </t>
  </si>
  <si>
    <t>Capital Leases</t>
  </si>
  <si>
    <t xml:space="preserve">(Fixed Depr) </t>
  </si>
  <si>
    <t xml:space="preserve">Intangible Assets </t>
  </si>
  <si>
    <t xml:space="preserve">Stockholders Equity </t>
  </si>
  <si>
    <t xml:space="preserve">Goodwill </t>
  </si>
  <si>
    <t xml:space="preserve">Common Stock </t>
  </si>
  <si>
    <t xml:space="preserve">Marketing reputation </t>
  </si>
  <si>
    <t xml:space="preserve">Retained earnings </t>
  </si>
  <si>
    <t xml:space="preserve">Brand Reputation </t>
  </si>
  <si>
    <t xml:space="preserve">Paid In Capital </t>
  </si>
  <si>
    <t xml:space="preserve">Other Intangible assets </t>
  </si>
  <si>
    <t xml:space="preserve">Comprehensive income </t>
  </si>
  <si>
    <t xml:space="preserve">Other Assets </t>
  </si>
  <si>
    <t xml:space="preserve">Treasury Stock </t>
  </si>
  <si>
    <t>Sharon</t>
  </si>
  <si>
    <t>IDGM</t>
  </si>
  <si>
    <t xml:space="preserve">Sharon </t>
  </si>
  <si>
    <t xml:space="preserve">Units </t>
  </si>
  <si>
    <t xml:space="preserve">Price/Product </t>
  </si>
  <si>
    <t xml:space="preserve">COGS/Product </t>
  </si>
  <si>
    <t xml:space="preserve">Operating Expenses </t>
  </si>
  <si>
    <t xml:space="preserve">Interest Expenses </t>
  </si>
  <si>
    <t xml:space="preserve">Taxes </t>
  </si>
  <si>
    <t xml:space="preserve">Retained Earnings </t>
  </si>
  <si>
    <t xml:space="preserve">Paid in Capital </t>
  </si>
  <si>
    <t xml:space="preserve">IDGM </t>
  </si>
  <si>
    <t xml:space="preserve">This percentage of Final Price </t>
  </si>
  <si>
    <t xml:space="preserve">This percentage of COGS </t>
  </si>
  <si>
    <t xml:space="preserve">This percentage of EBT </t>
  </si>
  <si>
    <t xml:space="preserve">This percentage of NI </t>
  </si>
  <si>
    <t>This percenntage of NI</t>
  </si>
  <si>
    <t xml:space="preserve">Periods </t>
  </si>
  <si>
    <t xml:space="preserve">Unit Sales </t>
  </si>
  <si>
    <t>Variable Cost %</t>
  </si>
  <si>
    <t xml:space="preserve">The project has different unit of sales. Its seen that at the very beginning both of them have more sales and gradually declining. As the project proceeds with declining sales hence the management decides to call for a project withdrawal after 8 years. The beginning balance of WC can be found out from the present balance sheet. The project unit sales price are also found in the IS in sheet 1. The proceeding WC balance is 18.5% of each years sales. Its seen that among the fixed assets, each are depreciatable except of Land which has a final after project value of 1.75 times the current price. The equipment has a salvage value of 25% after the project. The rest of fixed assets have a scrap value worth of 15% of their purchase price. The periodic variable cost is mentioned in sheet 1 of product selling price and fixed cost is 1/15th of fixed liabilities value. The projects WACC is 13%. Based on the above information should the project be proceeded and which one should be proceeded if capital rationing is present? </t>
  </si>
  <si>
    <t xml:space="preserve">Depreciation </t>
  </si>
  <si>
    <t>Depreciation amount</t>
  </si>
  <si>
    <t>EBIT</t>
  </si>
  <si>
    <t>EBI</t>
  </si>
  <si>
    <t>RE 35%</t>
  </si>
  <si>
    <t>RE 65%</t>
  </si>
  <si>
    <t>Periods or Years</t>
  </si>
  <si>
    <t>Unit Sales</t>
  </si>
  <si>
    <t>Unit price</t>
  </si>
  <si>
    <t>Yearly Revenue</t>
  </si>
  <si>
    <t>MACRS percentage</t>
  </si>
  <si>
    <t>Depreciation</t>
  </si>
  <si>
    <t>Ending Book Value</t>
  </si>
  <si>
    <t>Unit Price</t>
  </si>
  <si>
    <t>Unit sales</t>
  </si>
  <si>
    <t>Revenues</t>
  </si>
  <si>
    <t>Variable Costs</t>
  </si>
  <si>
    <t>Fixed Costs</t>
  </si>
  <si>
    <t>Cash Flow analysis</t>
  </si>
  <si>
    <t>NET WC</t>
  </si>
  <si>
    <t>Cash Flow</t>
  </si>
  <si>
    <t>Projected Cash Flow Analysis</t>
  </si>
  <si>
    <t>OCF</t>
  </si>
  <si>
    <t>Depr</t>
  </si>
  <si>
    <t>Taxes</t>
  </si>
  <si>
    <t>Net WC</t>
  </si>
  <si>
    <t>Initial NWC</t>
  </si>
  <si>
    <t>WC changes</t>
  </si>
  <si>
    <t>Total Change in WC</t>
  </si>
  <si>
    <t>Project Analysis</t>
  </si>
  <si>
    <t>WACC</t>
  </si>
  <si>
    <t>Change in WC</t>
  </si>
  <si>
    <t>Total Project CF</t>
  </si>
  <si>
    <t>Discounted CF (13%)</t>
  </si>
  <si>
    <t>NI</t>
  </si>
  <si>
    <t>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</si>
</sst>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alibri"/>
      <family val="2"/>
      <scheme val="minor"/>
    </font>
    <font>
      <b/>
      <sz val="13"/>
      <color theme="1"/>
      <name val="Calibri"/>
      <family val="2"/>
      <scheme val="minor"/>
    </font>
    <font>
      <sz val="10"/>
      <color theme="1"/>
      <name val="Calibri"/>
      <family val="2"/>
      <scheme val="minor"/>
    </font>
    <font>
      <b/>
      <sz val="10"/>
      <color theme="1"/>
      <name val="Calibri"/>
      <family val="2"/>
      <scheme val="minor"/>
    </font>
    <font>
      <sz val="11"/>
      <color rgb="FF000000"/>
      <name val="Calibri"/>
      <family val="2"/>
    </font>
    <font>
      <b/>
      <sz val="11"/>
      <color rgb="FF000000"/>
      <name val="Calibri"/>
      <family val="2"/>
    </font>
    <font>
      <b/>
      <sz val="12"/>
      <color theme="1"/>
      <name val="Calibri"/>
      <family val="2"/>
      <scheme val="minor"/>
    </font>
    <font>
      <b/>
      <sz val="12"/>
      <color rgb="FF000000"/>
      <name val="Calibri"/>
      <family val="2"/>
    </font>
    <font>
      <sz val="12"/>
      <color theme="1"/>
      <name val="Calibri"/>
      <family val="2"/>
      <scheme val="minor"/>
    </font>
    <font>
      <b/>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9" fontId="0" fillId="0" borderId="0" xfId="0" applyNumberFormat="1"/>
    <xf numFmtId="0" fontId="0" fillId="0" borderId="0" xfId="0" applyAlignment="1">
      <alignment horizontal="left" vertical="top" wrapText="1"/>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3" fillId="0" borderId="0" xfId="0" applyFont="1" applyAlignment="1">
      <alignment horizontal="right"/>
    </xf>
    <xf numFmtId="0" fontId="5" fillId="0" borderId="0" xfId="0" applyFont="1" applyAlignment="1">
      <alignment horizontal="right"/>
    </xf>
    <xf numFmtId="0" fontId="9" fillId="0" borderId="0" xfId="0" applyFont="1"/>
    <xf numFmtId="0" fontId="10" fillId="0" borderId="0" xfId="0" applyFont="1" applyAlignment="1">
      <alignment horizontal="left"/>
    </xf>
    <xf numFmtId="0" fontId="0" fillId="0" borderId="0" xfId="0" applyAlignment="1">
      <alignment horizontal="left" vertical="top" wrapText="1"/>
    </xf>
    <xf numFmtId="0" fontId="8"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User\Downloads\FIN%20440%20PROJECT%20(1)%20(1).xlsx" TargetMode="External"/><Relationship Id="rId1" Type="http://schemas.openxmlformats.org/officeDocument/2006/relationships/externalLinkPath" Target="file:///C:\Users\User\Downloads\FIN%20440%20PROJECT%20(1)%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 statement"/>
      <sheetName val="Balance sheet"/>
    </sheetNames>
    <sheetDataSet>
      <sheetData sheetId="0">
        <row r="4">
          <cell r="H4">
            <v>57</v>
          </cell>
        </row>
        <row r="8">
          <cell r="H8">
            <v>0.24</v>
          </cell>
        </row>
        <row r="16">
          <cell r="A16" t="str">
            <v>Equipment</v>
          </cell>
          <cell r="B16">
            <v>210000</v>
          </cell>
        </row>
        <row r="17">
          <cell r="D17" t="str">
            <v>Total Fixed Liabilities</v>
          </cell>
          <cell r="E17">
            <v>146600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6D7C2-029F-43E9-853B-A6F47E56BC06}">
  <dimension ref="A1:Q28"/>
  <sheetViews>
    <sheetView tabSelected="1" topLeftCell="D1" zoomScale="125" workbookViewId="0">
      <selection activeCell="Q8" sqref="Q8"/>
    </sheetView>
  </sheetViews>
  <sheetFormatPr defaultColWidth="8.7109375" defaultRowHeight="15" x14ac:dyDescent="0.25"/>
  <cols>
    <col min="1" max="1" width="20.7109375" bestFit="1" customWidth="1"/>
    <col min="2" max="2" width="7.140625" bestFit="1" customWidth="1"/>
    <col min="3" max="3" width="11.42578125" customWidth="1"/>
    <col min="5" max="5" width="25.140625" customWidth="1"/>
    <col min="8" max="8" width="19.7109375" customWidth="1"/>
    <col min="14" max="14" width="13" customWidth="1"/>
  </cols>
  <sheetData>
    <row r="1" spans="1:17" x14ac:dyDescent="0.25">
      <c r="A1" s="3" t="s">
        <v>1</v>
      </c>
      <c r="B1" s="3"/>
    </row>
    <row r="2" spans="1:17" x14ac:dyDescent="0.25">
      <c r="A2" s="3" t="s">
        <v>3</v>
      </c>
      <c r="B2" s="3"/>
      <c r="C2" t="s">
        <v>41</v>
      </c>
      <c r="D2" t="s">
        <v>42</v>
      </c>
      <c r="E2" t="s">
        <v>1</v>
      </c>
      <c r="F2" t="s">
        <v>41</v>
      </c>
      <c r="G2" t="s">
        <v>42</v>
      </c>
      <c r="I2" t="s">
        <v>43</v>
      </c>
      <c r="J2" t="s">
        <v>52</v>
      </c>
    </row>
    <row r="3" spans="1:17" x14ac:dyDescent="0.25">
      <c r="A3" s="3" t="s">
        <v>5</v>
      </c>
      <c r="B3" s="3"/>
      <c r="C3">
        <v>25000</v>
      </c>
      <c r="D3">
        <v>16000</v>
      </c>
      <c r="E3" t="s">
        <v>3</v>
      </c>
      <c r="F3">
        <v>14550</v>
      </c>
      <c r="G3">
        <v>12500</v>
      </c>
      <c r="H3" t="s">
        <v>44</v>
      </c>
      <c r="I3">
        <f ca="1" xml:space="preserve"> RANDBETWEEN(15500, 16000)</f>
        <v>15649</v>
      </c>
      <c r="J3">
        <f ca="1" xml:space="preserve"> RANDBETWEEN(10050, 10500)</f>
        <v>10259</v>
      </c>
    </row>
    <row r="4" spans="1:17" x14ac:dyDescent="0.25">
      <c r="A4" s="3" t="s">
        <v>7</v>
      </c>
      <c r="B4" s="3"/>
      <c r="E4" t="s">
        <v>5</v>
      </c>
      <c r="F4">
        <v>22300</v>
      </c>
      <c r="G4">
        <v>18700</v>
      </c>
      <c r="H4" t="s">
        <v>45</v>
      </c>
      <c r="I4">
        <f ca="1" xml:space="preserve"> RANDBETWEEN(55, 60)</f>
        <v>58</v>
      </c>
      <c r="J4">
        <f ca="1" xml:space="preserve"> RANDBETWEEN(40, 45)</f>
        <v>40</v>
      </c>
    </row>
    <row r="5" spans="1:17" x14ac:dyDescent="0.25">
      <c r="A5" s="3" t="s">
        <v>9</v>
      </c>
      <c r="B5" s="3"/>
      <c r="E5" t="s">
        <v>7</v>
      </c>
      <c r="F5">
        <v>4500</v>
      </c>
      <c r="G5">
        <v>3500</v>
      </c>
      <c r="H5" t="s">
        <v>46</v>
      </c>
      <c r="I5">
        <f ca="1" xml:space="preserve"> RANDBETWEEN(35, 40) / 100</f>
        <v>0.36</v>
      </c>
      <c r="J5">
        <f ca="1" xml:space="preserve"> RANDBETWEEN(35, 40) / 100</f>
        <v>0.35</v>
      </c>
      <c r="K5" t="s">
        <v>53</v>
      </c>
      <c r="N5">
        <f ca="1" xml:space="preserve"> I5 * I4</f>
        <v>20.88</v>
      </c>
      <c r="O5">
        <f ca="1" xml:space="preserve"> J5 * J4</f>
        <v>14</v>
      </c>
    </row>
    <row r="6" spans="1:17" x14ac:dyDescent="0.25">
      <c r="A6" s="3" t="s">
        <v>11</v>
      </c>
      <c r="B6" s="3"/>
      <c r="C6">
        <v>3500</v>
      </c>
      <c r="D6">
        <v>1450</v>
      </c>
      <c r="E6" t="s">
        <v>9</v>
      </c>
      <c r="F6">
        <v>5700</v>
      </c>
      <c r="G6">
        <v>5600</v>
      </c>
      <c r="H6" t="s">
        <v>47</v>
      </c>
      <c r="I6">
        <f ca="1" xml:space="preserve"> RANDBETWEEN(20, 25) / 100</f>
        <v>0.2</v>
      </c>
      <c r="J6">
        <f ca="1" xml:space="preserve"> RANDBETWEEN(20, 25) / 100</f>
        <v>0.23</v>
      </c>
      <c r="K6" t="s">
        <v>54</v>
      </c>
      <c r="N6">
        <f ca="1" xml:space="preserve"> I6 * N5</f>
        <v>4.1760000000000002</v>
      </c>
      <c r="O6">
        <f ca="1" xml:space="preserve"> J6 * O5</f>
        <v>3.22</v>
      </c>
    </row>
    <row r="7" spans="1:17" x14ac:dyDescent="0.25">
      <c r="A7" s="3" t="s">
        <v>13</v>
      </c>
      <c r="B7" s="3"/>
      <c r="C7">
        <v>43000</v>
      </c>
      <c r="D7">
        <v>23000</v>
      </c>
      <c r="E7" t="s">
        <v>11</v>
      </c>
      <c r="F7">
        <v>13450</v>
      </c>
      <c r="G7">
        <v>12500</v>
      </c>
      <c r="H7" t="s">
        <v>48</v>
      </c>
      <c r="I7">
        <f ca="1" xml:space="preserve"> RANDBETWEEN(10, 13) / 100</f>
        <v>0.11</v>
      </c>
      <c r="J7">
        <f ca="1" xml:space="preserve"> RANDBETWEEN(10, 13) / 100</f>
        <v>0.13</v>
      </c>
      <c r="K7" t="s">
        <v>54</v>
      </c>
      <c r="N7">
        <f ca="1" xml:space="preserve"> I7 * N5</f>
        <v>2.2967999999999997</v>
      </c>
      <c r="O7">
        <f ca="1" xml:space="preserve"> J7 * O5</f>
        <v>1.82</v>
      </c>
      <c r="P7">
        <f ca="1" xml:space="preserve"> SUM(N5:N7)</f>
        <v>27.352799999999998</v>
      </c>
      <c r="Q7">
        <f ca="1" xml:space="preserve"> SUM(O5:O7)</f>
        <v>19.04</v>
      </c>
    </row>
    <row r="8" spans="1:17" x14ac:dyDescent="0.25">
      <c r="A8" s="3" t="s">
        <v>15</v>
      </c>
      <c r="B8" s="3"/>
      <c r="C8">
        <v>5600</v>
      </c>
      <c r="D8">
        <v>2300</v>
      </c>
      <c r="E8" t="s">
        <v>13</v>
      </c>
      <c r="F8">
        <v>23000</v>
      </c>
      <c r="G8">
        <v>12000</v>
      </c>
      <c r="H8" t="s">
        <v>49</v>
      </c>
      <c r="I8" s="1">
        <v>0.24</v>
      </c>
      <c r="J8" s="1">
        <v>0.24</v>
      </c>
      <c r="K8" t="s">
        <v>55</v>
      </c>
      <c r="N8" t="s">
        <v>60</v>
      </c>
      <c r="P8">
        <f ca="1" xml:space="preserve"> P7 /Sheet1!I4</f>
        <v>0.47159999999999996</v>
      </c>
      <c r="Q8">
        <f ca="1" xml:space="preserve"> Q7 / J4</f>
        <v>0.47599999999999998</v>
      </c>
    </row>
    <row r="9" spans="1:17" x14ac:dyDescent="0.25">
      <c r="A9" s="3"/>
      <c r="B9" s="3"/>
      <c r="C9">
        <v>2350</v>
      </c>
      <c r="D9">
        <v>1250</v>
      </c>
      <c r="E9" t="s">
        <v>15</v>
      </c>
      <c r="F9">
        <v>8600</v>
      </c>
      <c r="G9">
        <v>7300</v>
      </c>
      <c r="H9" t="s">
        <v>50</v>
      </c>
      <c r="I9">
        <f ca="1">RANDBETWEEN(52, 65) / 100</f>
        <v>0.61</v>
      </c>
      <c r="J9">
        <f ca="1">RANDBETWEEN(52, 65) / 100</f>
        <v>0.57999999999999996</v>
      </c>
      <c r="K9" t="s">
        <v>56</v>
      </c>
    </row>
    <row r="10" spans="1:17" x14ac:dyDescent="0.25">
      <c r="A10" s="3"/>
      <c r="B10" s="3"/>
      <c r="C10">
        <v>2150</v>
      </c>
      <c r="D10">
        <v>1850</v>
      </c>
      <c r="H10" t="s">
        <v>51</v>
      </c>
      <c r="I10">
        <f ca="1" xml:space="preserve"> 1 - I9</f>
        <v>0.39</v>
      </c>
      <c r="J10">
        <f ca="1" xml:space="preserve"> 1 - J9</f>
        <v>0.42000000000000004</v>
      </c>
      <c r="K10" t="s">
        <v>57</v>
      </c>
    </row>
    <row r="11" spans="1:17" x14ac:dyDescent="0.25">
      <c r="A11" s="3" t="s">
        <v>19</v>
      </c>
      <c r="B11" s="3"/>
    </row>
    <row r="12" spans="1:17" x14ac:dyDescent="0.25">
      <c r="A12" s="3" t="s">
        <v>21</v>
      </c>
      <c r="B12" s="3"/>
      <c r="E12" t="s">
        <v>19</v>
      </c>
      <c r="I12" t="s">
        <v>43</v>
      </c>
      <c r="J12" t="s">
        <v>52</v>
      </c>
    </row>
    <row r="13" spans="1:17" x14ac:dyDescent="0.25">
      <c r="A13" s="3" t="s">
        <v>23</v>
      </c>
      <c r="B13" s="3"/>
      <c r="C13">
        <v>75000</v>
      </c>
      <c r="D13">
        <v>53000</v>
      </c>
      <c r="E13" t="s">
        <v>21</v>
      </c>
      <c r="F13">
        <v>84500</v>
      </c>
      <c r="G13">
        <v>35000</v>
      </c>
      <c r="H13" t="s">
        <v>4</v>
      </c>
      <c r="I13">
        <f ca="1" xml:space="preserve"> RANDBETWEEN(11, 17) / 100</f>
        <v>0.14000000000000001</v>
      </c>
      <c r="J13">
        <f ca="1" xml:space="preserve"> RANDBETWEEN(11, 17) / 100</f>
        <v>0.16</v>
      </c>
    </row>
    <row r="14" spans="1:17" x14ac:dyDescent="0.25">
      <c r="A14" s="3" t="s">
        <v>25</v>
      </c>
      <c r="B14" s="3"/>
      <c r="C14">
        <v>25500</v>
      </c>
      <c r="D14">
        <v>18500</v>
      </c>
      <c r="E14" t="s">
        <v>23</v>
      </c>
      <c r="F14">
        <v>26000</v>
      </c>
      <c r="G14">
        <v>22500</v>
      </c>
      <c r="H14" t="s">
        <v>6</v>
      </c>
      <c r="I14">
        <f ca="1" xml:space="preserve"> RANDBETWEEN(13, 15) / 100</f>
        <v>0.15</v>
      </c>
      <c r="J14">
        <f ca="1" xml:space="preserve"> RANDBETWEEN(13, 15) / 100</f>
        <v>0.13</v>
      </c>
    </row>
    <row r="15" spans="1:17" x14ac:dyDescent="0.25">
      <c r="A15" s="3" t="s">
        <v>27</v>
      </c>
      <c r="B15" s="3"/>
      <c r="C15">
        <v>125000</v>
      </c>
      <c r="D15">
        <v>85000</v>
      </c>
      <c r="E15" t="s">
        <v>25</v>
      </c>
      <c r="F15">
        <v>23600</v>
      </c>
      <c r="G15">
        <v>31000</v>
      </c>
      <c r="H15" t="s">
        <v>31</v>
      </c>
      <c r="I15">
        <f ca="1" xml:space="preserve"> RANDBETWEEN(2, 5) / 100</f>
        <v>0.03</v>
      </c>
      <c r="J15">
        <f ca="1" xml:space="preserve"> RANDBETWEEN(2, 5) / 100</f>
        <v>0.03</v>
      </c>
    </row>
    <row r="16" spans="1:17" x14ac:dyDescent="0.25">
      <c r="A16" s="3"/>
      <c r="B16" s="3"/>
      <c r="C16">
        <v>210000</v>
      </c>
      <c r="D16">
        <v>165000</v>
      </c>
      <c r="E16" t="s">
        <v>27</v>
      </c>
      <c r="F16">
        <v>12500</v>
      </c>
      <c r="G16">
        <v>23400</v>
      </c>
      <c r="H16" t="s">
        <v>33</v>
      </c>
      <c r="I16">
        <f ca="1" xml:space="preserve"> RANDBETWEEN(2, 5) / 100</f>
        <v>0.03</v>
      </c>
      <c r="J16">
        <f ca="1" xml:space="preserve"> RANDBETWEEN(2, 5) / 100</f>
        <v>0.03</v>
      </c>
    </row>
    <row r="17" spans="1:15" x14ac:dyDescent="0.25">
      <c r="A17" s="3" t="s">
        <v>30</v>
      </c>
      <c r="B17" s="3"/>
      <c r="C17">
        <v>3450</v>
      </c>
      <c r="D17">
        <v>2640</v>
      </c>
      <c r="H17" t="s">
        <v>17</v>
      </c>
      <c r="I17">
        <f ca="1" xml:space="preserve"> 1 - SUM(I13:I16)</f>
        <v>0.64999999999999991</v>
      </c>
      <c r="J17">
        <f ca="1" xml:space="preserve"> 1 - SUM(J13:J16)</f>
        <v>0.64999999999999991</v>
      </c>
    </row>
    <row r="18" spans="1:15" x14ac:dyDescent="0.25">
      <c r="A18" s="3" t="s">
        <v>32</v>
      </c>
      <c r="B18" s="3"/>
      <c r="E18" t="s">
        <v>30</v>
      </c>
    </row>
    <row r="19" spans="1:15" ht="15" customHeight="1" x14ac:dyDescent="0.25">
      <c r="A19" s="3" t="s">
        <v>34</v>
      </c>
      <c r="B19" s="3"/>
      <c r="E19" t="s">
        <v>32</v>
      </c>
      <c r="F19">
        <v>115000</v>
      </c>
      <c r="G19">
        <v>85000</v>
      </c>
      <c r="I19" s="2"/>
      <c r="J19" s="2"/>
      <c r="K19" s="2"/>
      <c r="L19" s="2"/>
      <c r="M19" s="2"/>
      <c r="N19" s="2"/>
      <c r="O19" s="2"/>
    </row>
    <row r="20" spans="1:15" x14ac:dyDescent="0.25">
      <c r="A20" s="3" t="s">
        <v>36</v>
      </c>
      <c r="B20" s="3"/>
      <c r="E20" t="s">
        <v>34</v>
      </c>
      <c r="I20" s="2"/>
      <c r="J20" s="2"/>
      <c r="K20" s="2"/>
      <c r="L20" s="2"/>
      <c r="M20" s="2"/>
      <c r="N20" s="2"/>
      <c r="O20" s="2"/>
    </row>
    <row r="21" spans="1:15" x14ac:dyDescent="0.25">
      <c r="A21" s="3" t="s">
        <v>38</v>
      </c>
      <c r="B21" s="3"/>
      <c r="C21">
        <v>2160</v>
      </c>
      <c r="D21">
        <v>1450</v>
      </c>
      <c r="E21" t="s">
        <v>36</v>
      </c>
      <c r="I21" s="2"/>
      <c r="J21" s="2"/>
      <c r="K21" s="2"/>
      <c r="L21" s="2"/>
      <c r="M21" s="2"/>
      <c r="N21" s="2"/>
      <c r="O21" s="2"/>
    </row>
    <row r="22" spans="1:15" x14ac:dyDescent="0.25">
      <c r="A22" s="3" t="s">
        <v>40</v>
      </c>
      <c r="B22" s="3"/>
      <c r="C22">
        <v>1500</v>
      </c>
      <c r="D22">
        <v>1250</v>
      </c>
      <c r="E22" t="s">
        <v>38</v>
      </c>
      <c r="F22">
        <v>53500</v>
      </c>
      <c r="G22">
        <v>46500</v>
      </c>
      <c r="I22" s="2"/>
      <c r="J22" s="2"/>
      <c r="K22" s="2"/>
      <c r="L22" s="2"/>
      <c r="M22" s="2"/>
      <c r="N22" s="2"/>
      <c r="O22" s="2"/>
    </row>
    <row r="23" spans="1:15" x14ac:dyDescent="0.25">
      <c r="A23" s="3"/>
      <c r="B23" s="3"/>
      <c r="C23">
        <v>10000</v>
      </c>
      <c r="D23">
        <v>8500</v>
      </c>
      <c r="E23" t="s">
        <v>40</v>
      </c>
      <c r="F23">
        <v>2350</v>
      </c>
      <c r="G23">
        <v>3100</v>
      </c>
      <c r="I23" s="2"/>
      <c r="J23" s="2"/>
      <c r="K23" s="2"/>
      <c r="L23" s="2"/>
      <c r="M23" s="2"/>
      <c r="N23" s="2"/>
      <c r="O23" s="2"/>
    </row>
    <row r="24" spans="1:15" x14ac:dyDescent="0.25">
      <c r="C24">
        <f xml:space="preserve"> SUM(C3:C23)</f>
        <v>534210</v>
      </c>
      <c r="D24">
        <f xml:space="preserve"> SUM(D3:D23)</f>
        <v>381190</v>
      </c>
      <c r="F24">
        <f xml:space="preserve"> SUM(F3:F23)</f>
        <v>409550</v>
      </c>
      <c r="G24">
        <f xml:space="preserve"> SUM(G3:G23)</f>
        <v>318600</v>
      </c>
      <c r="I24" s="2"/>
      <c r="J24" s="2"/>
      <c r="K24" s="2"/>
      <c r="L24" s="2"/>
      <c r="M24" s="2"/>
      <c r="N24" s="2"/>
      <c r="O24" s="2"/>
    </row>
    <row r="25" spans="1:15" x14ac:dyDescent="0.25">
      <c r="I25" s="2"/>
      <c r="J25" s="2"/>
      <c r="K25" s="2"/>
      <c r="L25" s="2"/>
      <c r="M25" s="2"/>
      <c r="N25" s="2"/>
      <c r="O25" s="2"/>
    </row>
    <row r="26" spans="1:15" x14ac:dyDescent="0.25">
      <c r="I26" s="2"/>
      <c r="J26" s="2"/>
      <c r="K26" s="2"/>
      <c r="L26" s="2"/>
      <c r="M26" s="2"/>
      <c r="N26" s="2"/>
      <c r="O26" s="2"/>
    </row>
    <row r="27" spans="1:15" x14ac:dyDescent="0.25">
      <c r="I27" s="2"/>
      <c r="J27" s="2"/>
      <c r="K27" s="2"/>
      <c r="L27" s="2"/>
      <c r="M27" s="2"/>
      <c r="N27" s="2"/>
      <c r="O27" s="2"/>
    </row>
    <row r="28" spans="1:15" x14ac:dyDescent="0.25">
      <c r="I28" s="2"/>
      <c r="J28" s="2"/>
      <c r="K28" s="2"/>
      <c r="L28" s="2"/>
      <c r="M28" s="2"/>
      <c r="N28" s="2"/>
      <c r="O2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669B8-6222-4CF1-876D-19B609DDEB7A}">
  <dimension ref="B2:J22"/>
  <sheetViews>
    <sheetView workbookViewId="0">
      <selection activeCell="J3" sqref="J3"/>
    </sheetView>
  </sheetViews>
  <sheetFormatPr defaultColWidth="8.7109375" defaultRowHeight="15" x14ac:dyDescent="0.25"/>
  <cols>
    <col min="3" max="3" width="10.28515625" customWidth="1"/>
    <col min="8" max="8" width="10.42578125" customWidth="1"/>
  </cols>
  <sheetData>
    <row r="2" spans="2:10" x14ac:dyDescent="0.25">
      <c r="B2" t="s">
        <v>58</v>
      </c>
      <c r="C2" t="s">
        <v>59</v>
      </c>
      <c r="D2">
        <f ca="1" xml:space="preserve"> Sheet1!I3 * 15</f>
        <v>234735</v>
      </c>
      <c r="G2" t="s">
        <v>58</v>
      </c>
      <c r="H2" t="s">
        <v>59</v>
      </c>
      <c r="I2">
        <f ca="1" xml:space="preserve"> Sheet1!J3 * 15</f>
        <v>153885</v>
      </c>
    </row>
    <row r="3" spans="2:10" x14ac:dyDescent="0.25">
      <c r="B3">
        <v>1</v>
      </c>
      <c r="C3">
        <f ca="1" xml:space="preserve"> ROUND(E3 * $D$2,0)</f>
        <v>33544</v>
      </c>
      <c r="E3">
        <v>0.1429</v>
      </c>
      <c r="G3">
        <v>1</v>
      </c>
      <c r="H3">
        <f ca="1" xml:space="preserve"> ROUND($I$2 * J3, 0)</f>
        <v>21990</v>
      </c>
      <c r="J3">
        <f xml:space="preserve"> E3</f>
        <v>0.1429</v>
      </c>
    </row>
    <row r="4" spans="2:10" x14ac:dyDescent="0.25">
      <c r="B4">
        <v>2</v>
      </c>
      <c r="C4">
        <f t="shared" ref="C4:C10" ca="1" si="0" xml:space="preserve"> ROUND(E4 * $D$2,0)</f>
        <v>57487</v>
      </c>
      <c r="E4">
        <v>0.24490000000000001</v>
      </c>
      <c r="G4">
        <v>2</v>
      </c>
      <c r="H4">
        <f t="shared" ref="H4:H10" ca="1" si="1" xml:space="preserve"> ROUND($I$2 * J4, 0)</f>
        <v>37686</v>
      </c>
      <c r="J4">
        <f t="shared" ref="J4:J10" si="2" xml:space="preserve"> E4</f>
        <v>0.24490000000000001</v>
      </c>
    </row>
    <row r="5" spans="2:10" x14ac:dyDescent="0.25">
      <c r="B5">
        <v>3</v>
      </c>
      <c r="C5">
        <f t="shared" ca="1" si="0"/>
        <v>41055</v>
      </c>
      <c r="E5">
        <v>0.1749</v>
      </c>
      <c r="G5">
        <v>3</v>
      </c>
      <c r="H5">
        <f t="shared" ca="1" si="1"/>
        <v>26914</v>
      </c>
      <c r="J5">
        <f t="shared" si="2"/>
        <v>0.1749</v>
      </c>
    </row>
    <row r="6" spans="2:10" x14ac:dyDescent="0.25">
      <c r="B6">
        <v>4</v>
      </c>
      <c r="C6">
        <f t="shared" ca="1" si="0"/>
        <v>29318</v>
      </c>
      <c r="E6">
        <v>0.1249</v>
      </c>
      <c r="G6">
        <v>4</v>
      </c>
      <c r="H6">
        <f t="shared" ca="1" si="1"/>
        <v>19220</v>
      </c>
      <c r="J6">
        <f t="shared" si="2"/>
        <v>0.1249</v>
      </c>
    </row>
    <row r="7" spans="2:10" x14ac:dyDescent="0.25">
      <c r="B7">
        <v>5</v>
      </c>
      <c r="C7">
        <f t="shared" ca="1" si="0"/>
        <v>20962</v>
      </c>
      <c r="E7">
        <v>8.9300000000000004E-2</v>
      </c>
      <c r="G7">
        <v>5</v>
      </c>
      <c r="H7">
        <f t="shared" ca="1" si="1"/>
        <v>13742</v>
      </c>
      <c r="J7">
        <f t="shared" si="2"/>
        <v>8.9300000000000004E-2</v>
      </c>
    </row>
    <row r="8" spans="2:10" x14ac:dyDescent="0.25">
      <c r="B8">
        <v>6</v>
      </c>
      <c r="C8">
        <f t="shared" ca="1" si="0"/>
        <v>20938</v>
      </c>
      <c r="E8">
        <v>8.9200000000000002E-2</v>
      </c>
      <c r="G8">
        <v>6</v>
      </c>
      <c r="H8">
        <f t="shared" ca="1" si="1"/>
        <v>13727</v>
      </c>
      <c r="J8">
        <f t="shared" si="2"/>
        <v>8.9200000000000002E-2</v>
      </c>
    </row>
    <row r="9" spans="2:10" x14ac:dyDescent="0.25">
      <c r="B9">
        <v>7</v>
      </c>
      <c r="C9">
        <f t="shared" ca="1" si="0"/>
        <v>20962</v>
      </c>
      <c r="E9">
        <v>8.9300000000000004E-2</v>
      </c>
      <c r="G9">
        <v>7</v>
      </c>
      <c r="H9">
        <f t="shared" ca="1" si="1"/>
        <v>13742</v>
      </c>
      <c r="J9">
        <f t="shared" si="2"/>
        <v>8.9300000000000004E-2</v>
      </c>
    </row>
    <row r="10" spans="2:10" x14ac:dyDescent="0.25">
      <c r="B10">
        <v>8</v>
      </c>
      <c r="C10">
        <f t="shared" ca="1" si="0"/>
        <v>10469</v>
      </c>
      <c r="E10">
        <v>4.4600000000000001E-2</v>
      </c>
      <c r="G10">
        <v>8</v>
      </c>
      <c r="H10">
        <f t="shared" ca="1" si="1"/>
        <v>6863</v>
      </c>
      <c r="J10">
        <f t="shared" si="2"/>
        <v>4.4600000000000001E-2</v>
      </c>
    </row>
    <row r="12" spans="2:10" x14ac:dyDescent="0.25">
      <c r="B12" s="14" t="s">
        <v>61</v>
      </c>
      <c r="C12" s="14"/>
      <c r="D12" s="14"/>
      <c r="E12" s="14"/>
      <c r="F12" s="14"/>
      <c r="G12" s="14"/>
      <c r="H12" s="14"/>
      <c r="I12" s="14"/>
      <c r="J12" s="14"/>
    </row>
    <row r="13" spans="2:10" x14ac:dyDescent="0.25">
      <c r="B13" s="14"/>
      <c r="C13" s="14"/>
      <c r="D13" s="14"/>
      <c r="E13" s="14"/>
      <c r="F13" s="14"/>
      <c r="G13" s="14"/>
      <c r="H13" s="14"/>
      <c r="I13" s="14"/>
      <c r="J13" s="14"/>
    </row>
    <row r="14" spans="2:10" x14ac:dyDescent="0.25">
      <c r="B14" s="14"/>
      <c r="C14" s="14"/>
      <c r="D14" s="14"/>
      <c r="E14" s="14"/>
      <c r="F14" s="14"/>
      <c r="G14" s="14"/>
      <c r="H14" s="14"/>
      <c r="I14" s="14"/>
      <c r="J14" s="14"/>
    </row>
    <row r="15" spans="2:10" x14ac:dyDescent="0.25">
      <c r="B15" s="14"/>
      <c r="C15" s="14"/>
      <c r="D15" s="14"/>
      <c r="E15" s="14"/>
      <c r="F15" s="14"/>
      <c r="G15" s="14"/>
      <c r="H15" s="14"/>
      <c r="I15" s="14"/>
      <c r="J15" s="14"/>
    </row>
    <row r="16" spans="2:10" x14ac:dyDescent="0.25">
      <c r="B16" s="14"/>
      <c r="C16" s="14"/>
      <c r="D16" s="14"/>
      <c r="E16" s="14"/>
      <c r="F16" s="14"/>
      <c r="G16" s="14"/>
      <c r="H16" s="14"/>
      <c r="I16" s="14"/>
      <c r="J16" s="14"/>
    </row>
    <row r="17" spans="2:10" x14ac:dyDescent="0.25">
      <c r="B17" s="14"/>
      <c r="C17" s="14"/>
      <c r="D17" s="14"/>
      <c r="E17" s="14"/>
      <c r="F17" s="14"/>
      <c r="G17" s="14"/>
      <c r="H17" s="14"/>
      <c r="I17" s="14"/>
      <c r="J17" s="14"/>
    </row>
    <row r="18" spans="2:10" x14ac:dyDescent="0.25">
      <c r="B18" s="14"/>
      <c r="C18" s="14"/>
      <c r="D18" s="14"/>
      <c r="E18" s="14"/>
      <c r="F18" s="14"/>
      <c r="G18" s="14"/>
      <c r="H18" s="14"/>
      <c r="I18" s="14"/>
      <c r="J18" s="14"/>
    </row>
    <row r="19" spans="2:10" x14ac:dyDescent="0.25">
      <c r="B19" s="14"/>
      <c r="C19" s="14"/>
      <c r="D19" s="14"/>
      <c r="E19" s="14"/>
      <c r="F19" s="14"/>
      <c r="G19" s="14"/>
      <c r="H19" s="14"/>
      <c r="I19" s="14"/>
      <c r="J19" s="14"/>
    </row>
    <row r="20" spans="2:10" x14ac:dyDescent="0.25">
      <c r="B20" s="14"/>
      <c r="C20" s="14"/>
      <c r="D20" s="14"/>
      <c r="E20" s="14"/>
      <c r="F20" s="14"/>
      <c r="G20" s="14"/>
      <c r="H20" s="14"/>
      <c r="I20" s="14"/>
      <c r="J20" s="14"/>
    </row>
    <row r="21" spans="2:10" x14ac:dyDescent="0.25">
      <c r="B21" s="14"/>
      <c r="C21" s="14"/>
      <c r="D21" s="14"/>
      <c r="E21" s="14"/>
      <c r="F21" s="14"/>
      <c r="G21" s="14"/>
      <c r="H21" s="14"/>
      <c r="I21" s="14"/>
      <c r="J21" s="14"/>
    </row>
    <row r="22" spans="2:10" x14ac:dyDescent="0.25">
      <c r="B22" s="14"/>
      <c r="C22" s="14"/>
      <c r="D22" s="14"/>
      <c r="E22" s="14"/>
      <c r="F22" s="14"/>
      <c r="G22" s="14"/>
      <c r="H22" s="14"/>
      <c r="I22" s="14"/>
      <c r="J22" s="14"/>
    </row>
  </sheetData>
  <mergeCells count="1">
    <mergeCell ref="B12:J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86F8B-C913-7F46-8462-66F425DBB543}">
  <dimension ref="A3:R107"/>
  <sheetViews>
    <sheetView topLeftCell="A94" zoomScale="90" zoomScaleNormal="90" workbookViewId="0">
      <selection activeCell="D80" sqref="D80"/>
    </sheetView>
  </sheetViews>
  <sheetFormatPr defaultColWidth="11.5703125" defaultRowHeight="15" x14ac:dyDescent="0.25"/>
  <cols>
    <col min="4" max="4" width="21.140625" customWidth="1"/>
    <col min="7" max="7" width="18.28515625" bestFit="1" customWidth="1"/>
  </cols>
  <sheetData>
    <row r="3" spans="1:18" x14ac:dyDescent="0.25">
      <c r="A3" t="s">
        <v>0</v>
      </c>
      <c r="B3" t="s">
        <v>41</v>
      </c>
      <c r="D3" t="s">
        <v>1</v>
      </c>
      <c r="E3" t="s">
        <v>41</v>
      </c>
      <c r="H3" t="s">
        <v>43</v>
      </c>
    </row>
    <row r="4" spans="1:18" x14ac:dyDescent="0.25">
      <c r="A4" t="s">
        <v>2</v>
      </c>
      <c r="B4">
        <v>25000</v>
      </c>
      <c r="D4" t="s">
        <v>3</v>
      </c>
      <c r="E4">
        <v>14550</v>
      </c>
      <c r="G4" t="s">
        <v>44</v>
      </c>
      <c r="H4">
        <f ca="1" xml:space="preserve"> RANDBETWEEN(15500, 16000)</f>
        <v>15655</v>
      </c>
      <c r="I4">
        <f ca="1">H4</f>
        <v>15655</v>
      </c>
    </row>
    <row r="5" spans="1:18" x14ac:dyDescent="0.25">
      <c r="A5" t="s">
        <v>4</v>
      </c>
      <c r="B5">
        <f ca="1">I17</f>
        <v>2473.1410243961936</v>
      </c>
      <c r="D5" t="s">
        <v>5</v>
      </c>
      <c r="E5">
        <v>22300</v>
      </c>
      <c r="G5" t="s">
        <v>45</v>
      </c>
      <c r="H5">
        <f ca="1" xml:space="preserve"> RANDBETWEEN(55, 60)</f>
        <v>56</v>
      </c>
      <c r="I5">
        <f ca="1">H5*I4</f>
        <v>876680</v>
      </c>
      <c r="K5" t="s">
        <v>62</v>
      </c>
      <c r="N5" t="s">
        <v>63</v>
      </c>
    </row>
    <row r="6" spans="1:18" x14ac:dyDescent="0.25">
      <c r="A6" t="s">
        <v>6</v>
      </c>
      <c r="B6">
        <f ca="1">I18</f>
        <v>2318.569710371431</v>
      </c>
      <c r="D6" t="s">
        <v>7</v>
      </c>
      <c r="E6">
        <v>4500</v>
      </c>
      <c r="G6" t="s">
        <v>46</v>
      </c>
      <c r="H6">
        <f ca="1" xml:space="preserve"> RANDBETWEEN(35, 40) / 100</f>
        <v>0.4</v>
      </c>
      <c r="I6">
        <f ca="1">(I5*H6)</f>
        <v>350672</v>
      </c>
      <c r="N6">
        <f>B21</f>
        <v>3450</v>
      </c>
    </row>
    <row r="7" spans="1:18" x14ac:dyDescent="0.25">
      <c r="A7" t="s">
        <v>8</v>
      </c>
      <c r="B7">
        <v>3500</v>
      </c>
      <c r="D7" t="s">
        <v>9</v>
      </c>
      <c r="E7">
        <v>5700</v>
      </c>
      <c r="G7" t="s">
        <v>47</v>
      </c>
      <c r="H7">
        <f ca="1" xml:space="preserve"> RANDBETWEEN(20, 25) / 100</f>
        <v>0.2</v>
      </c>
      <c r="I7">
        <f ca="1">I5*H7</f>
        <v>175336</v>
      </c>
      <c r="K7" t="str">
        <f>A17</f>
        <v xml:space="preserve">Land </v>
      </c>
      <c r="L7">
        <f>B17</f>
        <v>75000</v>
      </c>
      <c r="M7">
        <f>L7/$L$15</f>
        <v>0.17359101955792153</v>
      </c>
      <c r="N7">
        <f>$N$6*M7</f>
        <v>598.8890174748293</v>
      </c>
    </row>
    <row r="8" spans="1:18" x14ac:dyDescent="0.25">
      <c r="A8" t="s">
        <v>10</v>
      </c>
      <c r="B8">
        <v>43000</v>
      </c>
      <c r="D8" t="s">
        <v>11</v>
      </c>
      <c r="E8">
        <v>13450</v>
      </c>
      <c r="G8" t="s">
        <v>48</v>
      </c>
      <c r="H8">
        <f ca="1" xml:space="preserve"> RANDBETWEEN(10, 13) / 100</f>
        <v>0.11</v>
      </c>
      <c r="I8">
        <f ca="1">I5*H8</f>
        <v>96434.8</v>
      </c>
      <c r="K8" t="str">
        <f t="shared" ref="K8:L8" si="0">A18</f>
        <v xml:space="preserve">Land improvements </v>
      </c>
      <c r="L8">
        <f t="shared" si="0"/>
        <v>25500</v>
      </c>
      <c r="M8">
        <f>L8/$L$15</f>
        <v>5.9020946649693325E-2</v>
      </c>
      <c r="N8">
        <f>$N$6*M8</f>
        <v>203.62226594144198</v>
      </c>
      <c r="P8">
        <f>N8/$O$11</f>
        <v>7.0735090152565891E-2</v>
      </c>
      <c r="Q8">
        <f>$N$7*P8</f>
        <v>42.362468642463661</v>
      </c>
      <c r="R8">
        <f>N8+Q8</f>
        <v>245.98473458390563</v>
      </c>
    </row>
    <row r="9" spans="1:18" x14ac:dyDescent="0.25">
      <c r="G9" t="s">
        <v>62</v>
      </c>
      <c r="I9">
        <f>R13</f>
        <v>2025.756637749811</v>
      </c>
    </row>
    <row r="10" spans="1:18" x14ac:dyDescent="0.25">
      <c r="G10" t="s">
        <v>64</v>
      </c>
      <c r="I10">
        <f ca="1">I5-I6-I7-I8-I9</f>
        <v>252211.4433622502</v>
      </c>
    </row>
    <row r="11" spans="1:18" x14ac:dyDescent="0.25">
      <c r="A11" t="s">
        <v>12</v>
      </c>
      <c r="B11">
        <v>5600</v>
      </c>
      <c r="D11" t="s">
        <v>13</v>
      </c>
      <c r="E11">
        <v>23000</v>
      </c>
      <c r="G11" t="s">
        <v>49</v>
      </c>
      <c r="H11" s="1">
        <v>0.24</v>
      </c>
      <c r="I11">
        <f ca="1">I10*H11</f>
        <v>60530.746406940045</v>
      </c>
      <c r="K11" t="str">
        <f t="shared" ref="K11:L11" si="1">A19</f>
        <v xml:space="preserve">Buildings </v>
      </c>
      <c r="L11">
        <f t="shared" si="1"/>
        <v>125000</v>
      </c>
      <c r="M11">
        <f>L11/$L$15</f>
        <v>0.2893183659298692</v>
      </c>
      <c r="N11">
        <f>$N$6*M11</f>
        <v>998.14836245804872</v>
      </c>
      <c r="O11">
        <f>SUM(N8:N13)</f>
        <v>2878.6598773290125</v>
      </c>
      <c r="P11">
        <f>N11/$O$11</f>
        <v>0.34674063800277394</v>
      </c>
      <c r="Q11">
        <f>$N$7*P11</f>
        <v>207.65916001207674</v>
      </c>
      <c r="R11">
        <f>N11+Q11</f>
        <v>1205.8075224701254</v>
      </c>
    </row>
    <row r="12" spans="1:18" x14ac:dyDescent="0.25">
      <c r="G12" t="s">
        <v>65</v>
      </c>
      <c r="H12" s="1"/>
      <c r="I12">
        <f ca="1">I10-I11</f>
        <v>191680.69695531015</v>
      </c>
    </row>
    <row r="13" spans="1:18" x14ac:dyDescent="0.25">
      <c r="A13" t="s">
        <v>14</v>
      </c>
      <c r="B13">
        <v>2350</v>
      </c>
      <c r="D13" t="s">
        <v>15</v>
      </c>
      <c r="E13">
        <v>8600</v>
      </c>
      <c r="G13" t="s">
        <v>50</v>
      </c>
      <c r="H13">
        <f ca="1">RANDBETWEEN(52, 65) / 100</f>
        <v>0.64</v>
      </c>
      <c r="I13">
        <f ca="1">I12*H13</f>
        <v>122675.64605139849</v>
      </c>
      <c r="K13" t="str">
        <f t="shared" ref="K13:L13" si="2">A20</f>
        <v xml:space="preserve">Equipment </v>
      </c>
      <c r="L13">
        <f t="shared" si="2"/>
        <v>210000</v>
      </c>
      <c r="M13">
        <f>L13/$L$15</f>
        <v>0.4860548547621803</v>
      </c>
      <c r="N13">
        <f>$N$6*M13</f>
        <v>1676.889248929522</v>
      </c>
      <c r="P13">
        <f>N13/$O$11</f>
        <v>0.58252427184466027</v>
      </c>
      <c r="Q13">
        <f t="shared" ref="Q13" si="3">$N$7*P13</f>
        <v>348.86738882028897</v>
      </c>
      <c r="R13">
        <f>N13+Q13</f>
        <v>2025.756637749811</v>
      </c>
    </row>
    <row r="14" spans="1:18" x14ac:dyDescent="0.25">
      <c r="A14" t="s">
        <v>16</v>
      </c>
      <c r="B14">
        <v>2150</v>
      </c>
      <c r="G14" t="s">
        <v>51</v>
      </c>
      <c r="H14">
        <f ca="1" xml:space="preserve"> 1 - H13</f>
        <v>0.36</v>
      </c>
      <c r="I14">
        <f ca="1">I13*H14</f>
        <v>44163.232578503455</v>
      </c>
      <c r="K14" t="str">
        <f t="shared" ref="K14" si="4">A21</f>
        <v xml:space="preserve">(Fixed Depr) </v>
      </c>
      <c r="L14">
        <v>-3450</v>
      </c>
      <c r="M14">
        <f>L14/$L$15</f>
        <v>-7.9851868996643899E-3</v>
      </c>
      <c r="N14">
        <f>$N$6*M14</f>
        <v>-27.548894803842146</v>
      </c>
    </row>
    <row r="15" spans="1:18" x14ac:dyDescent="0.25">
      <c r="A15" t="s">
        <v>17</v>
      </c>
      <c r="B15">
        <f ca="1">I21</f>
        <v>9428.8501555104885</v>
      </c>
      <c r="L15">
        <f>SUM(L7:L14)</f>
        <v>432050</v>
      </c>
    </row>
    <row r="16" spans="1:18" x14ac:dyDescent="0.25">
      <c r="A16" t="s">
        <v>18</v>
      </c>
      <c r="D16" t="s">
        <v>19</v>
      </c>
      <c r="H16" t="s">
        <v>43</v>
      </c>
    </row>
    <row r="17" spans="1:12" x14ac:dyDescent="0.25">
      <c r="A17" t="s">
        <v>20</v>
      </c>
      <c r="B17">
        <v>75000</v>
      </c>
      <c r="D17" t="s">
        <v>21</v>
      </c>
      <c r="E17">
        <v>84500</v>
      </c>
      <c r="G17" t="s">
        <v>4</v>
      </c>
      <c r="H17">
        <f ca="1" xml:space="preserve"> RANDBETWEEN(11, 17) / 100</f>
        <v>0.16</v>
      </c>
      <c r="I17">
        <f ca="1">$K$21*H17</f>
        <v>2473.1410243961936</v>
      </c>
    </row>
    <row r="18" spans="1:12" x14ac:dyDescent="0.25">
      <c r="A18" t="s">
        <v>22</v>
      </c>
      <c r="B18">
        <v>25500</v>
      </c>
      <c r="D18" t="s">
        <v>23</v>
      </c>
      <c r="E18">
        <v>26000</v>
      </c>
      <c r="G18" t="s">
        <v>6</v>
      </c>
      <c r="H18">
        <f ca="1" xml:space="preserve"> RANDBETWEEN(13, 15) / 100</f>
        <v>0.15</v>
      </c>
      <c r="I18">
        <f t="shared" ref="I18:I21" ca="1" si="5">$K$21*H18</f>
        <v>2318.569710371431</v>
      </c>
    </row>
    <row r="19" spans="1:12" x14ac:dyDescent="0.25">
      <c r="A19" t="s">
        <v>24</v>
      </c>
      <c r="B19">
        <v>125000</v>
      </c>
      <c r="D19" t="s">
        <v>25</v>
      </c>
      <c r="E19">
        <v>23600</v>
      </c>
      <c r="G19" t="s">
        <v>31</v>
      </c>
      <c r="H19">
        <f ca="1" xml:space="preserve"> RANDBETWEEN(2, 5) / 100</f>
        <v>0.03</v>
      </c>
      <c r="I19">
        <f t="shared" ca="1" si="5"/>
        <v>463.71394207428625</v>
      </c>
    </row>
    <row r="20" spans="1:12" x14ac:dyDescent="0.25">
      <c r="A20" t="s">
        <v>26</v>
      </c>
      <c r="B20">
        <v>210000</v>
      </c>
      <c r="D20" t="s">
        <v>27</v>
      </c>
      <c r="E20">
        <v>12500</v>
      </c>
      <c r="G20" t="s">
        <v>33</v>
      </c>
      <c r="H20">
        <f ca="1" xml:space="preserve"> RANDBETWEEN(2, 5) / 100</f>
        <v>0.05</v>
      </c>
      <c r="I20">
        <f t="shared" ca="1" si="5"/>
        <v>772.85657012381046</v>
      </c>
      <c r="K20" s="1">
        <v>0.35</v>
      </c>
      <c r="L20" s="1">
        <v>0.65</v>
      </c>
    </row>
    <row r="21" spans="1:12" x14ac:dyDescent="0.25">
      <c r="A21" t="s">
        <v>28</v>
      </c>
      <c r="B21">
        <v>3450</v>
      </c>
      <c r="E21">
        <f>SUM(E17:E20)</f>
        <v>146600</v>
      </c>
      <c r="G21" t="s">
        <v>17</v>
      </c>
      <c r="H21">
        <f ca="1" xml:space="preserve"> 1 - SUM(H17:H20)</f>
        <v>0.6100000000000001</v>
      </c>
      <c r="I21">
        <f t="shared" ca="1" si="5"/>
        <v>9428.8501555104885</v>
      </c>
      <c r="J21" t="str">
        <f>D25</f>
        <v xml:space="preserve">Paid In Capital </v>
      </c>
      <c r="K21">
        <f ca="1">I14*0.35</f>
        <v>15457.131402476209</v>
      </c>
      <c r="L21">
        <f ca="1">I14*L20</f>
        <v>28706.101176027249</v>
      </c>
    </row>
    <row r="22" spans="1:12" x14ac:dyDescent="0.25">
      <c r="A22" t="s">
        <v>29</v>
      </c>
      <c r="D22" t="s">
        <v>30</v>
      </c>
    </row>
    <row r="23" spans="1:12" x14ac:dyDescent="0.25">
      <c r="A23" t="s">
        <v>31</v>
      </c>
      <c r="B23">
        <f ca="1">I19</f>
        <v>463.71394207428625</v>
      </c>
      <c r="D23" t="s">
        <v>32</v>
      </c>
      <c r="E23">
        <v>115000</v>
      </c>
    </row>
    <row r="24" spans="1:12" x14ac:dyDescent="0.25">
      <c r="A24" t="s">
        <v>33</v>
      </c>
      <c r="B24">
        <f ca="1">I20</f>
        <v>772.85657012381046</v>
      </c>
      <c r="D24" t="s">
        <v>34</v>
      </c>
      <c r="E24">
        <f ca="1">I13+L21</f>
        <v>151381.74722742575</v>
      </c>
    </row>
    <row r="25" spans="1:12" x14ac:dyDescent="0.25">
      <c r="A25" t="s">
        <v>35</v>
      </c>
      <c r="B25">
        <v>2160</v>
      </c>
      <c r="D25" t="s">
        <v>36</v>
      </c>
      <c r="E25">
        <f ca="1">I14</f>
        <v>44163.232578503455</v>
      </c>
    </row>
    <row r="26" spans="1:12" x14ac:dyDescent="0.25">
      <c r="A26" t="s">
        <v>37</v>
      </c>
      <c r="B26">
        <v>1500</v>
      </c>
      <c r="D26" t="s">
        <v>38</v>
      </c>
      <c r="E26">
        <v>53500</v>
      </c>
    </row>
    <row r="27" spans="1:12" x14ac:dyDescent="0.25">
      <c r="A27" t="s">
        <v>39</v>
      </c>
      <c r="B27">
        <v>10000</v>
      </c>
      <c r="D27" t="s">
        <v>40</v>
      </c>
      <c r="E27">
        <v>2350</v>
      </c>
    </row>
    <row r="28" spans="1:12" x14ac:dyDescent="0.25">
      <c r="B28">
        <f ca="1" xml:space="preserve"> SUM(B4:B27)</f>
        <v>549667.13140247623</v>
      </c>
      <c r="E28">
        <f ca="1" xml:space="preserve"> SUM(E4:E27)</f>
        <v>751694.97980592912</v>
      </c>
    </row>
    <row r="33" spans="1:8" ht="17.25" x14ac:dyDescent="0.3">
      <c r="A33" s="4" t="s">
        <v>41</v>
      </c>
      <c r="B33" s="5">
        <v>234705</v>
      </c>
      <c r="E33" s="5" t="str">
        <f>'[1]Income statement'!A$16</f>
        <v>Equipment</v>
      </c>
      <c r="F33" s="5">
        <f>'[1]Income statement'!B$16</f>
        <v>210000</v>
      </c>
    </row>
    <row r="34" spans="1:8" x14ac:dyDescent="0.25">
      <c r="A34" s="6" t="s">
        <v>68</v>
      </c>
      <c r="B34" s="6" t="s">
        <v>69</v>
      </c>
      <c r="C34" s="6" t="s">
        <v>70</v>
      </c>
      <c r="D34" s="6" t="s">
        <v>71</v>
      </c>
      <c r="E34" s="6" t="s">
        <v>72</v>
      </c>
      <c r="F34" s="6" t="s">
        <v>73</v>
      </c>
      <c r="G34" s="6" t="s">
        <v>74</v>
      </c>
      <c r="H34" s="6"/>
    </row>
    <row r="35" spans="1:8" x14ac:dyDescent="0.25">
      <c r="A35" s="5">
        <v>1</v>
      </c>
      <c r="B35" s="5">
        <v>33794</v>
      </c>
      <c r="C35" s="5">
        <f>'[1]Income statement'!H$4</f>
        <v>57</v>
      </c>
      <c r="D35" s="5">
        <f t="shared" ref="D35:D42" si="6">B35*C35</f>
        <v>1926258</v>
      </c>
      <c r="E35" s="5">
        <v>0.1429</v>
      </c>
      <c r="F35" s="5">
        <f>D35*E35</f>
        <v>275262.26819999999</v>
      </c>
      <c r="G35" s="5">
        <f>F$1-F35</f>
        <v>-275262.26819999999</v>
      </c>
    </row>
    <row r="36" spans="1:8" x14ac:dyDescent="0.25">
      <c r="A36" s="5">
        <v>2</v>
      </c>
      <c r="B36" s="5">
        <v>57916</v>
      </c>
      <c r="C36" s="5">
        <f>'[1]Income statement'!H$4</f>
        <v>57</v>
      </c>
      <c r="D36" s="5">
        <f t="shared" si="6"/>
        <v>3301212</v>
      </c>
      <c r="E36" s="5">
        <v>0.24490000000000001</v>
      </c>
      <c r="F36" s="5">
        <f t="shared" ref="F36:F42" si="7">D36*E36</f>
        <v>808466.81880000001</v>
      </c>
      <c r="G36" s="5">
        <f t="shared" ref="G36:G42" si="8">G35-F36</f>
        <v>-1083729.0870000001</v>
      </c>
    </row>
    <row r="37" spans="1:8" x14ac:dyDescent="0.25">
      <c r="A37" s="5">
        <v>3</v>
      </c>
      <c r="B37" s="5">
        <v>41362</v>
      </c>
      <c r="C37" s="5">
        <f>'[1]Income statement'!H$4</f>
        <v>57</v>
      </c>
      <c r="D37" s="5">
        <f t="shared" si="6"/>
        <v>2357634</v>
      </c>
      <c r="E37" s="5">
        <v>0.1749</v>
      </c>
      <c r="F37" s="5">
        <f t="shared" si="7"/>
        <v>412350.18660000002</v>
      </c>
      <c r="G37" s="5">
        <f t="shared" si="8"/>
        <v>-1496079.2736</v>
      </c>
    </row>
    <row r="38" spans="1:8" x14ac:dyDescent="0.25">
      <c r="A38" s="5">
        <v>4</v>
      </c>
      <c r="B38" s="5">
        <v>29538</v>
      </c>
      <c r="C38" s="5">
        <f>'[1]Income statement'!H$4</f>
        <v>57</v>
      </c>
      <c r="D38" s="5">
        <f t="shared" si="6"/>
        <v>1683666</v>
      </c>
      <c r="E38" s="5">
        <v>0.1249</v>
      </c>
      <c r="F38" s="5">
        <f t="shared" si="7"/>
        <v>210289.88339999999</v>
      </c>
      <c r="G38" s="5">
        <f t="shared" si="8"/>
        <v>-1706369.1569999999</v>
      </c>
    </row>
    <row r="39" spans="1:8" x14ac:dyDescent="0.25">
      <c r="A39" s="5">
        <v>5</v>
      </c>
      <c r="B39" s="5">
        <v>21119</v>
      </c>
      <c r="C39" s="5">
        <f>'[1]Income statement'!H$4</f>
        <v>57</v>
      </c>
      <c r="D39" s="5">
        <f t="shared" si="6"/>
        <v>1203783</v>
      </c>
      <c r="E39" s="5">
        <v>8.9300000000000004E-2</v>
      </c>
      <c r="F39" s="5">
        <f t="shared" si="7"/>
        <v>107497.82190000001</v>
      </c>
      <c r="G39" s="5">
        <f t="shared" si="8"/>
        <v>-1813866.9789</v>
      </c>
    </row>
    <row r="40" spans="1:8" x14ac:dyDescent="0.25">
      <c r="A40" s="5">
        <v>6</v>
      </c>
      <c r="B40" s="5">
        <v>21095</v>
      </c>
      <c r="C40" s="5">
        <f>'[1]Income statement'!H$4</f>
        <v>57</v>
      </c>
      <c r="D40" s="5">
        <f t="shared" si="6"/>
        <v>1202415</v>
      </c>
      <c r="E40" s="5">
        <v>8.9200000000000002E-2</v>
      </c>
      <c r="F40" s="5">
        <f t="shared" si="7"/>
        <v>107255.41800000001</v>
      </c>
      <c r="G40" s="5">
        <f t="shared" si="8"/>
        <v>-1921122.3969000001</v>
      </c>
    </row>
    <row r="41" spans="1:8" x14ac:dyDescent="0.25">
      <c r="A41" s="5">
        <v>7</v>
      </c>
      <c r="B41" s="5">
        <v>21119</v>
      </c>
      <c r="C41" s="5">
        <f>'[1]Income statement'!H$4</f>
        <v>57</v>
      </c>
      <c r="D41" s="5">
        <f t="shared" si="6"/>
        <v>1203783</v>
      </c>
      <c r="E41" s="5">
        <v>8.9300000000000004E-2</v>
      </c>
      <c r="F41" s="5">
        <f t="shared" si="7"/>
        <v>107497.82190000001</v>
      </c>
      <c r="G41" s="5">
        <f t="shared" si="8"/>
        <v>-2028620.2188000001</v>
      </c>
    </row>
    <row r="42" spans="1:8" x14ac:dyDescent="0.25">
      <c r="A42" s="5">
        <v>8</v>
      </c>
      <c r="B42" s="5">
        <v>10547</v>
      </c>
      <c r="C42" s="5">
        <f>'[1]Income statement'!H$4</f>
        <v>57</v>
      </c>
      <c r="D42" s="5">
        <f t="shared" si="6"/>
        <v>601179</v>
      </c>
      <c r="E42" s="5">
        <v>4.4600000000000001E-2</v>
      </c>
      <c r="F42" s="5">
        <f t="shared" si="7"/>
        <v>26812.5834</v>
      </c>
      <c r="G42" s="5">
        <f t="shared" si="8"/>
        <v>-2055432.8022</v>
      </c>
    </row>
    <row r="43" spans="1:8" x14ac:dyDescent="0.25">
      <c r="B43" s="5">
        <f>SUM(B35:B42)</f>
        <v>236490</v>
      </c>
    </row>
    <row r="44" spans="1:8" x14ac:dyDescent="0.25">
      <c r="A44" s="7"/>
      <c r="B44" s="7"/>
      <c r="C44" s="7"/>
      <c r="D44" s="7"/>
      <c r="E44" s="7" t="str">
        <f>Sheet1!N8</f>
        <v>Variable Cost %</v>
      </c>
      <c r="F44" s="7">
        <f ca="1">Sheet1!P8</f>
        <v>0.47159999999999996</v>
      </c>
      <c r="G44" s="7"/>
      <c r="H44" s="7"/>
    </row>
    <row r="45" spans="1:8" x14ac:dyDescent="0.25">
      <c r="A45" s="7"/>
      <c r="B45" s="7"/>
      <c r="C45" s="7"/>
      <c r="E45" s="7" t="str">
        <f>'[1]Income statement'!D$17</f>
        <v>Total Fixed Liabilities</v>
      </c>
      <c r="F45" s="7">
        <f>'[1]Income statement'!E$17</f>
        <v>146600</v>
      </c>
      <c r="G45" s="7"/>
      <c r="H45" s="7"/>
    </row>
    <row r="46" spans="1:8" x14ac:dyDescent="0.25">
      <c r="A46" s="8" t="s">
        <v>68</v>
      </c>
      <c r="B46" s="8" t="s">
        <v>75</v>
      </c>
      <c r="C46" s="8" t="s">
        <v>76</v>
      </c>
      <c r="D46" s="8" t="s">
        <v>77</v>
      </c>
      <c r="E46" s="8" t="s">
        <v>78</v>
      </c>
      <c r="F46" s="8" t="s">
        <v>79</v>
      </c>
      <c r="G46" s="8" t="s">
        <v>73</v>
      </c>
      <c r="H46" s="8" t="s">
        <v>64</v>
      </c>
    </row>
    <row r="47" spans="1:8" x14ac:dyDescent="0.25">
      <c r="A47" s="5">
        <v>1</v>
      </c>
      <c r="B47" s="5">
        <f t="shared" ref="B47:B54" si="9">C35</f>
        <v>57</v>
      </c>
      <c r="C47" s="5">
        <v>33794</v>
      </c>
      <c r="D47" s="5">
        <f t="shared" ref="D47:D54" si="10">B47*C47</f>
        <v>1926258</v>
      </c>
      <c r="E47" s="5">
        <f ca="1">F44</f>
        <v>0.47159999999999996</v>
      </c>
      <c r="F47" s="5">
        <f>E21*1/15</f>
        <v>9773.3333333333339</v>
      </c>
      <c r="G47" s="5">
        <f t="shared" ref="G47:G55" si="11">F35</f>
        <v>275262.26819999999</v>
      </c>
      <c r="H47" s="5">
        <f t="shared" ref="H47:H54" ca="1" si="12">D47-E47-F47-G47</f>
        <v>1641221.9268666666</v>
      </c>
    </row>
    <row r="48" spans="1:8" x14ac:dyDescent="0.25">
      <c r="A48" s="5">
        <v>2</v>
      </c>
      <c r="B48" s="5">
        <f t="shared" si="9"/>
        <v>57</v>
      </c>
      <c r="C48" s="5">
        <v>57916</v>
      </c>
      <c r="D48" s="5">
        <f t="shared" si="10"/>
        <v>3301212</v>
      </c>
      <c r="E48" s="5">
        <f ca="1">F44</f>
        <v>0.47159999999999996</v>
      </c>
      <c r="F48" s="5">
        <f>F47</f>
        <v>9773.3333333333339</v>
      </c>
      <c r="G48" s="5">
        <f t="shared" si="11"/>
        <v>808466.81880000001</v>
      </c>
      <c r="H48" s="5">
        <f t="shared" ca="1" si="12"/>
        <v>2482971.3762666667</v>
      </c>
    </row>
    <row r="49" spans="1:8" x14ac:dyDescent="0.25">
      <c r="A49" s="5">
        <v>3</v>
      </c>
      <c r="B49" s="5">
        <f t="shared" si="9"/>
        <v>57</v>
      </c>
      <c r="C49" s="5">
        <v>41362</v>
      </c>
      <c r="D49" s="5">
        <f t="shared" si="10"/>
        <v>2357634</v>
      </c>
      <c r="E49" s="5">
        <f ca="1">F44</f>
        <v>0.47159999999999996</v>
      </c>
      <c r="F49" s="5">
        <f>F48</f>
        <v>9773.3333333333339</v>
      </c>
      <c r="G49" s="5">
        <f t="shared" si="11"/>
        <v>412350.18660000002</v>
      </c>
      <c r="H49" s="5">
        <f t="shared" ca="1" si="12"/>
        <v>1935510.0084666666</v>
      </c>
    </row>
    <row r="50" spans="1:8" x14ac:dyDescent="0.25">
      <c r="A50" s="5">
        <v>4</v>
      </c>
      <c r="B50" s="5">
        <f t="shared" si="9"/>
        <v>57</v>
      </c>
      <c r="C50" s="5">
        <v>29538</v>
      </c>
      <c r="D50" s="5">
        <f t="shared" si="10"/>
        <v>1683666</v>
      </c>
      <c r="E50" s="5">
        <f ca="1">F44</f>
        <v>0.47159999999999996</v>
      </c>
      <c r="F50" s="5">
        <f>F49</f>
        <v>9773.3333333333339</v>
      </c>
      <c r="G50" s="5">
        <f t="shared" si="11"/>
        <v>210289.88339999999</v>
      </c>
      <c r="H50" s="5">
        <f t="shared" ca="1" si="12"/>
        <v>1463602.3116666668</v>
      </c>
    </row>
    <row r="51" spans="1:8" x14ac:dyDescent="0.25">
      <c r="A51" s="5">
        <v>5</v>
      </c>
      <c r="B51" s="5">
        <f t="shared" si="9"/>
        <v>57</v>
      </c>
      <c r="C51" s="5">
        <v>21119</v>
      </c>
      <c r="D51" s="5">
        <f t="shared" si="10"/>
        <v>1203783</v>
      </c>
      <c r="E51" s="5">
        <f ca="1">F44</f>
        <v>0.47159999999999996</v>
      </c>
      <c r="F51" s="5">
        <f>F49</f>
        <v>9773.3333333333339</v>
      </c>
      <c r="G51" s="5">
        <f t="shared" si="11"/>
        <v>107497.82190000001</v>
      </c>
      <c r="H51" s="5">
        <f t="shared" ca="1" si="12"/>
        <v>1086511.3731666666</v>
      </c>
    </row>
    <row r="52" spans="1:8" x14ac:dyDescent="0.25">
      <c r="A52" s="5">
        <v>6</v>
      </c>
      <c r="B52" s="5">
        <f t="shared" si="9"/>
        <v>57</v>
      </c>
      <c r="C52" s="5">
        <v>21095</v>
      </c>
      <c r="D52" s="5">
        <f t="shared" si="10"/>
        <v>1202415</v>
      </c>
      <c r="E52" s="5">
        <f ca="1">F44</f>
        <v>0.47159999999999996</v>
      </c>
      <c r="F52" s="5">
        <f>F51</f>
        <v>9773.3333333333339</v>
      </c>
      <c r="G52" s="5">
        <f t="shared" si="11"/>
        <v>107255.41800000001</v>
      </c>
      <c r="H52" s="5">
        <f t="shared" ca="1" si="12"/>
        <v>1085385.7770666666</v>
      </c>
    </row>
    <row r="53" spans="1:8" x14ac:dyDescent="0.25">
      <c r="A53" s="5">
        <v>7</v>
      </c>
      <c r="B53" s="5">
        <f t="shared" si="9"/>
        <v>57</v>
      </c>
      <c r="C53" s="5">
        <v>21119</v>
      </c>
      <c r="D53" s="5">
        <f t="shared" si="10"/>
        <v>1203783</v>
      </c>
      <c r="E53" s="5">
        <f ca="1">F44</f>
        <v>0.47159999999999996</v>
      </c>
      <c r="F53" s="5">
        <f>F51</f>
        <v>9773.3333333333339</v>
      </c>
      <c r="G53" s="5">
        <f t="shared" si="11"/>
        <v>107497.82190000001</v>
      </c>
      <c r="H53" s="5">
        <f t="shared" ca="1" si="12"/>
        <v>1086511.3731666666</v>
      </c>
    </row>
    <row r="54" spans="1:8" x14ac:dyDescent="0.25">
      <c r="A54" s="5">
        <v>8</v>
      </c>
      <c r="B54" s="5">
        <f t="shared" si="9"/>
        <v>57</v>
      </c>
      <c r="C54" s="5">
        <v>10547</v>
      </c>
      <c r="D54" s="5">
        <f t="shared" si="10"/>
        <v>601179</v>
      </c>
      <c r="E54" s="5">
        <f ca="1">F44</f>
        <v>0.47159999999999996</v>
      </c>
      <c r="F54" s="5">
        <f>F51</f>
        <v>9773.3333333333339</v>
      </c>
      <c r="G54" s="5">
        <f t="shared" si="11"/>
        <v>26812.5834</v>
      </c>
      <c r="H54" s="5">
        <f t="shared" ca="1" si="12"/>
        <v>564592.61166666658</v>
      </c>
    </row>
    <row r="55" spans="1:8" x14ac:dyDescent="0.25">
      <c r="C55" s="5">
        <f>SUM(C47:C54)</f>
        <v>236490</v>
      </c>
      <c r="G55" s="5">
        <f t="shared" si="11"/>
        <v>0</v>
      </c>
    </row>
    <row r="57" spans="1:8" ht="15.75" x14ac:dyDescent="0.25">
      <c r="A57" s="9" t="s">
        <v>80</v>
      </c>
      <c r="B57" s="5"/>
      <c r="C57" s="5"/>
      <c r="D57" s="5"/>
      <c r="E57" s="5"/>
      <c r="F57" s="5"/>
      <c r="G57" s="5"/>
      <c r="H57" s="5"/>
    </row>
    <row r="58" spans="1:8" x14ac:dyDescent="0.25">
      <c r="A58" s="8" t="s">
        <v>68</v>
      </c>
      <c r="B58" s="6" t="s">
        <v>77</v>
      </c>
      <c r="C58" s="6" t="s">
        <v>81</v>
      </c>
      <c r="D58" s="6" t="s">
        <v>82</v>
      </c>
      <c r="E58" s="6"/>
      <c r="F58" s="6"/>
      <c r="G58" s="6"/>
      <c r="H58" s="6"/>
    </row>
    <row r="59" spans="1:8" x14ac:dyDescent="0.25">
      <c r="A59" s="5">
        <v>0</v>
      </c>
      <c r="B59" s="10">
        <v>0</v>
      </c>
      <c r="C59" s="5">
        <f>B33</f>
        <v>234705</v>
      </c>
      <c r="D59" s="5">
        <f>C59*-1</f>
        <v>-234705</v>
      </c>
    </row>
    <row r="60" spans="1:8" x14ac:dyDescent="0.25">
      <c r="A60" s="5">
        <v>1</v>
      </c>
      <c r="B60" s="10">
        <v>1926258</v>
      </c>
      <c r="C60" s="5">
        <f t="shared" ref="C60:C67" si="13">B60*18.5%</f>
        <v>356357.73</v>
      </c>
      <c r="D60" s="5">
        <f>C60*-1-D59</f>
        <v>-121652.72999999998</v>
      </c>
    </row>
    <row r="61" spans="1:8" x14ac:dyDescent="0.25">
      <c r="A61" s="5">
        <v>2</v>
      </c>
      <c r="B61" s="10">
        <v>3301212</v>
      </c>
      <c r="C61" s="5">
        <f t="shared" si="13"/>
        <v>610724.22</v>
      </c>
      <c r="D61" s="5">
        <f t="shared" ref="D61:D67" si="14">C60-C61</f>
        <v>-254366.49</v>
      </c>
    </row>
    <row r="62" spans="1:8" x14ac:dyDescent="0.25">
      <c r="A62" s="5">
        <v>3</v>
      </c>
      <c r="B62" s="10">
        <v>2357634</v>
      </c>
      <c r="C62" s="5">
        <f t="shared" si="13"/>
        <v>436162.29</v>
      </c>
      <c r="D62" s="5">
        <f t="shared" si="14"/>
        <v>174561.93</v>
      </c>
    </row>
    <row r="63" spans="1:8" x14ac:dyDescent="0.25">
      <c r="A63" s="5">
        <v>4</v>
      </c>
      <c r="B63" s="10">
        <v>1683666</v>
      </c>
      <c r="C63" s="5">
        <f t="shared" si="13"/>
        <v>311478.21000000002</v>
      </c>
      <c r="D63" s="5">
        <f t="shared" si="14"/>
        <v>124684.07999999996</v>
      </c>
    </row>
    <row r="64" spans="1:8" x14ac:dyDescent="0.25">
      <c r="A64" s="5">
        <v>5</v>
      </c>
      <c r="B64" s="10">
        <v>1203783</v>
      </c>
      <c r="C64" s="5">
        <f t="shared" si="13"/>
        <v>222699.85500000001</v>
      </c>
      <c r="D64" s="5">
        <f t="shared" si="14"/>
        <v>88778.35500000001</v>
      </c>
    </row>
    <row r="65" spans="1:8" x14ac:dyDescent="0.25">
      <c r="A65" s="5">
        <v>6</v>
      </c>
      <c r="B65" s="10">
        <v>1202415</v>
      </c>
      <c r="C65" s="5">
        <f t="shared" si="13"/>
        <v>222446.77499999999</v>
      </c>
      <c r="D65" s="5">
        <f t="shared" si="14"/>
        <v>253.0800000000163</v>
      </c>
    </row>
    <row r="66" spans="1:8" x14ac:dyDescent="0.25">
      <c r="A66" s="5">
        <v>7</v>
      </c>
      <c r="B66" s="10">
        <v>1203783</v>
      </c>
      <c r="C66" s="5">
        <f t="shared" si="13"/>
        <v>222699.85500000001</v>
      </c>
      <c r="D66" s="5">
        <f t="shared" si="14"/>
        <v>-253.0800000000163</v>
      </c>
    </row>
    <row r="67" spans="1:8" x14ac:dyDescent="0.25">
      <c r="A67" s="5">
        <v>8</v>
      </c>
      <c r="B67" s="10">
        <v>601179</v>
      </c>
      <c r="C67" s="5">
        <f t="shared" si="13"/>
        <v>111218.11500000001</v>
      </c>
      <c r="D67" s="5">
        <f t="shared" si="14"/>
        <v>111481.74</v>
      </c>
    </row>
    <row r="69" spans="1:8" ht="15.75" x14ac:dyDescent="0.25">
      <c r="A69" s="15" t="s">
        <v>83</v>
      </c>
      <c r="B69" s="16"/>
      <c r="C69" s="16"/>
      <c r="D69" s="7"/>
      <c r="E69" s="7"/>
      <c r="F69" s="5"/>
      <c r="G69" s="5"/>
      <c r="H69" s="5"/>
    </row>
    <row r="70" spans="1:8" x14ac:dyDescent="0.25">
      <c r="A70" s="8" t="s">
        <v>84</v>
      </c>
      <c r="B70" s="7"/>
      <c r="C70" s="7"/>
      <c r="D70" s="7"/>
      <c r="E70" s="7"/>
    </row>
    <row r="71" spans="1:8" x14ac:dyDescent="0.25">
      <c r="A71" s="8" t="s">
        <v>68</v>
      </c>
      <c r="B71" s="8" t="s">
        <v>64</v>
      </c>
      <c r="C71" s="8" t="s">
        <v>85</v>
      </c>
      <c r="D71" s="8" t="s">
        <v>86</v>
      </c>
      <c r="E71" s="8" t="s">
        <v>84</v>
      </c>
      <c r="F71" s="6"/>
      <c r="G71" s="6"/>
      <c r="H71" s="6"/>
    </row>
    <row r="72" spans="1:8" x14ac:dyDescent="0.25">
      <c r="A72" s="5">
        <v>1</v>
      </c>
      <c r="B72" s="5">
        <f t="shared" ref="B72:B79" ca="1" si="15">H47</f>
        <v>1641221.9268666666</v>
      </c>
      <c r="C72" s="5">
        <f t="shared" ref="C72:C79" si="16">G47</f>
        <v>275262.26819999999</v>
      </c>
      <c r="D72" s="5">
        <f t="shared" ref="D72:D79" ca="1" si="17">B72*0.24</f>
        <v>393893.26244799996</v>
      </c>
      <c r="E72" s="5">
        <f t="shared" ref="E72:E79" ca="1" si="18">B72+C72-D72</f>
        <v>1522590.9326186667</v>
      </c>
    </row>
    <row r="73" spans="1:8" x14ac:dyDescent="0.25">
      <c r="A73" s="5">
        <v>2</v>
      </c>
      <c r="B73" s="5">
        <f t="shared" ca="1" si="15"/>
        <v>2482971.3762666667</v>
      </c>
      <c r="C73" s="5">
        <f t="shared" si="16"/>
        <v>808466.81880000001</v>
      </c>
      <c r="D73" s="5">
        <f t="shared" ca="1" si="17"/>
        <v>595913.13030399999</v>
      </c>
      <c r="E73" s="5">
        <f t="shared" ca="1" si="18"/>
        <v>2695525.0647626668</v>
      </c>
    </row>
    <row r="74" spans="1:8" x14ac:dyDescent="0.25">
      <c r="A74" s="5">
        <v>3</v>
      </c>
      <c r="B74" s="5">
        <f t="shared" ca="1" si="15"/>
        <v>1935510.0084666666</v>
      </c>
      <c r="C74" s="5">
        <f t="shared" si="16"/>
        <v>412350.18660000002</v>
      </c>
      <c r="D74" s="5">
        <f t="shared" ca="1" si="17"/>
        <v>464522.40203199995</v>
      </c>
      <c r="E74" s="5">
        <f t="shared" ca="1" si="18"/>
        <v>1883337.7930346667</v>
      </c>
    </row>
    <row r="75" spans="1:8" x14ac:dyDescent="0.25">
      <c r="A75" s="5">
        <v>4</v>
      </c>
      <c r="B75" s="5">
        <f t="shared" ca="1" si="15"/>
        <v>1463602.3116666668</v>
      </c>
      <c r="C75" s="5">
        <f t="shared" si="16"/>
        <v>210289.88339999999</v>
      </c>
      <c r="D75" s="5">
        <f t="shared" ca="1" si="17"/>
        <v>351264.55479999998</v>
      </c>
      <c r="E75" s="5">
        <f t="shared" ca="1" si="18"/>
        <v>1322627.6402666667</v>
      </c>
    </row>
    <row r="76" spans="1:8" x14ac:dyDescent="0.25">
      <c r="A76" s="5">
        <v>5</v>
      </c>
      <c r="B76" s="5">
        <f t="shared" ca="1" si="15"/>
        <v>1086511.3731666666</v>
      </c>
      <c r="C76" s="5">
        <f t="shared" si="16"/>
        <v>107497.82190000001</v>
      </c>
      <c r="D76" s="5">
        <f t="shared" ca="1" si="17"/>
        <v>260762.72955999998</v>
      </c>
      <c r="E76" s="5">
        <f t="shared" ca="1" si="18"/>
        <v>933246.46550666669</v>
      </c>
    </row>
    <row r="77" spans="1:8" x14ac:dyDescent="0.25">
      <c r="A77" s="5">
        <v>6</v>
      </c>
      <c r="B77" s="5">
        <f t="shared" ca="1" si="15"/>
        <v>1085385.7770666666</v>
      </c>
      <c r="C77" s="5">
        <f t="shared" si="16"/>
        <v>107255.41800000001</v>
      </c>
      <c r="D77" s="5">
        <f t="shared" ca="1" si="17"/>
        <v>260492.58649599997</v>
      </c>
      <c r="E77" s="5">
        <f t="shared" ca="1" si="18"/>
        <v>932148.60857066675</v>
      </c>
    </row>
    <row r="78" spans="1:8" x14ac:dyDescent="0.25">
      <c r="A78" s="5">
        <v>7</v>
      </c>
      <c r="B78" s="5">
        <f t="shared" ca="1" si="15"/>
        <v>1086511.3731666666</v>
      </c>
      <c r="C78" s="5">
        <f t="shared" si="16"/>
        <v>107497.82190000001</v>
      </c>
      <c r="D78" s="5">
        <f t="shared" ca="1" si="17"/>
        <v>260762.72955999998</v>
      </c>
      <c r="E78" s="5">
        <f t="shared" ca="1" si="18"/>
        <v>933246.46550666669</v>
      </c>
    </row>
    <row r="79" spans="1:8" x14ac:dyDescent="0.25">
      <c r="A79" s="5">
        <v>8</v>
      </c>
      <c r="B79" s="5">
        <f t="shared" ca="1" si="15"/>
        <v>564592.61166666658</v>
      </c>
      <c r="C79" s="5">
        <f t="shared" si="16"/>
        <v>26812.5834</v>
      </c>
      <c r="D79" s="5">
        <f t="shared" ca="1" si="17"/>
        <v>135502.22679999997</v>
      </c>
      <c r="E79" s="5">
        <f t="shared" ca="1" si="18"/>
        <v>455902.96826666663</v>
      </c>
    </row>
    <row r="80" spans="1:8" x14ac:dyDescent="0.25">
      <c r="A80" s="7"/>
      <c r="B80" s="7"/>
      <c r="C80" s="7"/>
      <c r="D80" s="7"/>
      <c r="E80" s="7"/>
    </row>
    <row r="81" spans="1:8" x14ac:dyDescent="0.25">
      <c r="A81" s="8" t="s">
        <v>87</v>
      </c>
      <c r="B81" s="8"/>
      <c r="C81" s="8"/>
      <c r="D81" s="8"/>
      <c r="E81" s="8"/>
      <c r="F81" s="5"/>
      <c r="G81" s="5"/>
      <c r="H81" s="5"/>
    </row>
    <row r="82" spans="1:8" x14ac:dyDescent="0.25">
      <c r="A82" s="8" t="s">
        <v>68</v>
      </c>
      <c r="B82" s="8" t="s">
        <v>88</v>
      </c>
      <c r="C82" s="8" t="s">
        <v>89</v>
      </c>
      <c r="D82" s="8" t="s">
        <v>90</v>
      </c>
      <c r="E82" s="8"/>
    </row>
    <row r="83" spans="1:8" x14ac:dyDescent="0.25">
      <c r="A83" s="5">
        <v>0</v>
      </c>
      <c r="B83" s="5">
        <f>D59</f>
        <v>-234705</v>
      </c>
      <c r="C83" s="5">
        <v>0</v>
      </c>
      <c r="D83" s="5">
        <f>-F33+B83</f>
        <v>-444705</v>
      </c>
    </row>
    <row r="84" spans="1:8" x14ac:dyDescent="0.25">
      <c r="A84" s="5">
        <v>1</v>
      </c>
      <c r="C84" s="5">
        <f t="shared" ref="C84:C91" si="19">D60</f>
        <v>-121652.72999999998</v>
      </c>
      <c r="D84" s="5">
        <f t="shared" ref="D84:D92" si="20">C84</f>
        <v>-121652.72999999998</v>
      </c>
    </row>
    <row r="85" spans="1:8" x14ac:dyDescent="0.25">
      <c r="A85" s="5">
        <v>2</v>
      </c>
      <c r="C85" s="5">
        <f t="shared" si="19"/>
        <v>-254366.49</v>
      </c>
      <c r="D85" s="5">
        <f t="shared" si="20"/>
        <v>-254366.49</v>
      </c>
    </row>
    <row r="86" spans="1:8" x14ac:dyDescent="0.25">
      <c r="A86" s="5">
        <v>3</v>
      </c>
      <c r="C86" s="5">
        <f t="shared" si="19"/>
        <v>174561.93</v>
      </c>
      <c r="D86" s="5">
        <f t="shared" si="20"/>
        <v>174561.93</v>
      </c>
    </row>
    <row r="87" spans="1:8" x14ac:dyDescent="0.25">
      <c r="A87" s="5">
        <v>4</v>
      </c>
      <c r="C87" s="5">
        <f t="shared" si="19"/>
        <v>124684.07999999996</v>
      </c>
      <c r="D87" s="5">
        <f t="shared" si="20"/>
        <v>124684.07999999996</v>
      </c>
    </row>
    <row r="88" spans="1:8" x14ac:dyDescent="0.25">
      <c r="A88" s="5">
        <v>5</v>
      </c>
      <c r="C88" s="5">
        <f t="shared" si="19"/>
        <v>88778.35500000001</v>
      </c>
      <c r="D88" s="5">
        <f t="shared" si="20"/>
        <v>88778.35500000001</v>
      </c>
    </row>
    <row r="89" spans="1:8" x14ac:dyDescent="0.25">
      <c r="A89" s="5">
        <v>6</v>
      </c>
      <c r="C89" s="5">
        <f t="shared" si="19"/>
        <v>253.0800000000163</v>
      </c>
      <c r="D89" s="5">
        <f t="shared" si="20"/>
        <v>253.0800000000163</v>
      </c>
    </row>
    <row r="90" spans="1:8" x14ac:dyDescent="0.25">
      <c r="A90" s="5">
        <v>7</v>
      </c>
      <c r="C90" s="5">
        <f t="shared" si="19"/>
        <v>-253.0800000000163</v>
      </c>
      <c r="D90" s="5">
        <f t="shared" si="20"/>
        <v>-253.0800000000163</v>
      </c>
    </row>
    <row r="91" spans="1:8" x14ac:dyDescent="0.25">
      <c r="A91" s="5">
        <v>8</v>
      </c>
      <c r="C91" s="5">
        <f t="shared" si="19"/>
        <v>111481.74</v>
      </c>
      <c r="D91" s="5">
        <f t="shared" si="20"/>
        <v>111481.74</v>
      </c>
    </row>
    <row r="92" spans="1:8" x14ac:dyDescent="0.25">
      <c r="C92" s="5">
        <f>C67+F33*25%*(1-'[1]Income statement'!H$8)</f>
        <v>151118.11499999999</v>
      </c>
      <c r="D92" s="5">
        <f t="shared" si="20"/>
        <v>151118.11499999999</v>
      </c>
    </row>
    <row r="94" spans="1:8" ht="15.75" x14ac:dyDescent="0.25">
      <c r="A94" s="7"/>
      <c r="B94" s="15" t="s">
        <v>91</v>
      </c>
      <c r="C94" s="16"/>
      <c r="D94" s="7" t="s">
        <v>92</v>
      </c>
      <c r="E94" s="11">
        <v>0.13</v>
      </c>
      <c r="F94" s="7"/>
      <c r="G94" s="7"/>
      <c r="H94" s="7"/>
    </row>
    <row r="95" spans="1:8" x14ac:dyDescent="0.25">
      <c r="A95" s="8" t="s">
        <v>68</v>
      </c>
      <c r="B95" s="8" t="s">
        <v>84</v>
      </c>
      <c r="C95" s="8" t="s">
        <v>93</v>
      </c>
      <c r="D95" s="8" t="s">
        <v>94</v>
      </c>
      <c r="E95" s="8" t="s">
        <v>95</v>
      </c>
      <c r="F95" s="8"/>
      <c r="G95" s="8"/>
      <c r="H95" s="8"/>
    </row>
    <row r="96" spans="1:8" x14ac:dyDescent="0.25">
      <c r="A96" s="5">
        <v>0</v>
      </c>
      <c r="B96" s="5">
        <v>0</v>
      </c>
      <c r="C96" s="5">
        <f t="shared" ref="C96:C104" si="21">D83</f>
        <v>-444705</v>
      </c>
      <c r="D96" s="5">
        <f t="shared" ref="D96:D104" si="22">C96+B96</f>
        <v>-444705</v>
      </c>
      <c r="E96" s="5">
        <f>D96</f>
        <v>-444705</v>
      </c>
      <c r="G96" s="5">
        <f t="shared" ref="G96:G104" si="23">ABS(C96)</f>
        <v>444705</v>
      </c>
    </row>
    <row r="97" spans="1:7" x14ac:dyDescent="0.25">
      <c r="A97" s="5">
        <v>1</v>
      </c>
      <c r="B97" s="5">
        <f t="shared" ref="B97:B104" ca="1" si="24">E72</f>
        <v>1522590.9326186667</v>
      </c>
      <c r="C97" s="5">
        <f t="shared" si="21"/>
        <v>-121652.72999999998</v>
      </c>
      <c r="D97" s="5">
        <f t="shared" ca="1" si="22"/>
        <v>1400938.2026186667</v>
      </c>
      <c r="E97" s="5">
        <f t="shared" ref="E97:E104" ca="1" si="25">D97*(1+E$62)^(-A97)</f>
        <v>1400938.2026186667</v>
      </c>
      <c r="G97" s="5">
        <f t="shared" si="23"/>
        <v>121652.72999999998</v>
      </c>
    </row>
    <row r="98" spans="1:7" x14ac:dyDescent="0.25">
      <c r="A98" s="5">
        <v>2</v>
      </c>
      <c r="B98" s="5">
        <f t="shared" ca="1" si="24"/>
        <v>2695525.0647626668</v>
      </c>
      <c r="C98" s="5">
        <f t="shared" si="21"/>
        <v>-254366.49</v>
      </c>
      <c r="D98" s="5">
        <f t="shared" ca="1" si="22"/>
        <v>2441158.5747626666</v>
      </c>
      <c r="E98" s="5">
        <f t="shared" ca="1" si="25"/>
        <v>2441158.5747626666</v>
      </c>
      <c r="G98" s="5">
        <f t="shared" si="23"/>
        <v>254366.49</v>
      </c>
    </row>
    <row r="99" spans="1:7" x14ac:dyDescent="0.25">
      <c r="A99" s="5">
        <v>3</v>
      </c>
      <c r="B99" s="5">
        <f t="shared" ca="1" si="24"/>
        <v>1883337.7930346667</v>
      </c>
      <c r="C99" s="5">
        <f t="shared" si="21"/>
        <v>174561.93</v>
      </c>
      <c r="D99" s="5">
        <f t="shared" ca="1" si="22"/>
        <v>2057899.7230346666</v>
      </c>
      <c r="E99" s="5">
        <f t="shared" ca="1" si="25"/>
        <v>2057899.7230346666</v>
      </c>
      <c r="F99" s="5">
        <f>A99+(C99/G105)</f>
        <v>4.1895312864019196</v>
      </c>
      <c r="G99" s="5">
        <f t="shared" si="23"/>
        <v>174561.93</v>
      </c>
    </row>
    <row r="100" spans="1:7" x14ac:dyDescent="0.25">
      <c r="A100" s="5">
        <v>4</v>
      </c>
      <c r="B100" s="5">
        <f t="shared" ca="1" si="24"/>
        <v>1322627.6402666667</v>
      </c>
      <c r="C100" s="5">
        <f t="shared" si="21"/>
        <v>124684.07999999996</v>
      </c>
      <c r="D100" s="5">
        <f t="shared" ca="1" si="22"/>
        <v>1447311.7202666667</v>
      </c>
      <c r="E100" s="5">
        <f t="shared" ca="1" si="25"/>
        <v>1447311.7202666667</v>
      </c>
      <c r="G100" s="5">
        <f t="shared" si="23"/>
        <v>124684.07999999996</v>
      </c>
    </row>
    <row r="101" spans="1:7" x14ac:dyDescent="0.25">
      <c r="A101" s="5">
        <v>5</v>
      </c>
      <c r="B101" s="5">
        <f t="shared" ca="1" si="24"/>
        <v>933246.46550666669</v>
      </c>
      <c r="C101" s="5">
        <f t="shared" si="21"/>
        <v>88778.35500000001</v>
      </c>
      <c r="D101" s="5">
        <f t="shared" ca="1" si="22"/>
        <v>1022024.8205066667</v>
      </c>
      <c r="E101" s="5">
        <f t="shared" ca="1" si="25"/>
        <v>1022024.8205066667</v>
      </c>
      <c r="G101" s="5">
        <f t="shared" si="23"/>
        <v>88778.35500000001</v>
      </c>
    </row>
    <row r="102" spans="1:7" x14ac:dyDescent="0.25">
      <c r="A102" s="5">
        <v>6</v>
      </c>
      <c r="B102" s="5">
        <f t="shared" ca="1" si="24"/>
        <v>932148.60857066675</v>
      </c>
      <c r="C102" s="5">
        <f t="shared" si="21"/>
        <v>253.0800000000163</v>
      </c>
      <c r="D102" s="5">
        <f t="shared" ca="1" si="22"/>
        <v>932401.68857066683</v>
      </c>
      <c r="E102" s="5">
        <f t="shared" ca="1" si="25"/>
        <v>932401.68857066683</v>
      </c>
      <c r="G102" s="5">
        <f t="shared" si="23"/>
        <v>253.0800000000163</v>
      </c>
    </row>
    <row r="103" spans="1:7" x14ac:dyDescent="0.25">
      <c r="A103" s="5">
        <v>7</v>
      </c>
      <c r="B103" s="5">
        <f t="shared" ca="1" si="24"/>
        <v>933246.46550666669</v>
      </c>
      <c r="C103" s="5">
        <f t="shared" si="21"/>
        <v>-253.0800000000163</v>
      </c>
      <c r="D103" s="5">
        <f t="shared" ca="1" si="22"/>
        <v>932993.38550666673</v>
      </c>
      <c r="E103" s="5">
        <f t="shared" ca="1" si="25"/>
        <v>932993.38550666673</v>
      </c>
      <c r="G103" s="5">
        <f t="shared" si="23"/>
        <v>253.0800000000163</v>
      </c>
    </row>
    <row r="104" spans="1:7" x14ac:dyDescent="0.25">
      <c r="A104" s="5">
        <v>8</v>
      </c>
      <c r="B104" s="5">
        <f t="shared" ca="1" si="24"/>
        <v>455902.96826666663</v>
      </c>
      <c r="C104" s="5">
        <f t="shared" si="21"/>
        <v>111481.74</v>
      </c>
      <c r="D104" s="5">
        <f t="shared" ca="1" si="22"/>
        <v>567384.70826666662</v>
      </c>
      <c r="E104" s="5">
        <f t="shared" ca="1" si="25"/>
        <v>567384.70826666662</v>
      </c>
      <c r="G104" s="5">
        <f t="shared" si="23"/>
        <v>111481.74</v>
      </c>
    </row>
    <row r="105" spans="1:7" x14ac:dyDescent="0.25">
      <c r="A105" s="5"/>
      <c r="B105" s="5">
        <f ca="1">AVERAGE(B97:B104)</f>
        <v>1334828.2423166665</v>
      </c>
      <c r="E105" s="5">
        <f ca="1">SUM(E96:E104)</f>
        <v>10357407.823533334</v>
      </c>
      <c r="G105" s="5">
        <f>AVERAGE(G96:G104)</f>
        <v>146748.49833333335</v>
      </c>
    </row>
    <row r="106" spans="1:7" x14ac:dyDescent="0.25">
      <c r="A106" s="5"/>
      <c r="E106" s="5">
        <f ca="1">(-1*E96+E105)/(-1*E96)</f>
        <v>24.290513539387536</v>
      </c>
    </row>
    <row r="107" spans="1:7" x14ac:dyDescent="0.25">
      <c r="A107" s="5"/>
    </row>
  </sheetData>
  <mergeCells count="2">
    <mergeCell ref="A69:C69"/>
    <mergeCell ref="B94:C9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F5187-695F-AA48-9CF1-74A2D5B23201}">
  <dimension ref="A1:U102"/>
  <sheetViews>
    <sheetView topLeftCell="A38" zoomScale="90" zoomScaleNormal="90" workbookViewId="0">
      <selection activeCell="H30" sqref="H30"/>
    </sheetView>
  </sheetViews>
  <sheetFormatPr defaultColWidth="11.5703125" defaultRowHeight="15" x14ac:dyDescent="0.25"/>
  <sheetData>
    <row r="1" spans="1:21" x14ac:dyDescent="0.25">
      <c r="A1" t="s">
        <v>0</v>
      </c>
      <c r="C1" t="s">
        <v>42</v>
      </c>
      <c r="E1" t="s">
        <v>1</v>
      </c>
      <c r="G1" t="s">
        <v>42</v>
      </c>
      <c r="K1" t="s">
        <v>52</v>
      </c>
    </row>
    <row r="2" spans="1:21" x14ac:dyDescent="0.25">
      <c r="A2" t="s">
        <v>2</v>
      </c>
      <c r="C2">
        <v>16000</v>
      </c>
      <c r="E2" t="s">
        <v>3</v>
      </c>
      <c r="G2">
        <v>12500</v>
      </c>
      <c r="I2" t="s">
        <v>44</v>
      </c>
      <c r="K2">
        <f ca="1" xml:space="preserve"> RANDBETWEEN(10050, 10500)</f>
        <v>10319</v>
      </c>
    </row>
    <row r="3" spans="1:21" x14ac:dyDescent="0.25">
      <c r="A3" t="s">
        <v>4</v>
      </c>
      <c r="C3">
        <f ca="1">L15</f>
        <v>4087.870900830821</v>
      </c>
      <c r="E3" t="s">
        <v>5</v>
      </c>
      <c r="G3">
        <v>18700</v>
      </c>
      <c r="I3" t="s">
        <v>45</v>
      </c>
      <c r="K3">
        <f ca="1" xml:space="preserve"> RANDBETWEEN(40, 45)</f>
        <v>44</v>
      </c>
      <c r="L3">
        <f ca="1">K2*K3</f>
        <v>454036</v>
      </c>
    </row>
    <row r="4" spans="1:21" x14ac:dyDescent="0.25">
      <c r="A4" t="s">
        <v>6</v>
      </c>
      <c r="C4">
        <f ca="1">L16</f>
        <v>6149.5454245863857</v>
      </c>
      <c r="E4" t="s">
        <v>7</v>
      </c>
      <c r="G4">
        <v>3500</v>
      </c>
      <c r="I4" t="s">
        <v>46</v>
      </c>
      <c r="K4">
        <f ca="1" xml:space="preserve"> RANDBETWEEN(35, 40) / 100</f>
        <v>0.35</v>
      </c>
      <c r="L4">
        <f ca="1">L3*K4</f>
        <v>158912.59999999998</v>
      </c>
    </row>
    <row r="5" spans="1:21" x14ac:dyDescent="0.25">
      <c r="A5" t="s">
        <v>8</v>
      </c>
      <c r="C5">
        <v>1450</v>
      </c>
      <c r="E5" t="s">
        <v>9</v>
      </c>
      <c r="G5">
        <v>5600</v>
      </c>
      <c r="I5" t="s">
        <v>47</v>
      </c>
      <c r="K5">
        <f ca="1" xml:space="preserve"> RANDBETWEEN(20, 25) / 100</f>
        <v>0.22</v>
      </c>
      <c r="L5">
        <f ca="1">L3*K5</f>
        <v>99887.92</v>
      </c>
      <c r="O5" t="s">
        <v>62</v>
      </c>
      <c r="Q5">
        <f>C16</f>
        <v>2640</v>
      </c>
    </row>
    <row r="6" spans="1:21" x14ac:dyDescent="0.25">
      <c r="A6" t="s">
        <v>10</v>
      </c>
      <c r="C6">
        <v>23000</v>
      </c>
      <c r="E6" t="s">
        <v>11</v>
      </c>
      <c r="G6">
        <v>12500</v>
      </c>
      <c r="I6" t="s">
        <v>48</v>
      </c>
      <c r="K6">
        <f ca="1" xml:space="preserve"> RANDBETWEEN(10, 13) / 100</f>
        <v>0.1</v>
      </c>
      <c r="L6">
        <f ca="1">L3*K6</f>
        <v>45403.600000000006</v>
      </c>
    </row>
    <row r="7" spans="1:21" x14ac:dyDescent="0.25">
      <c r="A7" t="s">
        <v>12</v>
      </c>
      <c r="C7">
        <v>2300</v>
      </c>
      <c r="E7" t="s">
        <v>13</v>
      </c>
      <c r="G7">
        <v>12000</v>
      </c>
      <c r="I7" t="s">
        <v>62</v>
      </c>
      <c r="K7" s="1"/>
      <c r="L7">
        <f>U10</f>
        <v>1635.7785785043575</v>
      </c>
      <c r="O7" t="str">
        <f>A12</f>
        <v xml:space="preserve">Land </v>
      </c>
      <c r="P7">
        <f>C12</f>
        <v>53000</v>
      </c>
      <c r="Q7">
        <f>P7/$P$12</f>
        <v>0.16621714859185849</v>
      </c>
      <c r="R7">
        <f>Q7*$Q$5</f>
        <v>438.81327228250643</v>
      </c>
    </row>
    <row r="8" spans="1:21" x14ac:dyDescent="0.25">
      <c r="A8" t="s">
        <v>14</v>
      </c>
      <c r="C8">
        <v>1250</v>
      </c>
      <c r="E8" t="s">
        <v>15</v>
      </c>
      <c r="G8">
        <v>7300</v>
      </c>
      <c r="I8" t="s">
        <v>64</v>
      </c>
      <c r="L8">
        <f ca="1">L3-L4-L5-L6-L7</f>
        <v>148196.10142149567</v>
      </c>
      <c r="O8" t="str">
        <f t="shared" ref="O8:O10" si="0">A13</f>
        <v xml:space="preserve">Land improvements </v>
      </c>
      <c r="P8">
        <f t="shared" ref="P8:P10" si="1">C13</f>
        <v>18500</v>
      </c>
      <c r="Q8">
        <f t="shared" ref="Q8:Q11" si="2">P8/$P$12</f>
        <v>5.801919337640344E-2</v>
      </c>
      <c r="R8">
        <f t="shared" ref="R8:R10" si="3">Q8*$Q$5</f>
        <v>153.17067051370509</v>
      </c>
      <c r="S8">
        <f>R8/$R$12</f>
        <v>6.8901303538175057E-2</v>
      </c>
      <c r="T8">
        <f>$R$7*S8</f>
        <v>30.234806470116837</v>
      </c>
      <c r="U8">
        <f>T8+R8</f>
        <v>183.40547698382193</v>
      </c>
    </row>
    <row r="9" spans="1:21" x14ac:dyDescent="0.25">
      <c r="A9" t="s">
        <v>16</v>
      </c>
      <c r="C9">
        <v>1850</v>
      </c>
      <c r="I9" t="s">
        <v>49</v>
      </c>
      <c r="K9" s="1">
        <v>0.24</v>
      </c>
      <c r="L9">
        <f ca="1">L8*24%</f>
        <v>35567.064341158955</v>
      </c>
      <c r="O9" t="str">
        <f t="shared" si="0"/>
        <v xml:space="preserve">Buildings </v>
      </c>
      <c r="P9">
        <f t="shared" si="1"/>
        <v>85000</v>
      </c>
      <c r="Q9">
        <f t="shared" si="2"/>
        <v>0.26657467226996173</v>
      </c>
      <c r="R9">
        <f t="shared" si="3"/>
        <v>703.75713479269893</v>
      </c>
      <c r="S9">
        <f t="shared" ref="S9:S10" si="4">R9/$R$12</f>
        <v>0.31657355679702048</v>
      </c>
      <c r="T9">
        <f t="shared" ref="T9:T10" si="5">$R$7*S9</f>
        <v>138.91667837621247</v>
      </c>
      <c r="U9">
        <f t="shared" ref="U9:U10" si="6">T9+R9</f>
        <v>842.67381316891147</v>
      </c>
    </row>
    <row r="10" spans="1:21" x14ac:dyDescent="0.25">
      <c r="A10" t="s">
        <v>17</v>
      </c>
      <c r="I10" t="s">
        <v>65</v>
      </c>
      <c r="L10">
        <f ca="1">L8-L9</f>
        <v>112629.03708033671</v>
      </c>
      <c r="O10" t="str">
        <f t="shared" si="0"/>
        <v xml:space="preserve">Equipment </v>
      </c>
      <c r="P10">
        <f t="shared" si="1"/>
        <v>165000</v>
      </c>
      <c r="Q10">
        <f t="shared" si="2"/>
        <v>0.51746848146521984</v>
      </c>
      <c r="R10">
        <f t="shared" si="3"/>
        <v>1366.1167910681804</v>
      </c>
      <c r="S10">
        <f t="shared" si="4"/>
        <v>0.6145251396648046</v>
      </c>
      <c r="T10">
        <f t="shared" si="5"/>
        <v>269.66178743617718</v>
      </c>
      <c r="U10">
        <f t="shared" si="6"/>
        <v>1635.7785785043575</v>
      </c>
    </row>
    <row r="11" spans="1:21" x14ac:dyDescent="0.25">
      <c r="A11" t="s">
        <v>18</v>
      </c>
      <c r="E11" t="s">
        <v>19</v>
      </c>
      <c r="I11" t="s">
        <v>50</v>
      </c>
      <c r="K11">
        <f ca="1">RANDBETWEEN(52, 65) / 100</f>
        <v>0.61</v>
      </c>
      <c r="L11">
        <f ca="1">L10*K11</f>
        <v>68703.712619005397</v>
      </c>
      <c r="O11" t="str">
        <f>A16</f>
        <v xml:space="preserve">(Fixed Depr) </v>
      </c>
      <c r="P11">
        <v>-2640</v>
      </c>
      <c r="Q11">
        <f t="shared" si="2"/>
        <v>-8.2794957034435183E-3</v>
      </c>
    </row>
    <row r="12" spans="1:21" x14ac:dyDescent="0.25">
      <c r="A12" t="s">
        <v>20</v>
      </c>
      <c r="C12">
        <v>53000</v>
      </c>
      <c r="E12" t="s">
        <v>21</v>
      </c>
      <c r="G12">
        <v>35000</v>
      </c>
      <c r="I12" t="s">
        <v>51</v>
      </c>
      <c r="K12">
        <f ca="1" xml:space="preserve"> 1 - K11</f>
        <v>0.39</v>
      </c>
      <c r="L12">
        <f ca="1">L10*K12</f>
        <v>43925.324461331322</v>
      </c>
      <c r="P12">
        <f>SUM(P7:P11)</f>
        <v>318860</v>
      </c>
      <c r="R12">
        <f>SUM(R8:R10)</f>
        <v>2223.0445963745842</v>
      </c>
    </row>
    <row r="13" spans="1:21" x14ac:dyDescent="0.25">
      <c r="A13" t="s">
        <v>22</v>
      </c>
      <c r="C13">
        <v>18500</v>
      </c>
      <c r="E13" t="s">
        <v>23</v>
      </c>
      <c r="G13">
        <v>22500</v>
      </c>
    </row>
    <row r="14" spans="1:21" x14ac:dyDescent="0.25">
      <c r="A14" t="s">
        <v>24</v>
      </c>
      <c r="C14">
        <v>85000</v>
      </c>
      <c r="E14" t="s">
        <v>25</v>
      </c>
      <c r="G14">
        <v>31000</v>
      </c>
      <c r="K14" t="s">
        <v>52</v>
      </c>
      <c r="L14" t="s">
        <v>66</v>
      </c>
      <c r="M14">
        <f ca="1">L11*35%</f>
        <v>24046.299416651887</v>
      </c>
      <c r="N14" t="s">
        <v>67</v>
      </c>
      <c r="O14">
        <f ca="1">L11*65%</f>
        <v>44657.413202353513</v>
      </c>
    </row>
    <row r="15" spans="1:21" x14ac:dyDescent="0.25">
      <c r="A15" t="s">
        <v>26</v>
      </c>
      <c r="C15">
        <v>165000</v>
      </c>
      <c r="E15" t="s">
        <v>27</v>
      </c>
      <c r="G15">
        <v>23400</v>
      </c>
      <c r="I15" t="s">
        <v>4</v>
      </c>
      <c r="K15">
        <f ca="1" xml:space="preserve"> RANDBETWEEN(11, 17) / 100</f>
        <v>0.17</v>
      </c>
      <c r="L15">
        <f ca="1">$M$14*K15</f>
        <v>4087.870900830821</v>
      </c>
    </row>
    <row r="16" spans="1:21" x14ac:dyDescent="0.25">
      <c r="A16" t="s">
        <v>28</v>
      </c>
      <c r="C16">
        <v>2640</v>
      </c>
      <c r="G16">
        <f>SUM(G12:G15)</f>
        <v>111900</v>
      </c>
      <c r="I16" t="s">
        <v>6</v>
      </c>
      <c r="K16">
        <f ca="1" xml:space="preserve"> RANDBETWEEN(13, 15) / 100</f>
        <v>0.14000000000000001</v>
      </c>
      <c r="L16">
        <f ca="1">$L$12*K16</f>
        <v>6149.5454245863857</v>
      </c>
    </row>
    <row r="17" spans="1:12" x14ac:dyDescent="0.25">
      <c r="A17" t="s">
        <v>29</v>
      </c>
      <c r="E17" t="s">
        <v>30</v>
      </c>
      <c r="I17" t="s">
        <v>31</v>
      </c>
      <c r="K17">
        <f ca="1" xml:space="preserve"> RANDBETWEEN(2, 5) / 100</f>
        <v>0.04</v>
      </c>
      <c r="L17">
        <f t="shared" ref="L17:L19" ca="1" si="7">$L$12*K17</f>
        <v>1757.0129784532528</v>
      </c>
    </row>
    <row r="18" spans="1:12" x14ac:dyDescent="0.25">
      <c r="A18" t="s">
        <v>31</v>
      </c>
      <c r="C18">
        <f ca="1">L17</f>
        <v>1757.0129784532528</v>
      </c>
      <c r="E18" t="s">
        <v>32</v>
      </c>
      <c r="G18">
        <v>85000</v>
      </c>
      <c r="I18" t="s">
        <v>33</v>
      </c>
      <c r="K18">
        <f ca="1" xml:space="preserve"> RANDBETWEEN(2, 5) / 100</f>
        <v>0.03</v>
      </c>
      <c r="L18">
        <f t="shared" ca="1" si="7"/>
        <v>1317.7597338399396</v>
      </c>
    </row>
    <row r="19" spans="1:12" x14ac:dyDescent="0.25">
      <c r="A19" t="s">
        <v>33</v>
      </c>
      <c r="C19">
        <f ca="1">L18</f>
        <v>1317.7597338399396</v>
      </c>
      <c r="E19" t="s">
        <v>34</v>
      </c>
      <c r="G19">
        <f ca="1">O14+L11</f>
        <v>113361.1258213589</v>
      </c>
      <c r="I19" t="s">
        <v>17</v>
      </c>
      <c r="K19">
        <f ca="1" xml:space="preserve"> 1 - SUM(K15:K18)</f>
        <v>0.62</v>
      </c>
      <c r="L19">
        <f t="shared" ca="1" si="7"/>
        <v>27233.701166025421</v>
      </c>
    </row>
    <row r="20" spans="1:12" x14ac:dyDescent="0.25">
      <c r="A20" t="s">
        <v>35</v>
      </c>
      <c r="C20">
        <v>1450</v>
      </c>
      <c r="E20" t="s">
        <v>36</v>
      </c>
      <c r="G20">
        <f ca="1">L12</f>
        <v>43925.324461331322</v>
      </c>
    </row>
    <row r="21" spans="1:12" x14ac:dyDescent="0.25">
      <c r="A21" t="s">
        <v>37</v>
      </c>
      <c r="C21">
        <v>1250</v>
      </c>
      <c r="E21" t="s">
        <v>38</v>
      </c>
      <c r="G21">
        <v>46500</v>
      </c>
    </row>
    <row r="22" spans="1:12" x14ac:dyDescent="0.25">
      <c r="A22" t="s">
        <v>39</v>
      </c>
      <c r="C22">
        <v>8500</v>
      </c>
      <c r="E22" t="s">
        <v>40</v>
      </c>
      <c r="G22">
        <v>3100</v>
      </c>
    </row>
    <row r="23" spans="1:12" x14ac:dyDescent="0.25">
      <c r="C23">
        <f ca="1" xml:space="preserve"> SUM(C2:C22)</f>
        <v>394502.18903771043</v>
      </c>
      <c r="G23">
        <f ca="1" xml:space="preserve"> SUM(G2:G22)</f>
        <v>587786.45028269023</v>
      </c>
    </row>
    <row r="28" spans="1:12" ht="15.75" x14ac:dyDescent="0.25">
      <c r="C28" s="12" t="s">
        <v>42</v>
      </c>
      <c r="D28" s="5">
        <v>152490</v>
      </c>
      <c r="G28" s="5" t="s">
        <v>97</v>
      </c>
      <c r="H28" s="5">
        <f>210000</f>
        <v>210000</v>
      </c>
    </row>
    <row r="29" spans="1:12" x14ac:dyDescent="0.25">
      <c r="C29" s="6" t="s">
        <v>68</v>
      </c>
      <c r="D29" s="6" t="s">
        <v>69</v>
      </c>
      <c r="E29" s="6" t="s">
        <v>75</v>
      </c>
      <c r="F29" s="6" t="s">
        <v>71</v>
      </c>
      <c r="G29" s="6" t="s">
        <v>72</v>
      </c>
      <c r="H29" s="13" t="s">
        <v>73</v>
      </c>
      <c r="I29" s="6" t="s">
        <v>74</v>
      </c>
      <c r="J29" s="6"/>
      <c r="K29" s="6"/>
      <c r="L29" s="6"/>
    </row>
    <row r="30" spans="1:12" x14ac:dyDescent="0.25">
      <c r="C30" s="5">
        <v>1</v>
      </c>
      <c r="D30" s="5">
        <v>21941</v>
      </c>
      <c r="E30" s="5">
        <f ca="1">$K$3</f>
        <v>44</v>
      </c>
      <c r="F30" s="5">
        <f t="shared" ref="F30:F37" ca="1" si="8">D30*E30</f>
        <v>965404</v>
      </c>
      <c r="G30" s="5">
        <v>0.1429</v>
      </c>
      <c r="H30" s="5">
        <f ca="1">$F$30*G30</f>
        <v>137956.2316</v>
      </c>
      <c r="I30" s="5">
        <f ca="1">H$1-H30</f>
        <v>-137956.2316</v>
      </c>
    </row>
    <row r="31" spans="1:12" x14ac:dyDescent="0.25">
      <c r="C31" s="5">
        <v>2</v>
      </c>
      <c r="D31" s="5">
        <v>37602</v>
      </c>
      <c r="E31" s="5">
        <f ca="1">K3</f>
        <v>44</v>
      </c>
      <c r="F31" s="5">
        <f t="shared" ca="1" si="8"/>
        <v>1654488</v>
      </c>
      <c r="G31" s="5">
        <v>0.24490000000000001</v>
      </c>
      <c r="H31" s="5">
        <f t="shared" ref="H31:H37" ca="1" si="9">$F$30*G31</f>
        <v>236427.43960000001</v>
      </c>
      <c r="I31" s="5">
        <f t="shared" ref="I31:I37" ca="1" si="10">I30-H31</f>
        <v>-374383.67119999998</v>
      </c>
    </row>
    <row r="32" spans="1:12" x14ac:dyDescent="0.25">
      <c r="C32" s="5">
        <v>3</v>
      </c>
      <c r="D32" s="5">
        <v>26854</v>
      </c>
      <c r="E32" s="5">
        <f ca="1">K3</f>
        <v>44</v>
      </c>
      <c r="F32" s="5">
        <f t="shared" ca="1" si="8"/>
        <v>1181576</v>
      </c>
      <c r="G32" s="5">
        <v>0.1749</v>
      </c>
      <c r="H32" s="5">
        <f t="shared" ca="1" si="9"/>
        <v>168849.15960000001</v>
      </c>
      <c r="I32" s="5">
        <f t="shared" ca="1" si="10"/>
        <v>-543232.8308</v>
      </c>
    </row>
    <row r="33" spans="3:12" x14ac:dyDescent="0.25">
      <c r="C33" s="5">
        <v>4</v>
      </c>
      <c r="D33" s="5">
        <v>19177</v>
      </c>
      <c r="E33" s="5">
        <f ca="1">K3</f>
        <v>44</v>
      </c>
      <c r="F33" s="5">
        <f t="shared" ca="1" si="8"/>
        <v>843788</v>
      </c>
      <c r="G33" s="5">
        <v>0.1249</v>
      </c>
      <c r="H33" s="5">
        <f t="shared" ca="1" si="9"/>
        <v>120578.9596</v>
      </c>
      <c r="I33" s="5">
        <f t="shared" ca="1" si="10"/>
        <v>-663811.79040000006</v>
      </c>
    </row>
    <row r="34" spans="3:12" x14ac:dyDescent="0.25">
      <c r="C34" s="5">
        <v>5</v>
      </c>
      <c r="D34" s="5">
        <v>13711</v>
      </c>
      <c r="E34" s="5">
        <f ca="1">K3</f>
        <v>44</v>
      </c>
      <c r="F34" s="5">
        <f t="shared" ca="1" si="8"/>
        <v>603284</v>
      </c>
      <c r="G34" s="5">
        <v>8.9300000000000004E-2</v>
      </c>
      <c r="H34" s="5">
        <f t="shared" ca="1" si="9"/>
        <v>86210.5772</v>
      </c>
      <c r="I34" s="5">
        <f t="shared" ca="1" si="10"/>
        <v>-750022.3676</v>
      </c>
    </row>
    <row r="35" spans="3:12" x14ac:dyDescent="0.25">
      <c r="C35" s="5">
        <v>6</v>
      </c>
      <c r="D35" s="5">
        <v>13696</v>
      </c>
      <c r="E35" s="5">
        <f ca="1">K3</f>
        <v>44</v>
      </c>
      <c r="F35" s="5">
        <f t="shared" ca="1" si="8"/>
        <v>602624</v>
      </c>
      <c r="G35" s="5">
        <v>8.9200000000000002E-2</v>
      </c>
      <c r="H35" s="5">
        <f t="shared" ca="1" si="9"/>
        <v>86114.036800000002</v>
      </c>
      <c r="I35" s="5">
        <f t="shared" ca="1" si="10"/>
        <v>-836136.4044</v>
      </c>
    </row>
    <row r="36" spans="3:12" x14ac:dyDescent="0.25">
      <c r="C36" s="5">
        <v>7</v>
      </c>
      <c r="D36" s="5">
        <v>13711</v>
      </c>
      <c r="E36" s="5">
        <f ca="1">K3</f>
        <v>44</v>
      </c>
      <c r="F36" s="5">
        <f t="shared" ca="1" si="8"/>
        <v>603284</v>
      </c>
      <c r="G36" s="5">
        <v>8.9300000000000004E-2</v>
      </c>
      <c r="H36" s="5">
        <f t="shared" ca="1" si="9"/>
        <v>86210.5772</v>
      </c>
      <c r="I36" s="5">
        <f t="shared" ca="1" si="10"/>
        <v>-922346.98160000006</v>
      </c>
    </row>
    <row r="37" spans="3:12" x14ac:dyDescent="0.25">
      <c r="C37" s="5">
        <v>8</v>
      </c>
      <c r="D37" s="5">
        <v>6848</v>
      </c>
      <c r="E37" s="5">
        <f ca="1">K3</f>
        <v>44</v>
      </c>
      <c r="F37" s="5">
        <f t="shared" ca="1" si="8"/>
        <v>301312</v>
      </c>
      <c r="G37" s="5">
        <v>4.4600000000000001E-2</v>
      </c>
      <c r="H37" s="5">
        <f t="shared" ca="1" si="9"/>
        <v>43057.018400000001</v>
      </c>
      <c r="I37" s="5">
        <f t="shared" ca="1" si="10"/>
        <v>-965404</v>
      </c>
    </row>
    <row r="38" spans="3:12" x14ac:dyDescent="0.25">
      <c r="D38" s="5">
        <f>SUM(D30:D37)</f>
        <v>153540</v>
      </c>
    </row>
    <row r="39" spans="3:12" x14ac:dyDescent="0.25">
      <c r="G39" s="5">
        <f>'[1]Income statement'!C35</f>
        <v>0</v>
      </c>
      <c r="H39" s="5">
        <f>'[1]Income statement'!$P35</f>
        <v>0</v>
      </c>
    </row>
    <row r="40" spans="3:12" x14ac:dyDescent="0.25">
      <c r="G40" s="5" t="e">
        <f>#REF!</f>
        <v>#REF!</v>
      </c>
      <c r="H40" s="5" t="e">
        <f>'[1]Income statement'!#REF!</f>
        <v>#REF!</v>
      </c>
    </row>
    <row r="41" spans="3:12" x14ac:dyDescent="0.25">
      <c r="C41" s="8" t="s">
        <v>68</v>
      </c>
      <c r="D41" s="8" t="s">
        <v>75</v>
      </c>
      <c r="E41" s="8" t="s">
        <v>76</v>
      </c>
      <c r="F41" s="8" t="s">
        <v>77</v>
      </c>
      <c r="G41" s="8" t="s">
        <v>78</v>
      </c>
      <c r="H41" s="8" t="s">
        <v>79</v>
      </c>
      <c r="I41" s="8" t="s">
        <v>73</v>
      </c>
      <c r="J41" s="8" t="s">
        <v>64</v>
      </c>
      <c r="K41" s="8" t="s">
        <v>86</v>
      </c>
      <c r="L41" s="8" t="s">
        <v>96</v>
      </c>
    </row>
    <row r="42" spans="3:12" x14ac:dyDescent="0.25">
      <c r="C42" s="5">
        <v>1</v>
      </c>
      <c r="D42" s="5">
        <f ca="1">$K$3</f>
        <v>44</v>
      </c>
      <c r="E42" s="5">
        <f t="shared" ref="E42:E50" si="11">D30</f>
        <v>21941</v>
      </c>
      <c r="F42" s="5">
        <f ca="1">$D$42*E42</f>
        <v>965404</v>
      </c>
      <c r="G42">
        <f ca="1">Sheet1!Q8</f>
        <v>0.47599999999999998</v>
      </c>
      <c r="H42" s="5">
        <f>G16*1/15</f>
        <v>7460</v>
      </c>
      <c r="I42" s="5">
        <f t="shared" ref="I42:I49" ca="1" si="12">H30</f>
        <v>137956.2316</v>
      </c>
      <c r="J42" s="5">
        <f t="shared" ref="J42:J49" ca="1" si="13">F42-G42-H42-I42</f>
        <v>819987.29239999992</v>
      </c>
      <c r="K42" s="5">
        <f ca="1">J42*0.24</f>
        <v>196796.95017599998</v>
      </c>
      <c r="L42" s="5">
        <f t="shared" ref="L42:L49" ca="1" si="14">J42-K42</f>
        <v>623190.34222399991</v>
      </c>
    </row>
    <row r="43" spans="3:12" x14ac:dyDescent="0.25">
      <c r="C43" s="5">
        <v>2</v>
      </c>
      <c r="D43" s="5">
        <f ca="1">K3</f>
        <v>44</v>
      </c>
      <c r="E43" s="5">
        <f t="shared" si="11"/>
        <v>37602</v>
      </c>
      <c r="F43" s="5">
        <f t="shared" ref="F43:F49" ca="1" si="15">$D$42*E43</f>
        <v>1654488</v>
      </c>
      <c r="G43">
        <f ca="1">G42</f>
        <v>0.47599999999999998</v>
      </c>
      <c r="H43" s="5">
        <f>G16*1/15</f>
        <v>7460</v>
      </c>
      <c r="I43" s="5">
        <f t="shared" ca="1" si="12"/>
        <v>236427.43960000001</v>
      </c>
      <c r="J43" s="5">
        <f t="shared" ca="1" si="13"/>
        <v>1410600.0844000001</v>
      </c>
      <c r="K43" s="5">
        <f t="shared" ref="K43:K49" ca="1" si="16">J43*0.24</f>
        <v>338544.02025599999</v>
      </c>
      <c r="L43" s="5">
        <f t="shared" ca="1" si="14"/>
        <v>1072056.0641439999</v>
      </c>
    </row>
    <row r="44" spans="3:12" x14ac:dyDescent="0.25">
      <c r="C44" s="5">
        <v>3</v>
      </c>
      <c r="D44" s="5">
        <f ca="1">K3</f>
        <v>44</v>
      </c>
      <c r="E44" s="5">
        <f t="shared" si="11"/>
        <v>26854</v>
      </c>
      <c r="F44" s="5">
        <f t="shared" ca="1" si="15"/>
        <v>1181576</v>
      </c>
      <c r="G44">
        <f ca="1">G43</f>
        <v>0.47599999999999998</v>
      </c>
      <c r="H44" s="5">
        <f>G16*1/15</f>
        <v>7460</v>
      </c>
      <c r="I44" s="5">
        <f t="shared" ca="1" si="12"/>
        <v>168849.15960000001</v>
      </c>
      <c r="J44" s="5">
        <f t="shared" ca="1" si="13"/>
        <v>1005266.3644</v>
      </c>
      <c r="K44" s="5">
        <f t="shared" ca="1" si="16"/>
        <v>241263.92745599998</v>
      </c>
      <c r="L44" s="5">
        <f t="shared" ca="1" si="14"/>
        <v>764002.43694399996</v>
      </c>
    </row>
    <row r="45" spans="3:12" x14ac:dyDescent="0.25">
      <c r="C45" s="5">
        <v>4</v>
      </c>
      <c r="D45" s="5">
        <f ca="1">K3</f>
        <v>44</v>
      </c>
      <c r="E45" s="5">
        <f t="shared" si="11"/>
        <v>19177</v>
      </c>
      <c r="F45" s="5">
        <f t="shared" ca="1" si="15"/>
        <v>843788</v>
      </c>
      <c r="G45">
        <f t="shared" ref="G45:G49" ca="1" si="17">G44</f>
        <v>0.47599999999999998</v>
      </c>
      <c r="H45" s="5">
        <f>G16*1/15</f>
        <v>7460</v>
      </c>
      <c r="I45" s="5">
        <f t="shared" ca="1" si="12"/>
        <v>120578.9596</v>
      </c>
      <c r="J45" s="5">
        <f t="shared" ca="1" si="13"/>
        <v>715748.56440000003</v>
      </c>
      <c r="K45" s="5">
        <f t="shared" ca="1" si="16"/>
        <v>171779.65545600001</v>
      </c>
      <c r="L45" s="5">
        <f t="shared" ca="1" si="14"/>
        <v>543968.90894400002</v>
      </c>
    </row>
    <row r="46" spans="3:12" x14ac:dyDescent="0.25">
      <c r="C46" s="5">
        <v>5</v>
      </c>
      <c r="D46" s="5">
        <f ca="1">K3</f>
        <v>44</v>
      </c>
      <c r="E46" s="5">
        <f t="shared" si="11"/>
        <v>13711</v>
      </c>
      <c r="F46" s="5">
        <f t="shared" ca="1" si="15"/>
        <v>603284</v>
      </c>
      <c r="G46">
        <f t="shared" ca="1" si="17"/>
        <v>0.47599999999999998</v>
      </c>
      <c r="H46" s="5">
        <f>G16*1/15</f>
        <v>7460</v>
      </c>
      <c r="I46" s="5">
        <f t="shared" ca="1" si="12"/>
        <v>86210.5772</v>
      </c>
      <c r="J46" s="5">
        <f t="shared" ca="1" si="13"/>
        <v>509612.94679999998</v>
      </c>
      <c r="K46" s="5">
        <f t="shared" ca="1" si="16"/>
        <v>122307.10723199999</v>
      </c>
      <c r="L46" s="5">
        <f t="shared" ca="1" si="14"/>
        <v>387305.839568</v>
      </c>
    </row>
    <row r="47" spans="3:12" x14ac:dyDescent="0.25">
      <c r="C47" s="5">
        <v>6</v>
      </c>
      <c r="D47" s="5">
        <f ca="1">K3</f>
        <v>44</v>
      </c>
      <c r="E47" s="5">
        <f t="shared" si="11"/>
        <v>13696</v>
      </c>
      <c r="F47" s="5">
        <f t="shared" ca="1" si="15"/>
        <v>602624</v>
      </c>
      <c r="G47">
        <f t="shared" ca="1" si="17"/>
        <v>0.47599999999999998</v>
      </c>
      <c r="H47" s="5">
        <f>H46</f>
        <v>7460</v>
      </c>
      <c r="I47" s="5">
        <f t="shared" ca="1" si="12"/>
        <v>86114.036800000002</v>
      </c>
      <c r="J47" s="5">
        <f t="shared" ca="1" si="13"/>
        <v>509049.48719999997</v>
      </c>
      <c r="K47" s="5">
        <f t="shared" ca="1" si="16"/>
        <v>122171.87692799998</v>
      </c>
      <c r="L47" s="5">
        <f t="shared" ca="1" si="14"/>
        <v>386877.61027199996</v>
      </c>
    </row>
    <row r="48" spans="3:12" x14ac:dyDescent="0.25">
      <c r="C48" s="5">
        <v>7</v>
      </c>
      <c r="D48" s="5">
        <f ca="1">K3</f>
        <v>44</v>
      </c>
      <c r="E48" s="5">
        <f t="shared" si="11"/>
        <v>13711</v>
      </c>
      <c r="F48" s="5">
        <f t="shared" ca="1" si="15"/>
        <v>603284</v>
      </c>
      <c r="G48">
        <f t="shared" ca="1" si="17"/>
        <v>0.47599999999999998</v>
      </c>
      <c r="H48" s="5">
        <f>H47</f>
        <v>7460</v>
      </c>
      <c r="I48" s="5">
        <f t="shared" ca="1" si="12"/>
        <v>86210.5772</v>
      </c>
      <c r="J48" s="5">
        <f t="shared" ca="1" si="13"/>
        <v>509612.94679999998</v>
      </c>
      <c r="K48" s="5">
        <f t="shared" ca="1" si="16"/>
        <v>122307.10723199999</v>
      </c>
      <c r="L48" s="5">
        <f t="shared" ca="1" si="14"/>
        <v>387305.839568</v>
      </c>
    </row>
    <row r="49" spans="3:12" x14ac:dyDescent="0.25">
      <c r="C49" s="5">
        <v>8</v>
      </c>
      <c r="D49" s="5">
        <f ca="1">K3</f>
        <v>44</v>
      </c>
      <c r="E49" s="5">
        <f t="shared" si="11"/>
        <v>6848</v>
      </c>
      <c r="F49" s="5">
        <f t="shared" ca="1" si="15"/>
        <v>301312</v>
      </c>
      <c r="G49">
        <f t="shared" ca="1" si="17"/>
        <v>0.47599999999999998</v>
      </c>
      <c r="H49" s="5">
        <f>H47</f>
        <v>7460</v>
      </c>
      <c r="I49" s="5">
        <f t="shared" ca="1" si="12"/>
        <v>43057.018400000001</v>
      </c>
      <c r="J49" s="5">
        <f t="shared" ca="1" si="13"/>
        <v>250794.50559999997</v>
      </c>
      <c r="K49" s="5">
        <f t="shared" ca="1" si="16"/>
        <v>60190.68134399999</v>
      </c>
      <c r="L49" s="5">
        <f t="shared" ca="1" si="14"/>
        <v>190603.82425599999</v>
      </c>
    </row>
    <row r="50" spans="3:12" x14ac:dyDescent="0.25">
      <c r="E50" s="5">
        <f t="shared" si="11"/>
        <v>153540</v>
      </c>
    </row>
    <row r="52" spans="3:12" ht="15.75" x14ac:dyDescent="0.25">
      <c r="C52" s="9" t="s">
        <v>80</v>
      </c>
      <c r="D52" s="5"/>
      <c r="E52" s="5"/>
      <c r="F52" s="5"/>
      <c r="G52" s="5"/>
      <c r="H52" s="5"/>
      <c r="I52" s="5"/>
      <c r="J52" s="5"/>
      <c r="K52" s="5"/>
      <c r="L52" s="5"/>
    </row>
    <row r="53" spans="3:12" x14ac:dyDescent="0.25">
      <c r="C53" s="8" t="s">
        <v>68</v>
      </c>
      <c r="D53" s="6" t="s">
        <v>77</v>
      </c>
      <c r="E53" s="6" t="s">
        <v>81</v>
      </c>
      <c r="F53" s="6" t="s">
        <v>82</v>
      </c>
      <c r="G53" s="6"/>
      <c r="H53" s="6"/>
      <c r="I53" s="6"/>
      <c r="J53" s="6"/>
      <c r="K53" s="6"/>
      <c r="L53" s="6"/>
    </row>
    <row r="54" spans="3:12" x14ac:dyDescent="0.25">
      <c r="C54" s="5">
        <v>0</v>
      </c>
      <c r="D54" s="5">
        <v>0</v>
      </c>
      <c r="E54" s="5">
        <f>D28</f>
        <v>152490</v>
      </c>
      <c r="F54" s="5">
        <f>E54*-1</f>
        <v>-152490</v>
      </c>
    </row>
    <row r="55" spans="3:12" x14ac:dyDescent="0.25">
      <c r="C55" s="5">
        <v>1</v>
      </c>
      <c r="D55" s="5">
        <f t="shared" ref="D55:D62" ca="1" si="18">F42</f>
        <v>965404</v>
      </c>
      <c r="E55" s="5">
        <f t="shared" ref="E55:E62" ca="1" si="19">D55*18.5%</f>
        <v>178599.74</v>
      </c>
      <c r="F55" s="5">
        <f ca="1">E55*-1-F54</f>
        <v>-26109.739999999991</v>
      </c>
    </row>
    <row r="56" spans="3:12" x14ac:dyDescent="0.25">
      <c r="C56" s="5">
        <v>2</v>
      </c>
      <c r="D56" s="5">
        <f t="shared" ca="1" si="18"/>
        <v>1654488</v>
      </c>
      <c r="E56" s="5">
        <f t="shared" ca="1" si="19"/>
        <v>306080.27999999997</v>
      </c>
      <c r="F56" s="5">
        <f t="shared" ref="F56:F62" ca="1" si="20">E55-E56</f>
        <v>-127480.53999999998</v>
      </c>
    </row>
    <row r="57" spans="3:12" x14ac:dyDescent="0.25">
      <c r="C57" s="5">
        <v>3</v>
      </c>
      <c r="D57" s="5">
        <f t="shared" ca="1" si="18"/>
        <v>1181576</v>
      </c>
      <c r="E57" s="5">
        <f t="shared" ca="1" si="19"/>
        <v>218591.56</v>
      </c>
      <c r="F57" s="5">
        <f t="shared" ca="1" si="20"/>
        <v>87488.719999999972</v>
      </c>
    </row>
    <row r="58" spans="3:12" x14ac:dyDescent="0.25">
      <c r="C58" s="5">
        <v>4</v>
      </c>
      <c r="D58" s="5">
        <f t="shared" ca="1" si="18"/>
        <v>843788</v>
      </c>
      <c r="E58" s="5">
        <f t="shared" ca="1" si="19"/>
        <v>156100.78</v>
      </c>
      <c r="F58" s="5">
        <f t="shared" ca="1" si="20"/>
        <v>62490.78</v>
      </c>
    </row>
    <row r="59" spans="3:12" x14ac:dyDescent="0.25">
      <c r="C59" s="5">
        <v>5</v>
      </c>
      <c r="D59" s="5">
        <f t="shared" ca="1" si="18"/>
        <v>603284</v>
      </c>
      <c r="E59" s="5">
        <f t="shared" ca="1" si="19"/>
        <v>111607.54</v>
      </c>
      <c r="F59" s="5">
        <f t="shared" ca="1" si="20"/>
        <v>44493.240000000005</v>
      </c>
    </row>
    <row r="60" spans="3:12" x14ac:dyDescent="0.25">
      <c r="C60" s="5">
        <v>6</v>
      </c>
      <c r="D60" s="5">
        <f t="shared" ca="1" si="18"/>
        <v>602624</v>
      </c>
      <c r="E60" s="5">
        <f t="shared" ca="1" si="19"/>
        <v>111485.44</v>
      </c>
      <c r="F60" s="5">
        <f t="shared" ca="1" si="20"/>
        <v>122.09999999999127</v>
      </c>
    </row>
    <row r="61" spans="3:12" x14ac:dyDescent="0.25">
      <c r="C61" s="5">
        <v>7</v>
      </c>
      <c r="D61" s="5">
        <f t="shared" ca="1" si="18"/>
        <v>603284</v>
      </c>
      <c r="E61" s="5">
        <f t="shared" ca="1" si="19"/>
        <v>111607.54</v>
      </c>
      <c r="F61" s="5">
        <f t="shared" ca="1" si="20"/>
        <v>-122.09999999999127</v>
      </c>
    </row>
    <row r="62" spans="3:12" x14ac:dyDescent="0.25">
      <c r="C62" s="5">
        <v>8</v>
      </c>
      <c r="D62" s="5">
        <f t="shared" ca="1" si="18"/>
        <v>301312</v>
      </c>
      <c r="E62" s="5">
        <f t="shared" ca="1" si="19"/>
        <v>55742.720000000001</v>
      </c>
      <c r="F62" s="5">
        <f t="shared" ca="1" si="20"/>
        <v>55864.819999999992</v>
      </c>
    </row>
    <row r="64" spans="3:12" ht="15.75" x14ac:dyDescent="0.25">
      <c r="C64" s="15" t="s">
        <v>83</v>
      </c>
      <c r="D64" s="16"/>
      <c r="E64" s="16"/>
      <c r="F64" s="7"/>
      <c r="G64" s="7"/>
      <c r="H64" s="5"/>
      <c r="I64" s="5"/>
      <c r="J64" s="5"/>
      <c r="K64" s="5"/>
      <c r="L64" s="5"/>
    </row>
    <row r="65" spans="3:12" x14ac:dyDescent="0.25">
      <c r="C65" s="8" t="s">
        <v>84</v>
      </c>
      <c r="D65" s="7"/>
      <c r="E65" s="7"/>
      <c r="F65" s="7"/>
      <c r="G65" s="7"/>
    </row>
    <row r="66" spans="3:12" x14ac:dyDescent="0.25">
      <c r="C66" s="8" t="s">
        <v>68</v>
      </c>
      <c r="D66" s="8" t="s">
        <v>64</v>
      </c>
      <c r="E66" s="8" t="s">
        <v>85</v>
      </c>
      <c r="F66" s="8" t="s">
        <v>86</v>
      </c>
      <c r="G66" s="8" t="s">
        <v>84</v>
      </c>
      <c r="H66" s="6"/>
      <c r="I66" s="6"/>
      <c r="J66" s="6"/>
      <c r="K66" s="6"/>
      <c r="L66" s="6"/>
    </row>
    <row r="67" spans="3:12" x14ac:dyDescent="0.25">
      <c r="C67" s="5">
        <f t="shared" ref="C67:C75" si="21">C42</f>
        <v>1</v>
      </c>
      <c r="D67" s="5">
        <f t="shared" ref="D67:D74" ca="1" si="22">J42</f>
        <v>819987.29239999992</v>
      </c>
      <c r="E67" s="5">
        <f t="shared" ref="E67:E74" ca="1" si="23">I42</f>
        <v>137956.2316</v>
      </c>
      <c r="F67" s="5">
        <f t="shared" ref="F67:F74" ca="1" si="24">K42</f>
        <v>196796.95017599998</v>
      </c>
      <c r="G67" s="5">
        <f t="shared" ref="G67:G74" ca="1" si="25">D67+E67-F67</f>
        <v>761146.57382399996</v>
      </c>
    </row>
    <row r="68" spans="3:12" x14ac:dyDescent="0.25">
      <c r="C68" s="5">
        <f t="shared" si="21"/>
        <v>2</v>
      </c>
      <c r="D68" s="5">
        <f t="shared" ca="1" si="22"/>
        <v>1410600.0844000001</v>
      </c>
      <c r="E68" s="5">
        <f t="shared" ca="1" si="23"/>
        <v>236427.43960000001</v>
      </c>
      <c r="F68" s="5">
        <f t="shared" ca="1" si="24"/>
        <v>338544.02025599999</v>
      </c>
      <c r="G68" s="5">
        <f t="shared" ca="1" si="25"/>
        <v>1308483.5037440001</v>
      </c>
    </row>
    <row r="69" spans="3:12" x14ac:dyDescent="0.25">
      <c r="C69" s="5">
        <f t="shared" si="21"/>
        <v>3</v>
      </c>
      <c r="D69" s="5">
        <f t="shared" ca="1" si="22"/>
        <v>1005266.3644</v>
      </c>
      <c r="E69" s="5">
        <f t="shared" ca="1" si="23"/>
        <v>168849.15960000001</v>
      </c>
      <c r="F69" s="5">
        <f t="shared" ca="1" si="24"/>
        <v>241263.92745599998</v>
      </c>
      <c r="G69" s="5">
        <f t="shared" ca="1" si="25"/>
        <v>932851.59654399997</v>
      </c>
    </row>
    <row r="70" spans="3:12" x14ac:dyDescent="0.25">
      <c r="C70" s="5">
        <f t="shared" si="21"/>
        <v>4</v>
      </c>
      <c r="D70" s="5">
        <f t="shared" ca="1" si="22"/>
        <v>715748.56440000003</v>
      </c>
      <c r="E70" s="5">
        <f t="shared" ca="1" si="23"/>
        <v>120578.9596</v>
      </c>
      <c r="F70" s="5">
        <f t="shared" ca="1" si="24"/>
        <v>171779.65545600001</v>
      </c>
      <c r="G70" s="5">
        <f t="shared" ca="1" si="25"/>
        <v>664547.86854399997</v>
      </c>
    </row>
    <row r="71" spans="3:12" x14ac:dyDescent="0.25">
      <c r="C71" s="5">
        <f t="shared" si="21"/>
        <v>5</v>
      </c>
      <c r="D71" s="5">
        <f t="shared" ca="1" si="22"/>
        <v>509612.94679999998</v>
      </c>
      <c r="E71" s="5">
        <f t="shared" ca="1" si="23"/>
        <v>86210.5772</v>
      </c>
      <c r="F71" s="5">
        <f t="shared" ca="1" si="24"/>
        <v>122307.10723199999</v>
      </c>
      <c r="G71" s="5">
        <f t="shared" ca="1" si="25"/>
        <v>473516.416768</v>
      </c>
    </row>
    <row r="72" spans="3:12" x14ac:dyDescent="0.25">
      <c r="C72" s="5">
        <f t="shared" si="21"/>
        <v>6</v>
      </c>
      <c r="D72" s="5">
        <f t="shared" ca="1" si="22"/>
        <v>509049.48719999997</v>
      </c>
      <c r="E72" s="5">
        <f t="shared" ca="1" si="23"/>
        <v>86114.036800000002</v>
      </c>
      <c r="F72" s="5">
        <f t="shared" ca="1" si="24"/>
        <v>122171.87692799998</v>
      </c>
      <c r="G72" s="5">
        <f t="shared" ca="1" si="25"/>
        <v>472991.64707199996</v>
      </c>
    </row>
    <row r="73" spans="3:12" x14ac:dyDescent="0.25">
      <c r="C73" s="5">
        <f t="shared" si="21"/>
        <v>7</v>
      </c>
      <c r="D73" s="5">
        <f t="shared" ca="1" si="22"/>
        <v>509612.94679999998</v>
      </c>
      <c r="E73" s="5">
        <f t="shared" ca="1" si="23"/>
        <v>86210.5772</v>
      </c>
      <c r="F73" s="5">
        <f t="shared" ca="1" si="24"/>
        <v>122307.10723199999</v>
      </c>
      <c r="G73" s="5">
        <f t="shared" ca="1" si="25"/>
        <v>473516.416768</v>
      </c>
    </row>
    <row r="74" spans="3:12" x14ac:dyDescent="0.25">
      <c r="C74" s="5">
        <f t="shared" si="21"/>
        <v>8</v>
      </c>
      <c r="D74" s="5">
        <f t="shared" ca="1" si="22"/>
        <v>250794.50559999997</v>
      </c>
      <c r="E74" s="5">
        <f t="shared" ca="1" si="23"/>
        <v>43057.018400000001</v>
      </c>
      <c r="F74" s="5">
        <f t="shared" ca="1" si="24"/>
        <v>60190.68134399999</v>
      </c>
      <c r="G74" s="5">
        <f t="shared" ca="1" si="25"/>
        <v>233660.84265599999</v>
      </c>
    </row>
    <row r="75" spans="3:12" x14ac:dyDescent="0.25">
      <c r="C75" s="5">
        <f t="shared" si="21"/>
        <v>0</v>
      </c>
    </row>
    <row r="77" spans="3:12" x14ac:dyDescent="0.25">
      <c r="C77" s="8" t="s">
        <v>87</v>
      </c>
      <c r="D77" s="8"/>
      <c r="E77" s="8"/>
      <c r="F77" s="8"/>
      <c r="G77" s="5"/>
      <c r="H77" s="5"/>
      <c r="I77" s="5"/>
      <c r="J77" s="5"/>
    </row>
    <row r="78" spans="3:12" x14ac:dyDescent="0.25">
      <c r="C78" s="8" t="s">
        <v>68</v>
      </c>
      <c r="D78" s="8" t="s">
        <v>88</v>
      </c>
      <c r="E78" s="8" t="s">
        <v>89</v>
      </c>
      <c r="F78" s="8" t="s">
        <v>90</v>
      </c>
    </row>
    <row r="79" spans="3:12" x14ac:dyDescent="0.25">
      <c r="C79" s="5">
        <v>0</v>
      </c>
      <c r="D79" s="5">
        <f ca="1">F55</f>
        <v>-26109.739999999991</v>
      </c>
      <c r="E79" s="5">
        <v>0</v>
      </c>
      <c r="F79" s="5">
        <f ca="1">H28+D79</f>
        <v>183890.26</v>
      </c>
    </row>
    <row r="80" spans="3:12" x14ac:dyDescent="0.25">
      <c r="C80" s="5">
        <v>1</v>
      </c>
      <c r="E80" s="5">
        <f t="shared" ref="E80:E87" ca="1" si="26">F56</f>
        <v>-127480.53999999998</v>
      </c>
      <c r="F80" s="5">
        <f t="shared" ref="F80:F87" ca="1" si="27">E80</f>
        <v>-127480.53999999998</v>
      </c>
    </row>
    <row r="81" spans="3:10" x14ac:dyDescent="0.25">
      <c r="C81" s="5">
        <v>2</v>
      </c>
      <c r="E81" s="5">
        <f t="shared" ca="1" si="26"/>
        <v>87488.719999999972</v>
      </c>
      <c r="F81" s="5">
        <f t="shared" ca="1" si="27"/>
        <v>87488.719999999972</v>
      </c>
    </row>
    <row r="82" spans="3:10" x14ac:dyDescent="0.25">
      <c r="C82" s="5">
        <v>3</v>
      </c>
      <c r="E82" s="5">
        <f t="shared" ca="1" si="26"/>
        <v>62490.78</v>
      </c>
      <c r="F82" s="5">
        <f t="shared" ca="1" si="27"/>
        <v>62490.78</v>
      </c>
    </row>
    <row r="83" spans="3:10" x14ac:dyDescent="0.25">
      <c r="C83" s="5">
        <v>4</v>
      </c>
      <c r="E83" s="5">
        <f t="shared" ca="1" si="26"/>
        <v>44493.240000000005</v>
      </c>
      <c r="F83" s="5">
        <f t="shared" ca="1" si="27"/>
        <v>44493.240000000005</v>
      </c>
    </row>
    <row r="84" spans="3:10" x14ac:dyDescent="0.25">
      <c r="C84" s="5">
        <v>5</v>
      </c>
      <c r="E84" s="5">
        <f t="shared" ca="1" si="26"/>
        <v>122.09999999999127</v>
      </c>
      <c r="F84" s="5">
        <f t="shared" ca="1" si="27"/>
        <v>122.09999999999127</v>
      </c>
    </row>
    <row r="85" spans="3:10" x14ac:dyDescent="0.25">
      <c r="C85" s="5">
        <v>6</v>
      </c>
      <c r="E85" s="5">
        <f t="shared" ca="1" si="26"/>
        <v>-122.09999999999127</v>
      </c>
      <c r="F85" s="5">
        <f t="shared" ca="1" si="27"/>
        <v>-122.09999999999127</v>
      </c>
    </row>
    <row r="86" spans="3:10" x14ac:dyDescent="0.25">
      <c r="C86" s="5">
        <v>7</v>
      </c>
      <c r="E86" s="5">
        <f t="shared" ca="1" si="26"/>
        <v>55864.819999999992</v>
      </c>
      <c r="F86" s="5">
        <f t="shared" ca="1" si="27"/>
        <v>55864.819999999992</v>
      </c>
    </row>
    <row r="87" spans="3:10" x14ac:dyDescent="0.25">
      <c r="C87" s="5">
        <v>8</v>
      </c>
      <c r="E87" s="5">
        <f t="shared" si="26"/>
        <v>0</v>
      </c>
      <c r="F87" s="5">
        <f t="shared" si="27"/>
        <v>0</v>
      </c>
    </row>
    <row r="88" spans="3:10" x14ac:dyDescent="0.25">
      <c r="E88" s="5"/>
      <c r="F88" s="5">
        <f ca="1">SUM(F80:F87)</f>
        <v>122857.01999999999</v>
      </c>
    </row>
    <row r="89" spans="3:10" x14ac:dyDescent="0.25">
      <c r="F89" s="5">
        <f ca="1">F88+E62</f>
        <v>178599.74</v>
      </c>
    </row>
    <row r="90" spans="3:10" ht="15.75" x14ac:dyDescent="0.25">
      <c r="C90" s="7"/>
      <c r="D90" s="15" t="s">
        <v>91</v>
      </c>
      <c r="E90" s="16"/>
      <c r="F90" s="7" t="s">
        <v>92</v>
      </c>
      <c r="G90" s="11">
        <v>0.13</v>
      </c>
      <c r="H90" s="5"/>
      <c r="I90" s="5"/>
      <c r="J90" s="5"/>
    </row>
    <row r="91" spans="3:10" x14ac:dyDescent="0.25">
      <c r="C91" s="8" t="s">
        <v>68</v>
      </c>
      <c r="D91" s="8" t="s">
        <v>84</v>
      </c>
      <c r="E91" s="8" t="s">
        <v>93</v>
      </c>
      <c r="F91" s="8" t="s">
        <v>94</v>
      </c>
      <c r="G91" s="8" t="s">
        <v>95</v>
      </c>
      <c r="H91" s="6"/>
      <c r="I91" s="6"/>
      <c r="J91" s="6"/>
    </row>
    <row r="92" spans="3:10" x14ac:dyDescent="0.25">
      <c r="C92" s="5">
        <v>0</v>
      </c>
      <c r="D92" s="5">
        <v>0</v>
      </c>
      <c r="E92" s="5">
        <f t="shared" ref="E92:E100" ca="1" si="28">F79</f>
        <v>183890.26</v>
      </c>
      <c r="F92" s="5">
        <f t="shared" ref="F92:F100" ca="1" si="29">D92+E92</f>
        <v>183890.26</v>
      </c>
      <c r="G92" s="5">
        <f ca="1">F92</f>
        <v>183890.26</v>
      </c>
      <c r="I92" s="5">
        <f t="shared" ref="I92:I100" ca="1" si="30">ABS(G92)</f>
        <v>183890.26</v>
      </c>
    </row>
    <row r="93" spans="3:10" x14ac:dyDescent="0.25">
      <c r="C93" s="5">
        <v>1</v>
      </c>
      <c r="D93" s="5">
        <f t="shared" ref="D93:D100" ca="1" si="31">G68</f>
        <v>1308483.5037440001</v>
      </c>
      <c r="E93" s="5">
        <f t="shared" ca="1" si="28"/>
        <v>-127480.53999999998</v>
      </c>
      <c r="F93" s="5">
        <f t="shared" ca="1" si="29"/>
        <v>1181002.9637440001</v>
      </c>
      <c r="G93" s="5">
        <f t="shared" ref="G93:G100" ca="1" si="32">F93*(1+G$62)^(-C93)</f>
        <v>1181002.9637440001</v>
      </c>
      <c r="I93" s="5">
        <f t="shared" ca="1" si="30"/>
        <v>1181002.9637440001</v>
      </c>
    </row>
    <row r="94" spans="3:10" x14ac:dyDescent="0.25">
      <c r="C94" s="5">
        <v>2</v>
      </c>
      <c r="D94" s="5">
        <f t="shared" ca="1" si="31"/>
        <v>932851.59654399997</v>
      </c>
      <c r="E94" s="5">
        <f t="shared" ca="1" si="28"/>
        <v>87488.719999999972</v>
      </c>
      <c r="F94" s="5">
        <f t="shared" ca="1" si="29"/>
        <v>1020340.3165439999</v>
      </c>
      <c r="G94" s="5">
        <f t="shared" ca="1" si="32"/>
        <v>1020340.3165439999</v>
      </c>
      <c r="I94" s="5">
        <f t="shared" ca="1" si="30"/>
        <v>1020340.3165439999</v>
      </c>
    </row>
    <row r="95" spans="3:10" x14ac:dyDescent="0.25">
      <c r="C95" s="5">
        <v>3</v>
      </c>
      <c r="D95" s="5">
        <f t="shared" ca="1" si="31"/>
        <v>664547.86854399997</v>
      </c>
      <c r="E95" s="5">
        <f t="shared" ca="1" si="28"/>
        <v>62490.78</v>
      </c>
      <c r="F95" s="5">
        <f t="shared" ca="1" si="29"/>
        <v>727038.648544</v>
      </c>
      <c r="G95" s="5">
        <f t="shared" ca="1" si="32"/>
        <v>727038.648544</v>
      </c>
      <c r="H95" s="5">
        <f ca="1">C95+(E95/I101)</f>
        <v>3.115573478881017</v>
      </c>
      <c r="I95" s="5">
        <f t="shared" ca="1" si="30"/>
        <v>727038.648544</v>
      </c>
    </row>
    <row r="96" spans="3:10" x14ac:dyDescent="0.25">
      <c r="C96" s="5">
        <v>4</v>
      </c>
      <c r="D96" s="5">
        <f t="shared" ca="1" si="31"/>
        <v>473516.416768</v>
      </c>
      <c r="E96" s="5">
        <f t="shared" ca="1" si="28"/>
        <v>44493.240000000005</v>
      </c>
      <c r="F96" s="5">
        <f t="shared" ca="1" si="29"/>
        <v>518009.65676799999</v>
      </c>
      <c r="G96" s="5">
        <f t="shared" ca="1" si="32"/>
        <v>518009.65676799999</v>
      </c>
      <c r="I96" s="5">
        <f t="shared" ca="1" si="30"/>
        <v>518009.65676799999</v>
      </c>
    </row>
    <row r="97" spans="3:9" x14ac:dyDescent="0.25">
      <c r="C97" s="5">
        <v>5</v>
      </c>
      <c r="D97" s="5">
        <f t="shared" ca="1" si="31"/>
        <v>472991.64707199996</v>
      </c>
      <c r="E97" s="5">
        <f t="shared" ca="1" si="28"/>
        <v>122.09999999999127</v>
      </c>
      <c r="F97" s="5">
        <f t="shared" ca="1" si="29"/>
        <v>473113.74707199994</v>
      </c>
      <c r="G97" s="5">
        <f t="shared" ca="1" si="32"/>
        <v>473113.74707199994</v>
      </c>
      <c r="I97" s="5">
        <f t="shared" ca="1" si="30"/>
        <v>473113.74707199994</v>
      </c>
    </row>
    <row r="98" spans="3:9" x14ac:dyDescent="0.25">
      <c r="C98" s="5">
        <v>6</v>
      </c>
      <c r="D98" s="5">
        <f t="shared" ca="1" si="31"/>
        <v>473516.416768</v>
      </c>
      <c r="E98" s="5">
        <f t="shared" ca="1" si="28"/>
        <v>-122.09999999999127</v>
      </c>
      <c r="F98" s="5">
        <f t="shared" ca="1" si="29"/>
        <v>473394.31676800002</v>
      </c>
      <c r="G98" s="5">
        <f t="shared" ca="1" si="32"/>
        <v>473394.31676800002</v>
      </c>
      <c r="I98" s="5">
        <f t="shared" ca="1" si="30"/>
        <v>473394.31676800002</v>
      </c>
    </row>
    <row r="99" spans="3:9" x14ac:dyDescent="0.25">
      <c r="C99" s="5">
        <v>7</v>
      </c>
      <c r="D99" s="5">
        <f t="shared" ca="1" si="31"/>
        <v>233660.84265599999</v>
      </c>
      <c r="E99" s="5">
        <f t="shared" ca="1" si="28"/>
        <v>55864.819999999992</v>
      </c>
      <c r="F99" s="5">
        <f t="shared" ca="1" si="29"/>
        <v>289525.662656</v>
      </c>
      <c r="G99" s="5">
        <f t="shared" ca="1" si="32"/>
        <v>289525.662656</v>
      </c>
      <c r="I99" s="5">
        <f t="shared" ca="1" si="30"/>
        <v>289525.662656</v>
      </c>
    </row>
    <row r="100" spans="3:9" x14ac:dyDescent="0.25">
      <c r="C100" s="5">
        <v>8</v>
      </c>
      <c r="D100" s="5">
        <f t="shared" si="31"/>
        <v>0</v>
      </c>
      <c r="E100" s="5">
        <f t="shared" si="28"/>
        <v>0</v>
      </c>
      <c r="F100" s="5">
        <f t="shared" si="29"/>
        <v>0</v>
      </c>
      <c r="G100" s="5">
        <f t="shared" si="32"/>
        <v>0</v>
      </c>
      <c r="I100" s="5">
        <f t="shared" si="30"/>
        <v>0</v>
      </c>
    </row>
    <row r="101" spans="3:9" x14ac:dyDescent="0.25">
      <c r="D101" s="5">
        <f ca="1">AVERAGE(D93:D100)</f>
        <v>569946.03651200002</v>
      </c>
      <c r="F101" s="5">
        <f ca="1">SUM(F92:F100)</f>
        <v>4866315.5720959995</v>
      </c>
      <c r="I101" s="5">
        <f ca="1">AVERAGE(I92:I100)</f>
        <v>540701.73023288883</v>
      </c>
    </row>
    <row r="102" spans="3:9" x14ac:dyDescent="0.25">
      <c r="F102" s="5">
        <f ca="1">(-1*F92+F101)/(-1*F92)</f>
        <v>-25.463150207607512</v>
      </c>
    </row>
  </sheetData>
  <mergeCells count="2">
    <mergeCell ref="C64:E64"/>
    <mergeCell ref="D90:E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Sharon</vt:lpstr>
      <vt:lpstr>IDGM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Ayesha Maliha</cp:lastModifiedBy>
  <dcterms:created xsi:type="dcterms:W3CDTF">2023-06-01T06:59:41Z</dcterms:created>
  <dcterms:modified xsi:type="dcterms:W3CDTF">2024-05-22T21:18:36Z</dcterms:modified>
</cp:coreProperties>
</file>