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eistore2\igt-lesbat\RaD\108139_S-DSM\0. Stage\A. Bourdy\Modélisation\"/>
    </mc:Choice>
  </mc:AlternateContent>
  <xr:revisionPtr revIDLastSave="0" documentId="13_ncr:1_{6D0B19BD-4714-4AC2-B6A9-5A30D56F70C1}" xr6:coauthVersionLast="47" xr6:coauthVersionMax="47" xr10:uidLastSave="{00000000-0000-0000-0000-000000000000}"/>
  <bookViews>
    <workbookView xWindow="-120" yWindow="-120" windowWidth="29040" windowHeight="15840" xr2:uid="{020FC847-8E9E-4FE7-8BCD-A2553649B390}"/>
  </bookViews>
  <sheets>
    <sheet name="Feuil1" sheetId="1" r:id="rId1"/>
    <sheet name="S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0" i="1" l="1"/>
  <c r="R60" i="1"/>
  <c r="N69" i="1"/>
  <c r="N119" i="1"/>
  <c r="N60" i="1"/>
  <c r="N59" i="1"/>
  <c r="N68" i="1" l="1"/>
  <c r="S116" i="1" l="1"/>
  <c r="R123" i="1"/>
  <c r="N70" i="1" l="1"/>
  <c r="C73" i="1"/>
  <c r="D73" i="1"/>
  <c r="E73" i="1"/>
  <c r="F73" i="1"/>
  <c r="G73" i="1"/>
  <c r="H73" i="1"/>
  <c r="J73" i="1"/>
  <c r="K73" i="1"/>
  <c r="L73" i="1"/>
  <c r="M73" i="1"/>
  <c r="C74" i="1"/>
  <c r="D74" i="1"/>
  <c r="E74" i="1"/>
  <c r="F74" i="1"/>
  <c r="G74" i="1"/>
  <c r="H74" i="1"/>
  <c r="J74" i="1"/>
  <c r="K74" i="1"/>
  <c r="L74" i="1"/>
  <c r="M74" i="1"/>
  <c r="N120" i="1"/>
  <c r="R120" i="1" s="1"/>
  <c r="N97" i="1"/>
  <c r="N98" i="1"/>
  <c r="J92" i="1" s="1"/>
  <c r="C124" i="1"/>
  <c r="D124" i="1"/>
  <c r="E124" i="1"/>
  <c r="F124" i="1"/>
  <c r="G124" i="1"/>
  <c r="H124" i="1"/>
  <c r="I124" i="1"/>
  <c r="J124" i="1"/>
  <c r="K124" i="1"/>
  <c r="L124" i="1"/>
  <c r="M124" i="1"/>
  <c r="B124" i="1"/>
  <c r="N115" i="1"/>
  <c r="T113" i="1" s="1"/>
  <c r="S127" i="1" s="1"/>
  <c r="N116" i="1"/>
  <c r="N117" i="1"/>
  <c r="N118" i="1"/>
  <c r="P121" i="1" s="1"/>
  <c r="N122" i="1"/>
  <c r="N113" i="1"/>
  <c r="N114" i="1"/>
  <c r="N112" i="1"/>
  <c r="T112" i="1" s="1"/>
  <c r="J3" i="1"/>
  <c r="J27" i="1"/>
  <c r="J84" i="1"/>
  <c r="K84" i="1" s="1"/>
  <c r="H96" i="1"/>
  <c r="H39" i="1"/>
  <c r="H15" i="1"/>
  <c r="E3" i="2"/>
  <c r="C84" i="1"/>
  <c r="G84" i="1" s="1"/>
  <c r="B95" i="1"/>
  <c r="B99" i="1" s="1"/>
  <c r="B92" i="1"/>
  <c r="J89" i="1"/>
  <c r="K89" i="1" s="1"/>
  <c r="G89" i="1"/>
  <c r="J88" i="1"/>
  <c r="K88" i="1" s="1"/>
  <c r="G88" i="1"/>
  <c r="J87" i="1"/>
  <c r="K87" i="1" s="1"/>
  <c r="J86" i="1"/>
  <c r="K86" i="1" s="1"/>
  <c r="G86" i="1"/>
  <c r="J85" i="1"/>
  <c r="K85" i="1" s="1"/>
  <c r="G85" i="1"/>
  <c r="C72" i="1"/>
  <c r="D72" i="1"/>
  <c r="E72" i="1"/>
  <c r="F72" i="1"/>
  <c r="G72" i="1"/>
  <c r="H72" i="1"/>
  <c r="I72" i="1"/>
  <c r="J72" i="1"/>
  <c r="K72" i="1"/>
  <c r="L72" i="1"/>
  <c r="M72" i="1"/>
  <c r="B72" i="1"/>
  <c r="B38" i="1"/>
  <c r="B42" i="1" s="1"/>
  <c r="B14" i="1"/>
  <c r="B18" i="1" s="1"/>
  <c r="N66" i="1"/>
  <c r="N65" i="1"/>
  <c r="Q65" i="1" s="1"/>
  <c r="N58" i="1"/>
  <c r="N57" i="1"/>
  <c r="J32" i="1"/>
  <c r="K32" i="1" s="1"/>
  <c r="J31" i="1"/>
  <c r="K31" i="1" s="1"/>
  <c r="J30" i="1"/>
  <c r="K30" i="1" s="1"/>
  <c r="J29" i="1"/>
  <c r="K29" i="1" s="1"/>
  <c r="J28" i="1"/>
  <c r="K28" i="1" s="1"/>
  <c r="D35" i="1"/>
  <c r="N40" i="1" s="1"/>
  <c r="E35" i="1" s="1"/>
  <c r="D27" i="1"/>
  <c r="I67" i="1" s="1"/>
  <c r="I74" i="1" s="1"/>
  <c r="N41" i="1"/>
  <c r="J35" i="1" s="1"/>
  <c r="C27" i="1"/>
  <c r="C38" i="1" s="1"/>
  <c r="C42" i="1" s="1"/>
  <c r="B35" i="1"/>
  <c r="G32" i="1"/>
  <c r="F32" i="1"/>
  <c r="G31" i="1"/>
  <c r="F31" i="1"/>
  <c r="E30" i="1"/>
  <c r="G29" i="1"/>
  <c r="F29" i="1"/>
  <c r="E29" i="1"/>
  <c r="G28" i="1"/>
  <c r="F28" i="1"/>
  <c r="E28" i="1"/>
  <c r="J6" i="1"/>
  <c r="K6" i="1" s="1"/>
  <c r="N17" i="1"/>
  <c r="J11" i="1" s="1"/>
  <c r="J8" i="1"/>
  <c r="K8" i="1" s="1"/>
  <c r="J7" i="1"/>
  <c r="K7" i="1" s="1"/>
  <c r="J5" i="1"/>
  <c r="K5" i="1" s="1"/>
  <c r="J4" i="1"/>
  <c r="K4" i="1" s="1"/>
  <c r="G4" i="1"/>
  <c r="G5" i="1"/>
  <c r="G7" i="1"/>
  <c r="G8" i="1"/>
  <c r="F5" i="1"/>
  <c r="E4" i="1"/>
  <c r="F4" i="1"/>
  <c r="F7" i="1"/>
  <c r="F8" i="1"/>
  <c r="E6" i="1"/>
  <c r="E5" i="1"/>
  <c r="D11" i="1"/>
  <c r="N16" i="1" s="1"/>
  <c r="E11" i="1" s="1"/>
  <c r="D3" i="1"/>
  <c r="N21" i="1" s="1"/>
  <c r="C3" i="1"/>
  <c r="C14" i="1" s="1"/>
  <c r="C18" i="1" s="1"/>
  <c r="B11" i="1"/>
  <c r="T121" i="1" l="1"/>
  <c r="V121" i="1" s="1"/>
  <c r="T118" i="1"/>
  <c r="V118" i="1" s="1"/>
  <c r="T114" i="1"/>
  <c r="V114" i="1" s="1"/>
  <c r="I73" i="1"/>
  <c r="N124" i="1"/>
  <c r="T116" i="1"/>
  <c r="N45" i="1"/>
  <c r="N72" i="1"/>
  <c r="B102" i="1"/>
  <c r="J38" i="1"/>
  <c r="J42" i="1" s="1"/>
  <c r="D14" i="1"/>
  <c r="D18" i="1" s="1"/>
  <c r="B45" i="1"/>
  <c r="K35" i="1"/>
  <c r="D38" i="1"/>
  <c r="D42" i="1" s="1"/>
  <c r="B67" i="1"/>
  <c r="B21" i="1"/>
  <c r="K92" i="1"/>
  <c r="D100" i="1"/>
  <c r="D99" i="1"/>
  <c r="J95" i="1"/>
  <c r="J102" i="1" s="1"/>
  <c r="C95" i="1"/>
  <c r="G92" i="1"/>
  <c r="G95" i="1" s="1"/>
  <c r="K11" i="1"/>
  <c r="F27" i="1"/>
  <c r="K3" i="1"/>
  <c r="K27" i="1"/>
  <c r="G35" i="1"/>
  <c r="F35" i="1"/>
  <c r="C43" i="1"/>
  <c r="E27" i="1"/>
  <c r="E38" i="1" s="1"/>
  <c r="G27" i="1"/>
  <c r="E3" i="1"/>
  <c r="E14" i="1" s="1"/>
  <c r="G3" i="1"/>
  <c r="F11" i="1"/>
  <c r="G11" i="1"/>
  <c r="F3" i="1"/>
  <c r="C19" i="1"/>
  <c r="B73" i="1" l="1"/>
  <c r="N67" i="1"/>
  <c r="B74" i="1"/>
  <c r="J14" i="1"/>
  <c r="J19" i="1" s="1"/>
  <c r="J45" i="1"/>
  <c r="C100" i="1"/>
  <c r="C99" i="1"/>
  <c r="J100" i="1"/>
  <c r="J99" i="1"/>
  <c r="J43" i="1"/>
  <c r="G38" i="1"/>
  <c r="D43" i="1"/>
  <c r="F38" i="1"/>
  <c r="F14" i="1"/>
  <c r="G14" i="1"/>
  <c r="D19" i="1"/>
  <c r="N73" i="1" l="1"/>
  <c r="N74" i="1"/>
  <c r="J18" i="1"/>
  <c r="J21" i="1"/>
</calcChain>
</file>

<file path=xl/sharedStrings.xml><?xml version="1.0" encoding="utf-8"?>
<sst xmlns="http://schemas.openxmlformats.org/spreadsheetml/2006/main" count="144" uniqueCount="66">
  <si>
    <t>Prod</t>
  </si>
  <si>
    <t>IEA</t>
  </si>
  <si>
    <t>hydro</t>
  </si>
  <si>
    <t>wind</t>
  </si>
  <si>
    <t>solar</t>
  </si>
  <si>
    <t>nuclear</t>
  </si>
  <si>
    <t>oil</t>
  </si>
  <si>
    <t>natual gas</t>
  </si>
  <si>
    <t>renewable combustibles (biogaz, waste,…)</t>
  </si>
  <si>
    <t>other cobustible (&amp; other waste)</t>
  </si>
  <si>
    <t>combustible total</t>
  </si>
  <si>
    <t>total</t>
  </si>
  <si>
    <t>energy charts</t>
  </si>
  <si>
    <t>moi</t>
  </si>
  <si>
    <t>SG</t>
  </si>
  <si>
    <t>-</t>
  </si>
  <si>
    <t>pumped storage</t>
  </si>
  <si>
    <t>Delta with IEA</t>
  </si>
  <si>
    <t>Erreur moi vs charts</t>
  </si>
  <si>
    <t>Erreur moi vs IEA</t>
  </si>
  <si>
    <t>Erreur charts vs IEA</t>
  </si>
  <si>
    <t>Custom mix</t>
  </si>
  <si>
    <t>SwissNuclear</t>
  </si>
  <si>
    <t>avec</t>
  </si>
  <si>
    <t>sans déchets forestiers et agricoles</t>
  </si>
  <si>
    <t>Diff with IEA</t>
  </si>
  <si>
    <t>Solaire</t>
  </si>
  <si>
    <t>Mois</t>
  </si>
  <si>
    <t>Total</t>
  </si>
  <si>
    <t>Total affiché</t>
  </si>
  <si>
    <t>Hydro</t>
  </si>
  <si>
    <t>OFEN 2020</t>
  </si>
  <si>
    <t>OFEN 2021</t>
  </si>
  <si>
    <t>hydro pompé PAS compté</t>
  </si>
  <si>
    <t>IEA - pompé</t>
  </si>
  <si>
    <t>Delta IEA-Charts</t>
  </si>
  <si>
    <t>Moi</t>
  </si>
  <si>
    <t>Delta IEA-moi</t>
  </si>
  <si>
    <t>correspond prod nette selon OFEN</t>
  </si>
  <si>
    <t>Delta with SG (pumped storage PAS compté)</t>
  </si>
  <si>
    <t>Prod 2021 SG</t>
  </si>
  <si>
    <t>Prod 2021 OFEN</t>
  </si>
  <si>
    <t>Correction SG -&gt; OFEN</t>
  </si>
  <si>
    <t>Delta corrigé OFEN</t>
  </si>
  <si>
    <t>One-year model</t>
  </si>
  <si>
    <t>Forest Truc</t>
  </si>
  <si>
    <t>Sous-totaux</t>
  </si>
  <si>
    <t>OFEN</t>
  </si>
  <si>
    <t>Nucléaire</t>
  </si>
  <si>
    <t>Autres</t>
  </si>
  <si>
    <t>hydro IEA</t>
  </si>
  <si>
    <t>oil IEA</t>
  </si>
  <si>
    <t>natual gas IEA</t>
  </si>
  <si>
    <t>Combustible IEA</t>
  </si>
  <si>
    <t>pumped storage IEA</t>
  </si>
  <si>
    <t>Delta Charts-moi</t>
  </si>
  <si>
    <t>OFEN - pompé</t>
  </si>
  <si>
    <r>
      <rPr>
        <b/>
        <sz val="18"/>
        <color theme="1"/>
        <rFont val="Calibri"/>
        <family val="2"/>
        <scheme val="minor"/>
      </rPr>
      <t>Résumé :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rgb="FFC00000"/>
        <rFont val="Calibri"/>
        <family val="2"/>
        <scheme val="minor"/>
      </rPr>
      <t xml:space="preserve">Hydro : </t>
    </r>
    <r>
      <rPr>
        <sz val="11"/>
        <color theme="1"/>
        <rFont val="Calibri"/>
        <family val="2"/>
        <scheme val="minor"/>
      </rPr>
      <t xml:space="preserve">IEA == OFEN, Charts légèrement sous-estimé, Pronovo un peu plus sous-estimé.
-&gt; écart IEA &lt;-&gt; pronovo du même ordre de grandeur que pompage, mais répartition mensuelle (complètement) différente
-&gt; écart Charts &lt;-&gt; pronovo : aucune idée
</t>
    </r>
    <r>
      <rPr>
        <b/>
        <u/>
        <sz val="11"/>
        <color theme="2" tint="-0.249977111117893"/>
        <rFont val="Calibri"/>
        <family val="2"/>
        <scheme val="minor"/>
      </rPr>
      <t xml:space="preserve">Hydro turbiné : </t>
    </r>
    <r>
      <rPr>
        <sz val="11"/>
        <color theme="2" tint="-0.249977111117893"/>
        <rFont val="Calibri"/>
        <family val="2"/>
        <scheme val="minor"/>
      </rPr>
      <t>on a que l'IEA/OFEN (mensuel)</t>
    </r>
    <r>
      <rPr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rgb="FF00B050"/>
        <rFont val="Calibri"/>
        <family val="2"/>
        <scheme val="minor"/>
      </rPr>
      <t xml:space="preserve">Eolien et solaire : </t>
    </r>
    <r>
      <rPr>
        <sz val="11"/>
        <color theme="1"/>
        <rFont val="Calibri"/>
        <family val="2"/>
        <scheme val="minor"/>
      </rPr>
      <t xml:space="preserve">Utiliser Charts (fit Pronovo -&gt; Charts journalier).
IEA a une mauvaise décomposition mensuelle
</t>
    </r>
    <r>
      <rPr>
        <b/>
        <u/>
        <sz val="11"/>
        <color rgb="FF00B050"/>
        <rFont val="Calibri"/>
        <family val="2"/>
        <scheme val="minor"/>
      </rPr>
      <t xml:space="preserve">Nucléaire : </t>
    </r>
    <r>
      <rPr>
        <sz val="11"/>
        <color theme="1"/>
        <rFont val="Calibri"/>
        <family val="2"/>
        <scheme val="minor"/>
      </rPr>
      <t xml:space="preserve">IEA mal réparti sur l'année. ENTSOE bien (faible erreur, 195GWh/18TWh en 2021)
</t>
    </r>
    <r>
      <rPr>
        <b/>
        <u/>
        <sz val="11"/>
        <color theme="1"/>
        <rFont val="Calibri"/>
        <family val="2"/>
        <scheme val="minor"/>
      </rPr>
      <t xml:space="preserve">Pétrole et gaz naturel : </t>
    </r>
    <r>
      <rPr>
        <sz val="11"/>
        <color theme="1"/>
        <rFont val="Calibri"/>
        <family val="2"/>
        <scheme val="minor"/>
      </rPr>
      <t xml:space="preserve">Résidu (qui peut être validé à l'aide de l'IEA). Négligeables dans le mix
</t>
    </r>
    <r>
      <rPr>
        <b/>
        <u/>
        <sz val="11"/>
        <color rgb="FFC00000"/>
        <rFont val="Calibri"/>
        <family val="2"/>
        <scheme val="minor"/>
      </rPr>
      <t xml:space="preserve">Autres combustibles (déchets, biomasse, ...) : </t>
    </r>
    <r>
      <rPr>
        <sz val="11"/>
        <color theme="1"/>
        <rFont val="Calibri"/>
        <family val="2"/>
        <scheme val="minor"/>
      </rPr>
      <t xml:space="preserve">Sous estimé par charts/pronovo. Bien avec IEA mais pas décomposé et mensuel.
</t>
    </r>
    <r>
      <rPr>
        <sz val="11"/>
        <color rgb="FFC00000"/>
        <rFont val="Calibri"/>
        <family val="2"/>
        <scheme val="minor"/>
      </rPr>
      <t>-&gt; A quoi correspond ce qui n'est pas report par Pronovo 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Hypothèse de référence : </t>
    </r>
    <r>
      <rPr>
        <sz val="11"/>
        <color theme="1"/>
        <rFont val="Calibri"/>
        <family val="2"/>
        <scheme val="minor"/>
      </rPr>
      <t xml:space="preserve">OFEN. 
</t>
    </r>
    <r>
      <rPr>
        <b/>
        <sz val="11"/>
        <color theme="1"/>
        <rFont val="Calibri"/>
        <family val="2"/>
        <scheme val="minor"/>
      </rPr>
      <t xml:space="preserve">Hypothèse conséquente : </t>
    </r>
    <r>
      <rPr>
        <sz val="11"/>
        <color theme="1"/>
        <rFont val="Calibri"/>
        <family val="2"/>
        <scheme val="minor"/>
      </rPr>
      <t>SwissGrid n'a pas 100% de la production qui arrive sur son réseau (peut s'expliquer par des sous-réseaux....)</t>
    </r>
  </si>
  <si>
    <t>EcoDynElec existant</t>
  </si>
  <si>
    <t>EnergyCharts</t>
  </si>
  <si>
    <t>Pronovo</t>
  </si>
  <si>
    <t>EcoDynElec</t>
  </si>
  <si>
    <t>IEA combustible renouvelable</t>
  </si>
  <si>
    <t>Delta</t>
  </si>
  <si>
    <t>Résidu</t>
  </si>
  <si>
    <t>ENTSOE (EcoDynElec existant)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</si>
</sst>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u/>
      <sz val="11"/>
      <color theme="2" tint="-0.249977111117893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4C5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6" borderId="0" xfId="0" applyFill="1"/>
    <xf numFmtId="0" fontId="0" fillId="7" borderId="0" xfId="0" applyFill="1"/>
    <xf numFmtId="17" fontId="5" fillId="0" borderId="0" xfId="0" applyNumberFormat="1" applyFont="1"/>
    <xf numFmtId="0" fontId="7" fillId="3" borderId="0" xfId="0" applyFont="1" applyFill="1"/>
    <xf numFmtId="0" fontId="0" fillId="8" borderId="0" xfId="0" applyFill="1"/>
    <xf numFmtId="0" fontId="0" fillId="0" borderId="2" xfId="0" applyBorder="1"/>
    <xf numFmtId="0" fontId="7" fillId="0" borderId="2" xfId="0" applyFont="1" applyBorder="1"/>
    <xf numFmtId="0" fontId="0" fillId="4" borderId="2" xfId="0" applyFill="1" applyBorder="1"/>
    <xf numFmtId="0" fontId="7" fillId="4" borderId="2" xfId="0" applyFont="1" applyFill="1" applyBorder="1"/>
    <xf numFmtId="0" fontId="0" fillId="5" borderId="2" xfId="0" applyFill="1" applyBorder="1"/>
    <xf numFmtId="0" fontId="8" fillId="0" borderId="2" xfId="0" applyFont="1" applyBorder="1"/>
    <xf numFmtId="0" fontId="3" fillId="8" borderId="2" xfId="0" applyFont="1" applyFill="1" applyBorder="1"/>
    <xf numFmtId="0" fontId="3" fillId="0" borderId="2" xfId="0" applyFont="1" applyBorder="1"/>
    <xf numFmtId="0" fontId="1" fillId="0" borderId="2" xfId="0" applyFont="1" applyBorder="1"/>
    <xf numFmtId="0" fontId="4" fillId="0" borderId="2" xfId="0" applyFont="1" applyBorder="1"/>
    <xf numFmtId="0" fontId="3" fillId="2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0" fontId="0" fillId="9" borderId="2" xfId="0" applyFill="1" applyBorder="1"/>
    <xf numFmtId="0" fontId="0" fillId="10" borderId="2" xfId="0" applyFill="1" applyBorder="1"/>
    <xf numFmtId="16" fontId="0" fillId="0" borderId="2" xfId="0" applyNumberFormat="1" applyBorder="1"/>
    <xf numFmtId="0" fontId="0" fillId="0" borderId="3" xfId="0" applyBorder="1"/>
    <xf numFmtId="0" fontId="8" fillId="3" borderId="2" xfId="0" applyFont="1" applyFill="1" applyBorder="1"/>
    <xf numFmtId="0" fontId="9" fillId="3" borderId="2" xfId="0" applyFont="1" applyFill="1" applyBorder="1"/>
    <xf numFmtId="0" fontId="0" fillId="11" borderId="2" xfId="0" applyFill="1" applyBorder="1"/>
    <xf numFmtId="0" fontId="6" fillId="4" borderId="2" xfId="0" applyFont="1" applyFill="1" applyBorder="1"/>
    <xf numFmtId="0" fontId="6" fillId="0" borderId="2" xfId="0" applyFont="1" applyBorder="1"/>
    <xf numFmtId="0" fontId="5" fillId="0" borderId="0" xfId="0" applyFont="1"/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0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C5FF"/>
      <color rgb="FFEA8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Production solaire mensuelle en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Feuil1!$A$57</c:f>
              <c:strCache>
                <c:ptCount val="1"/>
                <c:pt idx="0">
                  <c:v>IEA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Feuil1!$B$56:$M$56</c:f>
              <c:numCache>
                <c:formatCode>d\-mmm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Feuil1!$B$57:$M$57</c:f>
              <c:numCache>
                <c:formatCode>General</c:formatCode>
                <c:ptCount val="12"/>
                <c:pt idx="0">
                  <c:v>37.5</c:v>
                </c:pt>
                <c:pt idx="1">
                  <c:v>109.3</c:v>
                </c:pt>
                <c:pt idx="2">
                  <c:v>236.6</c:v>
                </c:pt>
                <c:pt idx="3">
                  <c:v>363.8</c:v>
                </c:pt>
                <c:pt idx="4">
                  <c:v>385</c:v>
                </c:pt>
                <c:pt idx="5">
                  <c:v>429.1</c:v>
                </c:pt>
                <c:pt idx="6">
                  <c:v>316.5</c:v>
                </c:pt>
                <c:pt idx="7">
                  <c:v>396.4</c:v>
                </c:pt>
                <c:pt idx="8">
                  <c:v>290.39999999999998</c:v>
                </c:pt>
                <c:pt idx="9">
                  <c:v>172.9</c:v>
                </c:pt>
                <c:pt idx="10">
                  <c:v>65.3</c:v>
                </c:pt>
                <c:pt idx="11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0-4497-843A-7DCA7B0F4DDD}"/>
            </c:ext>
          </c:extLst>
        </c:ser>
        <c:ser>
          <c:idx val="1"/>
          <c:order val="1"/>
          <c:tx>
            <c:strRef>
              <c:f>Feuil1!$A$58</c:f>
              <c:strCache>
                <c:ptCount val="1"/>
                <c:pt idx="0">
                  <c:v>EnergyCharts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Feuil1!$B$56:$M$56</c:f>
              <c:numCache>
                <c:formatCode>d\-mmm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Feuil1!$B$58:$M$58</c:f>
              <c:numCache>
                <c:formatCode>General</c:formatCode>
                <c:ptCount val="12"/>
                <c:pt idx="0">
                  <c:v>32.6</c:v>
                </c:pt>
                <c:pt idx="1">
                  <c:v>108.9</c:v>
                </c:pt>
                <c:pt idx="2">
                  <c:v>246.9</c:v>
                </c:pt>
                <c:pt idx="3">
                  <c:v>346.8</c:v>
                </c:pt>
                <c:pt idx="4">
                  <c:v>356.7</c:v>
                </c:pt>
                <c:pt idx="5">
                  <c:v>443.9</c:v>
                </c:pt>
                <c:pt idx="6">
                  <c:v>356.3</c:v>
                </c:pt>
                <c:pt idx="7">
                  <c:v>352.5</c:v>
                </c:pt>
                <c:pt idx="8">
                  <c:v>284.2</c:v>
                </c:pt>
                <c:pt idx="9">
                  <c:v>195.9</c:v>
                </c:pt>
                <c:pt idx="10">
                  <c:v>75.099999999999994</c:v>
                </c:pt>
                <c:pt idx="11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0-4497-843A-7DCA7B0F4DDD}"/>
            </c:ext>
          </c:extLst>
        </c:ser>
        <c:ser>
          <c:idx val="2"/>
          <c:order val="2"/>
          <c:tx>
            <c:strRef>
              <c:f>Feuil1!$A$59</c:f>
              <c:strCache>
                <c:ptCount val="1"/>
                <c:pt idx="0">
                  <c:v>ENTSOE (EcoDynElec existant)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Feuil1!$B$56:$M$56</c:f>
              <c:numCache>
                <c:formatCode>d\-mmm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Feuil1!$B$59:$M$59</c:f>
              <c:numCache>
                <c:formatCode>General</c:formatCode>
                <c:ptCount val="12"/>
                <c:pt idx="0">
                  <c:v>35.643000000000001</c:v>
                </c:pt>
                <c:pt idx="1">
                  <c:v>95.798000000000002</c:v>
                </c:pt>
                <c:pt idx="2">
                  <c:v>219.958</c:v>
                </c:pt>
                <c:pt idx="3">
                  <c:v>328.863</c:v>
                </c:pt>
                <c:pt idx="4">
                  <c:v>329.87700000000001</c:v>
                </c:pt>
                <c:pt idx="5">
                  <c:v>381.55500000000001</c:v>
                </c:pt>
                <c:pt idx="6">
                  <c:v>325.66699999999997</c:v>
                </c:pt>
                <c:pt idx="7">
                  <c:v>296.73500000000001</c:v>
                </c:pt>
                <c:pt idx="8">
                  <c:v>251.126</c:v>
                </c:pt>
                <c:pt idx="9">
                  <c:v>153.393</c:v>
                </c:pt>
                <c:pt idx="10">
                  <c:v>58.042000000000002</c:v>
                </c:pt>
                <c:pt idx="11">
                  <c:v>25.038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E-4DA9-A895-2AECD2115409}"/>
            </c:ext>
          </c:extLst>
        </c:ser>
        <c:ser>
          <c:idx val="3"/>
          <c:order val="3"/>
          <c:tx>
            <c:strRef>
              <c:f>Feuil1!$A$60</c:f>
              <c:strCache>
                <c:ptCount val="1"/>
                <c:pt idx="0">
                  <c:v>Pronovo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Feuil1!$B$56:$M$56</c:f>
              <c:numCache>
                <c:formatCode>d\-mmm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Feuil1!$B$60:$M$60</c:f>
              <c:numCache>
                <c:formatCode>General</c:formatCode>
                <c:ptCount val="12"/>
                <c:pt idx="0">
                  <c:v>17.199000000000002</c:v>
                </c:pt>
                <c:pt idx="1">
                  <c:v>57.396000000000001</c:v>
                </c:pt>
                <c:pt idx="2">
                  <c:v>130.03399999999999</c:v>
                </c:pt>
                <c:pt idx="3">
                  <c:v>182.64</c:v>
                </c:pt>
                <c:pt idx="4">
                  <c:v>187.85300000000001</c:v>
                </c:pt>
                <c:pt idx="5">
                  <c:v>233.756</c:v>
                </c:pt>
                <c:pt idx="6">
                  <c:v>187.62200000000001</c:v>
                </c:pt>
                <c:pt idx="7">
                  <c:v>185.626</c:v>
                </c:pt>
                <c:pt idx="8">
                  <c:v>149.637</c:v>
                </c:pt>
                <c:pt idx="9">
                  <c:v>103.17700000000001</c:v>
                </c:pt>
                <c:pt idx="10">
                  <c:v>39.563000000000002</c:v>
                </c:pt>
                <c:pt idx="11">
                  <c:v>22.382999999999999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E-4DA9-A895-2AECD2115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485328"/>
        <c:axId val="257483408"/>
      </c:lineChart>
      <c:dateAx>
        <c:axId val="25748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</a:t>
                </a:r>
                <a:r>
                  <a:rPr lang="fr-CH" baseline="0"/>
                  <a:t> (mois)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483408"/>
        <c:crosses val="autoZero"/>
        <c:auto val="1"/>
        <c:lblOffset val="100"/>
        <c:baseTimeUnit val="months"/>
      </c:dateAx>
      <c:valAx>
        <c:axId val="2574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Energie</a:t>
                </a:r>
                <a:r>
                  <a:rPr lang="fr-CH" baseline="0"/>
                  <a:t> produite (GWh)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48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Production hydraulique mensuelle en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Feuil1!$A$65</c:f>
              <c:strCache>
                <c:ptCount val="1"/>
                <c:pt idx="0">
                  <c:v>IEA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Feuil1!$B$64:$M$64</c:f>
              <c:numCache>
                <c:formatCode>d\-mmm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Feuil1!$B$65:$M$65</c:f>
              <c:numCache>
                <c:formatCode>General</c:formatCode>
                <c:ptCount val="12"/>
                <c:pt idx="0">
                  <c:v>2964.1</c:v>
                </c:pt>
                <c:pt idx="1">
                  <c:v>2797.7</c:v>
                </c:pt>
                <c:pt idx="2">
                  <c:v>2719.1</c:v>
                </c:pt>
                <c:pt idx="3">
                  <c:v>2306.6</c:v>
                </c:pt>
                <c:pt idx="4">
                  <c:v>3277.8</c:v>
                </c:pt>
                <c:pt idx="5">
                  <c:v>4833</c:v>
                </c:pt>
                <c:pt idx="6">
                  <c:v>4989.3</c:v>
                </c:pt>
                <c:pt idx="7">
                  <c:v>4501.2</c:v>
                </c:pt>
                <c:pt idx="8">
                  <c:v>3129.5</c:v>
                </c:pt>
                <c:pt idx="9">
                  <c:v>2431.6</c:v>
                </c:pt>
                <c:pt idx="10">
                  <c:v>2900.6</c:v>
                </c:pt>
                <c:pt idx="11">
                  <c:v>2649.5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9-4781-ABC5-B07902BDFF10}"/>
            </c:ext>
          </c:extLst>
        </c:ser>
        <c:ser>
          <c:idx val="1"/>
          <c:order val="1"/>
          <c:tx>
            <c:strRef>
              <c:f>Feuil1!$A$66</c:f>
              <c:strCache>
                <c:ptCount val="1"/>
                <c:pt idx="0">
                  <c:v>EnergyCharts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Feuil1!$B$64:$M$64</c:f>
              <c:numCache>
                <c:formatCode>d\-mmm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Feuil1!$B$66:$M$66</c:f>
              <c:numCache>
                <c:formatCode>General</c:formatCode>
                <c:ptCount val="12"/>
                <c:pt idx="0">
                  <c:v>2947.9</c:v>
                </c:pt>
                <c:pt idx="1">
                  <c:v>2529.8000000000002</c:v>
                </c:pt>
                <c:pt idx="2">
                  <c:v>2544</c:v>
                </c:pt>
                <c:pt idx="3">
                  <c:v>2116.9</c:v>
                </c:pt>
                <c:pt idx="4">
                  <c:v>3142.9</c:v>
                </c:pt>
                <c:pt idx="5">
                  <c:v>4649.6000000000004</c:v>
                </c:pt>
                <c:pt idx="6">
                  <c:v>4821.6000000000004</c:v>
                </c:pt>
                <c:pt idx="7">
                  <c:v>4372.3</c:v>
                </c:pt>
                <c:pt idx="8">
                  <c:v>2971</c:v>
                </c:pt>
                <c:pt idx="9">
                  <c:v>2219.1999999999998</c:v>
                </c:pt>
                <c:pt idx="10">
                  <c:v>2602.8000000000002</c:v>
                </c:pt>
                <c:pt idx="11">
                  <c:v>2415.1999999999998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9-4781-ABC5-B07902BDFF10}"/>
            </c:ext>
          </c:extLst>
        </c:ser>
        <c:ser>
          <c:idx val="2"/>
          <c:order val="2"/>
          <c:tx>
            <c:strRef>
              <c:f>Feuil1!$A$67</c:f>
              <c:strCache>
                <c:ptCount val="1"/>
                <c:pt idx="0">
                  <c:v>Pronovo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Feuil1!$B$64:$M$64</c:f>
              <c:numCache>
                <c:formatCode>d\-mmm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Feuil1!$B$67:$M$67</c:f>
              <c:numCache>
                <c:formatCode>General</c:formatCode>
                <c:ptCount val="12"/>
                <c:pt idx="0">
                  <c:v>2794.6270000000004</c:v>
                </c:pt>
                <c:pt idx="1">
                  <c:v>2409.8649999999998</c:v>
                </c:pt>
                <c:pt idx="2">
                  <c:v>2412.6280000000002</c:v>
                </c:pt>
                <c:pt idx="3">
                  <c:v>2021.6669999999999</c:v>
                </c:pt>
                <c:pt idx="4">
                  <c:v>2971.9290000000001</c:v>
                </c:pt>
                <c:pt idx="5">
                  <c:v>4352.8810000000003</c:v>
                </c:pt>
                <c:pt idx="6">
                  <c:v>4482.2</c:v>
                </c:pt>
                <c:pt idx="7">
                  <c:v>4081.5420000000004</c:v>
                </c:pt>
                <c:pt idx="8">
                  <c:v>2802.58</c:v>
                </c:pt>
                <c:pt idx="9">
                  <c:v>2082.8510000000001</c:v>
                </c:pt>
                <c:pt idx="10">
                  <c:v>2454.8359999999998</c:v>
                </c:pt>
                <c:pt idx="11">
                  <c:v>2289.38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9-4781-ABC5-B07902BDFF10}"/>
            </c:ext>
          </c:extLst>
        </c:ser>
        <c:ser>
          <c:idx val="3"/>
          <c:order val="3"/>
          <c:tx>
            <c:strRef>
              <c:f>Feuil1!$A$68</c:f>
              <c:strCache>
                <c:ptCount val="1"/>
                <c:pt idx="0">
                  <c:v>EcoDynElec existant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Feuil1!$B$64:$M$64</c:f>
              <c:numCache>
                <c:formatCode>d\-mmm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Feuil1!$B$68:$M$68</c:f>
              <c:numCache>
                <c:formatCode>General</c:formatCode>
                <c:ptCount val="12"/>
                <c:pt idx="0">
                  <c:v>3104.453</c:v>
                </c:pt>
                <c:pt idx="1">
                  <c:v>2630.4949999999999</c:v>
                </c:pt>
                <c:pt idx="2">
                  <c:v>2478.15</c:v>
                </c:pt>
                <c:pt idx="3">
                  <c:v>2106.1289999999999</c:v>
                </c:pt>
                <c:pt idx="4">
                  <c:v>3111.1759999999999</c:v>
                </c:pt>
                <c:pt idx="5">
                  <c:v>4539.9480000000003</c:v>
                </c:pt>
                <c:pt idx="6">
                  <c:v>4719.0770000000002</c:v>
                </c:pt>
                <c:pt idx="7">
                  <c:v>4237.4539999999997</c:v>
                </c:pt>
                <c:pt idx="8">
                  <c:v>2834.4679999999998</c:v>
                </c:pt>
                <c:pt idx="9">
                  <c:v>2195.92</c:v>
                </c:pt>
                <c:pt idx="10">
                  <c:v>2619.8090000000002</c:v>
                </c:pt>
                <c:pt idx="11">
                  <c:v>2411.2109999999998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A-4761-A0E5-470190F3580F}"/>
            </c:ext>
          </c:extLst>
        </c:ser>
        <c:ser>
          <c:idx val="4"/>
          <c:order val="4"/>
          <c:tx>
            <c:strRef>
              <c:f>Feuil1!$A$69</c:f>
              <c:strCache>
                <c:ptCount val="1"/>
                <c:pt idx="0">
                  <c:v>OFEN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Feuil1!$B$64:$M$64</c:f>
              <c:numCache>
                <c:formatCode>d\-mmm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Feuil1!$B$69:$M$69</c:f>
              <c:numCache>
                <c:formatCode>General</c:formatCode>
                <c:ptCount val="12"/>
                <c:pt idx="0">
                  <c:v>3273</c:v>
                </c:pt>
                <c:pt idx="1">
                  <c:v>2772</c:v>
                </c:pt>
                <c:pt idx="2">
                  <c:v>2696</c:v>
                </c:pt>
                <c:pt idx="3">
                  <c:v>2287</c:v>
                </c:pt>
                <c:pt idx="4">
                  <c:v>3250</c:v>
                </c:pt>
                <c:pt idx="5">
                  <c:v>4792</c:v>
                </c:pt>
                <c:pt idx="6">
                  <c:v>4947</c:v>
                </c:pt>
                <c:pt idx="7">
                  <c:v>4463</c:v>
                </c:pt>
                <c:pt idx="8">
                  <c:v>3103</c:v>
                </c:pt>
                <c:pt idx="9">
                  <c:v>2402</c:v>
                </c:pt>
                <c:pt idx="10">
                  <c:v>2877</c:v>
                </c:pt>
                <c:pt idx="11">
                  <c:v>2638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8-4B6F-B7BC-310DE73C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484368"/>
        <c:axId val="257482928"/>
      </c:lineChart>
      <c:dateAx>
        <c:axId val="25748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(mois)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482928"/>
        <c:crosses val="autoZero"/>
        <c:auto val="1"/>
        <c:lblOffset val="100"/>
        <c:baseTimeUnit val="months"/>
      </c:dateAx>
      <c:valAx>
        <c:axId val="257482928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Energie produite (GWh)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48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Turbiné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Feuil1!$A$71</c:f>
              <c:strCache>
                <c:ptCount val="1"/>
                <c:pt idx="0">
                  <c:v>IEA - pompé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Feuil1!$B$71:$M$71</c:f>
              <c:numCache>
                <c:formatCode>General</c:formatCode>
                <c:ptCount val="12"/>
                <c:pt idx="0">
                  <c:v>270.3</c:v>
                </c:pt>
                <c:pt idx="1">
                  <c:v>212.2</c:v>
                </c:pt>
                <c:pt idx="2">
                  <c:v>204.2</c:v>
                </c:pt>
                <c:pt idx="3">
                  <c:v>322.3</c:v>
                </c:pt>
                <c:pt idx="4">
                  <c:v>506.5</c:v>
                </c:pt>
                <c:pt idx="5">
                  <c:v>411.4</c:v>
                </c:pt>
                <c:pt idx="6">
                  <c:v>433.4</c:v>
                </c:pt>
                <c:pt idx="7">
                  <c:v>404.4</c:v>
                </c:pt>
                <c:pt idx="8">
                  <c:v>325.3</c:v>
                </c:pt>
                <c:pt idx="9">
                  <c:v>327.3</c:v>
                </c:pt>
                <c:pt idx="10">
                  <c:v>309.3</c:v>
                </c:pt>
                <c:pt idx="11">
                  <c:v>418.4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43B4-B994-BD6F982C88B6}"/>
            </c:ext>
          </c:extLst>
        </c:ser>
        <c:ser>
          <c:idx val="1"/>
          <c:order val="1"/>
          <c:tx>
            <c:strRef>
              <c:f>Feuil1!$A$72</c:f>
              <c:strCache>
                <c:ptCount val="1"/>
                <c:pt idx="0">
                  <c:v>Delta IEA-Charts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Feuil1!$B$72:$M$72</c:f>
              <c:numCache>
                <c:formatCode>General</c:formatCode>
                <c:ptCount val="12"/>
                <c:pt idx="0">
                  <c:v>16.199999999999818</c:v>
                </c:pt>
                <c:pt idx="1">
                  <c:v>267.89999999999964</c:v>
                </c:pt>
                <c:pt idx="2">
                  <c:v>175.09999999999991</c:v>
                </c:pt>
                <c:pt idx="3">
                  <c:v>189.69999999999982</c:v>
                </c:pt>
                <c:pt idx="4">
                  <c:v>134.90000000000009</c:v>
                </c:pt>
                <c:pt idx="5">
                  <c:v>183.39999999999964</c:v>
                </c:pt>
                <c:pt idx="6">
                  <c:v>167.69999999999982</c:v>
                </c:pt>
                <c:pt idx="7">
                  <c:v>128.89999999999964</c:v>
                </c:pt>
                <c:pt idx="8">
                  <c:v>158.5</c:v>
                </c:pt>
                <c:pt idx="9">
                  <c:v>212.40000000000009</c:v>
                </c:pt>
                <c:pt idx="10">
                  <c:v>297.79999999999973</c:v>
                </c:pt>
                <c:pt idx="11">
                  <c:v>234.30000000000018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F-43B4-B994-BD6F982C88B6}"/>
            </c:ext>
          </c:extLst>
        </c:ser>
        <c:ser>
          <c:idx val="2"/>
          <c:order val="2"/>
          <c:tx>
            <c:strRef>
              <c:f>Feuil1!$A$73</c:f>
              <c:strCache>
                <c:ptCount val="1"/>
                <c:pt idx="0">
                  <c:v>Delta IEA-moi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Feuil1!$B$73:$M$73</c:f>
              <c:numCache>
                <c:formatCode>General</c:formatCode>
                <c:ptCount val="12"/>
                <c:pt idx="0">
                  <c:v>169.4729999999995</c:v>
                </c:pt>
                <c:pt idx="1">
                  <c:v>387.83500000000004</c:v>
                </c:pt>
                <c:pt idx="2">
                  <c:v>306.47199999999975</c:v>
                </c:pt>
                <c:pt idx="3">
                  <c:v>284.93299999999999</c:v>
                </c:pt>
                <c:pt idx="4">
                  <c:v>305.87100000000009</c:v>
                </c:pt>
                <c:pt idx="5">
                  <c:v>480.11899999999969</c:v>
                </c:pt>
                <c:pt idx="6">
                  <c:v>507.10000000000036</c:v>
                </c:pt>
                <c:pt idx="7">
                  <c:v>419.65799999999945</c:v>
                </c:pt>
                <c:pt idx="8">
                  <c:v>326.92000000000007</c:v>
                </c:pt>
                <c:pt idx="9">
                  <c:v>348.7489999999998</c:v>
                </c:pt>
                <c:pt idx="10">
                  <c:v>445.76400000000012</c:v>
                </c:pt>
                <c:pt idx="11">
                  <c:v>360.11999999999989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F-43B4-B994-BD6F982C8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33808"/>
        <c:axId val="465334768"/>
      </c:lineChart>
      <c:catAx>
        <c:axId val="46533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334768"/>
        <c:crosses val="autoZero"/>
        <c:auto val="1"/>
        <c:lblAlgn val="ctr"/>
        <c:lblOffset val="100"/>
        <c:noMultiLvlLbl val="0"/>
      </c:catAx>
      <c:valAx>
        <c:axId val="465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33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284560</xdr:colOff>
      <xdr:row>73</xdr:row>
      <xdr:rowOff>51196</xdr:rowOff>
    </xdr:from>
    <xdr:to>
      <xdr:col>8</xdr:col>
      <xdr:colOff>208360</xdr:colOff>
      <xdr:row>94</xdr:row>
      <xdr:rowOff>165494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13AF549-09C7-3E2E-59AF-F8C244B9D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659131</xdr:colOff>
      <xdr:row>128</xdr:row>
      <xdr:rowOff>13607</xdr:rowOff>
    </xdr:from>
    <xdr:to>
      <xdr:col>11</xdr:col>
      <xdr:colOff>190501</xdr:colOff>
      <xdr:row>149</xdr:row>
      <xdr:rowOff>1028700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04D4F4D-4A63-D4E9-94F6-16F10B5CF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499110</xdr:colOff>
      <xdr:row>41</xdr:row>
      <xdr:rowOff>130492</xdr:rowOff>
    </xdr:from>
    <xdr:to>
      <xdr:col>19</xdr:col>
      <xdr:colOff>375285</xdr:colOff>
      <xdr:row>56</xdr:row>
      <xdr:rowOff>16192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CA0C779-39FE-5A9C-17AD-84F9DFA4F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DED4-03C7-4ABF-A24D-C21D980738E3}">
  <dimension ref="A1:V150"/>
  <sheetViews>
    <sheetView tabSelected="1" topLeftCell="A106" zoomScale="70" zoomScaleNormal="70" workbookViewId="0">
      <selection activeCell="S63" sqref="S63"/>
    </sheetView>
  </sheetViews>
  <sheetFormatPr baseColWidth="10" defaultRowHeight="15" x14ac:dyDescent="0.25"/>
  <cols>
    <col min="1" max="1" width="24.85546875" customWidth="1"/>
    <col min="5" max="7" width="19.140625" customWidth="1"/>
    <col min="14" max="14" width="13.28515625" customWidth="1"/>
  </cols>
  <sheetData>
    <row r="1" spans="1:15" x14ac:dyDescent="0.25">
      <c r="A1" s="6">
        <v>44197</v>
      </c>
    </row>
    <row r="2" spans="1:15" x14ac:dyDescent="0.25">
      <c r="A2" s="9" t="s">
        <v>0</v>
      </c>
      <c r="B2" s="9" t="s">
        <v>1</v>
      </c>
      <c r="C2" s="9" t="s">
        <v>12</v>
      </c>
      <c r="D2" s="9" t="s">
        <v>13</v>
      </c>
      <c r="E2" s="9" t="s">
        <v>18</v>
      </c>
      <c r="F2" s="9" t="s">
        <v>19</v>
      </c>
      <c r="G2" s="9" t="s">
        <v>20</v>
      </c>
      <c r="H2" s="9" t="s">
        <v>14</v>
      </c>
      <c r="J2" s="9" t="s">
        <v>21</v>
      </c>
      <c r="K2" s="9" t="s">
        <v>25</v>
      </c>
    </row>
    <row r="3" spans="1:15" x14ac:dyDescent="0.25">
      <c r="A3" s="10" t="s">
        <v>2</v>
      </c>
      <c r="B3" s="12">
        <v>2964.1</v>
      </c>
      <c r="C3" s="29">
        <f>1762+1185.8</f>
        <v>2947.8</v>
      </c>
      <c r="D3" s="11">
        <f>1185.594+955.331+653.702</f>
        <v>2794.6270000000004</v>
      </c>
      <c r="E3" s="9">
        <f>C3-D3</f>
        <v>153.17299999999977</v>
      </c>
      <c r="F3" s="13">
        <f>B3-D3</f>
        <v>169.4729999999995</v>
      </c>
      <c r="G3" s="9">
        <f>B3-C3</f>
        <v>16.299999999999727</v>
      </c>
      <c r="H3" s="9"/>
      <c r="J3" s="9">
        <f>B3</f>
        <v>2964.1</v>
      </c>
      <c r="K3" s="9">
        <f>B3-J3</f>
        <v>0</v>
      </c>
    </row>
    <row r="4" spans="1:15" x14ac:dyDescent="0.25">
      <c r="A4" s="9" t="s">
        <v>3</v>
      </c>
      <c r="B4" s="9">
        <v>16.2</v>
      </c>
      <c r="C4" s="14">
        <v>15.9</v>
      </c>
      <c r="D4" s="9">
        <v>15.7</v>
      </c>
      <c r="E4" s="9">
        <f>C4-D4</f>
        <v>0.20000000000000107</v>
      </c>
      <c r="F4" s="9">
        <f>B4-D4</f>
        <v>0.5</v>
      </c>
      <c r="G4" s="9">
        <f t="shared" ref="G4:G8" si="0">B4-C4</f>
        <v>0.29999999999999893</v>
      </c>
      <c r="H4" s="9"/>
      <c r="J4" s="14">
        <f>C4</f>
        <v>15.9</v>
      </c>
      <c r="K4" s="9">
        <f>B4-J4</f>
        <v>0.29999999999999893</v>
      </c>
    </row>
    <row r="5" spans="1:15" x14ac:dyDescent="0.25">
      <c r="A5" s="9" t="s">
        <v>4</v>
      </c>
      <c r="B5" s="9">
        <v>37.5</v>
      </c>
      <c r="C5" s="14">
        <v>32.700000000000003</v>
      </c>
      <c r="D5" s="9">
        <v>17.2</v>
      </c>
      <c r="E5" s="9">
        <f>C5-D5</f>
        <v>15.500000000000004</v>
      </c>
      <c r="F5" s="22">
        <f>B5-D5</f>
        <v>20.3</v>
      </c>
      <c r="G5" s="9">
        <f t="shared" si="0"/>
        <v>4.7999999999999972</v>
      </c>
      <c r="H5" s="9"/>
      <c r="J5" s="14">
        <f>C5</f>
        <v>32.700000000000003</v>
      </c>
      <c r="K5" s="9">
        <f>B5-J5</f>
        <v>4.7999999999999972</v>
      </c>
    </row>
    <row r="6" spans="1:15" x14ac:dyDescent="0.25">
      <c r="A6" s="15" t="s">
        <v>5</v>
      </c>
      <c r="B6" s="9">
        <v>1987.2</v>
      </c>
      <c r="C6" s="14">
        <v>2160.3000000000002</v>
      </c>
      <c r="D6" s="16">
        <v>2161.1</v>
      </c>
      <c r="E6" s="9">
        <f>C6-D6</f>
        <v>-0.79999999999972715</v>
      </c>
      <c r="F6" s="17">
        <v>0</v>
      </c>
      <c r="G6" s="17">
        <v>0</v>
      </c>
      <c r="H6" s="9"/>
      <c r="J6" s="14">
        <f>C6</f>
        <v>2160.3000000000002</v>
      </c>
      <c r="K6" s="9">
        <f>B6-J6</f>
        <v>-173.10000000000014</v>
      </c>
    </row>
    <row r="7" spans="1:15" x14ac:dyDescent="0.25">
      <c r="A7" s="9" t="s">
        <v>6</v>
      </c>
      <c r="B7" s="14">
        <v>1.8</v>
      </c>
      <c r="C7" s="9">
        <v>0</v>
      </c>
      <c r="D7" s="9">
        <v>0</v>
      </c>
      <c r="E7" s="9">
        <v>0</v>
      </c>
      <c r="F7" s="23">
        <f>B7-D7</f>
        <v>1.8</v>
      </c>
      <c r="G7" s="9">
        <f t="shared" si="0"/>
        <v>1.8</v>
      </c>
      <c r="H7" s="9"/>
      <c r="J7" s="14">
        <f>B7</f>
        <v>1.8</v>
      </c>
      <c r="K7" s="9">
        <f t="shared" ref="K7:K11" si="1">B7-J7</f>
        <v>0</v>
      </c>
    </row>
    <row r="8" spans="1:15" x14ac:dyDescent="0.25">
      <c r="A8" s="9" t="s">
        <v>7</v>
      </c>
      <c r="B8" s="14">
        <v>46</v>
      </c>
      <c r="C8" s="9">
        <v>0</v>
      </c>
      <c r="D8" s="9">
        <v>0</v>
      </c>
      <c r="E8" s="9">
        <v>0</v>
      </c>
      <c r="F8" s="23">
        <f>B8-D8</f>
        <v>46</v>
      </c>
      <c r="G8" s="9">
        <f t="shared" si="0"/>
        <v>46</v>
      </c>
      <c r="H8" s="9"/>
      <c r="J8" s="14">
        <f>B8</f>
        <v>46</v>
      </c>
      <c r="K8" s="9">
        <f t="shared" si="1"/>
        <v>0</v>
      </c>
    </row>
    <row r="9" spans="1:15" x14ac:dyDescent="0.25">
      <c r="A9" s="9" t="s">
        <v>8</v>
      </c>
      <c r="B9" s="9">
        <v>181.1</v>
      </c>
      <c r="C9" s="9" t="s">
        <v>15</v>
      </c>
      <c r="D9" s="9"/>
      <c r="E9" s="9"/>
      <c r="F9" s="9"/>
      <c r="G9" s="9"/>
      <c r="H9" s="9"/>
      <c r="J9" s="9"/>
      <c r="K9" s="9"/>
    </row>
    <row r="10" spans="1:15" x14ac:dyDescent="0.25">
      <c r="A10" s="9" t="s">
        <v>9</v>
      </c>
      <c r="B10" s="9">
        <v>107.2</v>
      </c>
      <c r="C10" s="9" t="s">
        <v>15</v>
      </c>
      <c r="D10" s="9"/>
      <c r="E10" s="9"/>
      <c r="F10" s="9"/>
      <c r="G10" s="9"/>
      <c r="H10" s="9"/>
      <c r="J10" s="9"/>
      <c r="K10" s="9"/>
      <c r="N10" s="8" t="s">
        <v>22</v>
      </c>
      <c r="O10" s="8">
        <v>2157.9720000000002</v>
      </c>
    </row>
    <row r="11" spans="1:15" x14ac:dyDescent="0.25">
      <c r="A11" s="10" t="s">
        <v>10</v>
      </c>
      <c r="B11" s="9">
        <f>B9+B10</f>
        <v>288.3</v>
      </c>
      <c r="C11" s="27">
        <v>98.251999999999995</v>
      </c>
      <c r="D11" s="26">
        <f>19.973+74.329+41.899</f>
        <v>136.20099999999999</v>
      </c>
      <c r="E11" s="9">
        <f>C11-N16</f>
        <v>-8.2999999999998408E-2</v>
      </c>
      <c r="F11" s="22">
        <f>B11-D11</f>
        <v>152.09900000000002</v>
      </c>
      <c r="G11" s="28">
        <f>B11-(C11+37.866)</f>
        <v>152.18200000000002</v>
      </c>
      <c r="H11" s="9"/>
      <c r="J11" s="9">
        <f>N17</f>
        <v>136.11799999999999</v>
      </c>
      <c r="K11" s="28">
        <f t="shared" si="1"/>
        <v>152.18200000000002</v>
      </c>
    </row>
    <row r="12" spans="1:15" x14ac:dyDescent="0.25">
      <c r="A12" s="18" t="s">
        <v>16</v>
      </c>
      <c r="B12" s="18">
        <v>270.3</v>
      </c>
      <c r="C12" s="9"/>
      <c r="D12" s="9"/>
      <c r="E12" s="9"/>
      <c r="F12" s="9"/>
      <c r="G12" s="9"/>
      <c r="H12" s="9"/>
      <c r="J12" s="9"/>
      <c r="K12" s="9"/>
    </row>
    <row r="13" spans="1:15" x14ac:dyDescent="0.25">
      <c r="A13" s="9"/>
      <c r="B13" s="9"/>
      <c r="C13" s="9"/>
      <c r="D13" s="9"/>
      <c r="E13" s="9"/>
      <c r="F13" s="9"/>
      <c r="G13" s="9"/>
      <c r="H13" s="9"/>
      <c r="J13" s="9"/>
      <c r="K13" s="9"/>
    </row>
    <row r="14" spans="1:15" x14ac:dyDescent="0.25">
      <c r="A14" s="9" t="s">
        <v>11</v>
      </c>
      <c r="B14" s="19">
        <f>SUM(B3:B10)</f>
        <v>5341.1</v>
      </c>
      <c r="C14" s="9">
        <f>SUM(C3:C6)+C11</f>
        <v>5254.9520000000011</v>
      </c>
      <c r="D14" s="9">
        <f>SUM(D3:D6)+D11+B12</f>
        <v>5395.1280000000006</v>
      </c>
      <c r="E14" s="9">
        <f>SUM(E3:E6)+E11</f>
        <v>167.99000000000004</v>
      </c>
      <c r="F14" s="20">
        <f>SUM(F3:F6)+F11</f>
        <v>342.3719999999995</v>
      </c>
      <c r="G14" s="21">
        <f>SUM(G3:G6)+G11</f>
        <v>173.58199999999974</v>
      </c>
      <c r="H14" s="9">
        <v>5614.5529999999999</v>
      </c>
      <c r="J14" s="9">
        <f>SUM(J3:J8)+J11</f>
        <v>5356.9180000000006</v>
      </c>
      <c r="K14" s="9"/>
    </row>
    <row r="15" spans="1:15" x14ac:dyDescent="0.25">
      <c r="B15" t="s">
        <v>33</v>
      </c>
      <c r="H15">
        <f>H14*SG!E$3</f>
        <v>5856.4631884432383</v>
      </c>
    </row>
    <row r="16" spans="1:15" x14ac:dyDescent="0.25">
      <c r="N16" s="1">
        <f>D11-37.866</f>
        <v>98.334999999999994</v>
      </c>
      <c r="O16" s="1" t="s">
        <v>24</v>
      </c>
    </row>
    <row r="17" spans="1:15" x14ac:dyDescent="0.25">
      <c r="N17" s="7">
        <f>C11+37.866</f>
        <v>136.11799999999999</v>
      </c>
      <c r="O17" s="1" t="s">
        <v>23</v>
      </c>
    </row>
    <row r="18" spans="1:15" x14ac:dyDescent="0.25">
      <c r="A18" t="s">
        <v>39</v>
      </c>
      <c r="B18">
        <f>H14-B14</f>
        <v>273.45299999999952</v>
      </c>
      <c r="C18">
        <f>H14-C14</f>
        <v>359.60099999999875</v>
      </c>
      <c r="D18">
        <f>H14-D14</f>
        <v>219.42499999999927</v>
      </c>
      <c r="J18">
        <f>H14-J14</f>
        <v>257.63499999999931</v>
      </c>
    </row>
    <row r="19" spans="1:15" x14ac:dyDescent="0.25">
      <c r="A19" t="s">
        <v>17</v>
      </c>
      <c r="C19" s="4">
        <f>B14-C14</f>
        <v>86.147999999999229</v>
      </c>
      <c r="D19" s="5">
        <f>B14-D14</f>
        <v>-54.028000000000247</v>
      </c>
      <c r="J19">
        <f>J14-B14</f>
        <v>15.818000000000211</v>
      </c>
    </row>
    <row r="21" spans="1:15" x14ac:dyDescent="0.25">
      <c r="A21" t="s">
        <v>43</v>
      </c>
      <c r="B21">
        <f>H15-B14</f>
        <v>515.36318844323796</v>
      </c>
      <c r="J21">
        <f>H15-J14</f>
        <v>499.54518844323775</v>
      </c>
      <c r="N21" s="2">
        <f>D3-B12</f>
        <v>2524.3270000000002</v>
      </c>
    </row>
    <row r="22" spans="1:15" x14ac:dyDescent="0.25">
      <c r="N22" s="2"/>
    </row>
    <row r="24" spans="1:15" x14ac:dyDescent="0.25">
      <c r="D24" s="3"/>
    </row>
    <row r="25" spans="1:15" x14ac:dyDescent="0.25">
      <c r="A25" s="6">
        <v>44409</v>
      </c>
    </row>
    <row r="26" spans="1:15" x14ac:dyDescent="0.25">
      <c r="A26" s="9" t="s">
        <v>0</v>
      </c>
      <c r="B26" s="9" t="s">
        <v>1</v>
      </c>
      <c r="C26" s="9" t="s">
        <v>12</v>
      </c>
      <c r="D26" s="9" t="s">
        <v>13</v>
      </c>
      <c r="E26" s="9" t="s">
        <v>18</v>
      </c>
      <c r="F26" s="9" t="s">
        <v>19</v>
      </c>
      <c r="G26" s="9" t="s">
        <v>20</v>
      </c>
      <c r="H26" s="9" t="s">
        <v>14</v>
      </c>
      <c r="J26" s="9" t="s">
        <v>21</v>
      </c>
      <c r="K26" s="9" t="s">
        <v>25</v>
      </c>
    </row>
    <row r="27" spans="1:15" x14ac:dyDescent="0.25">
      <c r="A27" s="10" t="s">
        <v>2</v>
      </c>
      <c r="B27" s="12">
        <v>4501.2</v>
      </c>
      <c r="C27" s="29">
        <f>3238.32+1133.975</f>
        <v>4372.2950000000001</v>
      </c>
      <c r="D27" s="11">
        <f>1131.862+1753.902+1195.778</f>
        <v>4081.5420000000004</v>
      </c>
      <c r="E27" s="9">
        <f>C27-D27</f>
        <v>290.7529999999997</v>
      </c>
      <c r="F27" s="13">
        <f>B27-D27</f>
        <v>419.65799999999945</v>
      </c>
      <c r="G27" s="28">
        <f>B27-C27</f>
        <v>128.90499999999975</v>
      </c>
      <c r="H27" s="9"/>
      <c r="J27" s="9">
        <f>B27</f>
        <v>4501.2</v>
      </c>
      <c r="K27" s="28">
        <f>B27-J27</f>
        <v>0</v>
      </c>
    </row>
    <row r="28" spans="1:15" x14ac:dyDescent="0.25">
      <c r="A28" s="9" t="s">
        <v>3</v>
      </c>
      <c r="B28" s="9">
        <v>9.1</v>
      </c>
      <c r="C28" s="14">
        <v>9.2059999999999995</v>
      </c>
      <c r="D28" s="9">
        <v>9.1240000000000006</v>
      </c>
      <c r="E28" s="9">
        <f>C28-D28</f>
        <v>8.1999999999998963E-2</v>
      </c>
      <c r="F28" s="9">
        <f>B28-D28</f>
        <v>-2.4000000000000909E-2</v>
      </c>
      <c r="G28" s="9">
        <f t="shared" ref="G28:G29" si="2">B28-C28</f>
        <v>-0.10599999999999987</v>
      </c>
      <c r="H28" s="9"/>
      <c r="J28" s="14">
        <f>C28</f>
        <v>9.2059999999999995</v>
      </c>
      <c r="K28" s="9">
        <f>B28-J28</f>
        <v>-0.10599999999999987</v>
      </c>
    </row>
    <row r="29" spans="1:15" x14ac:dyDescent="0.25">
      <c r="A29" s="9" t="s">
        <v>4</v>
      </c>
      <c r="B29" s="9">
        <v>396.4</v>
      </c>
      <c r="C29" s="14">
        <v>352.505</v>
      </c>
      <c r="D29" s="9">
        <v>185.626</v>
      </c>
      <c r="E29" s="9">
        <f>C29-D29</f>
        <v>166.87899999999999</v>
      </c>
      <c r="F29" s="22">
        <f>B29-D29</f>
        <v>210.77399999999997</v>
      </c>
      <c r="G29" s="28">
        <f t="shared" si="2"/>
        <v>43.894999999999982</v>
      </c>
      <c r="H29" s="9"/>
      <c r="J29" s="14">
        <f>C29</f>
        <v>352.505</v>
      </c>
      <c r="K29" s="9">
        <f>B29-J29</f>
        <v>43.894999999999982</v>
      </c>
    </row>
    <row r="30" spans="1:15" x14ac:dyDescent="0.25">
      <c r="A30" s="15" t="s">
        <v>5</v>
      </c>
      <c r="B30" s="9">
        <v>1050.0999999999999</v>
      </c>
      <c r="C30" s="14">
        <v>1038.3499999999999</v>
      </c>
      <c r="D30" s="16">
        <v>1037.19</v>
      </c>
      <c r="E30" s="9">
        <f>C30-D30</f>
        <v>1.1599999999998545</v>
      </c>
      <c r="F30" s="17">
        <v>0</v>
      </c>
      <c r="G30" s="17">
        <v>0</v>
      </c>
      <c r="H30" s="9"/>
      <c r="J30" s="14">
        <f>C30</f>
        <v>1038.3499999999999</v>
      </c>
      <c r="K30" s="9">
        <f>B30-J30</f>
        <v>11.75</v>
      </c>
    </row>
    <row r="31" spans="1:15" x14ac:dyDescent="0.25">
      <c r="A31" s="9" t="s">
        <v>6</v>
      </c>
      <c r="B31" s="14">
        <v>2.7</v>
      </c>
      <c r="C31" s="9">
        <v>0</v>
      </c>
      <c r="D31" s="9">
        <v>0</v>
      </c>
      <c r="E31" s="9">
        <v>0</v>
      </c>
      <c r="F31" s="23">
        <f>B31-D31</f>
        <v>2.7</v>
      </c>
      <c r="G31" s="9">
        <f t="shared" ref="G31:G32" si="3">B31-C31</f>
        <v>2.7</v>
      </c>
      <c r="H31" s="9"/>
      <c r="J31" s="14">
        <f>B31</f>
        <v>2.7</v>
      </c>
      <c r="K31" s="9">
        <f t="shared" ref="K31:K32" si="4">B31-J31</f>
        <v>0</v>
      </c>
    </row>
    <row r="32" spans="1:15" x14ac:dyDescent="0.25">
      <c r="A32" s="9" t="s">
        <v>7</v>
      </c>
      <c r="B32" s="14">
        <v>37.799999999999997</v>
      </c>
      <c r="C32" s="9">
        <v>0</v>
      </c>
      <c r="D32" s="9">
        <v>0</v>
      </c>
      <c r="E32" s="9">
        <v>0</v>
      </c>
      <c r="F32" s="23">
        <f>B32-D32</f>
        <v>37.799999999999997</v>
      </c>
      <c r="G32" s="9">
        <f t="shared" si="3"/>
        <v>37.799999999999997</v>
      </c>
      <c r="H32" s="9"/>
      <c r="J32" s="14">
        <f>B32</f>
        <v>37.799999999999997</v>
      </c>
      <c r="K32" s="9">
        <f t="shared" si="4"/>
        <v>0</v>
      </c>
    </row>
    <row r="33" spans="1:15" x14ac:dyDescent="0.25">
      <c r="A33" s="9" t="s">
        <v>8</v>
      </c>
      <c r="B33" s="9">
        <v>155.5</v>
      </c>
      <c r="C33" s="9" t="s">
        <v>15</v>
      </c>
      <c r="D33" s="9"/>
      <c r="E33" s="9"/>
      <c r="F33" s="9"/>
      <c r="G33" s="9"/>
      <c r="H33" s="9"/>
      <c r="J33" s="9"/>
      <c r="K33" s="9"/>
    </row>
    <row r="34" spans="1:15" x14ac:dyDescent="0.25">
      <c r="A34" s="9" t="s">
        <v>9</v>
      </c>
      <c r="B34" s="9">
        <v>89.2</v>
      </c>
      <c r="C34" s="9" t="s">
        <v>15</v>
      </c>
      <c r="D34" s="9"/>
      <c r="E34" s="9"/>
      <c r="F34" s="9"/>
      <c r="G34" s="9"/>
      <c r="H34" s="9"/>
      <c r="J34" s="9"/>
      <c r="K34" s="9"/>
      <c r="N34" s="8" t="s">
        <v>22</v>
      </c>
      <c r="O34" s="8">
        <v>1041.6569999999999</v>
      </c>
    </row>
    <row r="35" spans="1:15" x14ac:dyDescent="0.25">
      <c r="A35" s="10" t="s">
        <v>10</v>
      </c>
      <c r="B35" s="9">
        <f>B33+B34</f>
        <v>244.7</v>
      </c>
      <c r="C35" s="27">
        <v>111.61499999999999</v>
      </c>
      <c r="D35" s="26">
        <f>80.845+29.864+22.452</f>
        <v>133.161</v>
      </c>
      <c r="E35" s="9">
        <f>C35-N40</f>
        <v>0.37099999999999511</v>
      </c>
      <c r="F35" s="22">
        <f>B35-D35</f>
        <v>111.53899999999999</v>
      </c>
      <c r="G35" s="28">
        <f>B35-(C35+37.866)</f>
        <v>95.218999999999994</v>
      </c>
      <c r="H35" s="9"/>
      <c r="J35" s="9">
        <f>N41</f>
        <v>133.53199999999998</v>
      </c>
      <c r="K35" s="28">
        <f t="shared" ref="K35" si="5">B35-J35</f>
        <v>111.16800000000001</v>
      </c>
    </row>
    <row r="36" spans="1:15" x14ac:dyDescent="0.25">
      <c r="A36" s="18" t="s">
        <v>16</v>
      </c>
      <c r="B36" s="18">
        <v>404.4</v>
      </c>
      <c r="C36" s="9"/>
      <c r="D36" s="9"/>
      <c r="E36" s="9"/>
      <c r="F36" s="9"/>
      <c r="G36" s="9"/>
      <c r="H36" s="9"/>
      <c r="J36" s="9"/>
      <c r="K36" s="9"/>
    </row>
    <row r="37" spans="1:15" x14ac:dyDescent="0.25">
      <c r="A37" s="9"/>
      <c r="B37" s="9"/>
      <c r="C37" s="9"/>
      <c r="D37" s="9"/>
      <c r="E37" s="9"/>
      <c r="F37" s="9"/>
      <c r="G37" s="9"/>
      <c r="H37" s="9"/>
      <c r="J37" s="9"/>
      <c r="K37" s="9"/>
    </row>
    <row r="38" spans="1:15" x14ac:dyDescent="0.25">
      <c r="A38" s="9" t="s">
        <v>11</v>
      </c>
      <c r="B38" s="19">
        <f>SUM(B27:B34)</f>
        <v>6241.9999999999991</v>
      </c>
      <c r="C38" s="9">
        <f>SUM(C27:C30)+C35</f>
        <v>5883.9709999999995</v>
      </c>
      <c r="D38" s="9">
        <f>SUM(D27:D30)+D35+B36</f>
        <v>5851.0429999999997</v>
      </c>
      <c r="E38" s="9">
        <f>SUM(E27:E30)+E35</f>
        <v>459.24499999999955</v>
      </c>
      <c r="F38" s="20">
        <f>SUM(F27:F30)+F35</f>
        <v>741.94699999999943</v>
      </c>
      <c r="G38" s="21">
        <f>SUM(G27:G30)+G35</f>
        <v>267.91299999999973</v>
      </c>
      <c r="H38" s="9">
        <v>5850.9049999999997</v>
      </c>
      <c r="J38" s="9">
        <f>SUM(J27:J32)+J35</f>
        <v>6075.2930000000006</v>
      </c>
      <c r="K38" s="9"/>
    </row>
    <row r="39" spans="1:15" x14ac:dyDescent="0.25">
      <c r="B39" t="s">
        <v>33</v>
      </c>
      <c r="H39">
        <f>H38*SG!E$3</f>
        <v>6102.998716296468</v>
      </c>
    </row>
    <row r="40" spans="1:15" x14ac:dyDescent="0.25">
      <c r="N40" s="1">
        <f>D35-21.917</f>
        <v>111.244</v>
      </c>
      <c r="O40" s="1" t="s">
        <v>24</v>
      </c>
    </row>
    <row r="41" spans="1:15" x14ac:dyDescent="0.25">
      <c r="N41" s="7">
        <f>C35+21.917</f>
        <v>133.53199999999998</v>
      </c>
      <c r="O41" s="1" t="s">
        <v>23</v>
      </c>
    </row>
    <row r="42" spans="1:15" x14ac:dyDescent="0.25">
      <c r="A42" t="s">
        <v>39</v>
      </c>
      <c r="B42">
        <f>H38-B38</f>
        <v>-391.09499999999935</v>
      </c>
      <c r="C42">
        <f>H38-C38</f>
        <v>-33.065999999999804</v>
      </c>
      <c r="D42">
        <f>H38-D38</f>
        <v>-0.13799999999991996</v>
      </c>
      <c r="J42">
        <f>H38-J38</f>
        <v>-224.38800000000083</v>
      </c>
    </row>
    <row r="43" spans="1:15" x14ac:dyDescent="0.25">
      <c r="A43" t="s">
        <v>17</v>
      </c>
      <c r="C43" s="4">
        <f>B38-C38</f>
        <v>358.02899999999954</v>
      </c>
      <c r="D43" s="5">
        <f>B38-D38</f>
        <v>390.95699999999943</v>
      </c>
      <c r="J43">
        <f>J38-B38</f>
        <v>-166.70699999999852</v>
      </c>
    </row>
    <row r="45" spans="1:15" x14ac:dyDescent="0.25">
      <c r="A45" t="s">
        <v>43</v>
      </c>
      <c r="B45">
        <f>H39-B38</f>
        <v>-139.00128370353104</v>
      </c>
      <c r="J45">
        <f>H39-J38</f>
        <v>27.705716296467472</v>
      </c>
      <c r="N45" s="2">
        <f>D27-B36</f>
        <v>3677.1420000000003</v>
      </c>
    </row>
    <row r="55" spans="1:19" x14ac:dyDescent="0.25">
      <c r="A55" s="31" t="s">
        <v>26</v>
      </c>
    </row>
    <row r="56" spans="1:19" x14ac:dyDescent="0.25">
      <c r="A56" s="9" t="s">
        <v>27</v>
      </c>
      <c r="B56" s="24">
        <v>44197</v>
      </c>
      <c r="C56" s="24">
        <v>44228</v>
      </c>
      <c r="D56" s="24">
        <v>44256</v>
      </c>
      <c r="E56" s="24">
        <v>44287</v>
      </c>
      <c r="F56" s="24">
        <v>44317</v>
      </c>
      <c r="G56" s="24">
        <v>44348</v>
      </c>
      <c r="H56" s="24">
        <v>44378</v>
      </c>
      <c r="I56" s="24">
        <v>44409</v>
      </c>
      <c r="J56" s="24">
        <v>44440</v>
      </c>
      <c r="K56" s="24">
        <v>44470</v>
      </c>
      <c r="L56" s="24">
        <v>44501</v>
      </c>
      <c r="M56" s="24">
        <v>44531</v>
      </c>
      <c r="N56" s="9" t="s">
        <v>28</v>
      </c>
      <c r="O56" s="9" t="s">
        <v>29</v>
      </c>
      <c r="P56" t="s">
        <v>31</v>
      </c>
    </row>
    <row r="57" spans="1:19" x14ac:dyDescent="0.25">
      <c r="A57" s="9" t="s">
        <v>1</v>
      </c>
      <c r="B57" s="9">
        <v>37.5</v>
      </c>
      <c r="C57" s="9">
        <v>109.3</v>
      </c>
      <c r="D57" s="9">
        <v>236.6</v>
      </c>
      <c r="E57" s="9">
        <v>363.8</v>
      </c>
      <c r="F57" s="9">
        <v>385</v>
      </c>
      <c r="G57" s="9">
        <v>429.1</v>
      </c>
      <c r="H57" s="9">
        <v>316.5</v>
      </c>
      <c r="I57" s="9">
        <v>396.4</v>
      </c>
      <c r="J57" s="9">
        <v>290.39999999999998</v>
      </c>
      <c r="K57" s="9">
        <v>172.9</v>
      </c>
      <c r="L57" s="9">
        <v>65.3</v>
      </c>
      <c r="M57" s="9">
        <v>39.200000000000003</v>
      </c>
      <c r="N57" s="9">
        <f>SUM(B57:M57)</f>
        <v>2842.0000000000005</v>
      </c>
      <c r="O57" s="9"/>
    </row>
    <row r="58" spans="1:19" x14ac:dyDescent="0.25">
      <c r="A58" s="9" t="s">
        <v>59</v>
      </c>
      <c r="B58" s="9">
        <v>32.6</v>
      </c>
      <c r="C58" s="9">
        <v>108.9</v>
      </c>
      <c r="D58" s="9">
        <v>246.9</v>
      </c>
      <c r="E58" s="9">
        <v>346.8</v>
      </c>
      <c r="F58" s="9">
        <v>356.7</v>
      </c>
      <c r="G58" s="9">
        <v>443.9</v>
      </c>
      <c r="H58" s="9">
        <v>356.3</v>
      </c>
      <c r="I58" s="9">
        <v>352.5</v>
      </c>
      <c r="J58" s="9">
        <v>284.2</v>
      </c>
      <c r="K58" s="9">
        <v>195.9</v>
      </c>
      <c r="L58" s="9">
        <v>75.099999999999994</v>
      </c>
      <c r="M58" s="9">
        <v>42.5</v>
      </c>
      <c r="N58" s="9">
        <f>SUM(B58:M58)</f>
        <v>2842.3</v>
      </c>
      <c r="O58" s="25">
        <v>2376</v>
      </c>
    </row>
    <row r="59" spans="1:19" x14ac:dyDescent="0.25">
      <c r="A59" t="s">
        <v>65</v>
      </c>
      <c r="B59">
        <v>35.643000000000001</v>
      </c>
      <c r="C59">
        <v>95.798000000000002</v>
      </c>
      <c r="D59">
        <v>219.958</v>
      </c>
      <c r="E59">
        <v>328.863</v>
      </c>
      <c r="F59">
        <v>329.87700000000001</v>
      </c>
      <c r="G59">
        <v>381.55500000000001</v>
      </c>
      <c r="H59">
        <v>325.66699999999997</v>
      </c>
      <c r="I59">
        <v>296.73500000000001</v>
      </c>
      <c r="J59">
        <v>251.126</v>
      </c>
      <c r="K59">
        <v>153.393</v>
      </c>
      <c r="L59">
        <v>58.042000000000002</v>
      </c>
      <c r="M59">
        <v>25.038</v>
      </c>
      <c r="N59" s="9">
        <f>SUM(B59:M59)</f>
        <v>2501.6950000000002</v>
      </c>
    </row>
    <row r="60" spans="1:19" x14ac:dyDescent="0.25">
      <c r="A60" t="s">
        <v>60</v>
      </c>
      <c r="B60">
        <v>17.199000000000002</v>
      </c>
      <c r="C60">
        <v>57.396000000000001</v>
      </c>
      <c r="D60">
        <v>130.03399999999999</v>
      </c>
      <c r="E60">
        <v>182.64</v>
      </c>
      <c r="F60">
        <v>187.85300000000001</v>
      </c>
      <c r="G60">
        <v>233.756</v>
      </c>
      <c r="H60">
        <v>187.62200000000001</v>
      </c>
      <c r="I60">
        <v>185.626</v>
      </c>
      <c r="J60">
        <v>149.637</v>
      </c>
      <c r="K60">
        <v>103.17700000000001</v>
      </c>
      <c r="L60">
        <v>39.563000000000002</v>
      </c>
      <c r="M60">
        <v>22.382999999999999</v>
      </c>
      <c r="N60" s="9">
        <f>SUM(B60:M60)</f>
        <v>1496.886</v>
      </c>
      <c r="R60">
        <f>100-316.5*100/356.3</f>
        <v>11.170362054448503</v>
      </c>
      <c r="S60">
        <f>100-396.4*100/352.5</f>
        <v>-12.453900709219852</v>
      </c>
    </row>
    <row r="63" spans="1:19" x14ac:dyDescent="0.25">
      <c r="A63" s="31" t="s">
        <v>30</v>
      </c>
    </row>
    <row r="64" spans="1:19" x14ac:dyDescent="0.25">
      <c r="A64" s="9" t="s">
        <v>27</v>
      </c>
      <c r="B64" s="24">
        <v>44197</v>
      </c>
      <c r="C64" s="24">
        <v>44228</v>
      </c>
      <c r="D64" s="24">
        <v>44256</v>
      </c>
      <c r="E64" s="24">
        <v>44287</v>
      </c>
      <c r="F64" s="24">
        <v>44317</v>
      </c>
      <c r="G64" s="24">
        <v>44348</v>
      </c>
      <c r="H64" s="24">
        <v>44378</v>
      </c>
      <c r="I64" s="24">
        <v>44409</v>
      </c>
      <c r="J64" s="24">
        <v>44440</v>
      </c>
      <c r="K64" s="24">
        <v>44470</v>
      </c>
      <c r="L64" s="24">
        <v>44501</v>
      </c>
      <c r="M64" s="24">
        <v>44531</v>
      </c>
      <c r="N64" s="9" t="s">
        <v>28</v>
      </c>
      <c r="O64" s="9" t="s">
        <v>29</v>
      </c>
      <c r="P64" t="s">
        <v>32</v>
      </c>
    </row>
    <row r="65" spans="1:18" x14ac:dyDescent="0.25">
      <c r="A65" s="9" t="s">
        <v>1</v>
      </c>
      <c r="B65" s="9">
        <v>2964.1</v>
      </c>
      <c r="C65" s="9">
        <v>2797.7</v>
      </c>
      <c r="D65" s="9">
        <v>2719.1</v>
      </c>
      <c r="E65" s="9">
        <v>2306.6</v>
      </c>
      <c r="F65" s="9">
        <v>3277.8</v>
      </c>
      <c r="G65" s="9">
        <v>4833</v>
      </c>
      <c r="H65" s="9">
        <v>4989.3</v>
      </c>
      <c r="I65" s="9">
        <v>4501.2</v>
      </c>
      <c r="J65" s="9">
        <v>3129.5</v>
      </c>
      <c r="K65" s="9">
        <v>2431.6</v>
      </c>
      <c r="L65" s="9">
        <v>2900.6</v>
      </c>
      <c r="M65" s="9">
        <v>2649.5</v>
      </c>
      <c r="N65" s="9">
        <f t="shared" ref="N65:N70" si="6">SUM(B65:M65)</f>
        <v>39500</v>
      </c>
      <c r="O65" s="9"/>
      <c r="Q65">
        <f>N65-4145</f>
        <v>35355</v>
      </c>
      <c r="R65" t="s">
        <v>38</v>
      </c>
    </row>
    <row r="66" spans="1:18" x14ac:dyDescent="0.25">
      <c r="A66" s="9" t="s">
        <v>59</v>
      </c>
      <c r="B66" s="9">
        <v>2947.9</v>
      </c>
      <c r="C66" s="9">
        <v>2529.8000000000002</v>
      </c>
      <c r="D66" s="9">
        <v>2544</v>
      </c>
      <c r="E66" s="9">
        <v>2116.9</v>
      </c>
      <c r="F66" s="9">
        <v>3142.9</v>
      </c>
      <c r="G66" s="9">
        <v>4649.6000000000004</v>
      </c>
      <c r="H66" s="9">
        <v>4821.6000000000004</v>
      </c>
      <c r="I66" s="9">
        <v>4372.3</v>
      </c>
      <c r="J66" s="9">
        <v>2971</v>
      </c>
      <c r="K66" s="9">
        <v>2219.1999999999998</v>
      </c>
      <c r="L66" s="9">
        <v>2602.8000000000002</v>
      </c>
      <c r="M66" s="9">
        <v>2415.1999999999998</v>
      </c>
      <c r="N66" s="9">
        <f t="shared" si="6"/>
        <v>37333.199999999997</v>
      </c>
      <c r="O66" s="9">
        <v>39500</v>
      </c>
    </row>
    <row r="67" spans="1:18" x14ac:dyDescent="0.25">
      <c r="A67" s="9" t="s">
        <v>60</v>
      </c>
      <c r="B67" s="9">
        <f>D3</f>
        <v>2794.6270000000004</v>
      </c>
      <c r="C67" s="9">
        <v>2409.8649999999998</v>
      </c>
      <c r="D67" s="9">
        <v>2412.6280000000002</v>
      </c>
      <c r="E67" s="9">
        <v>2021.6669999999999</v>
      </c>
      <c r="F67" s="9">
        <v>2971.9290000000001</v>
      </c>
      <c r="G67" s="9">
        <v>4352.8810000000003</v>
      </c>
      <c r="H67" s="9">
        <v>4482.2</v>
      </c>
      <c r="I67" s="9">
        <f>D27</f>
        <v>4081.5420000000004</v>
      </c>
      <c r="J67" s="9">
        <v>2802.58</v>
      </c>
      <c r="K67" s="9">
        <v>2082.8510000000001</v>
      </c>
      <c r="L67" s="9">
        <v>2454.8359999999998</v>
      </c>
      <c r="M67" s="9">
        <v>2289.38</v>
      </c>
      <c r="N67" s="9">
        <f t="shared" si="6"/>
        <v>35156.985999999997</v>
      </c>
      <c r="O67" s="9"/>
    </row>
    <row r="68" spans="1:18" x14ac:dyDescent="0.25">
      <c r="A68" t="s">
        <v>58</v>
      </c>
      <c r="B68">
        <v>3104.453</v>
      </c>
      <c r="C68">
        <v>2630.4949999999999</v>
      </c>
      <c r="D68">
        <v>2478.15</v>
      </c>
      <c r="E68">
        <v>2106.1289999999999</v>
      </c>
      <c r="F68">
        <v>3111.1759999999999</v>
      </c>
      <c r="G68">
        <v>4539.9480000000003</v>
      </c>
      <c r="H68">
        <v>4719.0770000000002</v>
      </c>
      <c r="I68">
        <v>4237.4539999999997</v>
      </c>
      <c r="J68">
        <v>2834.4679999999998</v>
      </c>
      <c r="K68">
        <v>2195.92</v>
      </c>
      <c r="L68">
        <v>2619.8090000000002</v>
      </c>
      <c r="M68">
        <v>2411.2109999999998</v>
      </c>
      <c r="N68" s="9">
        <f t="shared" si="6"/>
        <v>36988.29</v>
      </c>
    </row>
    <row r="69" spans="1:18" x14ac:dyDescent="0.25">
      <c r="A69" t="s">
        <v>47</v>
      </c>
      <c r="B69">
        <v>3273</v>
      </c>
      <c r="C69">
        <v>2772</v>
      </c>
      <c r="D69">
        <v>2696</v>
      </c>
      <c r="E69">
        <v>2287</v>
      </c>
      <c r="F69">
        <v>3250</v>
      </c>
      <c r="G69">
        <v>4792</v>
      </c>
      <c r="H69">
        <v>4947</v>
      </c>
      <c r="I69">
        <v>4463</v>
      </c>
      <c r="J69">
        <v>3103</v>
      </c>
      <c r="K69">
        <v>2402</v>
      </c>
      <c r="L69">
        <v>2877</v>
      </c>
      <c r="M69">
        <v>2638</v>
      </c>
      <c r="N69" s="9">
        <f t="shared" si="6"/>
        <v>39500</v>
      </c>
    </row>
    <row r="70" spans="1:18" x14ac:dyDescent="0.25">
      <c r="A70" t="s">
        <v>56</v>
      </c>
      <c r="B70">
        <v>274</v>
      </c>
      <c r="C70">
        <v>212</v>
      </c>
      <c r="D70">
        <v>204</v>
      </c>
      <c r="E70">
        <v>322</v>
      </c>
      <c r="F70">
        <v>506</v>
      </c>
      <c r="G70">
        <v>411</v>
      </c>
      <c r="H70">
        <v>433</v>
      </c>
      <c r="I70">
        <v>404</v>
      </c>
      <c r="J70">
        <v>325</v>
      </c>
      <c r="K70">
        <v>327</v>
      </c>
      <c r="L70">
        <v>309</v>
      </c>
      <c r="M70">
        <v>418</v>
      </c>
      <c r="N70" s="9">
        <f t="shared" si="6"/>
        <v>4145</v>
      </c>
    </row>
    <row r="71" spans="1:18" x14ac:dyDescent="0.25">
      <c r="A71" t="s">
        <v>34</v>
      </c>
      <c r="B71">
        <v>270.3</v>
      </c>
      <c r="C71">
        <v>212.2</v>
      </c>
      <c r="D71">
        <v>204.2</v>
      </c>
      <c r="E71">
        <v>322.3</v>
      </c>
      <c r="F71">
        <v>506.5</v>
      </c>
      <c r="G71">
        <v>411.4</v>
      </c>
      <c r="H71">
        <v>433.4</v>
      </c>
      <c r="I71">
        <v>404.4</v>
      </c>
      <c r="J71">
        <v>325.3</v>
      </c>
      <c r="K71">
        <v>327.3</v>
      </c>
      <c r="L71">
        <v>309.3</v>
      </c>
      <c r="M71">
        <v>418.4</v>
      </c>
      <c r="N71">
        <v>4145</v>
      </c>
      <c r="O71">
        <v>4145</v>
      </c>
    </row>
    <row r="72" spans="1:18" x14ac:dyDescent="0.25">
      <c r="A72" t="s">
        <v>35</v>
      </c>
      <c r="B72">
        <f>B65-B66</f>
        <v>16.199999999999818</v>
      </c>
      <c r="C72">
        <f t="shared" ref="C72:N72" si="7">C65-C66</f>
        <v>267.89999999999964</v>
      </c>
      <c r="D72">
        <f t="shared" si="7"/>
        <v>175.09999999999991</v>
      </c>
      <c r="E72">
        <f t="shared" si="7"/>
        <v>189.69999999999982</v>
      </c>
      <c r="F72">
        <f t="shared" si="7"/>
        <v>134.90000000000009</v>
      </c>
      <c r="G72">
        <f t="shared" si="7"/>
        <v>183.39999999999964</v>
      </c>
      <c r="H72">
        <f t="shared" si="7"/>
        <v>167.69999999999982</v>
      </c>
      <c r="I72">
        <f t="shared" si="7"/>
        <v>128.89999999999964</v>
      </c>
      <c r="J72">
        <f t="shared" si="7"/>
        <v>158.5</v>
      </c>
      <c r="K72">
        <f t="shared" si="7"/>
        <v>212.40000000000009</v>
      </c>
      <c r="L72">
        <f t="shared" si="7"/>
        <v>297.79999999999973</v>
      </c>
      <c r="M72">
        <f t="shared" si="7"/>
        <v>234.30000000000018</v>
      </c>
      <c r="N72">
        <f t="shared" si="7"/>
        <v>2166.8000000000029</v>
      </c>
    </row>
    <row r="73" spans="1:18" x14ac:dyDescent="0.25">
      <c r="A73" t="s">
        <v>37</v>
      </c>
      <c r="B73">
        <f>B65-B67</f>
        <v>169.4729999999995</v>
      </c>
      <c r="C73">
        <f t="shared" ref="C73:N73" si="8">C65-C67</f>
        <v>387.83500000000004</v>
      </c>
      <c r="D73">
        <f t="shared" si="8"/>
        <v>306.47199999999975</v>
      </c>
      <c r="E73">
        <f t="shared" si="8"/>
        <v>284.93299999999999</v>
      </c>
      <c r="F73">
        <f t="shared" si="8"/>
        <v>305.87100000000009</v>
      </c>
      <c r="G73">
        <f t="shared" si="8"/>
        <v>480.11899999999969</v>
      </c>
      <c r="H73">
        <f t="shared" si="8"/>
        <v>507.10000000000036</v>
      </c>
      <c r="I73">
        <f t="shared" si="8"/>
        <v>419.65799999999945</v>
      </c>
      <c r="J73">
        <f t="shared" si="8"/>
        <v>326.92000000000007</v>
      </c>
      <c r="K73">
        <f t="shared" si="8"/>
        <v>348.7489999999998</v>
      </c>
      <c r="L73">
        <f t="shared" si="8"/>
        <v>445.76400000000012</v>
      </c>
      <c r="M73">
        <f t="shared" si="8"/>
        <v>360.11999999999989</v>
      </c>
      <c r="N73">
        <f t="shared" si="8"/>
        <v>4343.0140000000029</v>
      </c>
    </row>
    <row r="74" spans="1:18" x14ac:dyDescent="0.25">
      <c r="A74" t="s">
        <v>55</v>
      </c>
      <c r="B74">
        <f>B66-B67</f>
        <v>153.27299999999968</v>
      </c>
      <c r="C74">
        <f t="shared" ref="C74:N74" si="9">C66-C67</f>
        <v>119.9350000000004</v>
      </c>
      <c r="D74">
        <f t="shared" si="9"/>
        <v>131.37199999999984</v>
      </c>
      <c r="E74">
        <f t="shared" si="9"/>
        <v>95.233000000000175</v>
      </c>
      <c r="F74">
        <f t="shared" si="9"/>
        <v>170.971</v>
      </c>
      <c r="G74">
        <f t="shared" si="9"/>
        <v>296.71900000000005</v>
      </c>
      <c r="H74">
        <f t="shared" si="9"/>
        <v>339.40000000000055</v>
      </c>
      <c r="I74">
        <f t="shared" si="9"/>
        <v>290.75799999999981</v>
      </c>
      <c r="J74">
        <f t="shared" si="9"/>
        <v>168.42000000000007</v>
      </c>
      <c r="K74">
        <f t="shared" si="9"/>
        <v>136.34899999999971</v>
      </c>
      <c r="L74">
        <f t="shared" si="9"/>
        <v>147.9640000000004</v>
      </c>
      <c r="M74">
        <f t="shared" si="9"/>
        <v>125.81999999999971</v>
      </c>
      <c r="N74">
        <f t="shared" si="9"/>
        <v>2176.2139999999999</v>
      </c>
    </row>
    <row r="77" spans="1:18" x14ac:dyDescent="0.25">
      <c r="A77" s="31" t="s">
        <v>64</v>
      </c>
    </row>
    <row r="78" spans="1:18" x14ac:dyDescent="0.25">
      <c r="A78" t="s">
        <v>61</v>
      </c>
    </row>
    <row r="82" spans="1:15" x14ac:dyDescent="0.25">
      <c r="A82" s="6">
        <v>44317</v>
      </c>
    </row>
    <row r="83" spans="1:15" x14ac:dyDescent="0.25">
      <c r="A83" s="9" t="s">
        <v>0</v>
      </c>
      <c r="B83" s="9" t="s">
        <v>1</v>
      </c>
      <c r="C83" s="9" t="s">
        <v>12</v>
      </c>
      <c r="D83" s="9" t="s">
        <v>13</v>
      </c>
      <c r="E83" s="9" t="s">
        <v>18</v>
      </c>
      <c r="F83" s="9" t="s">
        <v>19</v>
      </c>
      <c r="G83" s="9" t="s">
        <v>20</v>
      </c>
      <c r="H83" s="9" t="s">
        <v>14</v>
      </c>
      <c r="J83" s="9" t="s">
        <v>21</v>
      </c>
      <c r="K83" s="9" t="s">
        <v>25</v>
      </c>
    </row>
    <row r="84" spans="1:15" x14ac:dyDescent="0.25">
      <c r="A84" s="10" t="s">
        <v>2</v>
      </c>
      <c r="B84" s="12">
        <v>3277.8</v>
      </c>
      <c r="C84" s="29">
        <f>2480.1+662.866</f>
        <v>3142.9659999999999</v>
      </c>
      <c r="D84" s="11"/>
      <c r="E84" s="9"/>
      <c r="F84" s="9"/>
      <c r="G84" s="28">
        <f>B84-C84</f>
        <v>134.83400000000029</v>
      </c>
      <c r="H84" s="9"/>
      <c r="J84" s="9">
        <f>B84</f>
        <v>3277.8</v>
      </c>
      <c r="K84" s="28">
        <f>B84-J84</f>
        <v>0</v>
      </c>
    </row>
    <row r="85" spans="1:15" x14ac:dyDescent="0.25">
      <c r="A85" s="9" t="s">
        <v>3</v>
      </c>
      <c r="B85" s="9">
        <v>16.2</v>
      </c>
      <c r="C85" s="14">
        <v>16.5</v>
      </c>
      <c r="D85" s="9"/>
      <c r="E85" s="9"/>
      <c r="F85" s="9"/>
      <c r="G85" s="9">
        <f t="shared" ref="G85:G86" si="10">B85-C85</f>
        <v>-0.30000000000000071</v>
      </c>
      <c r="H85" s="9"/>
      <c r="J85" s="14">
        <f>C85</f>
        <v>16.5</v>
      </c>
      <c r="K85" s="9">
        <f>B85-J85</f>
        <v>-0.30000000000000071</v>
      </c>
    </row>
    <row r="86" spans="1:15" x14ac:dyDescent="0.25">
      <c r="A86" s="9" t="s">
        <v>4</v>
      </c>
      <c r="B86" s="9">
        <v>385</v>
      </c>
      <c r="C86" s="14">
        <v>356.7</v>
      </c>
      <c r="D86" s="9"/>
      <c r="E86" s="9"/>
      <c r="F86" s="9"/>
      <c r="G86" s="9">
        <f t="shared" si="10"/>
        <v>28.300000000000011</v>
      </c>
      <c r="H86" s="9"/>
      <c r="J86" s="14">
        <f>C86</f>
        <v>356.7</v>
      </c>
      <c r="K86" s="9">
        <f>B86-J86</f>
        <v>28.300000000000011</v>
      </c>
    </row>
    <row r="87" spans="1:15" x14ac:dyDescent="0.25">
      <c r="A87" s="15" t="s">
        <v>5</v>
      </c>
      <c r="B87" s="9">
        <v>1591.4</v>
      </c>
      <c r="C87" s="14">
        <v>1611.6</v>
      </c>
      <c r="D87" s="16"/>
      <c r="E87" s="9"/>
      <c r="F87" s="17"/>
      <c r="G87" s="17">
        <v>0</v>
      </c>
      <c r="H87" s="9"/>
      <c r="J87" s="14">
        <f>C87</f>
        <v>1611.6</v>
      </c>
      <c r="K87" s="9">
        <f>B87-J87</f>
        <v>-20.199999999999818</v>
      </c>
    </row>
    <row r="88" spans="1:15" x14ac:dyDescent="0.25">
      <c r="A88" s="9" t="s">
        <v>6</v>
      </c>
      <c r="B88" s="14">
        <v>2.7</v>
      </c>
      <c r="C88" s="9">
        <v>0</v>
      </c>
      <c r="D88" s="9"/>
      <c r="E88" s="9"/>
      <c r="F88" s="9"/>
      <c r="G88" s="9">
        <f t="shared" ref="G88:G89" si="11">B88-C88</f>
        <v>2.7</v>
      </c>
      <c r="H88" s="9"/>
      <c r="J88" s="14">
        <f>B88</f>
        <v>2.7</v>
      </c>
      <c r="K88" s="9">
        <f t="shared" ref="K88:K89" si="12">B88-J88</f>
        <v>0</v>
      </c>
    </row>
    <row r="89" spans="1:15" x14ac:dyDescent="0.25">
      <c r="A89" s="9" t="s">
        <v>7</v>
      </c>
      <c r="B89" s="14">
        <v>39.200000000000003</v>
      </c>
      <c r="C89" s="9">
        <v>0</v>
      </c>
      <c r="D89" s="9"/>
      <c r="E89" s="9"/>
      <c r="F89" s="9"/>
      <c r="G89" s="9">
        <f t="shared" si="11"/>
        <v>39.200000000000003</v>
      </c>
      <c r="H89" s="9"/>
      <c r="J89" s="14">
        <f>B89</f>
        <v>39.200000000000003</v>
      </c>
      <c r="K89" s="9">
        <f t="shared" si="12"/>
        <v>0</v>
      </c>
    </row>
    <row r="90" spans="1:15" x14ac:dyDescent="0.25">
      <c r="A90" s="9" t="s">
        <v>8</v>
      </c>
      <c r="B90" s="9">
        <v>160.1</v>
      </c>
      <c r="C90" s="9" t="s">
        <v>15</v>
      </c>
      <c r="D90" s="9"/>
      <c r="E90" s="9"/>
      <c r="F90" s="9"/>
      <c r="G90" s="9"/>
      <c r="H90" s="9"/>
      <c r="J90" s="9"/>
      <c r="K90" s="9"/>
    </row>
    <row r="91" spans="1:15" x14ac:dyDescent="0.25">
      <c r="A91" s="9" t="s">
        <v>9</v>
      </c>
      <c r="B91" s="9">
        <v>92.4</v>
      </c>
      <c r="C91" s="9" t="s">
        <v>15</v>
      </c>
      <c r="D91" s="9"/>
      <c r="E91" s="9"/>
      <c r="F91" s="9"/>
      <c r="G91" s="9"/>
      <c r="H91" s="9"/>
      <c r="J91" s="9"/>
      <c r="K91" s="9"/>
      <c r="N91" s="8" t="s">
        <v>22</v>
      </c>
      <c r="O91" s="8">
        <v>1041.6569999999999</v>
      </c>
    </row>
    <row r="92" spans="1:15" x14ac:dyDescent="0.25">
      <c r="A92" s="10" t="s">
        <v>10</v>
      </c>
      <c r="B92" s="9">
        <f>B90+B91</f>
        <v>252.5</v>
      </c>
      <c r="C92" s="27">
        <v>102.5</v>
      </c>
      <c r="D92" s="26"/>
      <c r="E92" s="9"/>
      <c r="F92" s="9"/>
      <c r="G92" s="28">
        <f>B92-(C92+37.866)</f>
        <v>112.13400000000001</v>
      </c>
      <c r="H92" s="9"/>
      <c r="J92" s="9">
        <f>N98</f>
        <v>140.07999999999998</v>
      </c>
      <c r="K92" s="28">
        <f t="shared" ref="K92" si="13">B92-J92</f>
        <v>112.42000000000002</v>
      </c>
    </row>
    <row r="93" spans="1:15" x14ac:dyDescent="0.25">
      <c r="A93" s="18" t="s">
        <v>16</v>
      </c>
      <c r="B93" s="18">
        <v>506.5</v>
      </c>
      <c r="C93" s="9"/>
      <c r="D93" s="9"/>
      <c r="E93" s="9"/>
      <c r="F93" s="9"/>
      <c r="G93" s="9"/>
      <c r="H93" s="9"/>
      <c r="J93" s="9"/>
      <c r="K93" s="9"/>
    </row>
    <row r="94" spans="1:15" x14ac:dyDescent="0.25">
      <c r="A94" s="9"/>
      <c r="B94" s="9"/>
      <c r="C94" s="9"/>
      <c r="D94" s="9"/>
      <c r="E94" s="9"/>
      <c r="F94" s="9"/>
      <c r="G94" s="9"/>
      <c r="H94" s="9"/>
      <c r="J94" s="9"/>
      <c r="K94" s="9"/>
    </row>
    <row r="95" spans="1:15" x14ac:dyDescent="0.25">
      <c r="A95" s="9" t="s">
        <v>11</v>
      </c>
      <c r="B95" s="19">
        <f>SUM(B84:B91)</f>
        <v>5564.7999999999993</v>
      </c>
      <c r="C95" s="9">
        <f>SUM(C84:C87)+C92</f>
        <v>5230.2659999999996</v>
      </c>
      <c r="D95" s="9"/>
      <c r="E95" s="9"/>
      <c r="F95" s="9"/>
      <c r="G95" s="21">
        <f>SUM(G84:G87)+G92</f>
        <v>274.9680000000003</v>
      </c>
      <c r="H95" s="9">
        <v>5200.7730000000001</v>
      </c>
      <c r="J95" s="9">
        <f>SUM(J84:J89)+J92</f>
        <v>5444.58</v>
      </c>
      <c r="K95" s="9"/>
    </row>
    <row r="96" spans="1:15" x14ac:dyDescent="0.25">
      <c r="B96" t="s">
        <v>33</v>
      </c>
      <c r="H96">
        <f>H95*SG!E$3</f>
        <v>5424.85494855058</v>
      </c>
    </row>
    <row r="97" spans="1:20" x14ac:dyDescent="0.25">
      <c r="N97" s="1">
        <f>D92-37.58</f>
        <v>-37.58</v>
      </c>
      <c r="O97" s="1" t="s">
        <v>24</v>
      </c>
    </row>
    <row r="98" spans="1:20" x14ac:dyDescent="0.25">
      <c r="N98" s="7">
        <f>C92+37.58</f>
        <v>140.07999999999998</v>
      </c>
      <c r="O98" s="1" t="s">
        <v>23</v>
      </c>
    </row>
    <row r="99" spans="1:20" x14ac:dyDescent="0.25">
      <c r="A99" t="s">
        <v>39</v>
      </c>
      <c r="B99">
        <f>H95-B95</f>
        <v>-364.02699999999913</v>
      </c>
      <c r="C99">
        <f>H95-C95</f>
        <v>-29.492999999999483</v>
      </c>
      <c r="D99">
        <f>H95-D95</f>
        <v>5200.7730000000001</v>
      </c>
      <c r="J99">
        <f>H95-J95</f>
        <v>-243.80699999999979</v>
      </c>
    </row>
    <row r="100" spans="1:20" x14ac:dyDescent="0.25">
      <c r="A100" t="s">
        <v>17</v>
      </c>
      <c r="C100" s="4">
        <f>B95-C95</f>
        <v>334.53399999999965</v>
      </c>
      <c r="D100" s="5">
        <f>B95-D95</f>
        <v>5564.7999999999993</v>
      </c>
      <c r="J100">
        <f>J95-B95</f>
        <v>-120.21999999999935</v>
      </c>
    </row>
    <row r="102" spans="1:20" x14ac:dyDescent="0.25">
      <c r="A102" t="s">
        <v>43</v>
      </c>
      <c r="B102">
        <f>H96-B95</f>
        <v>-139.94505144941922</v>
      </c>
      <c r="J102">
        <f>H96-J95</f>
        <v>-19.72505144941988</v>
      </c>
    </row>
    <row r="110" spans="1:20" x14ac:dyDescent="0.25">
      <c r="A110" t="s">
        <v>44</v>
      </c>
    </row>
    <row r="111" spans="1:20" x14ac:dyDescent="0.25">
      <c r="A111" s="9" t="s">
        <v>27</v>
      </c>
      <c r="B111" s="24">
        <v>44197</v>
      </c>
      <c r="C111" s="24">
        <v>44958</v>
      </c>
      <c r="D111" s="24">
        <v>45717</v>
      </c>
      <c r="E111" s="24">
        <v>46478</v>
      </c>
      <c r="F111" s="24">
        <v>47239</v>
      </c>
      <c r="G111" s="24">
        <v>48000</v>
      </c>
      <c r="H111" s="24">
        <v>48761</v>
      </c>
      <c r="I111" s="24">
        <v>49522</v>
      </c>
      <c r="J111" s="24">
        <v>50284</v>
      </c>
      <c r="K111" s="24">
        <v>51044</v>
      </c>
      <c r="L111" s="24">
        <v>51806</v>
      </c>
      <c r="M111" s="24">
        <v>52566</v>
      </c>
      <c r="N111" s="9" t="s">
        <v>28</v>
      </c>
      <c r="O111" s="9"/>
      <c r="R111" t="s">
        <v>46</v>
      </c>
      <c r="S111" t="s">
        <v>47</v>
      </c>
      <c r="T111" t="s">
        <v>36</v>
      </c>
    </row>
    <row r="112" spans="1:20" x14ac:dyDescent="0.25">
      <c r="A112" s="10" t="s">
        <v>50</v>
      </c>
      <c r="B112" s="9">
        <v>2964.1</v>
      </c>
      <c r="C112" s="9">
        <v>2797.7</v>
      </c>
      <c r="D112" s="9">
        <v>2719.1</v>
      </c>
      <c r="E112" s="9">
        <v>2306.6</v>
      </c>
      <c r="F112" s="9">
        <v>3277.8</v>
      </c>
      <c r="G112" s="9">
        <v>4833</v>
      </c>
      <c r="H112" s="9">
        <v>4989.3</v>
      </c>
      <c r="I112" s="9">
        <v>4501.2</v>
      </c>
      <c r="J112" s="9">
        <v>3129.5</v>
      </c>
      <c r="K112" s="9">
        <v>2431.6</v>
      </c>
      <c r="L112" s="9">
        <v>2900.6</v>
      </c>
      <c r="M112" s="9">
        <v>2649.5</v>
      </c>
      <c r="N112" s="9">
        <f>SUM(B112:M112)</f>
        <v>39500</v>
      </c>
      <c r="R112" t="s">
        <v>30</v>
      </c>
      <c r="S112">
        <v>39500</v>
      </c>
      <c r="T112">
        <f>N112</f>
        <v>39500</v>
      </c>
    </row>
    <row r="113" spans="1:22" x14ac:dyDescent="0.25">
      <c r="A113" s="9" t="s">
        <v>3</v>
      </c>
      <c r="B113">
        <v>15.8</v>
      </c>
      <c r="C113">
        <v>16.2</v>
      </c>
      <c r="D113">
        <v>11.8</v>
      </c>
      <c r="E113">
        <v>11.2</v>
      </c>
      <c r="F113">
        <v>16.5</v>
      </c>
      <c r="G113">
        <v>6.9</v>
      </c>
      <c r="H113">
        <v>8.8000000000000007</v>
      </c>
      <c r="I113">
        <v>9.1999999999999993</v>
      </c>
      <c r="J113">
        <v>6.8</v>
      </c>
      <c r="K113">
        <v>11.6</v>
      </c>
      <c r="L113">
        <v>9.5</v>
      </c>
      <c r="M113">
        <v>18.100000000000001</v>
      </c>
      <c r="N113" s="9">
        <f>SUM(B113:M113)</f>
        <v>142.4</v>
      </c>
      <c r="R113" t="s">
        <v>48</v>
      </c>
      <c r="S113">
        <v>18530</v>
      </c>
      <c r="T113">
        <f>N115</f>
        <v>18725.2</v>
      </c>
      <c r="V113" t="s">
        <v>63</v>
      </c>
    </row>
    <row r="114" spans="1:22" x14ac:dyDescent="0.25">
      <c r="A114" s="9" t="s">
        <v>4</v>
      </c>
      <c r="B114" s="9">
        <v>32.6</v>
      </c>
      <c r="C114" s="9">
        <v>108.9</v>
      </c>
      <c r="D114" s="9">
        <v>246.9</v>
      </c>
      <c r="E114" s="9">
        <v>346.8</v>
      </c>
      <c r="F114" s="9">
        <v>356.7</v>
      </c>
      <c r="G114" s="9">
        <v>443.9</v>
      </c>
      <c r="H114" s="9">
        <v>356.3</v>
      </c>
      <c r="I114" s="9">
        <v>352.5</v>
      </c>
      <c r="J114" s="9">
        <v>284.2</v>
      </c>
      <c r="K114" s="9">
        <v>195.9</v>
      </c>
      <c r="L114" s="9">
        <v>75.099999999999994</v>
      </c>
      <c r="M114" s="9">
        <v>42.5</v>
      </c>
      <c r="N114" s="9">
        <f>SUM(B114:M114)</f>
        <v>2842.3</v>
      </c>
      <c r="O114" s="25"/>
      <c r="R114" t="s">
        <v>49</v>
      </c>
      <c r="S114">
        <v>6185</v>
      </c>
      <c r="T114">
        <f>N113+N114+N116+N117+P121</f>
        <v>6287.4439999999995</v>
      </c>
      <c r="V114">
        <f>(T114-S114)/S114*100</f>
        <v>1.6563298302344303</v>
      </c>
    </row>
    <row r="115" spans="1:22" x14ac:dyDescent="0.25">
      <c r="A115" s="15" t="s">
        <v>5</v>
      </c>
      <c r="B115">
        <v>2160.3000000000002</v>
      </c>
      <c r="C115">
        <v>1968.9</v>
      </c>
      <c r="D115">
        <v>2209.1999999999998</v>
      </c>
      <c r="E115">
        <v>2145.9</v>
      </c>
      <c r="F115">
        <v>1611.6</v>
      </c>
      <c r="G115">
        <v>628.29999999999995</v>
      </c>
      <c r="H115">
        <v>1258.5999999999999</v>
      </c>
      <c r="I115">
        <v>1038.4000000000001</v>
      </c>
      <c r="J115">
        <v>1117.4000000000001</v>
      </c>
      <c r="K115">
        <v>1282.0999999999999</v>
      </c>
      <c r="L115">
        <v>1233.0999999999999</v>
      </c>
      <c r="M115">
        <v>2071.4</v>
      </c>
      <c r="N115" s="9">
        <f t="shared" ref="N115:N122" si="14">SUM(B115:M115)</f>
        <v>18725.2</v>
      </c>
    </row>
    <row r="116" spans="1:22" x14ac:dyDescent="0.25">
      <c r="A116" s="9" t="s">
        <v>51</v>
      </c>
      <c r="B116">
        <v>1.8</v>
      </c>
      <c r="C116">
        <v>2.7</v>
      </c>
      <c r="D116">
        <v>2.7</v>
      </c>
      <c r="E116">
        <v>2.7</v>
      </c>
      <c r="F116">
        <v>2.7</v>
      </c>
      <c r="G116">
        <v>2.7</v>
      </c>
      <c r="H116">
        <v>1.8</v>
      </c>
      <c r="I116">
        <v>2.7</v>
      </c>
      <c r="J116">
        <v>2.7</v>
      </c>
      <c r="K116">
        <v>2.7</v>
      </c>
      <c r="L116">
        <v>2.7</v>
      </c>
      <c r="M116">
        <v>2.7</v>
      </c>
      <c r="N116" s="9">
        <f t="shared" si="14"/>
        <v>30.599999999999998</v>
      </c>
      <c r="R116" t="s">
        <v>28</v>
      </c>
      <c r="S116">
        <f>S112+S113+S114</f>
        <v>64215</v>
      </c>
      <c r="T116">
        <f>T112+T113+T114</f>
        <v>64512.644</v>
      </c>
    </row>
    <row r="117" spans="1:22" x14ac:dyDescent="0.25">
      <c r="A117" s="9" t="s">
        <v>52</v>
      </c>
      <c r="B117">
        <v>46</v>
      </c>
      <c r="C117">
        <v>40.5</v>
      </c>
      <c r="D117">
        <v>42.6</v>
      </c>
      <c r="E117">
        <v>41.9</v>
      </c>
      <c r="F117">
        <v>39.200000000000003</v>
      </c>
      <c r="G117">
        <v>39.9</v>
      </c>
      <c r="H117">
        <v>25.4</v>
      </c>
      <c r="I117">
        <v>37.799999999999997</v>
      </c>
      <c r="J117">
        <v>37.799999999999997</v>
      </c>
      <c r="K117">
        <v>43.3</v>
      </c>
      <c r="L117">
        <v>40.5</v>
      </c>
      <c r="M117">
        <v>44.7</v>
      </c>
      <c r="N117" s="9">
        <f t="shared" si="14"/>
        <v>479.6</v>
      </c>
    </row>
    <row r="118" spans="1:22" x14ac:dyDescent="0.25">
      <c r="A118" s="10" t="s">
        <v>10</v>
      </c>
      <c r="B118">
        <v>98.2</v>
      </c>
      <c r="C118">
        <v>93.7</v>
      </c>
      <c r="D118">
        <v>111.5</v>
      </c>
      <c r="E118">
        <v>103</v>
      </c>
      <c r="F118">
        <v>102.5</v>
      </c>
      <c r="G118">
        <v>105.1</v>
      </c>
      <c r="H118">
        <v>112.8</v>
      </c>
      <c r="I118">
        <v>111.6</v>
      </c>
      <c r="J118">
        <v>89.8</v>
      </c>
      <c r="K118">
        <v>111.2</v>
      </c>
      <c r="L118">
        <v>105</v>
      </c>
      <c r="M118">
        <v>104.4</v>
      </c>
      <c r="N118" s="30">
        <f t="shared" si="14"/>
        <v>1248.8</v>
      </c>
      <c r="T118">
        <f>N113+N114+N120</f>
        <v>6080.7000000000007</v>
      </c>
      <c r="V118">
        <f>(T118-S114)/S114*100</f>
        <v>-1.6863379143087998</v>
      </c>
    </row>
    <row r="119" spans="1:22" x14ac:dyDescent="0.25">
      <c r="A119" s="10" t="s">
        <v>45</v>
      </c>
      <c r="B119">
        <v>37.866</v>
      </c>
      <c r="C119">
        <v>33.700000000000003</v>
      </c>
      <c r="D119">
        <v>38.353000000000002</v>
      </c>
      <c r="E119">
        <v>27.396999999999998</v>
      </c>
      <c r="F119">
        <v>37.58</v>
      </c>
      <c r="G119">
        <v>28.266999999999999</v>
      </c>
      <c r="H119">
        <v>24.052</v>
      </c>
      <c r="I119">
        <v>21.917000000000002</v>
      </c>
      <c r="J119">
        <v>33.152999999999999</v>
      </c>
      <c r="K119">
        <v>37.877000000000002</v>
      </c>
      <c r="L119">
        <v>43.319000000000003</v>
      </c>
      <c r="M119">
        <v>47.563000000000002</v>
      </c>
      <c r="N119" s="30">
        <f t="shared" si="14"/>
        <v>411.04400000000004</v>
      </c>
    </row>
    <row r="120" spans="1:22" x14ac:dyDescent="0.25">
      <c r="A120" s="10" t="s">
        <v>53</v>
      </c>
      <c r="N120" s="14">
        <f>1963.3+1132.7</f>
        <v>3096</v>
      </c>
      <c r="R120">
        <f>N120+145.6+2842</f>
        <v>6083.6</v>
      </c>
    </row>
    <row r="121" spans="1:22" x14ac:dyDescent="0.25">
      <c r="A121" s="10" t="s">
        <v>62</v>
      </c>
      <c r="N121" s="14">
        <v>1963.3</v>
      </c>
      <c r="P121">
        <f>N118+N119+N120-N121</f>
        <v>2792.5439999999999</v>
      </c>
      <c r="T121">
        <f>N113+N114+N116+N117+N120</f>
        <v>6590.9</v>
      </c>
      <c r="V121">
        <f>(T121-S114)/S114*100</f>
        <v>6.5626515763944973</v>
      </c>
    </row>
    <row r="122" spans="1:22" x14ac:dyDescent="0.25">
      <c r="A122" s="18" t="s">
        <v>54</v>
      </c>
      <c r="B122">
        <v>270.3</v>
      </c>
      <c r="C122">
        <v>212.2</v>
      </c>
      <c r="D122">
        <v>204.2</v>
      </c>
      <c r="E122">
        <v>322.3</v>
      </c>
      <c r="F122">
        <v>506.5</v>
      </c>
      <c r="G122">
        <v>411.4</v>
      </c>
      <c r="H122">
        <v>433.4</v>
      </c>
      <c r="I122">
        <v>404.4</v>
      </c>
      <c r="J122">
        <v>325.3</v>
      </c>
      <c r="K122">
        <v>327.3</v>
      </c>
      <c r="L122">
        <v>309.3</v>
      </c>
      <c r="M122">
        <v>418.4</v>
      </c>
      <c r="N122" s="9">
        <f t="shared" si="14"/>
        <v>4145.0000000000009</v>
      </c>
    </row>
    <row r="123" spans="1:22" x14ac:dyDescent="0.25">
      <c r="R123">
        <f>3606.1+145.6+2842</f>
        <v>6593.7</v>
      </c>
    </row>
    <row r="124" spans="1:22" x14ac:dyDescent="0.25">
      <c r="A124" t="s">
        <v>28</v>
      </c>
      <c r="B124">
        <f>SUM(B112:B119)-B122</f>
        <v>5086.366</v>
      </c>
      <c r="C124">
        <f t="shared" ref="C124:M124" si="15">SUM(C112:C119)-C122</f>
        <v>4850.0999999999995</v>
      </c>
      <c r="D124">
        <f t="shared" si="15"/>
        <v>5177.9530000000004</v>
      </c>
      <c r="E124">
        <f t="shared" si="15"/>
        <v>4663.1969999999992</v>
      </c>
      <c r="F124">
        <f t="shared" si="15"/>
        <v>4938.08</v>
      </c>
      <c r="G124">
        <f t="shared" si="15"/>
        <v>5676.6669999999995</v>
      </c>
      <c r="H124">
        <f t="shared" si="15"/>
        <v>6343.652</v>
      </c>
      <c r="I124">
        <f t="shared" si="15"/>
        <v>5670.9170000000004</v>
      </c>
      <c r="J124">
        <f t="shared" si="15"/>
        <v>4376.0529999999999</v>
      </c>
      <c r="K124">
        <f t="shared" si="15"/>
        <v>3788.9769999999999</v>
      </c>
      <c r="L124">
        <f t="shared" si="15"/>
        <v>4100.5189999999993</v>
      </c>
      <c r="M124">
        <f t="shared" si="15"/>
        <v>4562.4629999999997</v>
      </c>
      <c r="N124">
        <f>SUM(N112:N117)+N120-N122</f>
        <v>60671.100000000006</v>
      </c>
    </row>
    <row r="127" spans="1:22" x14ac:dyDescent="0.25">
      <c r="S127">
        <f>T113/S113*100</f>
        <v>101.05342687533729</v>
      </c>
    </row>
    <row r="129" spans="8:16" ht="15" customHeight="1" x14ac:dyDescent="0.25">
      <c r="H129" s="32" t="s">
        <v>57</v>
      </c>
      <c r="I129" s="33"/>
      <c r="J129" s="33"/>
      <c r="K129" s="33"/>
      <c r="L129" s="33"/>
      <c r="M129" s="33"/>
      <c r="N129" s="33"/>
      <c r="O129" s="33"/>
      <c r="P129" s="34"/>
    </row>
    <row r="130" spans="8:16" x14ac:dyDescent="0.25">
      <c r="H130" s="35"/>
      <c r="I130" s="36"/>
      <c r="J130" s="36"/>
      <c r="K130" s="36"/>
      <c r="L130" s="36"/>
      <c r="M130" s="36"/>
      <c r="N130" s="36"/>
      <c r="O130" s="36"/>
      <c r="P130" s="37"/>
    </row>
    <row r="131" spans="8:16" x14ac:dyDescent="0.25">
      <c r="H131" s="35"/>
      <c r="I131" s="36"/>
      <c r="J131" s="36"/>
      <c r="K131" s="36"/>
      <c r="L131" s="36"/>
      <c r="M131" s="36"/>
      <c r="N131" s="36"/>
      <c r="O131" s="36"/>
      <c r="P131" s="37"/>
    </row>
    <row r="132" spans="8:16" x14ac:dyDescent="0.25">
      <c r="H132" s="35"/>
      <c r="I132" s="36"/>
      <c r="J132" s="36"/>
      <c r="K132" s="36"/>
      <c r="L132" s="36"/>
      <c r="M132" s="36"/>
      <c r="N132" s="36"/>
      <c r="O132" s="36"/>
      <c r="P132" s="37"/>
    </row>
    <row r="133" spans="8:16" x14ac:dyDescent="0.25">
      <c r="H133" s="35"/>
      <c r="I133" s="36"/>
      <c r="J133" s="36"/>
      <c r="K133" s="36"/>
      <c r="L133" s="36"/>
      <c r="M133" s="36"/>
      <c r="N133" s="36"/>
      <c r="O133" s="36"/>
      <c r="P133" s="37"/>
    </row>
    <row r="134" spans="8:16" x14ac:dyDescent="0.25">
      <c r="H134" s="35"/>
      <c r="I134" s="36"/>
      <c r="J134" s="36"/>
      <c r="K134" s="36"/>
      <c r="L134" s="36"/>
      <c r="M134" s="36"/>
      <c r="N134" s="36"/>
      <c r="O134" s="36"/>
      <c r="P134" s="37"/>
    </row>
    <row r="135" spans="8:16" x14ac:dyDescent="0.25">
      <c r="H135" s="35"/>
      <c r="I135" s="36"/>
      <c r="J135" s="36"/>
      <c r="K135" s="36"/>
      <c r="L135" s="36"/>
      <c r="M135" s="36"/>
      <c r="N135" s="36"/>
      <c r="O135" s="36"/>
      <c r="P135" s="37"/>
    </row>
    <row r="136" spans="8:16" x14ac:dyDescent="0.25">
      <c r="H136" s="35"/>
      <c r="I136" s="36"/>
      <c r="J136" s="36"/>
      <c r="K136" s="36"/>
      <c r="L136" s="36"/>
      <c r="M136" s="36"/>
      <c r="N136" s="36"/>
      <c r="O136" s="36"/>
      <c r="P136" s="37"/>
    </row>
    <row r="137" spans="8:16" x14ac:dyDescent="0.25">
      <c r="H137" s="35"/>
      <c r="I137" s="36"/>
      <c r="J137" s="36"/>
      <c r="K137" s="36"/>
      <c r="L137" s="36"/>
      <c r="M137" s="36"/>
      <c r="N137" s="36"/>
      <c r="O137" s="36"/>
      <c r="P137" s="37"/>
    </row>
    <row r="138" spans="8:16" x14ac:dyDescent="0.25">
      <c r="H138" s="35"/>
      <c r="I138" s="36"/>
      <c r="J138" s="36"/>
      <c r="K138" s="36"/>
      <c r="L138" s="36"/>
      <c r="M138" s="36"/>
      <c r="N138" s="36"/>
      <c r="O138" s="36"/>
      <c r="P138" s="37"/>
    </row>
    <row r="139" spans="8:16" x14ac:dyDescent="0.25">
      <c r="H139" s="35"/>
      <c r="I139" s="36"/>
      <c r="J139" s="36"/>
      <c r="K139" s="36"/>
      <c r="L139" s="36"/>
      <c r="M139" s="36"/>
      <c r="N139" s="36"/>
      <c r="O139" s="36"/>
      <c r="P139" s="37"/>
    </row>
    <row r="140" spans="8:16" x14ac:dyDescent="0.25">
      <c r="H140" s="35"/>
      <c r="I140" s="36"/>
      <c r="J140" s="36"/>
      <c r="K140" s="36"/>
      <c r="L140" s="36"/>
      <c r="M140" s="36"/>
      <c r="N140" s="36"/>
      <c r="O140" s="36"/>
      <c r="P140" s="37"/>
    </row>
    <row r="141" spans="8:16" x14ac:dyDescent="0.25">
      <c r="H141" s="35"/>
      <c r="I141" s="36"/>
      <c r="J141" s="36"/>
      <c r="K141" s="36"/>
      <c r="L141" s="36"/>
      <c r="M141" s="36"/>
      <c r="N141" s="36"/>
      <c r="O141" s="36"/>
      <c r="P141" s="37"/>
    </row>
    <row r="142" spans="8:16" x14ac:dyDescent="0.25">
      <c r="H142" s="35"/>
      <c r="I142" s="36"/>
      <c r="J142" s="36"/>
      <c r="K142" s="36"/>
      <c r="L142" s="36"/>
      <c r="M142" s="36"/>
      <c r="N142" s="36"/>
      <c r="O142" s="36"/>
      <c r="P142" s="37"/>
    </row>
    <row r="143" spans="8:16" x14ac:dyDescent="0.25">
      <c r="H143" s="35"/>
      <c r="I143" s="36"/>
      <c r="J143" s="36"/>
      <c r="K143" s="36"/>
      <c r="L143" s="36"/>
      <c r="M143" s="36"/>
      <c r="N143" s="36"/>
      <c r="O143" s="36"/>
      <c r="P143" s="37"/>
    </row>
    <row r="144" spans="8:16" x14ac:dyDescent="0.25">
      <c r="H144" s="35"/>
      <c r="I144" s="36"/>
      <c r="J144" s="36"/>
      <c r="K144" s="36"/>
      <c r="L144" s="36"/>
      <c r="M144" s="36"/>
      <c r="N144" s="36"/>
      <c r="O144" s="36"/>
      <c r="P144" s="37"/>
    </row>
    <row r="145" spans="8:16" x14ac:dyDescent="0.25">
      <c r="H145" s="35"/>
      <c r="I145" s="36"/>
      <c r="J145" s="36"/>
      <c r="K145" s="36"/>
      <c r="L145" s="36"/>
      <c r="M145" s="36"/>
      <c r="N145" s="36"/>
      <c r="O145" s="36"/>
      <c r="P145" s="37"/>
    </row>
    <row r="146" spans="8:16" x14ac:dyDescent="0.25">
      <c r="H146" s="35"/>
      <c r="I146" s="36"/>
      <c r="J146" s="36"/>
      <c r="K146" s="36"/>
      <c r="L146" s="36"/>
      <c r="M146" s="36"/>
      <c r="N146" s="36"/>
      <c r="O146" s="36"/>
      <c r="P146" s="37"/>
    </row>
    <row r="147" spans="8:16" x14ac:dyDescent="0.25">
      <c r="H147" s="35"/>
      <c r="I147" s="36"/>
      <c r="J147" s="36"/>
      <c r="K147" s="36"/>
      <c r="L147" s="36"/>
      <c r="M147" s="36"/>
      <c r="N147" s="36"/>
      <c r="O147" s="36"/>
      <c r="P147" s="37"/>
    </row>
    <row r="148" spans="8:16" x14ac:dyDescent="0.25">
      <c r="H148" s="35"/>
      <c r="I148" s="36"/>
      <c r="J148" s="36"/>
      <c r="K148" s="36"/>
      <c r="L148" s="36"/>
      <c r="M148" s="36"/>
      <c r="N148" s="36"/>
      <c r="O148" s="36"/>
      <c r="P148" s="37"/>
    </row>
    <row r="149" spans="8:16" x14ac:dyDescent="0.25">
      <c r="H149" s="35"/>
      <c r="I149" s="36"/>
      <c r="J149" s="36"/>
      <c r="K149" s="36"/>
      <c r="L149" s="36"/>
      <c r="M149" s="36"/>
      <c r="N149" s="36"/>
      <c r="O149" s="36"/>
      <c r="P149" s="37"/>
    </row>
    <row r="150" spans="8:16" ht="102.75" customHeight="1" x14ac:dyDescent="0.25">
      <c r="H150" s="38"/>
      <c r="I150" s="39"/>
      <c r="J150" s="39"/>
      <c r="K150" s="39"/>
      <c r="L150" s="39"/>
      <c r="M150" s="39"/>
      <c r="N150" s="39"/>
      <c r="O150" s="39"/>
      <c r="P150" s="40"/>
    </row>
  </sheetData>
  <mergeCells count="1">
    <mergeCell ref="H129:P15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39EFF-03C0-4885-8025-4B142E344E0A}">
  <dimension ref="B1:E3"/>
  <sheetViews>
    <sheetView workbookViewId="0">
      <selection activeCell="E12" sqref="E12"/>
    </sheetView>
  </sheetViews>
  <sheetFormatPr baseColWidth="10" defaultRowHeight="15" x14ac:dyDescent="0.25"/>
  <cols>
    <col min="2" max="2" width="23.42578125" customWidth="1"/>
    <col min="3" max="3" width="21" customWidth="1"/>
    <col min="5" max="5" width="19.7109375" customWidth="1"/>
  </cols>
  <sheetData>
    <row r="1" spans="2:5" x14ac:dyDescent="0.25">
      <c r="E1" t="s">
        <v>42</v>
      </c>
    </row>
    <row r="2" spans="2:5" x14ac:dyDescent="0.25">
      <c r="B2" t="s">
        <v>40</v>
      </c>
      <c r="C2" t="s">
        <v>41</v>
      </c>
    </row>
    <row r="3" spans="2:5" x14ac:dyDescent="0.25">
      <c r="B3">
        <v>61562.500999999997</v>
      </c>
      <c r="C3">
        <v>64215</v>
      </c>
      <c r="E3">
        <f>C3/B3</f>
        <v>1.0430862774727103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Bourdy Aymeric</dc:creator>
  <cp:lastModifiedBy>Bourdy Aymeric</cp:lastModifiedBy>
  <dcterms:created xsi:type="dcterms:W3CDTF">2023-06-01T09:22:44Z</dcterms:created>
  <dcterms:modified xsi:type="dcterms:W3CDTF">2023-09-22T14:33:00Z</dcterms:modified>
</cp:coreProperties>
</file>