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b\Documents\SDSM\20211126_EcoDB_code_v1\support_files\"/>
    </mc:Choice>
  </mc:AlternateContent>
  <bookViews>
    <workbookView xWindow="0" yWindow="0" windowWidth="19200" windowHeight="12180" tabRatio="660"/>
  </bookViews>
  <sheets>
    <sheet name="AT" sheetId="7" r:id="rId1"/>
    <sheet name="CH" sheetId="1" r:id="rId2"/>
    <sheet name="DE" sheetId="4" r:id="rId3"/>
    <sheet name="FR" sheetId="5" r:id="rId4"/>
    <sheet name="IT" sheetId="6" r:id="rId5"/>
    <sheet name="CZ" sheetId="10" r:id="rId6"/>
    <sheet name="PT" sheetId="11" r:id="rId7"/>
    <sheet name="NL" sheetId="12" r:id="rId8"/>
    <sheet name="LU" sheetId="13" r:id="rId9"/>
    <sheet name="ES" sheetId="14" r:id="rId10"/>
    <sheet name="BE" sheetId="15" r:id="rId11"/>
    <sheet name="GB" sheetId="16" r:id="rId12"/>
    <sheet name="PL" sheetId="17" r:id="rId13"/>
    <sheet name="BG" sheetId="18" r:id="rId14"/>
    <sheet name="NO" sheetId="20" r:id="rId15"/>
    <sheet name="SE" sheetId="22" r:id="rId16"/>
    <sheet name="DK" sheetId="21" r:id="rId17"/>
    <sheet name="Residue" sheetId="23" r:id="rId18"/>
    <sheet name="ENTSOE_avg" sheetId="9" r:id="rId19"/>
    <sheet name="Analysis" sheetId="8" r:id="rId20"/>
    <sheet name="Pays_Simapro" sheetId="19" r:id="rId21"/>
  </sheets>
  <definedNames>
    <definedName name="Autre_Source">Pays_Simapro!$K$5:$O$41</definedName>
    <definedName name="Belgique">Pays_Simapro!$B$75:$F$90</definedName>
    <definedName name="Bulgarie">Pays_Simapro!$B$121:$F$137</definedName>
    <definedName name="Denmark">Pays_Simapro!$B$143:$F$155</definedName>
    <definedName name="Espagne">Pays_Simapro!$B$54:$F$69</definedName>
    <definedName name="GB">Pays_Simapro!$B$96:$F$99</definedName>
    <definedName name="Luxembourg">Pays_Simapro!$B$42:$F$48</definedName>
    <definedName name="Norvege">Pays_Simapro!$B$161:$F$173</definedName>
    <definedName name="Pays_bas">Pays_Simapro!$B$22:$F$36</definedName>
    <definedName name="Pologne">Pays_Simapro!$B$105:$F$115</definedName>
    <definedName name="Portugal">Pays_Simapro!$B$5:$F$16</definedName>
    <definedName name="Suède">Pays_Simapro!$B$179:$F$193</definedName>
  </definedNames>
  <calcPr calcId="162913"/>
</workbook>
</file>

<file path=xl/calcChain.xml><?xml version="1.0" encoding="utf-8"?>
<calcChain xmlns="http://schemas.openxmlformats.org/spreadsheetml/2006/main">
  <c r="I19" i="10" l="1"/>
  <c r="I17" i="5"/>
  <c r="I23" i="1"/>
  <c r="L20" i="23" l="1"/>
  <c r="L28" i="23"/>
  <c r="K34" i="23"/>
  <c r="H18" i="23"/>
  <c r="I18" i="23" s="1"/>
  <c r="H19" i="23"/>
  <c r="I19" i="23" s="1"/>
  <c r="H20" i="23"/>
  <c r="I20" i="23" s="1"/>
  <c r="H21" i="23"/>
  <c r="I21" i="23" s="1"/>
  <c r="H22" i="23"/>
  <c r="I22" i="23" s="1"/>
  <c r="H23" i="23"/>
  <c r="I23" i="23" s="1"/>
  <c r="H24" i="23"/>
  <c r="I24" i="23" s="1"/>
  <c r="H25" i="23"/>
  <c r="I25" i="23" s="1"/>
  <c r="H26" i="23"/>
  <c r="I26" i="23" s="1"/>
  <c r="H27" i="23"/>
  <c r="I27" i="23" s="1"/>
  <c r="H28" i="23"/>
  <c r="I28" i="23" s="1"/>
  <c r="H29" i="23"/>
  <c r="K29" i="23" s="1"/>
  <c r="H30" i="23"/>
  <c r="I30" i="23" s="1"/>
  <c r="H31" i="23"/>
  <c r="I31" i="23" s="1"/>
  <c r="H32" i="23"/>
  <c r="I32" i="23" s="1"/>
  <c r="H33" i="23"/>
  <c r="I33" i="23" s="1"/>
  <c r="H34" i="23"/>
  <c r="I34" i="23" s="1"/>
  <c r="H35" i="23"/>
  <c r="J35" i="23" s="1"/>
  <c r="H36" i="23"/>
  <c r="I36" i="23" s="1"/>
  <c r="H37" i="23"/>
  <c r="J37" i="23" s="1"/>
  <c r="H38" i="23"/>
  <c r="I38" i="23" s="1"/>
  <c r="H17" i="23"/>
  <c r="J17" i="23" s="1"/>
  <c r="C45" i="1"/>
  <c r="K37" i="23" l="1"/>
  <c r="J34" i="23"/>
  <c r="L27" i="23"/>
  <c r="L19" i="23"/>
  <c r="I35" i="23"/>
  <c r="J29" i="23"/>
  <c r="K26" i="23"/>
  <c r="K19" i="23"/>
  <c r="L37" i="23"/>
  <c r="L34" i="23"/>
  <c r="I29" i="23"/>
  <c r="J26" i="23"/>
  <c r="J19" i="23"/>
  <c r="L23" i="23"/>
  <c r="I37" i="23"/>
  <c r="K23" i="23"/>
  <c r="L36" i="23"/>
  <c r="L31" i="23"/>
  <c r="K27" i="23"/>
  <c r="L21" i="23"/>
  <c r="L35" i="23"/>
  <c r="K31" i="23"/>
  <c r="J27" i="23"/>
  <c r="K21" i="23"/>
  <c r="L18" i="23"/>
  <c r="I17" i="23"/>
  <c r="K35" i="23"/>
  <c r="L29" i="23"/>
  <c r="J21" i="23"/>
  <c r="K18" i="23"/>
  <c r="L17" i="23"/>
  <c r="L26" i="23"/>
  <c r="J18" i="23"/>
  <c r="D11" i="23" s="1"/>
  <c r="L33" i="23"/>
  <c r="L25" i="23"/>
  <c r="K33" i="23"/>
  <c r="K25" i="23"/>
  <c r="K17" i="23"/>
  <c r="J33" i="23"/>
  <c r="J31" i="23"/>
  <c r="J25" i="23"/>
  <c r="J23" i="23"/>
  <c r="L38" i="23"/>
  <c r="L32" i="23"/>
  <c r="L30" i="23"/>
  <c r="L24" i="23"/>
  <c r="L22" i="23"/>
  <c r="K38" i="23"/>
  <c r="K36" i="23"/>
  <c r="K32" i="23"/>
  <c r="K30" i="23"/>
  <c r="K28" i="23"/>
  <c r="K24" i="23"/>
  <c r="K22" i="23"/>
  <c r="K20" i="23"/>
  <c r="J38" i="23"/>
  <c r="J36" i="23"/>
  <c r="J32" i="23"/>
  <c r="J30" i="23"/>
  <c r="J28" i="23"/>
  <c r="J24" i="23"/>
  <c r="J22" i="23"/>
  <c r="J20" i="23"/>
  <c r="B6" i="23"/>
  <c r="F11" i="23" l="1"/>
  <c r="E11" i="23"/>
  <c r="C11" i="23"/>
  <c r="B41" i="14"/>
  <c r="E43" i="10"/>
  <c r="F43" i="10"/>
  <c r="G43" i="10"/>
  <c r="D43" i="10"/>
  <c r="D42" i="10"/>
  <c r="E42" i="10"/>
  <c r="F42" i="10"/>
  <c r="G42" i="10"/>
  <c r="B42" i="10"/>
  <c r="E48" i="4"/>
  <c r="F48" i="4"/>
  <c r="G48" i="4"/>
  <c r="D48" i="4"/>
  <c r="D47" i="4"/>
  <c r="E47" i="4"/>
  <c r="F47" i="4"/>
  <c r="G47" i="4"/>
  <c r="B47" i="4"/>
  <c r="D12" i="23" l="1"/>
  <c r="E12" i="23"/>
  <c r="F12" i="23"/>
  <c r="B12" i="23"/>
  <c r="B5" i="23" s="1"/>
  <c r="H5" i="23" s="1"/>
  <c r="C12" i="23"/>
  <c r="D10" i="23"/>
  <c r="E10" i="23"/>
  <c r="F10" i="23"/>
  <c r="C10" i="23"/>
  <c r="G6" i="23"/>
  <c r="K6" i="23" s="1"/>
  <c r="H6" i="23"/>
  <c r="L6" i="23" s="1"/>
  <c r="I6" i="23"/>
  <c r="M6" i="23" s="1"/>
  <c r="F6" i="23"/>
  <c r="J6" i="23" s="1"/>
  <c r="B22" i="22"/>
  <c r="F5" i="23" l="1"/>
  <c r="J5" i="23" s="1"/>
  <c r="I5" i="23"/>
  <c r="M5" i="23" s="1"/>
  <c r="G5" i="23"/>
  <c r="K5" i="23" s="1"/>
  <c r="L5" i="23"/>
  <c r="B26" i="10"/>
  <c r="B40" i="18" l="1"/>
  <c r="F39" i="18"/>
  <c r="E39" i="18"/>
  <c r="D39" i="18"/>
  <c r="C39" i="18"/>
  <c r="B39" i="18"/>
  <c r="B22" i="18" s="1"/>
  <c r="B34" i="17"/>
  <c r="C33" i="17"/>
  <c r="D33" i="17"/>
  <c r="E33" i="17"/>
  <c r="F33" i="17"/>
  <c r="B33" i="17"/>
  <c r="B17" i="17" s="1"/>
  <c r="B46" i="4"/>
  <c r="B28" i="4" s="1"/>
  <c r="B37" i="7"/>
  <c r="M7" i="17"/>
  <c r="L7" i="17"/>
  <c r="K7" i="17"/>
  <c r="J7" i="17"/>
  <c r="B22" i="20"/>
  <c r="B25" i="7"/>
  <c r="F17" i="17" l="1"/>
  <c r="J17" i="17" s="1"/>
  <c r="I17" i="17"/>
  <c r="M17" i="17" s="1"/>
  <c r="H17" i="17"/>
  <c r="L17" i="17" s="1"/>
  <c r="G17" i="17"/>
  <c r="K17" i="17" s="1"/>
  <c r="H22" i="18"/>
  <c r="L22" i="18" s="1"/>
  <c r="G22" i="18"/>
  <c r="K22" i="18" s="1"/>
  <c r="I22" i="18"/>
  <c r="M22" i="18" s="1"/>
  <c r="F22" i="18"/>
  <c r="J22" i="18" s="1"/>
  <c r="M3" i="21"/>
  <c r="K3" i="21"/>
  <c r="J3" i="21"/>
  <c r="H3" i="21"/>
  <c r="L3" i="21" s="1"/>
  <c r="M3" i="22"/>
  <c r="K3" i="22"/>
  <c r="J3" i="22"/>
  <c r="H3" i="22"/>
  <c r="L3" i="22" s="1"/>
  <c r="M3" i="20"/>
  <c r="K3" i="20"/>
  <c r="J3" i="20"/>
  <c r="H3" i="20"/>
  <c r="L3" i="20" s="1"/>
  <c r="M3" i="17"/>
  <c r="L3" i="17"/>
  <c r="K3" i="17"/>
  <c r="J3" i="17"/>
  <c r="H3" i="17"/>
  <c r="M3" i="16"/>
  <c r="K3" i="16"/>
  <c r="J3" i="16"/>
  <c r="H3" i="16"/>
  <c r="L3" i="16" s="1"/>
  <c r="M3" i="15"/>
  <c r="K3" i="15"/>
  <c r="J3" i="15"/>
  <c r="H3" i="15"/>
  <c r="L3" i="15" s="1"/>
  <c r="M3" i="14"/>
  <c r="K3" i="14"/>
  <c r="J3" i="14"/>
  <c r="H3" i="14"/>
  <c r="L3" i="14" s="1"/>
  <c r="M3" i="13"/>
  <c r="K3" i="13"/>
  <c r="J3" i="13"/>
  <c r="H3" i="13"/>
  <c r="L3" i="13"/>
  <c r="M3" i="12"/>
  <c r="K3" i="12"/>
  <c r="J3" i="12"/>
  <c r="H3" i="12"/>
  <c r="L3" i="12"/>
  <c r="K3" i="11"/>
  <c r="M3" i="11"/>
  <c r="J3" i="11"/>
  <c r="H3" i="11"/>
  <c r="L3" i="11" s="1"/>
  <c r="M3" i="19"/>
  <c r="O3" i="19"/>
  <c r="L3" i="19"/>
  <c r="F177" i="19"/>
  <c r="D177" i="19"/>
  <c r="C177" i="19"/>
  <c r="F159" i="19"/>
  <c r="D159" i="19"/>
  <c r="C159" i="19"/>
  <c r="F141" i="19"/>
  <c r="D141" i="19"/>
  <c r="C141" i="19"/>
  <c r="F119" i="19"/>
  <c r="D119" i="19"/>
  <c r="C119" i="19"/>
  <c r="F103" i="19"/>
  <c r="D103" i="19"/>
  <c r="C103" i="19"/>
  <c r="F94" i="19"/>
  <c r="D94" i="19"/>
  <c r="C94" i="19"/>
  <c r="F73" i="19"/>
  <c r="D73" i="19"/>
  <c r="C73" i="19"/>
  <c r="F52" i="19"/>
  <c r="D52" i="19"/>
  <c r="C52" i="19"/>
  <c r="F40" i="19"/>
  <c r="D40" i="19"/>
  <c r="C40" i="19"/>
  <c r="F20" i="19"/>
  <c r="D20" i="19"/>
  <c r="C20" i="19"/>
  <c r="E3" i="19"/>
  <c r="N3" i="19" s="1"/>
  <c r="E36" i="20"/>
  <c r="B36" i="20"/>
  <c r="F36" i="20" s="1"/>
  <c r="F35" i="20"/>
  <c r="I22" i="20" s="1"/>
  <c r="M22" i="20" s="1"/>
  <c r="E35" i="20"/>
  <c r="D35" i="20"/>
  <c r="C35" i="20"/>
  <c r="F22" i="20" s="1"/>
  <c r="J22" i="20" s="1"/>
  <c r="G14" i="22"/>
  <c r="K14" i="22" s="1"/>
  <c r="F14" i="22"/>
  <c r="I14" i="22"/>
  <c r="H14" i="22"/>
  <c r="C34" i="22"/>
  <c r="F22" i="22" s="1"/>
  <c r="J22" i="22" s="1"/>
  <c r="B35" i="22"/>
  <c r="D35" i="22" s="1"/>
  <c r="D34" i="22"/>
  <c r="G22" i="22" s="1"/>
  <c r="K22" i="22" s="1"/>
  <c r="E34" i="22"/>
  <c r="H22" i="22" s="1"/>
  <c r="L22" i="22" s="1"/>
  <c r="F34" i="22"/>
  <c r="I22" i="22" s="1"/>
  <c r="M22" i="22" s="1"/>
  <c r="I21" i="22"/>
  <c r="H21" i="22"/>
  <c r="G21" i="22"/>
  <c r="F21" i="22"/>
  <c r="I20" i="22"/>
  <c r="M20" i="22" s="1"/>
  <c r="H20" i="22"/>
  <c r="G20" i="22"/>
  <c r="F20" i="22"/>
  <c r="E26" i="22"/>
  <c r="E21" i="22"/>
  <c r="E20" i="22"/>
  <c r="E18" i="22"/>
  <c r="E14" i="22"/>
  <c r="E10" i="22"/>
  <c r="I28" i="22"/>
  <c r="H28" i="22"/>
  <c r="G28" i="22"/>
  <c r="F28" i="22"/>
  <c r="I27" i="22"/>
  <c r="H27" i="22"/>
  <c r="G27" i="22"/>
  <c r="F27" i="22"/>
  <c r="I26" i="22"/>
  <c r="H26" i="22"/>
  <c r="G26" i="22"/>
  <c r="F26" i="22"/>
  <c r="I25" i="22"/>
  <c r="H25" i="22"/>
  <c r="G25" i="22"/>
  <c r="F25" i="22"/>
  <c r="I18" i="22"/>
  <c r="H18" i="22"/>
  <c r="L18" i="22" s="1"/>
  <c r="G18" i="22"/>
  <c r="F18" i="22"/>
  <c r="I17" i="22"/>
  <c r="H17" i="22"/>
  <c r="G17" i="22"/>
  <c r="F17" i="22"/>
  <c r="I12" i="22"/>
  <c r="H12" i="22"/>
  <c r="G12" i="22"/>
  <c r="F12" i="22"/>
  <c r="I11" i="22"/>
  <c r="H11" i="22"/>
  <c r="G11" i="22"/>
  <c r="F11" i="22"/>
  <c r="I10" i="22"/>
  <c r="M10" i="22" s="1"/>
  <c r="H10" i="22"/>
  <c r="L10" i="22" s="1"/>
  <c r="G10" i="22"/>
  <c r="F10" i="22"/>
  <c r="I9" i="22"/>
  <c r="H9" i="22"/>
  <c r="G9" i="22"/>
  <c r="F9" i="22"/>
  <c r="I6" i="22"/>
  <c r="H6" i="22"/>
  <c r="G6" i="22"/>
  <c r="F6" i="22"/>
  <c r="I5" i="22"/>
  <c r="H5" i="22"/>
  <c r="G5" i="22"/>
  <c r="F5" i="22"/>
  <c r="C30" i="22"/>
  <c r="E28" i="22"/>
  <c r="E27" i="22"/>
  <c r="E25" i="22"/>
  <c r="E17" i="22"/>
  <c r="K17" i="22" s="1"/>
  <c r="E12" i="22"/>
  <c r="E11" i="22"/>
  <c r="E9" i="22"/>
  <c r="J9" i="22" s="1"/>
  <c r="E6" i="22"/>
  <c r="E5" i="22"/>
  <c r="M5" i="22" s="1"/>
  <c r="H22" i="20"/>
  <c r="L22" i="20" s="1"/>
  <c r="G22" i="20"/>
  <c r="K22" i="20" s="1"/>
  <c r="I24" i="21"/>
  <c r="H24" i="21"/>
  <c r="G24" i="21"/>
  <c r="I30" i="21"/>
  <c r="H30" i="21"/>
  <c r="L29" i="21" s="1"/>
  <c r="G30" i="21"/>
  <c r="I29" i="21"/>
  <c r="H29" i="21"/>
  <c r="G29" i="21"/>
  <c r="K29" i="21" s="1"/>
  <c r="E28" i="20"/>
  <c r="E29" i="20"/>
  <c r="E27" i="20"/>
  <c r="E26" i="20"/>
  <c r="E19" i="20"/>
  <c r="E17" i="20"/>
  <c r="E12" i="20"/>
  <c r="E9" i="20"/>
  <c r="E10" i="20"/>
  <c r="E11" i="20"/>
  <c r="E8" i="20"/>
  <c r="E5" i="20"/>
  <c r="I13" i="20"/>
  <c r="M13" i="20" s="1"/>
  <c r="H13" i="20"/>
  <c r="L13" i="20"/>
  <c r="G13" i="20"/>
  <c r="K13" i="20" s="1"/>
  <c r="F13" i="20"/>
  <c r="J13" i="20"/>
  <c r="I25" i="20"/>
  <c r="H25" i="20"/>
  <c r="G25" i="20"/>
  <c r="F25" i="20"/>
  <c r="I24" i="20"/>
  <c r="H24" i="20"/>
  <c r="G24" i="20"/>
  <c r="F24" i="20"/>
  <c r="J24" i="20" s="1"/>
  <c r="F8" i="20"/>
  <c r="G8" i="20"/>
  <c r="H8" i="20"/>
  <c r="I8" i="20"/>
  <c r="F9" i="20"/>
  <c r="G9" i="20"/>
  <c r="H9" i="20"/>
  <c r="I9" i="20"/>
  <c r="F10" i="20"/>
  <c r="G10" i="20"/>
  <c r="H10" i="20"/>
  <c r="I10" i="20"/>
  <c r="F11" i="20"/>
  <c r="G11" i="20"/>
  <c r="H11" i="20"/>
  <c r="I11" i="20"/>
  <c r="F12" i="20"/>
  <c r="J12" i="20" s="1"/>
  <c r="G12" i="20"/>
  <c r="K12" i="20"/>
  <c r="H12" i="20"/>
  <c r="L12" i="20" s="1"/>
  <c r="I12" i="20"/>
  <c r="M12" i="20"/>
  <c r="F17" i="20"/>
  <c r="G17" i="20"/>
  <c r="H17" i="20"/>
  <c r="I17" i="20"/>
  <c r="M17" i="20" s="1"/>
  <c r="F18" i="20"/>
  <c r="G18" i="20"/>
  <c r="H18" i="20"/>
  <c r="I18" i="20"/>
  <c r="M18" i="20" s="1"/>
  <c r="F19" i="20"/>
  <c r="J19" i="20" s="1"/>
  <c r="G19" i="20"/>
  <c r="K19" i="20"/>
  <c r="H19" i="20"/>
  <c r="L19" i="20" s="1"/>
  <c r="I19" i="20"/>
  <c r="M19" i="20"/>
  <c r="F26" i="20"/>
  <c r="G26" i="20"/>
  <c r="H26" i="20"/>
  <c r="I26" i="20"/>
  <c r="F27" i="20"/>
  <c r="G27" i="20"/>
  <c r="H27" i="20"/>
  <c r="I27" i="20"/>
  <c r="F28" i="20"/>
  <c r="G28" i="20"/>
  <c r="H28" i="20"/>
  <c r="I28" i="20"/>
  <c r="F29" i="20"/>
  <c r="G29" i="20"/>
  <c r="H29" i="20"/>
  <c r="I29" i="20"/>
  <c r="I5" i="20"/>
  <c r="H5" i="20"/>
  <c r="G5" i="20"/>
  <c r="K5" i="20" s="1"/>
  <c r="F5" i="20"/>
  <c r="F30" i="21"/>
  <c r="F29" i="21"/>
  <c r="F24" i="21"/>
  <c r="J24" i="21" s="1"/>
  <c r="F18" i="21"/>
  <c r="F26" i="21"/>
  <c r="G26" i="21"/>
  <c r="H26" i="21"/>
  <c r="I26" i="21"/>
  <c r="F27" i="21"/>
  <c r="G27" i="21"/>
  <c r="H27" i="21"/>
  <c r="I27" i="21"/>
  <c r="F28" i="21"/>
  <c r="G28" i="21"/>
  <c r="H28" i="21"/>
  <c r="I28" i="21"/>
  <c r="I25" i="21"/>
  <c r="H25" i="21"/>
  <c r="G25" i="21"/>
  <c r="K25" i="21" s="1"/>
  <c r="F25" i="21"/>
  <c r="I18" i="21"/>
  <c r="H18" i="21"/>
  <c r="G18" i="21"/>
  <c r="K18" i="21" s="1"/>
  <c r="F10" i="21"/>
  <c r="G10" i="21"/>
  <c r="H10" i="21"/>
  <c r="I10" i="21"/>
  <c r="F11" i="21"/>
  <c r="G11" i="21"/>
  <c r="H11" i="21"/>
  <c r="I11" i="21"/>
  <c r="M11" i="21" s="1"/>
  <c r="F12" i="21"/>
  <c r="G12" i="21"/>
  <c r="H12" i="21"/>
  <c r="I12" i="21"/>
  <c r="M12" i="21" s="1"/>
  <c r="F13" i="21"/>
  <c r="G13" i="21"/>
  <c r="H13" i="21"/>
  <c r="I13" i="21"/>
  <c r="I9" i="21"/>
  <c r="H9" i="21"/>
  <c r="G9" i="21"/>
  <c r="F9" i="21"/>
  <c r="K9" i="21" s="1"/>
  <c r="I6" i="21"/>
  <c r="H6" i="21"/>
  <c r="G6" i="21"/>
  <c r="F6" i="21"/>
  <c r="I5" i="21"/>
  <c r="H5" i="21"/>
  <c r="G5" i="21"/>
  <c r="F5" i="21"/>
  <c r="J5" i="21" s="1"/>
  <c r="F5" i="11"/>
  <c r="L24" i="20"/>
  <c r="C37" i="20"/>
  <c r="M24" i="20"/>
  <c r="D37" i="20"/>
  <c r="E37" i="20"/>
  <c r="K24" i="20"/>
  <c r="L9" i="21"/>
  <c r="F12" i="18"/>
  <c r="J29" i="21"/>
  <c r="M29" i="21"/>
  <c r="E18" i="21"/>
  <c r="J18" i="21" s="1"/>
  <c r="E25" i="21"/>
  <c r="L25" i="21"/>
  <c r="C31" i="21"/>
  <c r="E28" i="21"/>
  <c r="M26" i="21" s="1"/>
  <c r="E27" i="21"/>
  <c r="E26" i="21"/>
  <c r="K26" i="21" s="1"/>
  <c r="M24" i="21"/>
  <c r="L24" i="21"/>
  <c r="K24" i="21"/>
  <c r="E13" i="21"/>
  <c r="E12" i="21"/>
  <c r="K12" i="21" s="1"/>
  <c r="L11" i="21"/>
  <c r="K11" i="21"/>
  <c r="J11" i="21"/>
  <c r="E10" i="21"/>
  <c r="E9" i="21"/>
  <c r="E6" i="21"/>
  <c r="K5" i="21" s="1"/>
  <c r="E5" i="21"/>
  <c r="F11" i="18"/>
  <c r="J25" i="21"/>
  <c r="L18" i="21"/>
  <c r="M18" i="21"/>
  <c r="M25" i="21"/>
  <c r="L5" i="21"/>
  <c r="M5" i="21"/>
  <c r="J26" i="21"/>
  <c r="C31" i="20"/>
  <c r="K27" i="20"/>
  <c r="J27" i="20"/>
  <c r="L27" i="20"/>
  <c r="L21" i="20"/>
  <c r="J21" i="20"/>
  <c r="M21" i="20"/>
  <c r="K21" i="20"/>
  <c r="L18" i="20"/>
  <c r="J18" i="20"/>
  <c r="K18" i="20"/>
  <c r="L17" i="20"/>
  <c r="J17" i="20"/>
  <c r="K17" i="20"/>
  <c r="M8" i="20"/>
  <c r="E10" i="11"/>
  <c r="M27" i="20"/>
  <c r="K32" i="18"/>
  <c r="L32" i="18"/>
  <c r="M32" i="18"/>
  <c r="J32" i="18"/>
  <c r="M18" i="16"/>
  <c r="K18" i="16"/>
  <c r="L18" i="16"/>
  <c r="J18" i="16"/>
  <c r="M27" i="18"/>
  <c r="L27" i="18"/>
  <c r="K27" i="18"/>
  <c r="J27" i="18"/>
  <c r="M23" i="16"/>
  <c r="L23" i="16"/>
  <c r="K23" i="16"/>
  <c r="J23" i="16"/>
  <c r="M15" i="16"/>
  <c r="L15" i="16"/>
  <c r="K15" i="16"/>
  <c r="J15" i="16"/>
  <c r="M14" i="16"/>
  <c r="L14" i="16"/>
  <c r="K14" i="16"/>
  <c r="J14" i="16"/>
  <c r="E26" i="16"/>
  <c r="E25" i="16"/>
  <c r="E24" i="16"/>
  <c r="M24" i="16" s="1"/>
  <c r="E29" i="16"/>
  <c r="E28" i="16"/>
  <c r="E27" i="16"/>
  <c r="E33" i="15"/>
  <c r="E32" i="15"/>
  <c r="E31" i="15"/>
  <c r="M26" i="15"/>
  <c r="L26" i="15"/>
  <c r="K26" i="15"/>
  <c r="J26" i="15"/>
  <c r="E31" i="14"/>
  <c r="E30" i="14"/>
  <c r="J29" i="14" s="1"/>
  <c r="E29" i="14"/>
  <c r="M24" i="14"/>
  <c r="L24" i="14"/>
  <c r="K24" i="14"/>
  <c r="J24" i="14"/>
  <c r="E33" i="12"/>
  <c r="E32" i="12"/>
  <c r="M31" i="12" s="1"/>
  <c r="E31" i="12"/>
  <c r="F20" i="12"/>
  <c r="J20" i="12"/>
  <c r="M26" i="11"/>
  <c r="E27" i="11"/>
  <c r="E28" i="11"/>
  <c r="E26" i="11"/>
  <c r="B20" i="16"/>
  <c r="F20" i="16" s="1"/>
  <c r="J20" i="16" s="1"/>
  <c r="B24" i="15"/>
  <c r="F24" i="15" s="1"/>
  <c r="J24" i="15" s="1"/>
  <c r="B23" i="14"/>
  <c r="B22" i="14"/>
  <c r="B24" i="12"/>
  <c r="I24" i="12" s="1"/>
  <c r="M24" i="12" s="1"/>
  <c r="B20" i="11"/>
  <c r="E26" i="10"/>
  <c r="J26" i="10" s="1"/>
  <c r="B25" i="10"/>
  <c r="D25" i="10" s="1"/>
  <c r="I25" i="10" s="1"/>
  <c r="B25" i="6"/>
  <c r="E25" i="6" s="1"/>
  <c r="J25" i="6" s="1"/>
  <c r="D40" i="6"/>
  <c r="E38" i="10"/>
  <c r="F38" i="10"/>
  <c r="G38" i="10"/>
  <c r="D38" i="10"/>
  <c r="G40" i="6"/>
  <c r="H20" i="16"/>
  <c r="L20" i="16"/>
  <c r="I20" i="16"/>
  <c r="M20" i="16" s="1"/>
  <c r="D26" i="10"/>
  <c r="I26" i="10" s="1"/>
  <c r="F24" i="12"/>
  <c r="J24" i="12" s="1"/>
  <c r="G24" i="12"/>
  <c r="K24" i="12" s="1"/>
  <c r="E46" i="4"/>
  <c r="F46" i="4"/>
  <c r="G46" i="4"/>
  <c r="D46" i="4"/>
  <c r="G42" i="4"/>
  <c r="D42" i="4"/>
  <c r="E41" i="4"/>
  <c r="F41" i="4"/>
  <c r="G41" i="4"/>
  <c r="D41" i="4"/>
  <c r="B41" i="4"/>
  <c r="B38" i="4"/>
  <c r="C38" i="4"/>
  <c r="D38" i="4"/>
  <c r="E38" i="4"/>
  <c r="F38" i="4"/>
  <c r="F28" i="4" s="1"/>
  <c r="K28" i="4" s="1"/>
  <c r="G38" i="4"/>
  <c r="C40" i="4"/>
  <c r="D39" i="7"/>
  <c r="G39" i="7"/>
  <c r="E38" i="7"/>
  <c r="F38" i="7"/>
  <c r="G38" i="7"/>
  <c r="D38" i="7"/>
  <c r="B38" i="7"/>
  <c r="B40" i="4"/>
  <c r="B27" i="4" s="1"/>
  <c r="I31" i="18"/>
  <c r="H31" i="18"/>
  <c r="G31" i="18"/>
  <c r="F31" i="18"/>
  <c r="I30" i="18"/>
  <c r="H30" i="18"/>
  <c r="G30" i="18"/>
  <c r="F30" i="18"/>
  <c r="I29" i="18"/>
  <c r="H29" i="18"/>
  <c r="E41" i="18" s="1"/>
  <c r="G29" i="18"/>
  <c r="D41" i="18" s="1"/>
  <c r="F29" i="18"/>
  <c r="I24" i="18"/>
  <c r="M24" i="18"/>
  <c r="H24" i="18"/>
  <c r="L24" i="18" s="1"/>
  <c r="G24" i="18"/>
  <c r="K24" i="18"/>
  <c r="F24" i="18"/>
  <c r="J24" i="18" s="1"/>
  <c r="I21" i="18"/>
  <c r="F40" i="18" s="1"/>
  <c r="M21" i="18"/>
  <c r="H21" i="18"/>
  <c r="E40" i="18" s="1"/>
  <c r="G21" i="18"/>
  <c r="D40" i="18" s="1"/>
  <c r="K21" i="18"/>
  <c r="F21" i="18"/>
  <c r="I20" i="18"/>
  <c r="M20" i="18"/>
  <c r="H20" i="18"/>
  <c r="L20" i="18" s="1"/>
  <c r="G20" i="18"/>
  <c r="K20" i="18"/>
  <c r="F20" i="18"/>
  <c r="J20" i="18" s="1"/>
  <c r="I16" i="18"/>
  <c r="H16" i="18"/>
  <c r="G16" i="18"/>
  <c r="F16" i="18"/>
  <c r="I15" i="18"/>
  <c r="H15" i="18"/>
  <c r="G15" i="18"/>
  <c r="K15" i="18" s="1"/>
  <c r="F15" i="18"/>
  <c r="I14" i="18"/>
  <c r="H14" i="18"/>
  <c r="G14" i="18"/>
  <c r="F14" i="18"/>
  <c r="I13" i="18"/>
  <c r="H13" i="18"/>
  <c r="F37" i="7"/>
  <c r="F40" i="4" s="1"/>
  <c r="G13" i="18"/>
  <c r="F13" i="18"/>
  <c r="I12" i="18"/>
  <c r="H12" i="18"/>
  <c r="L10" i="18" s="1"/>
  <c r="G12" i="18"/>
  <c r="I11" i="18"/>
  <c r="H11" i="18"/>
  <c r="G11" i="18"/>
  <c r="I10" i="18"/>
  <c r="H10" i="18"/>
  <c r="G10" i="18"/>
  <c r="F10" i="18"/>
  <c r="I8" i="18"/>
  <c r="H8" i="18"/>
  <c r="G8" i="18"/>
  <c r="F8" i="18"/>
  <c r="I7" i="18"/>
  <c r="H7" i="18"/>
  <c r="G7" i="18"/>
  <c r="F7" i="18"/>
  <c r="I6" i="18"/>
  <c r="H6" i="18"/>
  <c r="G6" i="18"/>
  <c r="F6" i="18"/>
  <c r="I5" i="18"/>
  <c r="H5" i="18"/>
  <c r="G5" i="18"/>
  <c r="F5" i="18"/>
  <c r="I26" i="17"/>
  <c r="H26" i="17"/>
  <c r="G26" i="17"/>
  <c r="F26" i="17"/>
  <c r="I25" i="17"/>
  <c r="H25" i="17"/>
  <c r="G25" i="17"/>
  <c r="F25" i="17"/>
  <c r="I24" i="17"/>
  <c r="H24" i="17"/>
  <c r="E35" i="17" s="1"/>
  <c r="G24" i="17"/>
  <c r="D35" i="17" s="1"/>
  <c r="F24" i="17"/>
  <c r="I16" i="17"/>
  <c r="F34" i="17" s="1"/>
  <c r="M16" i="17"/>
  <c r="H16" i="17"/>
  <c r="E34" i="17" s="1"/>
  <c r="G16" i="17"/>
  <c r="D34" i="17" s="1"/>
  <c r="K16" i="17"/>
  <c r="F16" i="17"/>
  <c r="C34" i="17" s="1"/>
  <c r="I15" i="17"/>
  <c r="M15" i="17"/>
  <c r="H15" i="17"/>
  <c r="L15" i="17" s="1"/>
  <c r="G15" i="17"/>
  <c r="K15" i="17"/>
  <c r="F15" i="17"/>
  <c r="J15" i="17" s="1"/>
  <c r="I11" i="17"/>
  <c r="M11" i="17"/>
  <c r="H11" i="17"/>
  <c r="L11" i="17" s="1"/>
  <c r="G11" i="17"/>
  <c r="K11" i="17"/>
  <c r="F11" i="17"/>
  <c r="J11" i="17" s="1"/>
  <c r="I10" i="17"/>
  <c r="M10" i="17"/>
  <c r="H10" i="17"/>
  <c r="L10" i="17" s="1"/>
  <c r="G10" i="17"/>
  <c r="K10" i="17"/>
  <c r="F10" i="17"/>
  <c r="J10" i="17" s="1"/>
  <c r="I9" i="17"/>
  <c r="H9" i="17"/>
  <c r="G9" i="17"/>
  <c r="F9" i="17"/>
  <c r="I8" i="17"/>
  <c r="H8" i="17"/>
  <c r="G8" i="17"/>
  <c r="F8" i="17"/>
  <c r="I6" i="17"/>
  <c r="M6" i="17"/>
  <c r="H6" i="17"/>
  <c r="L6" i="17" s="1"/>
  <c r="G6" i="17"/>
  <c r="K6" i="17"/>
  <c r="F6" i="17"/>
  <c r="J6" i="17" s="1"/>
  <c r="I5" i="17"/>
  <c r="M5" i="17"/>
  <c r="H5" i="17"/>
  <c r="L5" i="17" s="1"/>
  <c r="G5" i="17"/>
  <c r="K5" i="17"/>
  <c r="F5" i="17"/>
  <c r="J5" i="17" s="1"/>
  <c r="I10" i="16"/>
  <c r="M10" i="16"/>
  <c r="H10" i="16"/>
  <c r="L10" i="16" s="1"/>
  <c r="G10" i="16"/>
  <c r="K10" i="16"/>
  <c r="F10" i="16"/>
  <c r="J10" i="16" s="1"/>
  <c r="I9" i="16"/>
  <c r="M9" i="16"/>
  <c r="H9" i="16"/>
  <c r="L9" i="16" s="1"/>
  <c r="G9" i="16"/>
  <c r="K9" i="16"/>
  <c r="F9" i="16"/>
  <c r="J9" i="16" s="1"/>
  <c r="I8" i="16"/>
  <c r="M8" i="16"/>
  <c r="H8" i="16"/>
  <c r="G8" i="16"/>
  <c r="K8" i="16"/>
  <c r="F8" i="16"/>
  <c r="J8" i="16" s="1"/>
  <c r="I5" i="16"/>
  <c r="M5" i="16"/>
  <c r="H5" i="16"/>
  <c r="L5" i="16" s="1"/>
  <c r="G5" i="16"/>
  <c r="K5" i="16"/>
  <c r="F5" i="16"/>
  <c r="J5" i="16" s="1"/>
  <c r="I30" i="15"/>
  <c r="H30" i="15"/>
  <c r="G30" i="15"/>
  <c r="F30" i="15"/>
  <c r="I29" i="15"/>
  <c r="H29" i="15"/>
  <c r="G29" i="15"/>
  <c r="F29" i="15"/>
  <c r="I28" i="15"/>
  <c r="H28" i="15"/>
  <c r="G28" i="15"/>
  <c r="F28" i="15"/>
  <c r="I27" i="15"/>
  <c r="M27" i="15"/>
  <c r="H27" i="15"/>
  <c r="L27" i="15" s="1"/>
  <c r="G27" i="15"/>
  <c r="K27" i="15"/>
  <c r="F27" i="15"/>
  <c r="J27" i="15" s="1"/>
  <c r="I23" i="15"/>
  <c r="M23" i="15"/>
  <c r="H23" i="15"/>
  <c r="L23" i="15" s="1"/>
  <c r="G23" i="15"/>
  <c r="K23" i="15"/>
  <c r="F23" i="15"/>
  <c r="J23" i="15" s="1"/>
  <c r="I20" i="15"/>
  <c r="M20" i="15"/>
  <c r="H20" i="15"/>
  <c r="L20" i="15" s="1"/>
  <c r="G20" i="15"/>
  <c r="K20" i="15"/>
  <c r="F20" i="15"/>
  <c r="J20" i="15" s="1"/>
  <c r="I19" i="15"/>
  <c r="M19" i="15"/>
  <c r="H19" i="15"/>
  <c r="L19" i="15" s="1"/>
  <c r="G19" i="15"/>
  <c r="K19" i="15" s="1"/>
  <c r="F19" i="15"/>
  <c r="J19" i="15" s="1"/>
  <c r="I15" i="15"/>
  <c r="H15" i="15"/>
  <c r="G15" i="15"/>
  <c r="F15" i="15"/>
  <c r="I14" i="15"/>
  <c r="H14" i="15"/>
  <c r="G14" i="15"/>
  <c r="F14" i="15"/>
  <c r="I13" i="15"/>
  <c r="M13" i="15" s="1"/>
  <c r="H13" i="15"/>
  <c r="L13" i="15" s="1"/>
  <c r="G13" i="15"/>
  <c r="K13" i="15" s="1"/>
  <c r="F13" i="15"/>
  <c r="J13" i="15" s="1"/>
  <c r="I12" i="15"/>
  <c r="H12" i="15"/>
  <c r="G12" i="15"/>
  <c r="F12" i="15"/>
  <c r="I11" i="15"/>
  <c r="H11" i="15"/>
  <c r="G11" i="15"/>
  <c r="F11" i="15"/>
  <c r="I10" i="15"/>
  <c r="H10" i="15"/>
  <c r="G10" i="15"/>
  <c r="F10" i="15"/>
  <c r="I9" i="15"/>
  <c r="H9" i="15"/>
  <c r="G9" i="15"/>
  <c r="F9" i="15"/>
  <c r="I6" i="15"/>
  <c r="H6" i="15"/>
  <c r="G6" i="15"/>
  <c r="F6" i="15"/>
  <c r="I5" i="15"/>
  <c r="H5" i="15"/>
  <c r="G5" i="15"/>
  <c r="F5" i="15"/>
  <c r="F6" i="14"/>
  <c r="G6" i="14"/>
  <c r="H6" i="14"/>
  <c r="I6" i="14"/>
  <c r="F7" i="14"/>
  <c r="G7" i="14"/>
  <c r="H7" i="14"/>
  <c r="I7" i="14"/>
  <c r="M7" i="14" s="1"/>
  <c r="F9" i="14"/>
  <c r="G9" i="14"/>
  <c r="H9" i="14"/>
  <c r="I9" i="14"/>
  <c r="F10" i="14"/>
  <c r="G10" i="14"/>
  <c r="H10" i="14"/>
  <c r="I10" i="14"/>
  <c r="F11" i="14"/>
  <c r="J11" i="14"/>
  <c r="G11" i="14"/>
  <c r="K11" i="14" s="1"/>
  <c r="H11" i="14"/>
  <c r="L11" i="14"/>
  <c r="I11" i="14"/>
  <c r="M11" i="14" s="1"/>
  <c r="F12" i="14"/>
  <c r="J12" i="14"/>
  <c r="G12" i="14"/>
  <c r="K12" i="14" s="1"/>
  <c r="H12" i="14"/>
  <c r="L12" i="14"/>
  <c r="I12" i="14"/>
  <c r="M12" i="14" s="1"/>
  <c r="F16" i="14"/>
  <c r="J16" i="14"/>
  <c r="G16" i="14"/>
  <c r="K16" i="14" s="1"/>
  <c r="H16" i="14"/>
  <c r="L16" i="14"/>
  <c r="I16" i="14"/>
  <c r="M16" i="14" s="1"/>
  <c r="F17" i="14"/>
  <c r="D41" i="14" s="1"/>
  <c r="J17" i="14"/>
  <c r="G17" i="14"/>
  <c r="E41" i="14" s="1"/>
  <c r="H17" i="14"/>
  <c r="F41" i="14" s="1"/>
  <c r="L17" i="14"/>
  <c r="I17" i="14"/>
  <c r="G41" i="14" s="1"/>
  <c r="F18" i="14"/>
  <c r="J18" i="14"/>
  <c r="G18" i="14"/>
  <c r="K18" i="14" s="1"/>
  <c r="H18" i="14"/>
  <c r="L18" i="14"/>
  <c r="I18" i="14"/>
  <c r="M18" i="14" s="1"/>
  <c r="F20" i="14"/>
  <c r="G20" i="14"/>
  <c r="H20" i="14"/>
  <c r="L20" i="14" s="1"/>
  <c r="I20" i="14"/>
  <c r="F21" i="14"/>
  <c r="G21" i="14"/>
  <c r="H21" i="14"/>
  <c r="I21" i="14"/>
  <c r="F25" i="14"/>
  <c r="G25" i="14"/>
  <c r="K25" i="14" s="1"/>
  <c r="H25" i="14"/>
  <c r="L25" i="14"/>
  <c r="I25" i="14"/>
  <c r="G42" i="14" s="1"/>
  <c r="F26" i="14"/>
  <c r="G26" i="14"/>
  <c r="K26" i="14" s="1"/>
  <c r="H26" i="14"/>
  <c r="I26" i="14"/>
  <c r="F27" i="14"/>
  <c r="G27" i="14"/>
  <c r="H27" i="14"/>
  <c r="I27" i="14"/>
  <c r="F28" i="14"/>
  <c r="G28" i="14"/>
  <c r="H28" i="14"/>
  <c r="I28" i="14"/>
  <c r="I5" i="14"/>
  <c r="H5" i="14"/>
  <c r="G5" i="14"/>
  <c r="F5" i="14"/>
  <c r="I25" i="13"/>
  <c r="H25" i="13"/>
  <c r="G25" i="13"/>
  <c r="F25" i="13"/>
  <c r="I24" i="13"/>
  <c r="H24" i="13"/>
  <c r="L24" i="13" s="1"/>
  <c r="G24" i="13"/>
  <c r="F24" i="13"/>
  <c r="I16" i="13"/>
  <c r="M16" i="13"/>
  <c r="H16" i="13"/>
  <c r="L16" i="13" s="1"/>
  <c r="G16" i="13"/>
  <c r="K16" i="13"/>
  <c r="F16" i="13"/>
  <c r="J16" i="13" s="1"/>
  <c r="I15" i="13"/>
  <c r="M15" i="13"/>
  <c r="H15" i="13"/>
  <c r="L15" i="13" s="1"/>
  <c r="G15" i="13"/>
  <c r="K15" i="13"/>
  <c r="F15" i="13"/>
  <c r="J15" i="13" s="1"/>
  <c r="I9" i="13"/>
  <c r="H9" i="13"/>
  <c r="G9" i="13"/>
  <c r="F9" i="13"/>
  <c r="I8" i="13"/>
  <c r="H8" i="13"/>
  <c r="L8" i="13" s="1"/>
  <c r="G8" i="13"/>
  <c r="F8" i="13"/>
  <c r="I5" i="13"/>
  <c r="M5" i="13"/>
  <c r="H5" i="13"/>
  <c r="L5" i="13" s="1"/>
  <c r="G5" i="13"/>
  <c r="K5" i="13"/>
  <c r="F5" i="13"/>
  <c r="J5" i="13" s="1"/>
  <c r="F6" i="12"/>
  <c r="G6" i="12"/>
  <c r="H6" i="12"/>
  <c r="I6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J15" i="12"/>
  <c r="G15" i="12"/>
  <c r="K15" i="12" s="1"/>
  <c r="H15" i="12"/>
  <c r="L15" i="12"/>
  <c r="I15" i="12"/>
  <c r="M15" i="12" s="1"/>
  <c r="G20" i="12"/>
  <c r="K20" i="12"/>
  <c r="H20" i="12"/>
  <c r="L20" i="12" s="1"/>
  <c r="I20" i="12"/>
  <c r="M20" i="12"/>
  <c r="F23" i="12"/>
  <c r="J23" i="12" s="1"/>
  <c r="G23" i="12"/>
  <c r="K23" i="12"/>
  <c r="H23" i="12"/>
  <c r="L23" i="12" s="1"/>
  <c r="I23" i="12"/>
  <c r="M23" i="12"/>
  <c r="F27" i="12"/>
  <c r="J27" i="12" s="1"/>
  <c r="G27" i="12"/>
  <c r="K27" i="12"/>
  <c r="H27" i="12"/>
  <c r="L27" i="12" s="1"/>
  <c r="I27" i="12"/>
  <c r="M27" i="12"/>
  <c r="F28" i="12"/>
  <c r="J28" i="12" s="1"/>
  <c r="G28" i="12"/>
  <c r="H28" i="12"/>
  <c r="I28" i="12"/>
  <c r="F29" i="12"/>
  <c r="G29" i="12"/>
  <c r="H29" i="12"/>
  <c r="I29" i="12"/>
  <c r="F30" i="12"/>
  <c r="G30" i="12"/>
  <c r="H30" i="12"/>
  <c r="I30" i="12"/>
  <c r="I5" i="12"/>
  <c r="M5" i="12" s="1"/>
  <c r="H5" i="12"/>
  <c r="G5" i="12"/>
  <c r="F5" i="12"/>
  <c r="G8" i="11"/>
  <c r="K8" i="11"/>
  <c r="H8" i="11"/>
  <c r="L8" i="11"/>
  <c r="I8" i="11"/>
  <c r="M8" i="11"/>
  <c r="G9" i="11"/>
  <c r="K9" i="11"/>
  <c r="H9" i="11"/>
  <c r="L9" i="11"/>
  <c r="I9" i="11"/>
  <c r="M9" i="11"/>
  <c r="G10" i="11"/>
  <c r="H10" i="11"/>
  <c r="I10" i="11"/>
  <c r="G11" i="11"/>
  <c r="H11" i="11"/>
  <c r="I11" i="11"/>
  <c r="G14" i="11"/>
  <c r="K14" i="11"/>
  <c r="H14" i="11"/>
  <c r="L14" i="11"/>
  <c r="I14" i="11"/>
  <c r="M14" i="11"/>
  <c r="G15" i="11"/>
  <c r="K15" i="11" s="1"/>
  <c r="H15" i="11"/>
  <c r="L15" i="11"/>
  <c r="I15" i="11"/>
  <c r="M15" i="11" s="1"/>
  <c r="G16" i="11"/>
  <c r="K16" i="11"/>
  <c r="H16" i="11"/>
  <c r="L16" i="11" s="1"/>
  <c r="I16" i="11"/>
  <c r="M16" i="11"/>
  <c r="G17" i="11"/>
  <c r="K17" i="11" s="1"/>
  <c r="H17" i="11"/>
  <c r="L17" i="11"/>
  <c r="I17" i="11"/>
  <c r="M17" i="11" s="1"/>
  <c r="G23" i="11"/>
  <c r="K23" i="11"/>
  <c r="H23" i="11"/>
  <c r="L23" i="11" s="1"/>
  <c r="I23" i="11"/>
  <c r="M23" i="11"/>
  <c r="G24" i="11"/>
  <c r="H24" i="11"/>
  <c r="I24" i="11"/>
  <c r="G25" i="11"/>
  <c r="H25" i="11"/>
  <c r="I25" i="11"/>
  <c r="I5" i="11"/>
  <c r="M5" i="11"/>
  <c r="H5" i="11"/>
  <c r="L5" i="11" s="1"/>
  <c r="G5" i="11"/>
  <c r="K5" i="11"/>
  <c r="J5" i="11"/>
  <c r="F8" i="11"/>
  <c r="F9" i="11"/>
  <c r="J9" i="11"/>
  <c r="F10" i="11"/>
  <c r="F11" i="11"/>
  <c r="F14" i="11"/>
  <c r="J14" i="11"/>
  <c r="F15" i="11"/>
  <c r="J15" i="11" s="1"/>
  <c r="F16" i="11"/>
  <c r="J16" i="11"/>
  <c r="F17" i="11"/>
  <c r="J17" i="11" s="1"/>
  <c r="F23" i="11"/>
  <c r="J23" i="11"/>
  <c r="F24" i="11"/>
  <c r="F25" i="11"/>
  <c r="L8" i="16"/>
  <c r="D37" i="7"/>
  <c r="D40" i="4" s="1"/>
  <c r="L7" i="14"/>
  <c r="E37" i="7"/>
  <c r="E40" i="4" s="1"/>
  <c r="T6" i="1"/>
  <c r="T9" i="1"/>
  <c r="T15" i="1"/>
  <c r="T16" i="1"/>
  <c r="T17" i="1"/>
  <c r="T19" i="1"/>
  <c r="T20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5" i="1"/>
  <c r="R6" i="1"/>
  <c r="R9" i="1"/>
  <c r="R15" i="1"/>
  <c r="R16" i="1"/>
  <c r="R17" i="1"/>
  <c r="R19" i="1"/>
  <c r="R20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P5" i="1"/>
  <c r="R5" i="1"/>
  <c r="P6" i="1"/>
  <c r="P9" i="1"/>
  <c r="P15" i="1"/>
  <c r="P16" i="1"/>
  <c r="P17" i="1"/>
  <c r="P19" i="1"/>
  <c r="P20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N6" i="1"/>
  <c r="N9" i="1"/>
  <c r="N15" i="1"/>
  <c r="N16" i="1"/>
  <c r="N17" i="1"/>
  <c r="N19" i="1"/>
  <c r="N20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  <c r="E30" i="18"/>
  <c r="K29" i="18" s="1"/>
  <c r="E31" i="18"/>
  <c r="J29" i="18" s="1"/>
  <c r="E29" i="18"/>
  <c r="E16" i="18"/>
  <c r="E15" i="18"/>
  <c r="M15" i="18" s="1"/>
  <c r="E14" i="18"/>
  <c r="E13" i="18"/>
  <c r="E11" i="18"/>
  <c r="E12" i="18"/>
  <c r="M10" i="18" s="1"/>
  <c r="E10" i="18"/>
  <c r="E7" i="18"/>
  <c r="E8" i="18"/>
  <c r="E6" i="18"/>
  <c r="K5" i="18" s="1"/>
  <c r="E5" i="18"/>
  <c r="E25" i="17"/>
  <c r="E26" i="17"/>
  <c r="E24" i="17"/>
  <c r="K24" i="17" s="1"/>
  <c r="E9" i="17"/>
  <c r="E8" i="17"/>
  <c r="E15" i="15"/>
  <c r="E14" i="15"/>
  <c r="M14" i="15" s="1"/>
  <c r="E6" i="15"/>
  <c r="E5" i="15"/>
  <c r="E28" i="15"/>
  <c r="E29" i="15"/>
  <c r="M28" i="15" s="1"/>
  <c r="E30" i="15"/>
  <c r="E12" i="15"/>
  <c r="E9" i="15"/>
  <c r="E11" i="15"/>
  <c r="J9" i="15" s="1"/>
  <c r="E10" i="15"/>
  <c r="E27" i="14"/>
  <c r="E28" i="14"/>
  <c r="E26" i="14"/>
  <c r="J26" i="14" s="1"/>
  <c r="E21" i="14"/>
  <c r="E20" i="14"/>
  <c r="E10" i="14"/>
  <c r="E9" i="14"/>
  <c r="L9" i="14" s="1"/>
  <c r="E6" i="14"/>
  <c r="E5" i="14"/>
  <c r="E25" i="13"/>
  <c r="E24" i="13"/>
  <c r="J24" i="13" s="1"/>
  <c r="E8" i="13"/>
  <c r="E9" i="13"/>
  <c r="E29" i="12"/>
  <c r="E30" i="12"/>
  <c r="L28" i="12" s="1"/>
  <c r="E28" i="12"/>
  <c r="E10" i="12"/>
  <c r="E11" i="12"/>
  <c r="E12" i="12"/>
  <c r="E9" i="12"/>
  <c r="E5" i="12"/>
  <c r="L5" i="12" s="1"/>
  <c r="E14" i="12"/>
  <c r="E13" i="12"/>
  <c r="L13" i="12" s="1"/>
  <c r="E6" i="12"/>
  <c r="E25" i="11"/>
  <c r="E24" i="11"/>
  <c r="E11" i="11"/>
  <c r="L10" i="11" s="1"/>
  <c r="C34" i="18"/>
  <c r="C28" i="17"/>
  <c r="C30" i="16"/>
  <c r="C34" i="15"/>
  <c r="C32" i="14"/>
  <c r="C27" i="13"/>
  <c r="C34" i="12"/>
  <c r="L27" i="10"/>
  <c r="K27" i="10"/>
  <c r="J27" i="10"/>
  <c r="I27" i="10"/>
  <c r="L24" i="10"/>
  <c r="K24" i="10"/>
  <c r="J24" i="10"/>
  <c r="I24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J9" i="10"/>
  <c r="K9" i="10"/>
  <c r="L9" i="10"/>
  <c r="I9" i="10"/>
  <c r="L31" i="10"/>
  <c r="K31" i="10"/>
  <c r="J31" i="10"/>
  <c r="I31" i="10"/>
  <c r="H11" i="10"/>
  <c r="H12" i="10"/>
  <c r="H10" i="10"/>
  <c r="J10" i="10" s="1"/>
  <c r="H30" i="10"/>
  <c r="H29" i="10"/>
  <c r="K29" i="10" s="1"/>
  <c r="H16" i="10"/>
  <c r="K15" i="10" s="1"/>
  <c r="H15" i="10"/>
  <c r="L15" i="10" s="1"/>
  <c r="H14" i="10"/>
  <c r="I13" i="10" s="1"/>
  <c r="H13" i="10"/>
  <c r="H8" i="10"/>
  <c r="H7" i="10"/>
  <c r="K7" i="10" s="1"/>
  <c r="H6" i="10"/>
  <c r="H5" i="10"/>
  <c r="J29" i="10"/>
  <c r="I29" i="10"/>
  <c r="E31" i="8"/>
  <c r="E30" i="8"/>
  <c r="E29" i="8"/>
  <c r="D31" i="8"/>
  <c r="D30" i="8"/>
  <c r="D29" i="8"/>
  <c r="C31" i="8"/>
  <c r="C30" i="8"/>
  <c r="C29" i="8"/>
  <c r="L8" i="6"/>
  <c r="K8" i="6"/>
  <c r="J8" i="6"/>
  <c r="I8" i="6"/>
  <c r="L9" i="4"/>
  <c r="K9" i="4"/>
  <c r="J9" i="4"/>
  <c r="I9" i="4"/>
  <c r="H33" i="6"/>
  <c r="H34" i="6"/>
  <c r="H32" i="6"/>
  <c r="I32" i="6" s="1"/>
  <c r="H30" i="6"/>
  <c r="H31" i="6"/>
  <c r="H29" i="6"/>
  <c r="L27" i="6"/>
  <c r="K27" i="6"/>
  <c r="J27" i="6"/>
  <c r="I27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H16" i="6"/>
  <c r="H15" i="6"/>
  <c r="K15" i="6" s="1"/>
  <c r="H14" i="6"/>
  <c r="H13" i="6"/>
  <c r="L13" i="6" s="1"/>
  <c r="I13" i="6"/>
  <c r="H10" i="6"/>
  <c r="H11" i="6"/>
  <c r="H12" i="6"/>
  <c r="H9" i="6"/>
  <c r="L9" i="6" s="1"/>
  <c r="J7" i="6"/>
  <c r="K7" i="6"/>
  <c r="L7" i="6"/>
  <c r="I7" i="6"/>
  <c r="H6" i="6"/>
  <c r="H5" i="6"/>
  <c r="I5" i="6" s="1"/>
  <c r="H31" i="5"/>
  <c r="I30" i="5" s="1"/>
  <c r="H32" i="5"/>
  <c r="H30" i="5"/>
  <c r="H28" i="5"/>
  <c r="H29" i="5"/>
  <c r="H27" i="5"/>
  <c r="L26" i="5"/>
  <c r="K26" i="5"/>
  <c r="J26" i="5"/>
  <c r="I26" i="5"/>
  <c r="L25" i="5"/>
  <c r="K25" i="5"/>
  <c r="J25" i="5"/>
  <c r="I25" i="5"/>
  <c r="L22" i="5"/>
  <c r="K22" i="5"/>
  <c r="J22" i="5"/>
  <c r="I22" i="5"/>
  <c r="L20" i="5"/>
  <c r="K20" i="5"/>
  <c r="J20" i="5"/>
  <c r="I20" i="5"/>
  <c r="L19" i="5"/>
  <c r="K19" i="5"/>
  <c r="J19" i="5"/>
  <c r="I19" i="5"/>
  <c r="L18" i="5"/>
  <c r="K18" i="5"/>
  <c r="J18" i="5"/>
  <c r="I18" i="5"/>
  <c r="H14" i="5"/>
  <c r="H13" i="5"/>
  <c r="L13" i="5" s="1"/>
  <c r="L12" i="5"/>
  <c r="I12" i="5"/>
  <c r="H10" i="5"/>
  <c r="H11" i="5"/>
  <c r="H9" i="5"/>
  <c r="H6" i="5"/>
  <c r="H5" i="5"/>
  <c r="H35" i="4"/>
  <c r="L34" i="4"/>
  <c r="J34" i="4"/>
  <c r="H36" i="4"/>
  <c r="K34" i="4" s="1"/>
  <c r="H34" i="4"/>
  <c r="H32" i="4"/>
  <c r="H33" i="4"/>
  <c r="L31" i="4" s="1"/>
  <c r="H31" i="4"/>
  <c r="L30" i="4"/>
  <c r="K30" i="4"/>
  <c r="J30" i="4"/>
  <c r="I30" i="4"/>
  <c r="L29" i="4"/>
  <c r="K29" i="4"/>
  <c r="J29" i="4"/>
  <c r="I29" i="4"/>
  <c r="H26" i="4"/>
  <c r="H25" i="4"/>
  <c r="L25" i="4" s="1"/>
  <c r="J21" i="4"/>
  <c r="K21" i="4"/>
  <c r="L21" i="4"/>
  <c r="J22" i="4"/>
  <c r="K22" i="4"/>
  <c r="L22" i="4"/>
  <c r="J23" i="4"/>
  <c r="K23" i="4"/>
  <c r="L23" i="4"/>
  <c r="I21" i="4"/>
  <c r="I22" i="4"/>
  <c r="I23" i="4"/>
  <c r="J20" i="4"/>
  <c r="K20" i="4"/>
  <c r="L20" i="4"/>
  <c r="I20" i="4"/>
  <c r="H17" i="4"/>
  <c r="H16" i="4"/>
  <c r="H15" i="4"/>
  <c r="H14" i="4"/>
  <c r="I14" i="4" s="1"/>
  <c r="L14" i="4"/>
  <c r="H11" i="4"/>
  <c r="H12" i="4"/>
  <c r="H13" i="4"/>
  <c r="H10" i="4"/>
  <c r="L10" i="4" s="1"/>
  <c r="H8" i="4"/>
  <c r="H7" i="4"/>
  <c r="K7" i="4" s="1"/>
  <c r="H6" i="4"/>
  <c r="H5" i="4"/>
  <c r="I34" i="4"/>
  <c r="I31" i="4"/>
  <c r="K5" i="6"/>
  <c r="L27" i="7"/>
  <c r="K27" i="7"/>
  <c r="J27" i="7"/>
  <c r="I27" i="7"/>
  <c r="J20" i="7"/>
  <c r="K20" i="7"/>
  <c r="L20" i="7"/>
  <c r="J21" i="7"/>
  <c r="K21" i="7"/>
  <c r="L21" i="7"/>
  <c r="J22" i="7"/>
  <c r="K22" i="7"/>
  <c r="L22" i="7"/>
  <c r="I20" i="7"/>
  <c r="I21" i="7"/>
  <c r="I22" i="7"/>
  <c r="J19" i="7"/>
  <c r="K19" i="7"/>
  <c r="L19" i="7"/>
  <c r="I19" i="7"/>
  <c r="H33" i="7"/>
  <c r="H32" i="7"/>
  <c r="H30" i="7"/>
  <c r="H31" i="7"/>
  <c r="H29" i="7"/>
  <c r="H16" i="7"/>
  <c r="H15" i="7"/>
  <c r="I15" i="7" s="1"/>
  <c r="H14" i="7"/>
  <c r="H13" i="7"/>
  <c r="L13" i="7" s="1"/>
  <c r="H10" i="7"/>
  <c r="H11" i="7"/>
  <c r="H12" i="7"/>
  <c r="H9" i="7"/>
  <c r="H6" i="7"/>
  <c r="H5" i="7"/>
  <c r="I5" i="7" s="1"/>
  <c r="L9" i="1"/>
  <c r="K9" i="1"/>
  <c r="J9" i="1"/>
  <c r="L17" i="1"/>
  <c r="K17" i="1"/>
  <c r="J17" i="1"/>
  <c r="L16" i="1"/>
  <c r="K16" i="1"/>
  <c r="J16" i="1"/>
  <c r="L15" i="1"/>
  <c r="K15" i="1"/>
  <c r="J15" i="1"/>
  <c r="I15" i="1"/>
  <c r="H6" i="1"/>
  <c r="H5" i="1"/>
  <c r="I5" i="1" s="1"/>
  <c r="F13" i="6"/>
  <c r="E13" i="6"/>
  <c r="E40" i="6" s="1"/>
  <c r="F12" i="5"/>
  <c r="K12" i="5"/>
  <c r="E12" i="5"/>
  <c r="J12" i="5" s="1"/>
  <c r="F14" i="4"/>
  <c r="F42" i="4" s="1"/>
  <c r="K14" i="4"/>
  <c r="E14" i="4"/>
  <c r="E42" i="4" s="1"/>
  <c r="F13" i="7"/>
  <c r="F39" i="7"/>
  <c r="E13" i="7"/>
  <c r="E39" i="7" s="1"/>
  <c r="I17" i="1"/>
  <c r="I16" i="1"/>
  <c r="I9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8" i="1"/>
  <c r="H27" i="1"/>
  <c r="H20" i="1"/>
  <c r="H19" i="1"/>
  <c r="K19" i="1" s="1"/>
  <c r="H25" i="1"/>
  <c r="H26" i="1"/>
  <c r="M24" i="11"/>
  <c r="G34" i="11"/>
  <c r="M8" i="17"/>
  <c r="M28" i="12"/>
  <c r="M9" i="12"/>
  <c r="L9" i="12"/>
  <c r="J5" i="12"/>
  <c r="K8" i="13"/>
  <c r="M8" i="13"/>
  <c r="J5" i="14"/>
  <c r="K9" i="14"/>
  <c r="E37" i="14"/>
  <c r="K13" i="18"/>
  <c r="L13" i="18"/>
  <c r="L7" i="18"/>
  <c r="K7" i="18"/>
  <c r="L13" i="10"/>
  <c r="L24" i="11"/>
  <c r="G39" i="12"/>
  <c r="L5" i="14"/>
  <c r="K20" i="14"/>
  <c r="J15" i="18"/>
  <c r="K31" i="15"/>
  <c r="E25" i="10"/>
  <c r="J25" i="10" s="1"/>
  <c r="L26" i="11"/>
  <c r="M27" i="16"/>
  <c r="G25" i="6"/>
  <c r="L25" i="6"/>
  <c r="F40" i="6"/>
  <c r="F25" i="6"/>
  <c r="K25" i="6"/>
  <c r="I7" i="10"/>
  <c r="M5" i="14"/>
  <c r="F20" i="11"/>
  <c r="J20" i="11"/>
  <c r="F25" i="10"/>
  <c r="K25" i="10" s="1"/>
  <c r="G20" i="16"/>
  <c r="K20" i="16"/>
  <c r="J31" i="12"/>
  <c r="J8" i="13"/>
  <c r="L29" i="10"/>
  <c r="K5" i="14"/>
  <c r="I25" i="6"/>
  <c r="G25" i="10"/>
  <c r="L25" i="10" s="1"/>
  <c r="M31" i="15"/>
  <c r="I7" i="4"/>
  <c r="K13" i="10"/>
  <c r="J9" i="12"/>
  <c r="F37" i="14"/>
  <c r="M13" i="18"/>
  <c r="G20" i="11"/>
  <c r="K20" i="11"/>
  <c r="F26" i="10"/>
  <c r="K26" i="10" s="1"/>
  <c r="K10" i="18"/>
  <c r="I15" i="10"/>
  <c r="K24" i="11"/>
  <c r="J5" i="18"/>
  <c r="J7" i="18"/>
  <c r="M7" i="18"/>
  <c r="G26" i="10"/>
  <c r="L26" i="10" s="1"/>
  <c r="L27" i="16"/>
  <c r="J20" i="14"/>
  <c r="G35" i="16"/>
  <c r="D34" i="11"/>
  <c r="D37" i="14"/>
  <c r="F39" i="12"/>
  <c r="J8" i="17"/>
  <c r="L15" i="18"/>
  <c r="F35" i="16"/>
  <c r="D39" i="12"/>
  <c r="F23" i="14"/>
  <c r="J23" i="14" s="1"/>
  <c r="K14" i="15"/>
  <c r="M5" i="15"/>
  <c r="H23" i="14"/>
  <c r="L23" i="14" s="1"/>
  <c r="J5" i="15"/>
  <c r="K8" i="17"/>
  <c r="J24" i="11"/>
  <c r="J13" i="18"/>
  <c r="J8" i="11"/>
  <c r="M20" i="14"/>
  <c r="K13" i="12"/>
  <c r="K9" i="12"/>
  <c r="K5" i="15"/>
  <c r="L8" i="17"/>
  <c r="L5" i="15"/>
  <c r="K28" i="15"/>
  <c r="M9" i="15"/>
  <c r="L28" i="15"/>
  <c r="E39" i="15"/>
  <c r="F39" i="15"/>
  <c r="J14" i="15"/>
  <c r="G37" i="14"/>
  <c r="G37" i="7"/>
  <c r="E34" i="11"/>
  <c r="G39" i="15"/>
  <c r="K7" i="14"/>
  <c r="F34" i="11"/>
  <c r="E25" i="7"/>
  <c r="J25" i="7" s="1"/>
  <c r="D35" i="16"/>
  <c r="L9" i="15"/>
  <c r="G23" i="14"/>
  <c r="K23" i="14"/>
  <c r="J7" i="14"/>
  <c r="K9" i="15"/>
  <c r="D39" i="15"/>
  <c r="I23" i="14"/>
  <c r="M23" i="14" s="1"/>
  <c r="E35" i="16"/>
  <c r="E39" i="12"/>
  <c r="G25" i="7"/>
  <c r="L25" i="7" s="1"/>
  <c r="G40" i="4"/>
  <c r="J15" i="10" l="1"/>
  <c r="J13" i="10"/>
  <c r="L7" i="10"/>
  <c r="J5" i="10"/>
  <c r="L29" i="6"/>
  <c r="I15" i="6"/>
  <c r="L15" i="6"/>
  <c r="J15" i="6"/>
  <c r="K13" i="6"/>
  <c r="I9" i="6"/>
  <c r="J5" i="6"/>
  <c r="J30" i="5"/>
  <c r="K30" i="5"/>
  <c r="L30" i="5"/>
  <c r="J27" i="5"/>
  <c r="L9" i="5"/>
  <c r="I13" i="5"/>
  <c r="J13" i="5"/>
  <c r="J9" i="5"/>
  <c r="K9" i="5"/>
  <c r="I9" i="5"/>
  <c r="K5" i="5"/>
  <c r="I5" i="5"/>
  <c r="K31" i="4"/>
  <c r="K25" i="4"/>
  <c r="J16" i="4"/>
  <c r="I10" i="4"/>
  <c r="J7" i="4"/>
  <c r="I5" i="4"/>
  <c r="I28" i="1"/>
  <c r="C13" i="23" s="1"/>
  <c r="J28" i="1"/>
  <c r="D13" i="23" s="1"/>
  <c r="K25" i="1"/>
  <c r="I19" i="1"/>
  <c r="L19" i="1"/>
  <c r="K5" i="1"/>
  <c r="J5" i="1"/>
  <c r="J32" i="7"/>
  <c r="K32" i="7"/>
  <c r="L29" i="7"/>
  <c r="L15" i="7"/>
  <c r="K13" i="7"/>
  <c r="I13" i="7"/>
  <c r="J13" i="7"/>
  <c r="I9" i="7"/>
  <c r="K9" i="7"/>
  <c r="J9" i="7"/>
  <c r="L9" i="7"/>
  <c r="L28" i="1"/>
  <c r="F13" i="23" s="1"/>
  <c r="I5" i="10"/>
  <c r="J10" i="18"/>
  <c r="F22" i="14"/>
  <c r="J22" i="14" s="1"/>
  <c r="I22" i="14"/>
  <c r="M22" i="14" s="1"/>
  <c r="G22" i="14"/>
  <c r="K22" i="14" s="1"/>
  <c r="H22" i="14"/>
  <c r="L22" i="14" s="1"/>
  <c r="L26" i="21"/>
  <c r="J20" i="22"/>
  <c r="K28" i="1"/>
  <c r="E13" i="23" s="1"/>
  <c r="M13" i="12"/>
  <c r="K5" i="4"/>
  <c r="J25" i="1"/>
  <c r="K9" i="6"/>
  <c r="J13" i="12"/>
  <c r="K31" i="12"/>
  <c r="J10" i="4"/>
  <c r="K10" i="4"/>
  <c r="K29" i="6"/>
  <c r="I25" i="4"/>
  <c r="M9" i="14"/>
  <c r="L24" i="17"/>
  <c r="L25" i="1"/>
  <c r="J15" i="7"/>
  <c r="K29" i="7"/>
  <c r="L16" i="4"/>
  <c r="L5" i="5"/>
  <c r="K10" i="10"/>
  <c r="I10" i="10"/>
  <c r="K5" i="12"/>
  <c r="I20" i="11"/>
  <c r="M20" i="11" s="1"/>
  <c r="H20" i="11"/>
  <c r="L20" i="11" s="1"/>
  <c r="J26" i="11"/>
  <c r="K26" i="11"/>
  <c r="K27" i="16"/>
  <c r="J27" i="16"/>
  <c r="J5" i="20"/>
  <c r="L5" i="20"/>
  <c r="M5" i="20"/>
  <c r="L8" i="20"/>
  <c r="K8" i="20"/>
  <c r="J8" i="20"/>
  <c r="L14" i="15"/>
  <c r="M10" i="11"/>
  <c r="M24" i="17"/>
  <c r="L26" i="14"/>
  <c r="M26" i="14"/>
  <c r="J10" i="11"/>
  <c r="F25" i="7"/>
  <c r="K25" i="7" s="1"/>
  <c r="J24" i="17"/>
  <c r="L5" i="18"/>
  <c r="M24" i="13"/>
  <c r="I29" i="6"/>
  <c r="L24" i="16"/>
  <c r="L29" i="18"/>
  <c r="K16" i="4"/>
  <c r="I32" i="7"/>
  <c r="K28" i="12"/>
  <c r="J25" i="4"/>
  <c r="I27" i="5"/>
  <c r="M29" i="18"/>
  <c r="J28" i="15"/>
  <c r="J19" i="1"/>
  <c r="J14" i="4"/>
  <c r="J13" i="6"/>
  <c r="L5" i="1"/>
  <c r="L5" i="7"/>
  <c r="K15" i="7"/>
  <c r="I29" i="7"/>
  <c r="J32" i="6"/>
  <c r="K13" i="5"/>
  <c r="L7" i="4"/>
  <c r="L5" i="6"/>
  <c r="J31" i="4"/>
  <c r="L32" i="6"/>
  <c r="J5" i="4"/>
  <c r="K27" i="5"/>
  <c r="J7" i="10"/>
  <c r="K5" i="10"/>
  <c r="D42" i="14"/>
  <c r="J25" i="14"/>
  <c r="K29" i="14"/>
  <c r="L31" i="15"/>
  <c r="J12" i="21"/>
  <c r="L12" i="21"/>
  <c r="K10" i="11"/>
  <c r="K24" i="13"/>
  <c r="J29" i="7"/>
  <c r="I25" i="1"/>
  <c r="J29" i="6"/>
  <c r="K24" i="16"/>
  <c r="L5" i="4"/>
  <c r="J24" i="16"/>
  <c r="I16" i="4"/>
  <c r="L32" i="7"/>
  <c r="J9" i="14"/>
  <c r="J5" i="7"/>
  <c r="K5" i="7"/>
  <c r="J5" i="5"/>
  <c r="K32" i="6"/>
  <c r="L27" i="5"/>
  <c r="J9" i="6"/>
  <c r="L5" i="10"/>
  <c r="L10" i="10"/>
  <c r="M5" i="18"/>
  <c r="L31" i="12"/>
  <c r="M29" i="14"/>
  <c r="J9" i="21"/>
  <c r="M9" i="21"/>
  <c r="F37" i="20"/>
  <c r="F42" i="14"/>
  <c r="F35" i="17"/>
  <c r="F41" i="18"/>
  <c r="L29" i="14"/>
  <c r="J31" i="15"/>
  <c r="M11" i="22"/>
  <c r="M17" i="22"/>
  <c r="M18" i="22"/>
  <c r="M26" i="22"/>
  <c r="K20" i="22"/>
  <c r="L14" i="22"/>
  <c r="C36" i="20"/>
  <c r="D36" i="20"/>
  <c r="E20" i="19"/>
  <c r="E40" i="19"/>
  <c r="E52" i="19"/>
  <c r="E73" i="19"/>
  <c r="E94" i="19"/>
  <c r="E103" i="19"/>
  <c r="E119" i="19"/>
  <c r="E141" i="19"/>
  <c r="E159" i="19"/>
  <c r="E177" i="19"/>
  <c r="M25" i="14"/>
  <c r="M17" i="14"/>
  <c r="K17" i="14"/>
  <c r="J16" i="17"/>
  <c r="L16" i="17"/>
  <c r="C35" i="17"/>
  <c r="L21" i="18"/>
  <c r="C41" i="18"/>
  <c r="H24" i="12"/>
  <c r="L24" i="12" s="1"/>
  <c r="I24" i="15"/>
  <c r="M24" i="15" s="1"/>
  <c r="J17" i="22"/>
  <c r="J18" i="22"/>
  <c r="K10" i="22"/>
  <c r="L20" i="22"/>
  <c r="M14" i="22"/>
  <c r="E42" i="14"/>
  <c r="C40" i="18"/>
  <c r="J21" i="18"/>
  <c r="K18" i="22"/>
  <c r="J14" i="22"/>
  <c r="H24" i="15"/>
  <c r="L24" i="15" s="1"/>
  <c r="G24" i="15"/>
  <c r="K24" i="15" s="1"/>
  <c r="I25" i="7"/>
  <c r="I28" i="4"/>
  <c r="E27" i="4"/>
  <c r="J27" i="4" s="1"/>
  <c r="G27" i="4"/>
  <c r="L27" i="4" s="1"/>
  <c r="E28" i="4"/>
  <c r="J28" i="4" s="1"/>
  <c r="F27" i="4"/>
  <c r="K27" i="4" s="1"/>
  <c r="I27" i="4"/>
  <c r="G28" i="4"/>
  <c r="L28" i="4" s="1"/>
  <c r="L25" i="22"/>
  <c r="J10" i="22"/>
  <c r="L26" i="22"/>
  <c r="J5" i="22"/>
  <c r="J26" i="22"/>
  <c r="K5" i="22"/>
  <c r="C36" i="22"/>
  <c r="J25" i="22"/>
  <c r="D36" i="22"/>
  <c r="K11" i="22"/>
  <c r="K25" i="22"/>
  <c r="K26" i="22"/>
  <c r="L5" i="22"/>
  <c r="E36" i="22"/>
  <c r="L11" i="22"/>
  <c r="M25" i="22"/>
  <c r="J11" i="22"/>
  <c r="F36" i="22"/>
  <c r="L9" i="22"/>
  <c r="K9" i="22"/>
  <c r="C35" i="22"/>
  <c r="L17" i="22"/>
  <c r="M9" i="22"/>
  <c r="E35" i="22"/>
  <c r="F35" i="22"/>
  <c r="I44" i="1" l="1"/>
</calcChain>
</file>

<file path=xl/comments1.xml><?xml version="1.0" encoding="utf-8"?>
<comments xmlns="http://schemas.openxmlformats.org/spreadsheetml/2006/main">
  <authors>
    <author>Périsset Blaise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10.xml><?xml version="1.0" encoding="utf-8"?>
<comments xmlns="http://schemas.openxmlformats.org/spreadsheetml/2006/main">
  <authors>
    <author>Lédée François</author>
  </authors>
  <commentList>
    <comment ref="A22" authorId="0" shapeId="0">
      <text>
        <r>
          <rPr>
            <b/>
            <sz val="9"/>
            <color indexed="81"/>
            <rFont val="Tahoma"/>
            <charset val="1"/>
          </rPr>
          <t>Lédée François:</t>
        </r>
        <r>
          <rPr>
            <sz val="9"/>
            <color indexed="81"/>
            <rFont val="Tahoma"/>
            <charset val="1"/>
          </rPr>
          <t xml:space="preserve">
Présent selon ENTSO-E</t>
        </r>
      </text>
    </comment>
  </commentList>
</comments>
</file>

<file path=xl/comments11.xml><?xml version="1.0" encoding="utf-8"?>
<comments xmlns="http://schemas.openxmlformats.org/spreadsheetml/2006/main">
  <authors>
    <author>Lédée François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</t>
        </r>
      </text>
    </comment>
  </commentList>
</comments>
</file>

<file path=xl/comments12.xml><?xml version="1.0" encoding="utf-8"?>
<comments xmlns="http://schemas.openxmlformats.org/spreadsheetml/2006/main">
  <authors>
    <author>Lédée François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Lédée François:</t>
        </r>
        <r>
          <rPr>
            <sz val="9"/>
            <color indexed="81"/>
            <rFont val="Tahoma"/>
            <charset val="1"/>
          </rPr>
          <t xml:space="preserve">
Comble l'écart avec les informations de SwissGrid</t>
        </r>
      </text>
    </comment>
  </commentList>
</comments>
</file>

<file path=xl/comments2.xml><?xml version="1.0" encoding="utf-8"?>
<comments xmlns="http://schemas.openxmlformats.org/spreadsheetml/2006/main">
  <authors>
    <author>Périsset Blaise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dans ENTSO mais pas dans mix Simapro</t>
        </r>
      </text>
    </comment>
  </commentList>
</comments>
</file>

<file path=xl/comments3.xml><?xml version="1.0" encoding="utf-8"?>
<comments xmlns="http://schemas.openxmlformats.org/spreadsheetml/2006/main">
  <authors>
    <author>Périsset Blaise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dans ENTSO mais pas dans mix Simapro</t>
        </r>
      </text>
    </comment>
  </commentList>
</comments>
</file>

<file path=xl/comments4.xml><?xml version="1.0" encoding="utf-8"?>
<comments xmlns="http://schemas.openxmlformats.org/spreadsheetml/2006/main">
  <authors>
    <author>Périsset Blaise</author>
  </authors>
  <commentList>
    <comment ref="A1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production =0 entre 2014 et 2019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5.xml><?xml version="1.0" encoding="utf-8"?>
<comments xmlns="http://schemas.openxmlformats.org/spreadsheetml/2006/main">
  <authors>
    <author>Périsset Blaise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</commentList>
</comments>
</file>

<file path=xl/comments6.xml><?xml version="1.0" encoding="utf-8"?>
<comments xmlns="http://schemas.openxmlformats.org/spreadsheetml/2006/main">
  <authors>
    <author>Périsset Blaise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</commentList>
</comments>
</file>

<file path=xl/comments7.xml><?xml version="1.0" encoding="utf-8"?>
<comments xmlns="http://schemas.openxmlformats.org/spreadsheetml/2006/main">
  <authors>
    <author>Périsset Blaise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 et non présent dans ecoinvent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8.xml><?xml version="1.0" encoding="utf-8"?>
<comments xmlns="http://schemas.openxmlformats.org/spreadsheetml/2006/main">
  <authors>
    <author>Périsset Blaise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 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ENTSOE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9.xml><?xml version="1.0" encoding="utf-8"?>
<comments xmlns="http://schemas.openxmlformats.org/spreadsheetml/2006/main">
  <authors>
    <author>Lédée François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
7.7% du Mix (2è source)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
Pas dans le mix Ecoinvent</t>
        </r>
      </text>
    </comment>
  </commentList>
</comments>
</file>

<file path=xl/sharedStrings.xml><?xml version="1.0" encoding="utf-8"?>
<sst xmlns="http://schemas.openxmlformats.org/spreadsheetml/2006/main" count="2349" uniqueCount="453">
  <si>
    <t>Environmental impacts of ei sources</t>
  </si>
  <si>
    <t>Environmental impacts of ENTSO-E sources</t>
  </si>
  <si>
    <t>Energy sources ENTSO-E</t>
  </si>
  <si>
    <t>Energy sources ecoinvent v3.4</t>
  </si>
  <si>
    <t>Shares in ecoinvent (2014)</t>
  </si>
  <si>
    <t>GWP</t>
  </si>
  <si>
    <t>CED renewable</t>
  </si>
  <si>
    <t>CED non-renewable</t>
  </si>
  <si>
    <t>ES2013</t>
  </si>
  <si>
    <t>Shares (from ei to ENTSO-E)</t>
  </si>
  <si>
    <t>IPCC2013 v1.03</t>
  </si>
  <si>
    <t>v2.05</t>
  </si>
  <si>
    <t>v1.05</t>
  </si>
  <si>
    <r>
      <t>(kg of CO</t>
    </r>
    <r>
      <rPr>
        <vertAlign val="subscript"/>
        <sz val="8"/>
        <color theme="1"/>
        <rFont val="Segoe UI"/>
        <family val="2"/>
      </rPr>
      <t>2</t>
    </r>
    <r>
      <rPr>
        <sz val="8"/>
        <color theme="1"/>
        <rFont val="Segoe UI"/>
        <family val="2"/>
      </rPr>
      <t xml:space="preserve"> eq./kWh)</t>
    </r>
  </si>
  <si>
    <t>(MJ primary/kWh)</t>
  </si>
  <si>
    <t>(UBP/kWh)</t>
  </si>
  <si>
    <t xml:space="preserve">Biomass </t>
  </si>
  <si>
    <t>Electricity, high voltage {AT}| heat and power co-generation, biogas, gas engine | Cut-off, U</t>
  </si>
  <si>
    <t>Electricity, high voltage {AT}| heat and power co-generation, wood chips, 6667 kW, state-of-the-art 2014 | Cut-off, U</t>
  </si>
  <si>
    <t xml:space="preserve">Fossil Brown coal/Lignite </t>
  </si>
  <si>
    <t>-</t>
  </si>
  <si>
    <t xml:space="preserve">Fossil Coal-derived gas </t>
  </si>
  <si>
    <t xml:space="preserve">Fossil Gas </t>
  </si>
  <si>
    <t>Electricity, high voltage {AT}| electricity production, natural gas, combined cycle power plant | Cut-off, U</t>
  </si>
  <si>
    <t>Electricity, high voltage {AT}| electricity production, natural gas, conventional power plant | Cut-off, U</t>
  </si>
  <si>
    <t>Electricity, high voltage {AT}| heat and power co-generation, natural gas, combined cycle power plant, 400MW electrical | Cut-off, U</t>
  </si>
  <si>
    <t>Electricity, high voltage {AT}| heat and power co-generation, natural gas, conventional power plant, 100MW electrical | Cut-off, U</t>
  </si>
  <si>
    <t xml:space="preserve">Fossil Hard coal </t>
  </si>
  <si>
    <t>Electricity, high voltage {AT}| electricity production, hard coal | Cut-off, U</t>
  </si>
  <si>
    <t>Electricity, high voltage {AT}| heat and power co-generation, hard coal | Cut-off, U</t>
  </si>
  <si>
    <t xml:space="preserve">Fossil Oil </t>
  </si>
  <si>
    <t>Electricity, high voltage {AT}| electricity production, oil | Cut-off, U</t>
  </si>
  <si>
    <t>Electricity, high voltage {AT}| heat and power co-generation, oil | Cut-off, U</t>
  </si>
  <si>
    <t xml:space="preserve">Fossil Oil shale </t>
  </si>
  <si>
    <t xml:space="preserve">Fossil Peat </t>
  </si>
  <si>
    <t xml:space="preserve">Geothermal </t>
  </si>
  <si>
    <t>Electricity, high voltage {AT}| electricity production, deep geothermal | Cut-off, U</t>
  </si>
  <si>
    <t>?</t>
  </si>
  <si>
    <t xml:space="preserve">Hydro Pumped Storage </t>
  </si>
  <si>
    <t>Electricity, high voltage {AT}| electricity production, hydro, pumped storage | Cut-off, U</t>
  </si>
  <si>
    <t>Hydro Run-of-river and poundage</t>
  </si>
  <si>
    <t>Electricity, high voltage {AT}| electricity production, hydro, run-of-river | Cut-off, U</t>
  </si>
  <si>
    <t xml:space="preserve">Hydro Water Reservoir </t>
  </si>
  <si>
    <t>Electricity, high voltage {AT}| electricity production, hydro, reservoir, alpine region | Cut-off, U</t>
  </si>
  <si>
    <t xml:space="preserve">Marine </t>
  </si>
  <si>
    <t xml:space="preserve">Nuclear </t>
  </si>
  <si>
    <t>Other (Fossil)</t>
  </si>
  <si>
    <t xml:space="preserve">Other (renewable) </t>
  </si>
  <si>
    <t xml:space="preserve">Waste </t>
  </si>
  <si>
    <t>Electricity, for reuse in municipal waste incineration only {AT}| treatment of municipal solid waste, incineration | Cut-off, U</t>
  </si>
  <si>
    <t xml:space="preserve">Wind Offshore </t>
  </si>
  <si>
    <t xml:space="preserve">Wind Onshore </t>
  </si>
  <si>
    <t>Electricity, high voltage {AT}| electricity production, wind, &lt;1MW turbine, onshore | Cut-off, U</t>
  </si>
  <si>
    <t>Electricity, high voltage {AT}| electricity production, wind, &gt;3MW turbine, onshore | Cut-off, U</t>
  </si>
  <si>
    <t>Electricity, high voltage {AT}| electricity production, wind, 1-3MW turbine, onshore | Cut-off, U</t>
  </si>
  <si>
    <t xml:space="preserve">Solar </t>
  </si>
  <si>
    <t>Electricity, low voltage {AT}| electricity production, photovoltaic, 3kWp slanted-roof installation, multi-Si, panel, mounted | Cut-off, U</t>
  </si>
  <si>
    <t>Electricity, low voltage {AT}| electricity production, photovoltaic, 3kWp slanted-roof installation, single-Si, panel, mounted | Cut-off, U</t>
  </si>
  <si>
    <t>Other fossile</t>
  </si>
  <si>
    <t>Choisir MAX,MIN,MOY</t>
  </si>
  <si>
    <t>Max.</t>
  </si>
  <si>
    <t>Min.</t>
  </si>
  <si>
    <t>Moy.</t>
  </si>
  <si>
    <t>Other fossile land (AT) average</t>
  </si>
  <si>
    <t>Test méthodes de calculs KBOB</t>
  </si>
  <si>
    <t>UBP KBOB</t>
  </si>
  <si>
    <t>Delta ecodynbat-KBOB</t>
  </si>
  <si>
    <t>CED renouvelable KBOB</t>
  </si>
  <si>
    <t>CED non renouvelable KBOB</t>
  </si>
  <si>
    <t>GWP KBOB</t>
  </si>
  <si>
    <t>V1.09</t>
  </si>
  <si>
    <t>v1.02</t>
  </si>
  <si>
    <t>UBP/kWh</t>
  </si>
  <si>
    <t>%</t>
  </si>
  <si>
    <t>MJ/kWh</t>
  </si>
  <si>
    <t>Electricity, high voltage {CH}| heat and power co-generation, biogas, gas engine | Cut-off, U</t>
  </si>
  <si>
    <t>Electricity, high voltage {CH}| heat and power co-generation, wood chips, 6667 kW, state-of-the-art 2014 | Cut-off, U</t>
  </si>
  <si>
    <t>Electricity, high voltage {CH}| heat and power co-generation, natural gas, 500kW electrical, lean burn | Cut-off, U</t>
  </si>
  <si>
    <t>Electricity, high voltage {CH}| electricity production, hydro, pumped storage | Cut-off, U</t>
  </si>
  <si>
    <t>Electricity, high voltage {CH}| electricity production, hydro, run-of-river | Cut-off, U</t>
  </si>
  <si>
    <t>Electricity, high voltage {CH}| electricity production, hydro, reservoir, alpine region | Cut-off, U</t>
  </si>
  <si>
    <t>Electricity, high voltage {CH}| electricity production, nuclear, boiling water reactor | Cut-off, U</t>
  </si>
  <si>
    <t>Electricity, high voltage {CH}| electricity production, nuclear, pressure water reactor | Cut-off, U</t>
  </si>
  <si>
    <t>Electricity, high voltage {CH}| electricity production, wind, &lt;1MW turbine, onshore | Cut-off, U</t>
  </si>
  <si>
    <t>Electricity, high voltage {CH}| electricity production, wind, &gt;3MW turbine, onshore | Cut-off, U</t>
  </si>
  <si>
    <t>Electricity, high voltage {CH}| electricity production, wind, 1-3MW turbine, onshore | Cut-off, U</t>
  </si>
  <si>
    <t>Electricity, low voltage {CH}| electricity production, photovoltaic, 3kWp facade installation, multi-Si, laminated, integrated | Cut-off, U</t>
  </si>
  <si>
    <t>Electricity, low voltage {CH}| electricity production, photovoltaic, 3kWp facade installation, multi-Si, panel, mounted | Cut-off, U</t>
  </si>
  <si>
    <t>Electricity, low voltage {CH}| electricity production, photovoltaic, 3kWp facade installation, single-Si, laminated, integrated | Cut-off, U</t>
  </si>
  <si>
    <t>Electricity, low voltage {CH}| electricity production, photovoltaic, 3kWp facade installation, single-Si, panel, mounted | Cut-off, U</t>
  </si>
  <si>
    <t>Electricity, low voltage {CH}| electricity production, photovoltaic, 3kWp flat-roof installation, multi-Si | Cut-off, U</t>
  </si>
  <si>
    <t>Electricity, low voltage {CH}| electricity production, photovoltaic, 3kWp flat-roof installation, single-Si | Cut-off, U</t>
  </si>
  <si>
    <t>Electricity, low voltage {CH}| electricity production, photovoltaic, 3kWp slanted-roof installation, a-Si, laminated, integrated | Cut-off, U</t>
  </si>
  <si>
    <t>Electricity, low voltage {CH}| electricity production, photovoltaic, 3kWp slanted-roof installation, a-Si, panel, mounted | Cut-off, U</t>
  </si>
  <si>
    <t>Electricity, low voltage {CH}| electricity production, photovoltaic, 3kWp slanted-roof installation, CdTe, laminated, integrated | Cut-off, U</t>
  </si>
  <si>
    <t>Electricity, low voltage {CH}| electricity production, photovoltaic, 3kWp slanted-roof installation, CIS, panel, mounted | Cut-off, U</t>
  </si>
  <si>
    <t>Electricity, low voltage {CH}| electricity production, photovoltaic, 3kWp slanted-roof installation, multi-Si, laminated, integrated | Cut-off, U</t>
  </si>
  <si>
    <t>Electricity, low voltage {CH}| electricity production, photovoltaic, 3kWp slanted-roof installation, multi-Si, panel, mounted | Cut-off, U</t>
  </si>
  <si>
    <t>Electricity, low voltage {CH}| electricity production, photovoltaic, 3kWp slanted-roof installation, ribbon-Si, laminated, integrated | Cut-off, U</t>
  </si>
  <si>
    <t>Electricity, low voltage {CH}| electricity production, photovoltaic, 3kWp slanted-roof installation, ribbon-Si, panel, mounted | Cut-off, U</t>
  </si>
  <si>
    <t>Electricity, low voltage {CH}| electricity production, photovoltaic, 3kWp slanted-roof installation, single-Si, laminated, integrated | Cut-off, U</t>
  </si>
  <si>
    <t>Electricity, low voltage {CH}| electricity production, photovoltaic, 3kWp slanted-roof installation, single-Si, panel, mounted | Cut-off, U</t>
  </si>
  <si>
    <t>Electricity, high voltage {DE}| heat and power co-generation, biogas, gas engine | Cut-off, U</t>
  </si>
  <si>
    <t>Electricity, high voltage {DE}| heat and power co-generation, wood chips, 6667 kW, state-of-the-art 2014 | Cut-off, U</t>
  </si>
  <si>
    <t>Electricity, high voltage {DE}| electricity production, lignite | Cut-off, U</t>
  </si>
  <si>
    <t>Electricity, high voltage {DE}| heat and power co-generation, lignite | Cut-off, U</t>
  </si>
  <si>
    <t>Electricity, high voltage {DE}| treatment of coal gas, in power plant | Cut-off, U</t>
  </si>
  <si>
    <t>Electricity, high voltage {DE}| electricity production, natural gas, combined cycle power plant | Cut-off, U</t>
  </si>
  <si>
    <t>Electricity, high voltage {DE}| electricity production, natural gas, conventional power plant | Cut-off, U</t>
  </si>
  <si>
    <t>Electricity, high voltage {DE}| heat and power co-generation, natural gas, combined cycle power plant, 400MW electrical | Cut-off, U</t>
  </si>
  <si>
    <t>Electricity, high voltage {DE}| heat and power co-generation, natural gas, conventional power plant, 100MW electrical | Cut-off, U</t>
  </si>
  <si>
    <t>Electricity, high voltage {DE}| electricity production, hard coal | Cut-off, U</t>
  </si>
  <si>
    <t>Electricity, high voltage {DE}| heat and power co-generation, hard coal | Cut-off, U</t>
  </si>
  <si>
    <t>Electricity, high voltage {DE}| electricity production, oil | Cut-off, U</t>
  </si>
  <si>
    <t>Electricity, high voltage {DE}| heat and power co-generation, oil | Cut-off, U</t>
  </si>
  <si>
    <t>Electricity, high voltage {DE}| electricity production, deep geothermal | Cut-off, U</t>
  </si>
  <si>
    <t>Electricity, high voltage {DE}| electricity production, hydro, pumped storage | Cut-off, U</t>
  </si>
  <si>
    <t>Electricity, high voltage {DE}| electricity production, hydro, run-of-river | Cut-off, U</t>
  </si>
  <si>
    <t>Electricity, high voltage {DE}| electricity production, hydro, reservoir, non-alpine region | Cut-off, U</t>
  </si>
  <si>
    <t>Electricity, high voltage {DE}| electricity production, nuclear, boiling water reactor | Cut-off, U</t>
  </si>
  <si>
    <t>Electricity, high voltage {DE}| electricity production, nuclear, pressure water reactor | Cut-off, U</t>
  </si>
  <si>
    <t>Electricity, for reuse in municipal waste incineration only {DE}| treatment of municipal solid waste, incineration | Cut-off, U</t>
  </si>
  <si>
    <t>Electricity, high voltage {DE}| electricity production, wind, 1-3MW turbine, offshore | Cut-off, U</t>
  </si>
  <si>
    <t>Electricity, high voltage {DE}| electricity production, wind, &lt;1MW turbine, onshore | Cut-off, U</t>
  </si>
  <si>
    <t>Electricity, high voltage {DE}| electricity production, wind, &gt;3MW turbine, onshore | Cut-off, U</t>
  </si>
  <si>
    <t>Electricity, high voltage {DE}| electricity production, wind, 1-3MW turbine, onshore | Cut-off, U</t>
  </si>
  <si>
    <t>Electricity, low voltage {DE}| electricity production, photovoltaic, 3kWp slanted-roof installation, multi-Si, panel, mounted | Cut-off, U</t>
  </si>
  <si>
    <t>Electricity, low voltage {DE}| electricity production, photovoltaic, 3kWp slanted-roof installation, single-Si, panel, mounted | Cut-off, U</t>
  </si>
  <si>
    <t>Electricity, low voltage {DE}| electricity production, photovoltaic, 570kWp open ground installation, multi-Si | Cut-off, U</t>
  </si>
  <si>
    <t>Other fossile land (DE) average</t>
  </si>
  <si>
    <t>Other renewable</t>
  </si>
  <si>
    <t>Other renewable (DE, wind, geothermal,solar)</t>
  </si>
  <si>
    <t>Electricity, high voltage {FR}| heat and power co-generation, biogas, gas engine | Cut-off, U</t>
  </si>
  <si>
    <t>Electricity, high voltage {FR}| heat and power co-generation, wood chips, 6667 kW, state-of-the-art 2014 | Cut-off, U</t>
  </si>
  <si>
    <t>Electricity, high voltage {FR}| electricity production, natural gas, combined cycle power plant | Cut-off, U</t>
  </si>
  <si>
    <t>Electricity, high voltage {FR}| electricity production, natural gas, conventional power plant | Cut-off, U</t>
  </si>
  <si>
    <t>Electricity, high voltage {FR}| heat and power co-generation, natural gas, conventional power plant, 100MW electrical | Cut-off, U</t>
  </si>
  <si>
    <t>Electricity, high voltage {FR}| electricity production, hard coal | Cut-off, U</t>
  </si>
  <si>
    <t>Electricity, high voltage {FR}| electricity production, oil | Cut-off, U</t>
  </si>
  <si>
    <t>Electricity, high voltage {FR}| heat and power co-generation, oil | Cut-off, U</t>
  </si>
  <si>
    <t>Electricity, high voltage {FR}| electricity production, hydro, pumped storage | Cut-off, U</t>
  </si>
  <si>
    <t>Electricity, high voltage {FR}| electricity production, hydro, run-of-river | Cut-off, U</t>
  </si>
  <si>
    <t>Electricity, high voltage {FR}| electricity production, hydro, reservoir, alpine region | Cut-off, U</t>
  </si>
  <si>
    <t>Electricity, high voltage {FR}| electricity production, nuclear, pressure water reactor | Cut-off, U</t>
  </si>
  <si>
    <t>Electricity, for reuse in municipal waste incineration only {FR}| treatment of municipal solid waste, incineration | Cut-off, U</t>
  </si>
  <si>
    <t>Electricity, high voltage {FR}| electricity production, wind, 1-3MW turbine, offshore | Cut-off, U</t>
  </si>
  <si>
    <t>Electricity, high voltage {FR}| electricity production, wind, &lt;1MW turbine, onshore | Cut-off, U</t>
  </si>
  <si>
    <t>Electricity, high voltage {FR}| electricity production, wind, &gt;3MW turbine, onshore | Cut-off, U</t>
  </si>
  <si>
    <t>Electricity, high voltage {FR}| electricity production, wind, 1-3MW turbine, onshore | Cut-off, U</t>
  </si>
  <si>
    <t>Electricity, low voltage {FR}| electricity production, photovoltaic, 3kWp slanted-roof installation, multi-Si, panel, mounted | Cut-off, U</t>
  </si>
  <si>
    <t>Electricity, low voltage {FR}| electricity production, photovoltaic, 3kWp slanted-roof installation, single-Si, panel, mounted | Cut-off, U</t>
  </si>
  <si>
    <t>Electricity, low voltage {FR}| electricity production, photovoltaic, 570kWp open ground installation, multi-Si | Cut-off, U</t>
  </si>
  <si>
    <t>Electricity, high voltage {IT}| heat and power co-generation, biogas, gas engine | Cut-off, U</t>
  </si>
  <si>
    <t>Electricity, high voltage {IT}| heat and power co-generation, wood chips, 6667 kW, state-of-the-art 2014 | Cut-off, U</t>
  </si>
  <si>
    <t>Electricity, high voltage {IT}| electricity production, lignite | Cut-off, U</t>
  </si>
  <si>
    <t>Electricity, high voltage {IT}| treatment of coal gas, in power plant | Cut-off, U</t>
  </si>
  <si>
    <t>Electricity, high voltage {IT}| electricity production, natural gas, combined cycle power plant | Cut-off, U</t>
  </si>
  <si>
    <t>Electricity, high voltage {IT}| electricity production, natural gas, conventional power plant | Cut-off, U</t>
  </si>
  <si>
    <t>Electricity, high voltage {IT}| heat and power co-generation, natural gas, combined cycle power plant, 400MW electrical | Cut-off, U</t>
  </si>
  <si>
    <t>Electricity, high voltage {IT}| heat and power co-generation, natural gas, conventional power plant, 100MW electrical | Cut-off, U</t>
  </si>
  <si>
    <t>Electricity, high voltage {IT}| electricity production, hard coal | Cut-off, U</t>
  </si>
  <si>
    <t>Electricity, high voltage {IT}| heat and power co-generation, hard coal | Cut-off, U</t>
  </si>
  <si>
    <t>Electricity, high voltage {IT}| electricity production, oil | Cut-off, U</t>
  </si>
  <si>
    <t>Electricity, high voltage {IT}| heat and power co-generation, oil | Cut-off, U</t>
  </si>
  <si>
    <t>Electricity, high voltage {IT}| electricity production, deep geothermal | Cut-off, U</t>
  </si>
  <si>
    <t>Electricity, high voltage {IT}| electricity production, hydro, pumped storage | Cut-off, U</t>
  </si>
  <si>
    <t>Electricity, high voltage {IT}| electricity production, hydro, run-of-river | Cut-off, U</t>
  </si>
  <si>
    <t>Electricity, high voltage {IT}| electricity production, hydro, reservoir, alpine region | Cut-off, U</t>
  </si>
  <si>
    <t>Electricity, for reuse in municipal waste incineration only {IT}| treatment of municipal solid waste, incineration | Cut-off, U</t>
  </si>
  <si>
    <t>Electricity, high voltage {IT}| electricity production, wind, &lt;1MW turbine, onshore | Cut-off, U</t>
  </si>
  <si>
    <t>Electricity, high voltage {IT}| electricity production, wind, &gt;3MW turbine, onshore | Cut-off, U</t>
  </si>
  <si>
    <t>Electricity, high voltage {IT}| electricity production, wind, 1-3MW turbine, onshore | Cut-off, U</t>
  </si>
  <si>
    <t>Electricity, low voltage {IT}| electricity production, photovoltaic, 3kWp slanted-roof installation, multi-Si, panel, mounted | Cut-off, U</t>
  </si>
  <si>
    <t>Electricity, low voltage {IT}| electricity production, photovoltaic, 3kWp slanted-roof installation, single-Si, panel, mounted | Cut-off, U</t>
  </si>
  <si>
    <t>Electricity, low voltage {IT}| electricity production, photovoltaic, 570kWp open ground installation, multi-Si | Cut-off, U</t>
  </si>
  <si>
    <t>Electricity, high voltage {BG}| electricity production, hard coal | Cut-off, U</t>
  </si>
  <si>
    <t>Other fossile land (IT) average</t>
  </si>
  <si>
    <t>Electricity, high voltage {CZ}| heat and power co-generation, biogas, gas engine | Cut-off, U</t>
  </si>
  <si>
    <t>Electricity, high voltage {CZ}| heat and power co-generation, wood chips, 6667 kW, state-of-the-art 2014 | Cut-off, U</t>
  </si>
  <si>
    <t>Electricity, high voltage {CZ}| electricity production, lignite | Cut-off, U</t>
  </si>
  <si>
    <t>Electricity, high voltage {CZ}| heat and power co-generation, lignite | Cut-off, U</t>
  </si>
  <si>
    <t>Electricity, high voltage {CZ}| treatment of coal gas, in power plant | Cut-off, U</t>
  </si>
  <si>
    <t>Electricity, high voltage {CZ}| electricity production, natural gas, combined cycle power plant | Cut-off, U</t>
  </si>
  <si>
    <t>Electricity, high voltage {CZ}| electricity production, natural gas, conventional power plant | Cut-off, U</t>
  </si>
  <si>
    <t>Electricity, high voltage {CZ}| heat and power co-generation, natural gas, conventional power plant, 100MW electrical | Cut-off, U</t>
  </si>
  <si>
    <t>Electricity, high voltage {CZ}| electricity production, hard coal | Cut-off, U</t>
  </si>
  <si>
    <t>Electricity, high voltage {CZ}| heat and power co-generation, hard coal | Cut-off, U</t>
  </si>
  <si>
    <t>Electricity, high voltage {CZ}| electricity production, oil | Cut-off, U</t>
  </si>
  <si>
    <t>Electricity, high voltage {CZ}| heat and power co-generation, oil | Cut-off, U</t>
  </si>
  <si>
    <t>Electricity, high voltage {CZ}| electricity production, hydro, pumped storage | Cut-off, U</t>
  </si>
  <si>
    <t>Electricity, high voltage {CZ}| electricity production, hydro, run-of-river | Cut-off, U</t>
  </si>
  <si>
    <t>Electricity, high voltage {CZ}| electricity production, hydro, reservoir, non-alpine region | Cut-off, U</t>
  </si>
  <si>
    <t>Electricity, high voltage {CZ}| electricity production, nuclear, pressure water reactor | Cut-off, U</t>
  </si>
  <si>
    <t>Electricity, for reuse in municipal waste incineration only {CZ}| treatment of municipal solid waste, incineration | Cut-off, U</t>
  </si>
  <si>
    <t>Electricity, high voltage {CZ}| electricity production, wind, &lt;1MW turbine, onshore | Cut-off, U</t>
  </si>
  <si>
    <t>Electricity, high voltage {CZ}| electricity production, wind, 1-3MW turbine, onshore | Cut-off, U</t>
  </si>
  <si>
    <t>Electricity, low voltage {CZ}| electricity production, photovoltaic, 3kWp slanted-roof installation, multi-Si, panel, mounted | Cut-off, U</t>
  </si>
  <si>
    <t>Electricity, low voltage {CZ}| electricity production, photovoltaic, 3kWp slanted-roof installation, single-Si, panel, mounted | Cut-off, U</t>
  </si>
  <si>
    <t>Other fossile land (CZ) average</t>
  </si>
  <si>
    <t>Other renewable (CZ, wind, geothermal,solar)</t>
  </si>
  <si>
    <t>Part de chaque filière unitaire [%]</t>
  </si>
  <si>
    <t>IPCC2013 v1.02</t>
  </si>
  <si>
    <t>v1.09</t>
  </si>
  <si>
    <t>Electricity, high voltage {PT}| heat and power co-generation, wood chips, 6667 kW, state-of-the-art 2014 | Cut-off, U</t>
  </si>
  <si>
    <t>kWh</t>
  </si>
  <si>
    <t>Electricity, high voltage {PT}| electricity production, natural gas, combined cycle power plant | Cut-off, U</t>
  </si>
  <si>
    <t>Electricity, high voltage {PT}| electricity production, hard coal | Cut-off, U</t>
  </si>
  <si>
    <t>Electricity, high voltage {PT}| electricity production, oil | Cut-off, U</t>
  </si>
  <si>
    <t>Electricity, high voltage {PT}| heat and power co-generation, oil | Cut-off, U</t>
  </si>
  <si>
    <t>Electricity, high voltage {PT}| electricity production, deep geothermal | Cut-off, U</t>
  </si>
  <si>
    <t>Electricity, high voltage {PT}| electricity production, hydro, pumped storage | Cut-off, U</t>
  </si>
  <si>
    <t>Electricity, high voltage {PT}| electricity production, hydro, run-of-river | Cut-off, U</t>
  </si>
  <si>
    <t>Electricity, high voltage {PT}| electricity production, hydro, reservoir, non-alpine region | Cut-off, U</t>
  </si>
  <si>
    <t>Electricity, high voltage {PT}| electricity production, wind, 1-3MW turbine, offshore | Cut-off, U</t>
  </si>
  <si>
    <t>Electricity, high voltage {PT}| electricity production, wind, &lt;1MW turbine, onshore | Cut-off, U</t>
  </si>
  <si>
    <t>Electricity, high voltage {PT}| electricity production, wind, 1-3MW turbine, onshore | Cut-off, U</t>
  </si>
  <si>
    <t>Electricity, low voltage {PT}| electricity production, photovoltaic, 3kWp slanted-roof installation, multi-Si, panel, mounted | Cut-off, U</t>
  </si>
  <si>
    <t>Electricity, low voltage {PT}| electricity production, photovoltaic, 3kWp slanted-roof installation, single-Si, panel, mounted | Cut-off, U</t>
  </si>
  <si>
    <t>Electricity, low voltage {PT}| electricity production, photovoltaic, 570kWp open ground installation, multi-Si | Cut-off, U</t>
  </si>
  <si>
    <t>Other fossile land (PT) average</t>
  </si>
  <si>
    <t>Electricity, high voltage {NL}| heat and power co-generation, biogas, gas engine | Cut-off, U</t>
  </si>
  <si>
    <t>Electricity, high voltage {NL}| heat and power co-generation, wood chips, 6667 kW, state-of-the-art 2014 | Cut-off, U</t>
  </si>
  <si>
    <t>Electricity, high voltage {NL}| heat and power co-generation, natural gas, combined cycle power plant, 400MW electrical | Cut-off, U</t>
  </si>
  <si>
    <t>Electricity, high voltage {NL}| heat and power co-generation, natural gas, conventional power plant, 100MW electrical | Cut-off, U</t>
  </si>
  <si>
    <t>Electricity, high voltage {NL}| electricity production, natural gas, conventional power plant | Cut-off, U</t>
  </si>
  <si>
    <t>Electricity, high voltage {NL}| electricity production, natural gas, combined cycle power plant | Cut-off, U</t>
  </si>
  <si>
    <t>Electricity, high voltage {NL}| electricity production, hard coal | Cut-off, U</t>
  </si>
  <si>
    <t>Electricity, high voltage {NL}| heat and power co-generation, hard coal | Cut-off, U</t>
  </si>
  <si>
    <t>Electricity, high voltage {NL}| heat and power co-generation, oil | Cut-off, U</t>
  </si>
  <si>
    <t>Electricity, high voltage {NL}| electricity production, hydro, run-of-river | Cut-off, U</t>
  </si>
  <si>
    <t>Electricity, high voltage {NL}| electricity production, nuclear, pressure water reactor | Cut-off, U</t>
  </si>
  <si>
    <t>Electricity, high voltage {NL}| electricity production, wind, 1-3MW turbine, offshore | Cut-off, U</t>
  </si>
  <si>
    <t>Electricity, high voltage {NL}| electricity production, wind, &lt;1MW turbine, onshore | Cut-off, U</t>
  </si>
  <si>
    <t>Electricity, high voltage {NL}| electricity production, wind, &gt;3MW turbine, onshore | Cut-off, U</t>
  </si>
  <si>
    <t>Electricity, high voltage {NL}| electricity production, wind, 1-3MW turbine, onshore | Cut-off, U</t>
  </si>
  <si>
    <t>Electricity, low voltage {NL}| electricity production, photovoltaic, 3kWp slanted-roof installation, multi-Si, panel, mounted | Cut-off, U</t>
  </si>
  <si>
    <t>Electricity, low voltage {NL}| electricity production, photovoltaic, 3kWp slanted-roof installation, single-Si, panel, mounted | Cut-off, U</t>
  </si>
  <si>
    <t>Electricity, low voltage {NL}| electricity production, photovoltaic, 570kWp open ground installation, multi-Si | Cut-off, U</t>
  </si>
  <si>
    <t>Other fossile land (NL) average</t>
  </si>
  <si>
    <t>Electricity, high voltage {LU}| heat and power co-generation, wood chips, 6667 kW, state-of-the-art 2014 | Cut-off, U</t>
  </si>
  <si>
    <t/>
  </si>
  <si>
    <t>Electricity, high voltage {LU}| heat and power co-generation, natural gas, combined cycle power plant, 400MW electrical | Cut-off, U</t>
  </si>
  <si>
    <t>Electricity, high voltage {LU}| heat and power co-generation, natural gas, conventional power plant, 100MW electrical | Cut-off, U</t>
  </si>
  <si>
    <t>Electricity, high voltage {LU}| electricity production, hydro, pumped storage | Cut-off, U</t>
  </si>
  <si>
    <t>Electricity, high voltage {LU}| electricity production, hydro, run-of-river | Cut-off, U</t>
  </si>
  <si>
    <t>Electricity, high voltage {LU}| electricity production, wind, &lt;1MW turbine, onshore | Cut-off, U</t>
  </si>
  <si>
    <t>Electricity, high voltage {LU}| electricity production, wind, 1-3MW turbine, onshore | Cut-off, U</t>
  </si>
  <si>
    <t>Electricity, high voltage {ES}| heat and power co-generation, biogas, gas engine | Cut-off, U</t>
  </si>
  <si>
    <t>Electricity, high voltage {ES}| heat and power co-generation, wood chips, 6667 kW, state-of-the-art 2014 | Cut-off, U</t>
  </si>
  <si>
    <t>Electricity, high voltage {ES}| electricity production, lignite | Cut-off, U</t>
  </si>
  <si>
    <t>Electricity, high voltage {ES}| electricity production, natural gas, conventional power plant | Cut-off, U</t>
  </si>
  <si>
    <t>Electricity, high voltage {ES}| electricity production, natural gas, combined cycle power plant | Cut-off, U</t>
  </si>
  <si>
    <t>Electricity, high voltage {ES}| electricity production, hard coal | Cut-off, U</t>
  </si>
  <si>
    <t>Electricity, high voltage {ES}| electricity production, oil | Cut-off, U</t>
  </si>
  <si>
    <t>Electricity, high voltage {ES}| electricity production, hydro, pumped storage | Cut-off, U</t>
  </si>
  <si>
    <t>Electricity, high voltage {ES}| electricity production, hydro, run-of-river | Cut-off, U</t>
  </si>
  <si>
    <t>Electricity, high voltage {ES}| electricity production, hydro, reservoir, non-alpine region | Cut-off, U</t>
  </si>
  <si>
    <t>Electricity, high voltage {ES}| electricity production, nuclear, boiling water reactor | Cut-off, U</t>
  </si>
  <si>
    <t>Electricity, high voltage {ES}| electricity production, nuclear, pressure water reactor | Cut-off, U</t>
  </si>
  <si>
    <t>Electricity, for reuse in municipal waste incineration only {ES}| treatment of municipal solid waste, incineration | Cut-off, U</t>
  </si>
  <si>
    <t>Electricity, high voltage {ES}| electricity production, wind, 1-3MW turbine, offshore | Cut-off, U</t>
  </si>
  <si>
    <t>Electricity, high voltage {ES}| electricity production, wind, &lt;1MW turbine, onshore | Cut-off, U</t>
  </si>
  <si>
    <t>Electricity, high voltage {ES}| electricity production, wind, &gt;3MW turbine, onshore | Cut-off, U</t>
  </si>
  <si>
    <t>Electricity, high voltage {ES}| electricity production, wind, 1-3MW turbine, onshore | Cut-off, U</t>
  </si>
  <si>
    <t>Electricity, low voltage {ES}| electricity production, photovoltaic, 3kWp slanted-roof installation, multi-Si, panel, mounted | Cut-off, U</t>
  </si>
  <si>
    <t>Electricity, low voltage {ES}| electricity production, photovoltaic, 3kWp slanted-roof installation, single-Si, panel, mounted | Cut-off, U</t>
  </si>
  <si>
    <t>Electricity, low voltage {ES}| electricity production, photovoltaic, 570kWp open ground installation, multi-Si | Cut-off, U</t>
  </si>
  <si>
    <t>Other fossile land (ES) average</t>
  </si>
  <si>
    <t>Other renewable (ES, wind, geothermal,solar)</t>
  </si>
  <si>
    <t>Electricity, high voltage {BE}| heat and power co-generation, biogas, gas engine | Cut-off, U</t>
  </si>
  <si>
    <t>Electricity, high voltage {BE}| heat and power co-generation, wood chips, 6667 kW, state-of-the-art 2014 | Cut-off, U</t>
  </si>
  <si>
    <t>Electricity, high voltage {BE}| heat and power co-generation, natural gas, conventional power plant, 100MW electrical | Cut-off, U</t>
  </si>
  <si>
    <t>Electricity, high voltage {BE}| heat and power co-generation, natural gas, combined cycle power plant, 400MW electrical | Cut-off, U</t>
  </si>
  <si>
    <t>Electricity, high voltage {BE}| electricity production, natural gas, conventional power plant | Cut-off, U</t>
  </si>
  <si>
    <t>Electricity, high voltage {BE}| electricity production, natural gas, combined cycle power plant | Cut-off, U</t>
  </si>
  <si>
    <t>Electricity, high voltage {BE}| electricity production, hard coal | Cut-off, U</t>
  </si>
  <si>
    <t>Electricity, high voltage {BE}| electricity production, oil | Cut-off, U</t>
  </si>
  <si>
    <t>Electricity, high voltage {BE}| heat and power co-generation, oil | Cut-off, U</t>
  </si>
  <si>
    <t>Electricity, high voltage {BE}| electricity production, hydro, pumped storage | Cut-off, U</t>
  </si>
  <si>
    <t>Electricity, high voltage {BE}| electricity production, hydro, run-of-river | Cut-off, U</t>
  </si>
  <si>
    <t>Electricity, high voltage {BE}| electricity production, nuclear, pressure water reactor | Cut-off, U</t>
  </si>
  <si>
    <t>Electricity, for reuse in municipal waste incineration only {BE}| treatment of municipal solid waste, incineration | Cut-off, U</t>
  </si>
  <si>
    <t>Electricity, high voltage {BE}| electricity production, wind, 1-3MW turbine, offshore | Cut-off, U</t>
  </si>
  <si>
    <t>Electricity, high voltage {BE}| electricity production, wind, &lt;1MW turbine, onshore | Cut-off, U</t>
  </si>
  <si>
    <t>Electricity, high voltage {BE}| electricity production, wind, &gt;3MW turbine, onshore | Cut-off, U</t>
  </si>
  <si>
    <t>Electricity, high voltage {BE}| electricity production, wind, 1-3MW turbine, onshore | Cut-off, U</t>
  </si>
  <si>
    <t>Solar</t>
  </si>
  <si>
    <t>Electricity, low voltage {BE}| electricity production, photovoltaic, 3kWp slanted-roof installation, multi-Si, panel, mounted | Cut-off, U</t>
  </si>
  <si>
    <t>Electricity, low voltage {BE}| electricity production, photovoltaic, 3kWp slanted-roof installation, single-Si, panel, mounted | Cut-off, U</t>
  </si>
  <si>
    <t>Electricity, low voltage {BE}| electricity production, photovoltaic, 570kWp open ground installation, multi-Si | Cut-off, U</t>
  </si>
  <si>
    <t>Other fossile land (BE) average</t>
  </si>
  <si>
    <t>Electricity, high voltage {GB}| heat and power co-generation, wood chips, 6667 kW, state-of-the-art 2014 | Cut-off, U</t>
  </si>
  <si>
    <t>Electricity, high voltage {GB}| electricity production, natural gas, conventional power plant | Cut-off, U</t>
  </si>
  <si>
    <t>Electricity, high voltage {GB}| electricity production, hard coal | Cut-off, U</t>
  </si>
  <si>
    <t>Electricity, high voltage {GB}| electricity production, oil | Cut-off, U</t>
  </si>
  <si>
    <t>Electricity, high voltage {GB}| electricity production, hydro, pumped storage | Cut-off, U</t>
  </si>
  <si>
    <t>Electricity, high voltage {GB}| electricity production, hydro, run-of-river | Cut-off, U</t>
  </si>
  <si>
    <t>Electricity, high voltage {GB}| electricity production, nuclear, boiling water reactor | Cut-off, U</t>
  </si>
  <si>
    <t>Electricity, high voltage {GB}| electricity production, nuclear, pressure water reactor | Cut-off, U</t>
  </si>
  <si>
    <t>Electricity, high voltage {GB}| electricity production, wind, 1-3MW turbine, offshore | Cut-off, U</t>
  </si>
  <si>
    <t>Electricity, high voltage {GB}| electricity production, wind, &lt;1MW turbine, onshore | Cut-off, U</t>
  </si>
  <si>
    <t>Electricity, high voltage {GB}| electricity production, wind, &gt;3MW turbine, onshore | Cut-off, U</t>
  </si>
  <si>
    <t>Electricity, high voltage {GB}| electricity production, wind, 1-3MW turbine, onshore | Cut-off, U</t>
  </si>
  <si>
    <t>Electricity, low voltage {GB}| electricity production, photovoltaic, 3kWp slanted-roof installation, multi-Si, panel, mounted | Cut-off, U</t>
  </si>
  <si>
    <t>Electricity, low voltage {GB}| electricity production, photovoltaic, 3kWp slanted-roof installation, single-Si, panel, mounted | Cut-off, U</t>
  </si>
  <si>
    <t>Electricity, low voltage {GB}| electricity production, photovoltaic, 570kWp open ground installation, multi-Si | Cut-off, U</t>
  </si>
  <si>
    <t>Other fossile land (GB) average</t>
  </si>
  <si>
    <t>Electricity, high voltage {PL}| heat and power co-generation, wood chips, 6667 kW, state-of-the-art 2014 | Cut-off, U</t>
  </si>
  <si>
    <t>Electricity, high voltage {PL}| heat and power co-generation, lignite | Cut-off, U</t>
  </si>
  <si>
    <t>Electricity, high voltage {PL}| treatment of coal gas, in power plant | Cut-off, U</t>
  </si>
  <si>
    <t>Electricity, high voltage {PL}| heat and power co-generation, natural gas, combined cycle power plant, 400MW electrical | Cut-off, U</t>
  </si>
  <si>
    <t>Electricity, high voltage {PL}| heat and power co-generation, natural gas, conventional power plant, 100MW electrical | Cut-off, U</t>
  </si>
  <si>
    <t>Electricity, high voltage {PL}| heat and power co-generation, hard coal | Cut-off, U</t>
  </si>
  <si>
    <t>Electricity, high voltage {PL}| heat and power co-generation, oil | Cut-off, U</t>
  </si>
  <si>
    <t>Electricity, high voltage {PL}| electricity production, hydro, pumped storage | Cut-off, U</t>
  </si>
  <si>
    <t>Electricity, high voltage {PL}| electricity production, hydro, run-of-river | Cut-off, U</t>
  </si>
  <si>
    <t>Electricity, high voltage {PL}| electricity production, wind, &lt;1MW turbine, onshore | Cut-off, U</t>
  </si>
  <si>
    <t>Electricity, high voltage {PL}| electricity production, wind, 1-3MW turbine, onshore | Cut-off, U</t>
  </si>
  <si>
    <t>Electricity, high voltage {PL}| electricity production, wind, &gt;3MW turbine, onshore | Cut-off, U</t>
  </si>
  <si>
    <t>Electricity, high voltage {BG}| heat and power co-generation, biogas, gas engine | Cut-off, U</t>
  </si>
  <si>
    <t>Electricity, high voltage {BG}| heat and power co-generation, wood chips, 6667 kW | Cut-off, U</t>
  </si>
  <si>
    <t>Electricity, high voltage {BG}| electricity production, lignite | Cut-off, U</t>
  </si>
  <si>
    <t>Electricity, high voltage {BG}| heat and power co-generation, lignite | Cut-off, U</t>
  </si>
  <si>
    <t>Electricity, high voltage {BG}| electricity production, natural gas, conventional power plant | Cut-off, U</t>
  </si>
  <si>
    <t>Electricity, high voltage {BG}| heat and power co-generation, natural gas, conventional power plant, 100MW electrical | Cut-off, U</t>
  </si>
  <si>
    <t>Electricity, high voltage {BG}| heat and power co-generation, natural gas, combined cycle power plant, 400MW electrical | Cut-off, U</t>
  </si>
  <si>
    <t>Electricity, high voltage {BG}| heat and power co-generation, hard coal | Cut-off, U</t>
  </si>
  <si>
    <t>Electricity, high voltage {BG}| electricity production, oil | Cut-off, U</t>
  </si>
  <si>
    <t>Electricity, high voltage {BG}| heat and power co-generation, oil | Cut-off, U</t>
  </si>
  <si>
    <t>Electricity, high voltage {BG}| electricity production, hydro, pumped storage | Cut-off, U</t>
  </si>
  <si>
    <t>Electricity, high voltage {BG}| electricity production, hydro, run-of-river | Cut-off, U</t>
  </si>
  <si>
    <t>Electricity, high voltage {BG}| electricity production, nuclear, pressure water reactor | Cut-off, U</t>
  </si>
  <si>
    <t>Electricity, for reuse in municipal waste incineration only {BG}| treatment of municipal solid waste, incineration | Cut-off, U</t>
  </si>
  <si>
    <t>Electricity, high voltage {BG}| electricity production, wind, &lt;1MW turbine, onshore | Cut-off, U</t>
  </si>
  <si>
    <t>Electricity, high voltage {BG}| electricity production, wind, 1-3MW turbine, onshore | Cut-off, U</t>
  </si>
  <si>
    <t>Electricity, high voltage {BG}| electricity production, wind, &gt;3MW turbine, onshore | Cut-off, U</t>
  </si>
  <si>
    <t>Electricity, low voltage {BG}| electricity production, photovoltaic, 3kWp slanted-roof installation, multi-Si, panel, mounted | Cut-off, U</t>
  </si>
  <si>
    <t>Electricity, low voltage {BG}| electricity production, photovoltaic, 3kWp slanted-roof installation, single-Si, panel, mounted | Cut-off, U</t>
  </si>
  <si>
    <t>Electricity, high voltage {NO}| heat and power co-generation, biogas, gas engine | Cut-off, U</t>
  </si>
  <si>
    <t>Electricity, high voltage {NO}| electricity production, natural gas, combined cycle power plant | Cut-off, U</t>
  </si>
  <si>
    <t>Electricity, high voltage {NO}| electricity production, natural gas, conventional power plant | Cut-off, U</t>
  </si>
  <si>
    <t>Electricity, high voltage {NO}| heat and power co-generation, natural gas, combined cycle power plant, 400MW electrical | Cut-off, U</t>
  </si>
  <si>
    <t>Electricity, high voltage {NO}| heat and power co-generation, natural gas, conventional power plant, 100MW electrical | Cut-off, U</t>
  </si>
  <si>
    <t>Electricity, high voltage {NO}| heat and power co-generation, hard coal | Cut-off, U</t>
  </si>
  <si>
    <t>Electricity, high voltage {NO}| electricity production, oil | Cut-off, U</t>
  </si>
  <si>
    <t>Electricity, high voltage {NO}| electricity production, hydro, pumped storage | Cut-off, U</t>
  </si>
  <si>
    <t>Electricity, high voltage {SE}| electricity production, hydro, run-of-river | Cut-off, U</t>
  </si>
  <si>
    <t>Electricity, high voltage {NO}| electricity production, hydro, reservoir, alpine region | Cut-off, U</t>
  </si>
  <si>
    <t>Electricity, for reuse in municipal waste incineration only {NO}| treatment of municipal solid waste, incineration | Cut-off, U</t>
  </si>
  <si>
    <t>Electricity, high voltage {NO}| treatment of blast furnace gas, in power plant | Cut-off, U</t>
  </si>
  <si>
    <t>Electricity, high voltage {NO}| electricity production, wind, 1-3MW turbine, offshore | Cut-off, U</t>
  </si>
  <si>
    <t>Electricity, high voltage {NO}| electricity production, wind, &lt;1MW turbine, onshore | Cut-off, U</t>
  </si>
  <si>
    <t>Electricity, high voltage {NO}| electricity production, wind, &gt;3MW turbine, onshore | Cut-off, U</t>
  </si>
  <si>
    <t>Electricity, high voltage {NO}| electricity production, wind, 1-3MW turbine, onshore | Cut-off, U</t>
  </si>
  <si>
    <t>Mean Fossil {NO}</t>
  </si>
  <si>
    <t>Electricity, high voltage {SE}| heat and power co-generation, biogas, gas engine | Cut-off, U</t>
  </si>
  <si>
    <t>Electricity, high voltage {SE}| heat and power co-generation, wood chips, 6667 kW, state-of-the-art 2014 | Cut-off, U</t>
  </si>
  <si>
    <t>Electricity, high voltage {SE}| heat and power co-generation, natural gas, conventional power plant, 100MW electrical | Cut-off, U</t>
  </si>
  <si>
    <t>Electricity, high voltage {SE}| heat and power co-generation, hard coal | Cut-off, U</t>
  </si>
  <si>
    <t>Electricity, high voltage {SE}| electricity production, oil | Cut-off, U</t>
  </si>
  <si>
    <t>Electricity, high voltage {SE}| heat and power co-generation, oil | Cut-off, U</t>
  </si>
  <si>
    <t>Electricity, high voltage {SE}| electricity production, peat | Cut-off, U</t>
  </si>
  <si>
    <t>Electricity, high voltage {SE}| electricity production, hydro, reservoir, non-alpine region | Cut-off, U</t>
  </si>
  <si>
    <t>Electricity, high voltage {SE}| electricity production, nuclear, boiling water reactor | Cut-off, U</t>
  </si>
  <si>
    <t>Electricity, high voltage {SE}| electricity production, nuclear, pressure water reactor | Cut-off, U</t>
  </si>
  <si>
    <t>Electricity, high voltage {SE}| electricity production, wind, 1-3MW turbine, offshore | Cut-off, U</t>
  </si>
  <si>
    <t>Electricity, high voltage {SE}| electricity production, wind, &lt;1MW turbine, onshore | Cut-off, U</t>
  </si>
  <si>
    <t>Electricity, high voltage {SE}| electricity production, wind, &gt;3MW turbine, onshore | Cut-off, U</t>
  </si>
  <si>
    <t>Electricity, high voltage {SE}| electricity production, wind, 1-3MW turbine, onshore | Cut-off, U</t>
  </si>
  <si>
    <t>Mean Fossil {SE}</t>
  </si>
  <si>
    <t>Electricity, high voltage {DK}| heat and power co-generation, biogas, gas engine | Cut-off, U</t>
  </si>
  <si>
    <t>Electricity, high voltage {DK}| heat and power co-generation, wood chips, 6667 kW, state-of-the-art 2014 | Cut-off, U</t>
  </si>
  <si>
    <t>Electricity, high voltage {DK}| heat and power co-generation, natural gas, combined cycle power plant, 400MW electrical | Cut-off, U</t>
  </si>
  <si>
    <t>Electricity, high voltage {DK}| heat and power co-generation, natural gas, conventional power plant, 100MW electrical | Cut-off, U</t>
  </si>
  <si>
    <t>Electricity, high voltage {DK}| heat and power co-generation, hard coal | Cut-off, U</t>
  </si>
  <si>
    <t>Electricity, high voltage {DK}| electricity production, oil | Cut-off, U</t>
  </si>
  <si>
    <t>Electricity, high voltage {DK}| heat and power co-generation, oil | Cut-off, U</t>
  </si>
  <si>
    <t>Electricity, high voltage {DK}| electricity production, hydro, run-of-river | Cut-off, U</t>
  </si>
  <si>
    <t>Electricity, for reuse in municipal waste incineration only {DK}| treatment of municipal solid waste, incineration | Cut-off, U</t>
  </si>
  <si>
    <t>Electricity, high voltage {DK}| electricity production, wind, 1-3MW turbine, offshore | Cut-off, U</t>
  </si>
  <si>
    <t>Electricity, high voltage {DK}| electricity production, wind, &lt;1MW turbine, onshore | Cut-off, U</t>
  </si>
  <si>
    <t>Electricity, high voltage {DK}| electricity production, wind, &gt;3MW turbine, onshore | Cut-off, U</t>
  </si>
  <si>
    <t>Electricity, high voltage {DK}| electricity production, wind, 1-3MW turbine, onshore | Cut-off, U</t>
  </si>
  <si>
    <t>Electricity, low voltage {DK}| electricity production, photovoltaic, 3kWp slanted-roof installation, multi-Si, panel, mounted | Cut-off, U</t>
  </si>
  <si>
    <t>Electricity, low voltage {DK}| electricity production, photovoltaic, 3kWp slanted-roof installation, single-Si, panel, mounted | Cut-off, U</t>
  </si>
  <si>
    <t>ENTSOE</t>
  </si>
  <si>
    <t>CED</t>
  </si>
  <si>
    <t>UBP</t>
  </si>
  <si>
    <t>2nd level imports</t>
  </si>
  <si>
    <t>CH to AT</t>
  </si>
  <si>
    <t>CZ to AT</t>
  </si>
  <si>
    <t>DE to AT</t>
  </si>
  <si>
    <t>HU to AT</t>
  </si>
  <si>
    <t>IT to AT</t>
  </si>
  <si>
    <t>SI to AT</t>
  </si>
  <si>
    <t>AT to DE</t>
  </si>
  <si>
    <t>CH to DE</t>
  </si>
  <si>
    <t>CZ to DE</t>
  </si>
  <si>
    <t>DK to DE</t>
  </si>
  <si>
    <t>FR to DE</t>
  </si>
  <si>
    <t>LU to DE</t>
  </si>
  <si>
    <t>NL to DE</t>
  </si>
  <si>
    <t>PL to DE</t>
  </si>
  <si>
    <t>SE to DE</t>
  </si>
  <si>
    <t>BE to FR</t>
  </si>
  <si>
    <t>CH to FR</t>
  </si>
  <si>
    <t>DE to FR</t>
  </si>
  <si>
    <t>ES to FR</t>
  </si>
  <si>
    <t>GB to FR</t>
  </si>
  <si>
    <t>IT to FR</t>
  </si>
  <si>
    <t>AT to IT</t>
  </si>
  <si>
    <t>CH to IT</t>
  </si>
  <si>
    <t>FR to IT</t>
  </si>
  <si>
    <t>GR to IT</t>
  </si>
  <si>
    <t>SI to IT</t>
  </si>
  <si>
    <t>Total</t>
  </si>
  <si>
    <t>Total w/o Neighbours</t>
  </si>
  <si>
    <t>Total w/o Neighbours - CZ</t>
  </si>
  <si>
    <t>Portugal</t>
  </si>
  <si>
    <t>Autres Sources</t>
  </si>
  <si>
    <t>Nertherlands</t>
  </si>
  <si>
    <t>Luxembourg</t>
  </si>
  <si>
    <t>Electricity, high voltage {NO}| heat and power co-generation, wood chips, 6667 kW, state-of-the-art 2014 | Cut-off, U</t>
  </si>
  <si>
    <t>Espagne</t>
  </si>
  <si>
    <t>Belgique</t>
  </si>
  <si>
    <t>Great-Britain</t>
  </si>
  <si>
    <t>Poland</t>
  </si>
  <si>
    <t>Bulgaria</t>
  </si>
  <si>
    <t>Denmark</t>
  </si>
  <si>
    <t>Electricity, high voltage {DK}| electricity production, hydro, run-of-river | Conseq, U</t>
  </si>
  <si>
    <t>Norway</t>
  </si>
  <si>
    <t>Sweden</t>
  </si>
  <si>
    <t>Other renewable (PL, wind, hydro)</t>
  </si>
  <si>
    <t>Hydro Water Reservoir</t>
  </si>
  <si>
    <t>Other renewable (BL,solar,wind,hydro)</t>
  </si>
  <si>
    <t>Hydro_CH</t>
  </si>
  <si>
    <t>Mean_CH</t>
  </si>
  <si>
    <t>PV_CH</t>
  </si>
  <si>
    <t>Electricity, low voltage {CH}</t>
  </si>
  <si>
    <t>Choice</t>
  </si>
  <si>
    <t>Choisir un des possibles</t>
  </si>
  <si>
    <t>Residue_Hydro</t>
  </si>
  <si>
    <t>Residue_Other</t>
  </si>
  <si>
    <t>Share EcoInvent</t>
  </si>
  <si>
    <t>Energy source Ecoinvent v3.4</t>
  </si>
  <si>
    <t>Biomass</t>
  </si>
  <si>
    <t>Fossil Gas</t>
  </si>
  <si>
    <t>Wind-onshore</t>
  </si>
  <si>
    <t>Share Residue</t>
  </si>
  <si>
    <t>Mean(CH;Wind,PV,Cogeneration)</t>
  </si>
  <si>
    <t>Impacts to add</t>
  </si>
  <si>
    <t>Shares in ecoinvent (2021)</t>
  </si>
  <si>
    <t>Energy sources ecoinvent v3.7.1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</si>
</sst>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00%"/>
    <numFmt numFmtId="167" formatCode="0.00000"/>
    <numFmt numFmtId="168" formatCode="0.0"/>
    <numFmt numFmtId="169" formatCode="0.000000000000000%"/>
  </numFmts>
  <fonts count="20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8"/>
      <color theme="1"/>
      <name val="Segoe UI"/>
      <family val="2"/>
    </font>
    <font>
      <vertAlign val="subscript"/>
      <sz val="8"/>
      <color theme="1"/>
      <name val="Segoe UI"/>
      <family val="2"/>
    </font>
    <font>
      <sz val="8"/>
      <color theme="0"/>
      <name val="Segoe UI"/>
      <family val="2"/>
    </font>
    <font>
      <sz val="8"/>
      <name val="Segoe UI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color rgb="FFFF0000"/>
      <name val="Segoe UI"/>
      <family val="2"/>
    </font>
    <font>
      <b/>
      <sz val="10"/>
      <color theme="1"/>
      <name val="Segoe UI"/>
      <family val="2"/>
    </font>
    <font>
      <b/>
      <sz val="8"/>
      <color theme="1"/>
      <name val="Segoe UI"/>
      <family val="2"/>
    </font>
    <font>
      <sz val="10"/>
      <color indexed="8"/>
      <name val="Segoe UI"/>
      <family val="2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0"/>
      <name val="Arial"/>
      <family val="2"/>
    </font>
    <font>
      <b/>
      <sz val="10"/>
      <color rgb="FFFFFF00"/>
      <name val="Arial"/>
      <family val="2"/>
    </font>
    <font>
      <b/>
      <i/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9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1" fontId="2" fillId="0" borderId="0" xfId="0" applyNumberFormat="1" applyFont="1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4" fillId="4" borderId="0" xfId="0" applyFont="1" applyFill="1"/>
    <xf numFmtId="10" fontId="2" fillId="3" borderId="0" xfId="1" applyNumberFormat="1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10" fontId="2" fillId="5" borderId="0" xfId="1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wrapText="1"/>
    </xf>
    <xf numFmtId="0" fontId="2" fillId="3" borderId="0" xfId="0" applyFont="1" applyFill="1" applyAlignment="1">
      <alignment horizontal="center" vertical="center"/>
    </xf>
    <xf numFmtId="10" fontId="2" fillId="4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2" fontId="2" fillId="0" borderId="0" xfId="0" applyNumberFormat="1" applyFont="1"/>
    <xf numFmtId="9" fontId="2" fillId="0" borderId="0" xfId="0" applyNumberFormat="1" applyFont="1"/>
    <xf numFmtId="9" fontId="2" fillId="5" borderId="0" xfId="1" applyFont="1" applyFill="1" applyAlignment="1">
      <alignment horizontal="center" vertical="center"/>
    </xf>
    <xf numFmtId="0" fontId="2" fillId="0" borderId="0" xfId="0" applyFont="1" applyAlignment="1"/>
    <xf numFmtId="11" fontId="2" fillId="0" borderId="0" xfId="0" applyNumberFormat="1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6" xfId="0" applyFont="1" applyFill="1" applyBorder="1"/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10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/>
    <xf numFmtId="2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10" xfId="1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0" fontId="2" fillId="0" borderId="0" xfId="0" applyFont="1" applyFill="1"/>
    <xf numFmtId="10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5" borderId="0" xfId="0" applyFont="1" applyFill="1"/>
    <xf numFmtId="164" fontId="2" fillId="5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1" fontId="2" fillId="0" borderId="0" xfId="0" applyNumberFormat="1" applyFont="1" applyFill="1" applyAlignment="1">
      <alignment vertical="center"/>
    </xf>
    <xf numFmtId="10" fontId="2" fillId="4" borderId="0" xfId="0" applyNumberFormat="1" applyFont="1" applyFill="1" applyAlignment="1">
      <alignment horizontal="center" vertical="center"/>
    </xf>
    <xf numFmtId="0" fontId="6" fillId="0" borderId="0" xfId="2"/>
    <xf numFmtId="0" fontId="5" fillId="0" borderId="0" xfId="2" applyFont="1" applyFill="1"/>
    <xf numFmtId="0" fontId="2" fillId="0" borderId="0" xfId="2" applyFont="1" applyFill="1"/>
    <xf numFmtId="0" fontId="2" fillId="0" borderId="0" xfId="0" applyFont="1" applyAlignment="1">
      <alignment horizontal="right" vertical="center"/>
    </xf>
    <xf numFmtId="0" fontId="5" fillId="2" borderId="14" xfId="2" applyFont="1" applyFill="1" applyBorder="1"/>
    <xf numFmtId="0" fontId="6" fillId="2" borderId="15" xfId="2" applyFill="1" applyBorder="1"/>
    <xf numFmtId="0" fontId="6" fillId="2" borderId="16" xfId="2" applyFill="1" applyBorder="1"/>
    <xf numFmtId="0" fontId="5" fillId="5" borderId="17" xfId="2" applyFont="1" applyFill="1" applyBorder="1"/>
    <xf numFmtId="0" fontId="5" fillId="5" borderId="1" xfId="2" applyFont="1" applyFill="1" applyBorder="1"/>
    <xf numFmtId="0" fontId="5" fillId="5" borderId="18" xfId="2" applyFont="1" applyFill="1" applyBorder="1"/>
    <xf numFmtId="0" fontId="5" fillId="2" borderId="17" xfId="2" applyFont="1" applyFill="1" applyBorder="1"/>
    <xf numFmtId="0" fontId="6" fillId="2" borderId="1" xfId="2" applyFill="1" applyBorder="1"/>
    <xf numFmtId="0" fontId="6" fillId="2" borderId="18" xfId="2" applyFill="1" applyBorder="1"/>
    <xf numFmtId="0" fontId="5" fillId="6" borderId="17" xfId="2" applyFont="1" applyFill="1" applyBorder="1"/>
    <xf numFmtId="0" fontId="5" fillId="6" borderId="1" xfId="2" applyFont="1" applyFill="1" applyBorder="1"/>
    <xf numFmtId="0" fontId="5" fillId="6" borderId="18" xfId="2" applyFont="1" applyFill="1" applyBorder="1"/>
    <xf numFmtId="0" fontId="5" fillId="2" borderId="22" xfId="2" applyFont="1" applyFill="1" applyBorder="1"/>
    <xf numFmtId="0" fontId="6" fillId="2" borderId="23" xfId="2" applyFill="1" applyBorder="1"/>
    <xf numFmtId="0" fontId="6" fillId="2" borderId="24" xfId="2" applyFill="1" applyBorder="1"/>
    <xf numFmtId="0" fontId="5" fillId="2" borderId="25" xfId="2" applyFont="1" applyFill="1" applyBorder="1"/>
    <xf numFmtId="0" fontId="6" fillId="2" borderId="2" xfId="2" applyFill="1" applyBorder="1"/>
    <xf numFmtId="0" fontId="6" fillId="2" borderId="26" xfId="2" applyFill="1" applyBorder="1"/>
    <xf numFmtId="1" fontId="6" fillId="2" borderId="27" xfId="2" applyNumberFormat="1" applyFill="1" applyBorder="1"/>
    <xf numFmtId="1" fontId="6" fillId="2" borderId="28" xfId="2" applyNumberFormat="1" applyFill="1" applyBorder="1"/>
    <xf numFmtId="0" fontId="5" fillId="2" borderId="29" xfId="2" applyFont="1" applyFill="1" applyBorder="1"/>
    <xf numFmtId="0" fontId="6" fillId="2" borderId="30" xfId="2" applyFill="1" applyBorder="1"/>
    <xf numFmtId="0" fontId="5" fillId="2" borderId="32" xfId="2" applyFont="1" applyFill="1" applyBorder="1"/>
    <xf numFmtId="0" fontId="6" fillId="2" borderId="33" xfId="2" applyFill="1" applyBorder="1"/>
    <xf numFmtId="0" fontId="5" fillId="5" borderId="19" xfId="2" applyFont="1" applyFill="1" applyBorder="1"/>
    <xf numFmtId="1" fontId="5" fillId="2" borderId="24" xfId="2" applyNumberFormat="1" applyFont="1" applyFill="1" applyBorder="1"/>
    <xf numFmtId="1" fontId="5" fillId="2" borderId="26" xfId="2" applyNumberFormat="1" applyFont="1" applyFill="1" applyBorder="1"/>
    <xf numFmtId="1" fontId="6" fillId="2" borderId="24" xfId="2" applyNumberFormat="1" applyFill="1" applyBorder="1"/>
    <xf numFmtId="1" fontId="6" fillId="2" borderId="31" xfId="2" applyNumberFormat="1" applyFill="1" applyBorder="1"/>
    <xf numFmtId="1" fontId="6" fillId="2" borderId="26" xfId="2" applyNumberFormat="1" applyFill="1" applyBorder="1"/>
    <xf numFmtId="0" fontId="5" fillId="3" borderId="17" xfId="2" applyFont="1" applyFill="1" applyBorder="1"/>
    <xf numFmtId="0" fontId="6" fillId="3" borderId="1" xfId="2" applyFill="1" applyBorder="1"/>
    <xf numFmtId="0" fontId="6" fillId="3" borderId="18" xfId="2" applyFill="1" applyBorder="1"/>
    <xf numFmtId="0" fontId="6" fillId="5" borderId="1" xfId="2" applyFill="1" applyBorder="1"/>
    <xf numFmtId="0" fontId="6" fillId="5" borderId="18" xfId="2" applyFill="1" applyBorder="1"/>
    <xf numFmtId="0" fontId="6" fillId="5" borderId="20" xfId="2" applyFill="1" applyBorder="1"/>
    <xf numFmtId="0" fontId="6" fillId="5" borderId="21" xfId="2" applyFill="1" applyBorder="1"/>
    <xf numFmtId="0" fontId="5" fillId="2" borderId="22" xfId="2" applyFont="1" applyFill="1" applyBorder="1" applyAlignment="1">
      <alignment horizontal="left" vertical="center"/>
    </xf>
    <xf numFmtId="0" fontId="5" fillId="2" borderId="25" xfId="2" applyFont="1" applyFill="1" applyBorder="1" applyAlignment="1">
      <alignment horizontal="left" vertical="center"/>
    </xf>
    <xf numFmtId="0" fontId="5" fillId="2" borderId="22" xfId="2" applyFont="1" applyFill="1" applyBorder="1" applyAlignment="1">
      <alignment vertical="center"/>
    </xf>
    <xf numFmtId="0" fontId="5" fillId="2" borderId="29" xfId="2" applyFont="1" applyFill="1" applyBorder="1" applyAlignment="1">
      <alignment vertical="center"/>
    </xf>
    <xf numFmtId="0" fontId="5" fillId="2" borderId="25" xfId="2" applyFont="1" applyFill="1" applyBorder="1" applyAlignment="1">
      <alignment vertical="center"/>
    </xf>
    <xf numFmtId="0" fontId="5" fillId="2" borderId="32" xfId="2" applyFont="1" applyFill="1" applyBorder="1" applyAlignment="1">
      <alignment vertical="center"/>
    </xf>
    <xf numFmtId="0" fontId="9" fillId="2" borderId="1" xfId="2" applyFont="1" applyFill="1" applyBorder="1"/>
    <xf numFmtId="0" fontId="9" fillId="2" borderId="15" xfId="2" applyFont="1" applyFill="1" applyBorder="1"/>
    <xf numFmtId="0" fontId="9" fillId="2" borderId="23" xfId="2" applyFont="1" applyFill="1" applyBorder="1"/>
    <xf numFmtId="0" fontId="9" fillId="2" borderId="30" xfId="2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 wrapText="1"/>
    </xf>
    <xf numFmtId="0" fontId="2" fillId="0" borderId="10" xfId="0" applyFont="1" applyBorder="1"/>
    <xf numFmtId="0" fontId="2" fillId="0" borderId="36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168" fontId="2" fillId="0" borderId="18" xfId="0" applyNumberFormat="1" applyFont="1" applyBorder="1"/>
    <xf numFmtId="2" fontId="6" fillId="2" borderId="18" xfId="2" applyNumberFormat="1" applyFill="1" applyBorder="1"/>
    <xf numFmtId="2" fontId="5" fillId="5" borderId="18" xfId="2" applyNumberFormat="1" applyFont="1" applyFill="1" applyBorder="1"/>
    <xf numFmtId="2" fontId="5" fillId="6" borderId="18" xfId="2" applyNumberFormat="1" applyFont="1" applyFill="1" applyBorder="1"/>
    <xf numFmtId="2" fontId="5" fillId="5" borderId="1" xfId="2" applyNumberFormat="1" applyFont="1" applyFill="1" applyBorder="1"/>
    <xf numFmtId="2" fontId="5" fillId="2" borderId="24" xfId="2" applyNumberFormat="1" applyFont="1" applyFill="1" applyBorder="1"/>
    <xf numFmtId="2" fontId="5" fillId="2" borderId="26" xfId="2" applyNumberFormat="1" applyFont="1" applyFill="1" applyBorder="1"/>
    <xf numFmtId="2" fontId="6" fillId="2" borderId="15" xfId="2" applyNumberFormat="1" applyFill="1" applyBorder="1"/>
    <xf numFmtId="2" fontId="6" fillId="2" borderId="16" xfId="2" applyNumberFormat="1" applyFill="1" applyBorder="1"/>
    <xf numFmtId="2" fontId="6" fillId="2" borderId="1" xfId="2" applyNumberFormat="1" applyFill="1" applyBorder="1"/>
    <xf numFmtId="2" fontId="6" fillId="2" borderId="23" xfId="2" applyNumberFormat="1" applyFill="1" applyBorder="1"/>
    <xf numFmtId="2" fontId="6" fillId="2" borderId="24" xfId="2" applyNumberFormat="1" applyFill="1" applyBorder="1"/>
    <xf numFmtId="2" fontId="6" fillId="2" borderId="2" xfId="2" applyNumberFormat="1" applyFill="1" applyBorder="1"/>
    <xf numFmtId="2" fontId="6" fillId="2" borderId="26" xfId="2" applyNumberFormat="1" applyFill="1" applyBorder="1"/>
    <xf numFmtId="2" fontId="5" fillId="6" borderId="1" xfId="2" applyNumberFormat="1" applyFont="1" applyFill="1" applyBorder="1"/>
    <xf numFmtId="2" fontId="6" fillId="2" borderId="33" xfId="2" applyNumberFormat="1" applyFill="1" applyBorder="1"/>
    <xf numFmtId="2" fontId="6" fillId="2" borderId="30" xfId="2" applyNumberFormat="1" applyFill="1" applyBorder="1"/>
    <xf numFmtId="2" fontId="6" fillId="2" borderId="31" xfId="2" applyNumberFormat="1" applyFill="1" applyBorder="1"/>
    <xf numFmtId="2" fontId="5" fillId="2" borderId="45" xfId="2" applyNumberFormat="1" applyFont="1" applyFill="1" applyBorder="1"/>
    <xf numFmtId="2" fontId="6" fillId="3" borderId="1" xfId="2" applyNumberFormat="1" applyFill="1" applyBorder="1"/>
    <xf numFmtId="2" fontId="6" fillId="3" borderId="18" xfId="2" applyNumberFormat="1" applyFill="1" applyBorder="1"/>
    <xf numFmtId="2" fontId="6" fillId="5" borderId="1" xfId="2" applyNumberFormat="1" applyFill="1" applyBorder="1"/>
    <xf numFmtId="2" fontId="6" fillId="5" borderId="18" xfId="2" applyNumberFormat="1" applyFill="1" applyBorder="1"/>
    <xf numFmtId="2" fontId="6" fillId="5" borderId="20" xfId="2" applyNumberFormat="1" applyFill="1" applyBorder="1"/>
    <xf numFmtId="2" fontId="6" fillId="5" borderId="21" xfId="2" applyNumberFormat="1" applyFill="1" applyBorder="1"/>
    <xf numFmtId="0" fontId="6" fillId="6" borderId="1" xfId="2" applyFill="1" applyBorder="1"/>
    <xf numFmtId="0" fontId="6" fillId="6" borderId="18" xfId="2" applyFill="1" applyBorder="1"/>
    <xf numFmtId="2" fontId="6" fillId="6" borderId="1" xfId="2" applyNumberFormat="1" applyFill="1" applyBorder="1"/>
    <xf numFmtId="2" fontId="6" fillId="6" borderId="18" xfId="2" applyNumberFormat="1" applyFill="1" applyBorder="1"/>
    <xf numFmtId="0" fontId="5" fillId="4" borderId="17" xfId="2" applyFont="1" applyFill="1" applyBorder="1"/>
    <xf numFmtId="0" fontId="6" fillId="4" borderId="1" xfId="2" applyFill="1" applyBorder="1"/>
    <xf numFmtId="0" fontId="6" fillId="4" borderId="18" xfId="2" applyFill="1" applyBorder="1"/>
    <xf numFmtId="2" fontId="6" fillId="4" borderId="1" xfId="2" applyNumberFormat="1" applyFill="1" applyBorder="1"/>
    <xf numFmtId="2" fontId="6" fillId="4" borderId="18" xfId="2" applyNumberFormat="1" applyFill="1" applyBorder="1"/>
    <xf numFmtId="0" fontId="9" fillId="6" borderId="23" xfId="2" applyFont="1" applyFill="1" applyBorder="1" applyAlignment="1">
      <alignment vertical="center" wrapText="1"/>
    </xf>
    <xf numFmtId="0" fontId="9" fillId="6" borderId="23" xfId="2" applyFont="1" applyFill="1" applyBorder="1"/>
    <xf numFmtId="0" fontId="9" fillId="6" borderId="24" xfId="2" applyFont="1" applyFill="1" applyBorder="1"/>
    <xf numFmtId="2" fontId="9" fillId="6" borderId="23" xfId="2" applyNumberFormat="1" applyFont="1" applyFill="1" applyBorder="1" applyAlignment="1">
      <alignment vertical="center"/>
    </xf>
    <xf numFmtId="0" fontId="9" fillId="6" borderId="30" xfId="2" applyFont="1" applyFill="1" applyBorder="1" applyAlignment="1">
      <alignment vertical="center" wrapText="1"/>
    </xf>
    <xf numFmtId="0" fontId="9" fillId="6" borderId="30" xfId="2" applyFont="1" applyFill="1" applyBorder="1"/>
    <xf numFmtId="0" fontId="9" fillId="6" borderId="31" xfId="2" applyFont="1" applyFill="1" applyBorder="1"/>
    <xf numFmtId="2" fontId="9" fillId="6" borderId="30" xfId="2" applyNumberFormat="1" applyFont="1" applyFill="1" applyBorder="1" applyAlignment="1">
      <alignment vertical="center"/>
    </xf>
    <xf numFmtId="0" fontId="9" fillId="6" borderId="49" xfId="2" applyFont="1" applyFill="1" applyBorder="1" applyAlignment="1">
      <alignment vertical="center" wrapText="1"/>
    </xf>
    <xf numFmtId="0" fontId="9" fillId="6" borderId="49" xfId="2" applyFont="1" applyFill="1" applyBorder="1"/>
    <xf numFmtId="0" fontId="9" fillId="6" borderId="50" xfId="2" applyFont="1" applyFill="1" applyBorder="1"/>
    <xf numFmtId="2" fontId="9" fillId="6" borderId="49" xfId="2" applyNumberFormat="1" applyFont="1" applyFill="1" applyBorder="1" applyAlignment="1">
      <alignment vertical="center"/>
    </xf>
    <xf numFmtId="2" fontId="9" fillId="6" borderId="24" xfId="2" applyNumberFormat="1" applyFont="1" applyFill="1" applyBorder="1" applyAlignment="1">
      <alignment vertical="center"/>
    </xf>
    <xf numFmtId="0" fontId="6" fillId="0" borderId="0" xfId="2"/>
    <xf numFmtId="2" fontId="9" fillId="6" borderId="31" xfId="2" applyNumberFormat="1" applyFont="1" applyFill="1" applyBorder="1" applyAlignment="1">
      <alignment vertical="center"/>
    </xf>
    <xf numFmtId="2" fontId="9" fillId="6" borderId="50" xfId="2" applyNumberFormat="1" applyFont="1" applyFill="1" applyBorder="1" applyAlignment="1">
      <alignment vertical="center"/>
    </xf>
    <xf numFmtId="0" fontId="6" fillId="2" borderId="51" xfId="2" applyFill="1" applyBorder="1"/>
    <xf numFmtId="0" fontId="6" fillId="2" borderId="52" xfId="2" applyFill="1" applyBorder="1"/>
    <xf numFmtId="0" fontId="5" fillId="5" borderId="53" xfId="2" applyFont="1" applyFill="1" applyBorder="1"/>
    <xf numFmtId="0" fontId="6" fillId="2" borderId="54" xfId="2" applyFill="1" applyBorder="1"/>
    <xf numFmtId="0" fontId="6" fillId="2" borderId="55" xfId="2" applyFill="1" applyBorder="1"/>
    <xf numFmtId="0" fontId="6" fillId="2" borderId="53" xfId="2" applyFill="1" applyBorder="1"/>
    <xf numFmtId="0" fontId="5" fillId="6" borderId="53" xfId="2" applyFont="1" applyFill="1" applyBorder="1"/>
    <xf numFmtId="0" fontId="9" fillId="6" borderId="54" xfId="2" applyFont="1" applyFill="1" applyBorder="1"/>
    <xf numFmtId="0" fontId="9" fillId="6" borderId="55" xfId="2" applyFont="1" applyFill="1" applyBorder="1"/>
    <xf numFmtId="0" fontId="9" fillId="6" borderId="56" xfId="2" applyFont="1" applyFill="1" applyBorder="1"/>
    <xf numFmtId="2" fontId="9" fillId="6" borderId="42" xfId="2" applyNumberFormat="1" applyFont="1" applyFill="1" applyBorder="1" applyAlignment="1">
      <alignment vertical="center"/>
    </xf>
    <xf numFmtId="2" fontId="9" fillId="6" borderId="43" xfId="2" applyNumberFormat="1" applyFont="1" applyFill="1" applyBorder="1" applyAlignment="1">
      <alignment vertical="center"/>
    </xf>
    <xf numFmtId="2" fontId="9" fillId="6" borderId="57" xfId="2" applyNumberFormat="1" applyFont="1" applyFill="1" applyBorder="1" applyAlignment="1">
      <alignment vertical="center"/>
    </xf>
    <xf numFmtId="0" fontId="5" fillId="5" borderId="59" xfId="2" applyFont="1" applyFill="1" applyBorder="1"/>
    <xf numFmtId="1" fontId="6" fillId="2" borderId="60" xfId="2" applyNumberFormat="1" applyFill="1" applyBorder="1"/>
    <xf numFmtId="0" fontId="6" fillId="2" borderId="59" xfId="2" applyFill="1" applyBorder="1"/>
    <xf numFmtId="0" fontId="5" fillId="6" borderId="59" xfId="2" applyFont="1" applyFill="1" applyBorder="1"/>
    <xf numFmtId="0" fontId="9" fillId="6" borderId="27" xfId="2" applyFont="1" applyFill="1" applyBorder="1"/>
    <xf numFmtId="0" fontId="9" fillId="6" borderId="1" xfId="2" applyFont="1" applyFill="1" applyBorder="1"/>
    <xf numFmtId="0" fontId="6" fillId="0" borderId="0" xfId="2"/>
    <xf numFmtId="2" fontId="6" fillId="2" borderId="2" xfId="2" applyNumberFormat="1" applyFont="1" applyFill="1" applyBorder="1"/>
    <xf numFmtId="2" fontId="6" fillId="2" borderId="1" xfId="2" applyNumberFormat="1" applyFont="1" applyFill="1" applyBorder="1"/>
    <xf numFmtId="2" fontId="6" fillId="2" borderId="18" xfId="2" applyNumberFormat="1" applyFont="1" applyFill="1" applyBorder="1"/>
    <xf numFmtId="2" fontId="6" fillId="2" borderId="23" xfId="2" applyNumberFormat="1" applyFont="1" applyFill="1" applyBorder="1"/>
    <xf numFmtId="2" fontId="6" fillId="2" borderId="24" xfId="2" applyNumberFormat="1" applyFont="1" applyFill="1" applyBorder="1"/>
    <xf numFmtId="2" fontId="6" fillId="2" borderId="30" xfId="2" applyNumberFormat="1" applyFont="1" applyFill="1" applyBorder="1"/>
    <xf numFmtId="2" fontId="6" fillId="2" borderId="31" xfId="2" applyNumberFormat="1" applyFont="1" applyFill="1" applyBorder="1"/>
    <xf numFmtId="2" fontId="6" fillId="2" borderId="26" xfId="2" applyNumberFormat="1" applyFont="1" applyFill="1" applyBorder="1"/>
    <xf numFmtId="2" fontId="9" fillId="2" borderId="15" xfId="2" applyNumberFormat="1" applyFont="1" applyFill="1" applyBorder="1"/>
    <xf numFmtId="2" fontId="9" fillId="2" borderId="16" xfId="2" applyNumberFormat="1" applyFont="1" applyFill="1" applyBorder="1"/>
    <xf numFmtId="2" fontId="9" fillId="2" borderId="26" xfId="2" applyNumberFormat="1" applyFont="1" applyFill="1" applyBorder="1"/>
    <xf numFmtId="2" fontId="9" fillId="5" borderId="1" xfId="2" applyNumberFormat="1" applyFont="1" applyFill="1" applyBorder="1"/>
    <xf numFmtId="2" fontId="9" fillId="5" borderId="18" xfId="2" applyNumberFormat="1" applyFont="1" applyFill="1" applyBorder="1"/>
    <xf numFmtId="2" fontId="9" fillId="2" borderId="24" xfId="2" applyNumberFormat="1" applyFont="1" applyFill="1" applyBorder="1"/>
    <xf numFmtId="2" fontId="9" fillId="6" borderId="1" xfId="2" applyNumberFormat="1" applyFont="1" applyFill="1" applyBorder="1"/>
    <xf numFmtId="2" fontId="9" fillId="6" borderId="18" xfId="2" applyNumberFormat="1" applyFont="1" applyFill="1" applyBorder="1"/>
    <xf numFmtId="0" fontId="9" fillId="2" borderId="14" xfId="2" applyFont="1" applyFill="1" applyBorder="1"/>
    <xf numFmtId="0" fontId="9" fillId="2" borderId="16" xfId="2" applyFont="1" applyFill="1" applyBorder="1"/>
    <xf numFmtId="0" fontId="9" fillId="5" borderId="17" xfId="2" applyFont="1" applyFill="1" applyBorder="1"/>
    <xf numFmtId="0" fontId="9" fillId="5" borderId="1" xfId="2" applyFont="1" applyFill="1" applyBorder="1"/>
    <xf numFmtId="0" fontId="9" fillId="5" borderId="18" xfId="2" applyFont="1" applyFill="1" applyBorder="1"/>
    <xf numFmtId="0" fontId="9" fillId="2" borderId="22" xfId="2" applyFont="1" applyFill="1" applyBorder="1"/>
    <xf numFmtId="1" fontId="9" fillId="2" borderId="24" xfId="2" applyNumberFormat="1" applyFont="1" applyFill="1" applyBorder="1"/>
    <xf numFmtId="2" fontId="9" fillId="2" borderId="22" xfId="2" applyNumberFormat="1" applyFont="1" applyFill="1" applyBorder="1"/>
    <xf numFmtId="2" fontId="9" fillId="2" borderId="23" xfId="2" applyNumberFormat="1" applyFont="1" applyFill="1" applyBorder="1"/>
    <xf numFmtId="0" fontId="9" fillId="2" borderId="25" xfId="2" applyFont="1" applyFill="1" applyBorder="1"/>
    <xf numFmtId="0" fontId="9" fillId="2" borderId="2" xfId="2" applyFont="1" applyFill="1" applyBorder="1"/>
    <xf numFmtId="1" fontId="9" fillId="2" borderId="26" xfId="2" applyNumberFormat="1" applyFont="1" applyFill="1" applyBorder="1"/>
    <xf numFmtId="2" fontId="9" fillId="2" borderId="25" xfId="2" applyNumberFormat="1" applyFont="1" applyFill="1" applyBorder="1"/>
    <xf numFmtId="2" fontId="9" fillId="2" borderId="2" xfId="2" applyNumberFormat="1" applyFont="1" applyFill="1" applyBorder="1"/>
    <xf numFmtId="0" fontId="9" fillId="2" borderId="17" xfId="2" applyFont="1" applyFill="1" applyBorder="1"/>
    <xf numFmtId="0" fontId="9" fillId="2" borderId="18" xfId="2" applyFont="1" applyFill="1" applyBorder="1"/>
    <xf numFmtId="0" fontId="9" fillId="5" borderId="19" xfId="2" applyFont="1" applyFill="1" applyBorder="1"/>
    <xf numFmtId="0" fontId="9" fillId="5" borderId="20" xfId="2" applyFont="1" applyFill="1" applyBorder="1"/>
    <xf numFmtId="0" fontId="9" fillId="5" borderId="21" xfId="2" applyFont="1" applyFill="1" applyBorder="1"/>
    <xf numFmtId="2" fontId="9" fillId="5" borderId="20" xfId="2" applyNumberFormat="1" applyFont="1" applyFill="1" applyBorder="1"/>
    <xf numFmtId="2" fontId="9" fillId="5" borderId="21" xfId="2" applyNumberFormat="1" applyFont="1" applyFill="1" applyBorder="1"/>
    <xf numFmtId="0" fontId="6" fillId="2" borderId="33" xfId="2" applyFont="1" applyFill="1" applyBorder="1"/>
    <xf numFmtId="0" fontId="6" fillId="2" borderId="51" xfId="2" applyFont="1" applyFill="1" applyBorder="1"/>
    <xf numFmtId="1" fontId="6" fillId="2" borderId="58" xfId="2" applyNumberFormat="1" applyFont="1" applyFill="1" applyBorder="1"/>
    <xf numFmtId="2" fontId="6" fillId="2" borderId="39" xfId="2" applyNumberFormat="1" applyFont="1" applyFill="1" applyBorder="1"/>
    <xf numFmtId="2" fontId="6" fillId="2" borderId="33" xfId="2" applyNumberFormat="1" applyFont="1" applyFill="1" applyBorder="1"/>
    <xf numFmtId="2" fontId="6" fillId="2" borderId="45" xfId="2" applyNumberFormat="1" applyFont="1" applyFill="1" applyBorder="1"/>
    <xf numFmtId="0" fontId="6" fillId="2" borderId="2" xfId="2" applyFont="1" applyFill="1" applyBorder="1"/>
    <xf numFmtId="0" fontId="6" fillId="2" borderId="52" xfId="2" applyFont="1" applyFill="1" applyBorder="1"/>
    <xf numFmtId="1" fontId="6" fillId="2" borderId="28" xfId="2" applyNumberFormat="1" applyFont="1" applyFill="1" applyBorder="1"/>
    <xf numFmtId="2" fontId="6" fillId="2" borderId="40" xfId="2" applyNumberFormat="1" applyFont="1" applyFill="1" applyBorder="1"/>
    <xf numFmtId="0" fontId="6" fillId="2" borderId="23" xfId="2" applyFont="1" applyFill="1" applyBorder="1"/>
    <xf numFmtId="0" fontId="6" fillId="2" borderId="54" xfId="2" applyFont="1" applyFill="1" applyBorder="1"/>
    <xf numFmtId="1" fontId="6" fillId="2" borderId="27" xfId="2" applyNumberFormat="1" applyFont="1" applyFill="1" applyBorder="1"/>
    <xf numFmtId="2" fontId="6" fillId="2" borderId="42" xfId="2" applyNumberFormat="1" applyFont="1" applyFill="1" applyBorder="1"/>
    <xf numFmtId="0" fontId="6" fillId="2" borderId="30" xfId="2" applyFont="1" applyFill="1" applyBorder="1"/>
    <xf numFmtId="0" fontId="6" fillId="2" borderId="55" xfId="2" applyFont="1" applyFill="1" applyBorder="1"/>
    <xf numFmtId="1" fontId="6" fillId="2" borderId="60" xfId="2" applyNumberFormat="1" applyFont="1" applyFill="1" applyBorder="1"/>
    <xf numFmtId="2" fontId="6" fillId="2" borderId="43" xfId="2" applyNumberFormat="1" applyFont="1" applyFill="1" applyBorder="1"/>
    <xf numFmtId="0" fontId="6" fillId="2" borderId="1" xfId="2" applyFont="1" applyFill="1" applyBorder="1"/>
    <xf numFmtId="0" fontId="6" fillId="2" borderId="53" xfId="2" applyFont="1" applyFill="1" applyBorder="1"/>
    <xf numFmtId="0" fontId="6" fillId="2" borderId="59" xfId="2" applyFont="1" applyFill="1" applyBorder="1"/>
    <xf numFmtId="2" fontId="6" fillId="2" borderId="41" xfId="2" applyNumberFormat="1" applyFont="1" applyFill="1" applyBorder="1"/>
    <xf numFmtId="0" fontId="9" fillId="2" borderId="32" xfId="2" applyFont="1" applyFill="1" applyBorder="1"/>
    <xf numFmtId="0" fontId="9" fillId="5" borderId="53" xfId="2" applyFont="1" applyFill="1" applyBorder="1"/>
    <xf numFmtId="0" fontId="9" fillId="5" borderId="59" xfId="2" applyFont="1" applyFill="1" applyBorder="1"/>
    <xf numFmtId="2" fontId="9" fillId="5" borderId="41" xfId="2" applyNumberFormat="1" applyFont="1" applyFill="1" applyBorder="1"/>
    <xf numFmtId="0" fontId="9" fillId="5" borderId="27" xfId="2" applyFont="1" applyFill="1" applyBorder="1"/>
    <xf numFmtId="2" fontId="9" fillId="5" borderId="24" xfId="2" applyNumberFormat="1" applyFont="1" applyFill="1" applyBorder="1"/>
    <xf numFmtId="0" fontId="9" fillId="2" borderId="29" xfId="2" applyFont="1" applyFill="1" applyBorder="1"/>
    <xf numFmtId="0" fontId="9" fillId="6" borderId="17" xfId="2" applyFont="1" applyFill="1" applyBorder="1"/>
    <xf numFmtId="0" fontId="9" fillId="6" borderId="53" xfId="2" applyFont="1" applyFill="1" applyBorder="1"/>
    <xf numFmtId="0" fontId="9" fillId="6" borderId="59" xfId="2" applyFont="1" applyFill="1" applyBorder="1"/>
    <xf numFmtId="2" fontId="9" fillId="6" borderId="41" xfId="2" applyNumberFormat="1" applyFont="1" applyFill="1" applyBorder="1"/>
    <xf numFmtId="1" fontId="5" fillId="2" borderId="58" xfId="2" applyNumberFormat="1" applyFont="1" applyFill="1" applyBorder="1"/>
    <xf numFmtId="1" fontId="5" fillId="2" borderId="28" xfId="2" applyNumberFormat="1" applyFont="1" applyFill="1" applyBorder="1"/>
    <xf numFmtId="1" fontId="5" fillId="2" borderId="27" xfId="2" applyNumberFormat="1" applyFont="1" applyFill="1" applyBorder="1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9" fillId="2" borderId="62" xfId="2" applyFont="1" applyFill="1" applyBorder="1"/>
    <xf numFmtId="0" fontId="9" fillId="2" borderId="63" xfId="2" applyFont="1" applyFill="1" applyBorder="1"/>
    <xf numFmtId="0" fontId="9" fillId="2" borderId="53" xfId="2" applyFont="1" applyFill="1" applyBorder="1"/>
    <xf numFmtId="0" fontId="9" fillId="2" borderId="59" xfId="2" applyFont="1" applyFill="1" applyBorder="1"/>
    <xf numFmtId="0" fontId="9" fillId="6" borderId="2" xfId="2" applyFont="1" applyFill="1" applyBorder="1"/>
    <xf numFmtId="0" fontId="9" fillId="6" borderId="52" xfId="2" applyFont="1" applyFill="1" applyBorder="1"/>
    <xf numFmtId="0" fontId="9" fillId="6" borderId="28" xfId="2" applyFont="1" applyFill="1" applyBorder="1"/>
    <xf numFmtId="0" fontId="6" fillId="0" borderId="0" xfId="2"/>
    <xf numFmtId="2" fontId="2" fillId="0" borderId="0" xfId="0" applyNumberFormat="1" applyFont="1" applyAlignment="1">
      <alignment horizontal="center"/>
    </xf>
    <xf numFmtId="0" fontId="2" fillId="2" borderId="17" xfId="0" applyFont="1" applyFill="1" applyBorder="1"/>
    <xf numFmtId="0" fontId="2" fillId="0" borderId="1" xfId="0" applyFont="1" applyBorder="1"/>
    <xf numFmtId="1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5" borderId="17" xfId="0" applyFont="1" applyFill="1" applyBorder="1"/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/>
    <xf numFmtId="10" fontId="2" fillId="3" borderId="1" xfId="1" applyNumberFormat="1" applyFont="1" applyFill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168" fontId="2" fillId="2" borderId="18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10" fontId="2" fillId="4" borderId="1" xfId="1" applyNumberFormat="1" applyFont="1" applyFill="1" applyBorder="1" applyAlignment="1">
      <alignment horizontal="center"/>
    </xf>
    <xf numFmtId="0" fontId="2" fillId="0" borderId="33" xfId="0" applyFont="1" applyBorder="1"/>
    <xf numFmtId="10" fontId="2" fillId="0" borderId="33" xfId="1" applyNumberFormat="1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0" fontId="2" fillId="0" borderId="33" xfId="1" applyNumberFormat="1" applyFont="1" applyBorder="1" applyAlignment="1">
      <alignment horizontal="center" vertical="center"/>
    </xf>
    <xf numFmtId="0" fontId="2" fillId="0" borderId="2" xfId="0" applyFont="1" applyBorder="1"/>
    <xf numFmtId="10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2" fillId="0" borderId="23" xfId="0" applyFont="1" applyBorder="1"/>
    <xf numFmtId="10" fontId="2" fillId="0" borderId="23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0" fontId="2" fillId="0" borderId="23" xfId="1" applyNumberFormat="1" applyFont="1" applyBorder="1" applyAlignment="1">
      <alignment horizontal="center" vertical="center"/>
    </xf>
    <xf numFmtId="0" fontId="2" fillId="0" borderId="30" xfId="0" applyFont="1" applyBorder="1"/>
    <xf numFmtId="10" fontId="2" fillId="0" borderId="30" xfId="1" applyNumberFormat="1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8" fontId="2" fillId="0" borderId="30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0" fontId="2" fillId="0" borderId="30" xfId="1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10" fontId="2" fillId="0" borderId="23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49" xfId="0" applyFont="1" applyBorder="1"/>
    <xf numFmtId="10" fontId="2" fillId="0" borderId="49" xfId="1" applyNumberFormat="1" applyFont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0" fontId="2" fillId="0" borderId="22" xfId="0" applyFont="1" applyBorder="1"/>
    <xf numFmtId="0" fontId="2" fillId="0" borderId="44" xfId="0" applyFont="1" applyBorder="1"/>
    <xf numFmtId="0" fontId="2" fillId="0" borderId="64" xfId="0" applyFont="1" applyBorder="1"/>
    <xf numFmtId="0" fontId="2" fillId="0" borderId="24" xfId="0" applyFont="1" applyBorder="1"/>
    <xf numFmtId="168" fontId="2" fillId="0" borderId="1" xfId="0" applyNumberFormat="1" applyFont="1" applyBorder="1"/>
    <xf numFmtId="1" fontId="2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/>
    <xf numFmtId="10" fontId="2" fillId="3" borderId="1" xfId="1" applyNumberFormat="1" applyFont="1" applyFill="1" applyBorder="1" applyAlignment="1">
      <alignment horizontal="center" vertical="center"/>
    </xf>
    <xf numFmtId="168" fontId="10" fillId="0" borderId="1" xfId="0" applyNumberFormat="1" applyFont="1" applyBorder="1"/>
    <xf numFmtId="10" fontId="2" fillId="0" borderId="33" xfId="0" applyNumberFormat="1" applyFont="1" applyBorder="1" applyAlignment="1">
      <alignment horizontal="center" vertical="center"/>
    </xf>
    <xf numFmtId="168" fontId="0" fillId="0" borderId="33" xfId="0" applyNumberFormat="1" applyBorder="1" applyAlignment="1">
      <alignment vertical="center"/>
    </xf>
    <xf numFmtId="168" fontId="2" fillId="0" borderId="33" xfId="0" applyNumberFormat="1" applyFont="1" applyBorder="1"/>
    <xf numFmtId="168" fontId="10" fillId="0" borderId="45" xfId="0" applyNumberFormat="1" applyFont="1" applyBorder="1"/>
    <xf numFmtId="10" fontId="2" fillId="0" borderId="2" xfId="0" applyNumberFormat="1" applyFont="1" applyBorder="1" applyAlignment="1">
      <alignment horizontal="center" vertical="center"/>
    </xf>
    <xf numFmtId="168" fontId="0" fillId="0" borderId="2" xfId="0" applyNumberFormat="1" applyBorder="1" applyAlignment="1">
      <alignment vertical="center"/>
    </xf>
    <xf numFmtId="168" fontId="2" fillId="0" borderId="2" xfId="0" applyNumberFormat="1" applyFont="1" applyBorder="1"/>
    <xf numFmtId="168" fontId="10" fillId="0" borderId="26" xfId="0" applyNumberFormat="1" applyFont="1" applyBorder="1"/>
    <xf numFmtId="168" fontId="0" fillId="0" borderId="23" xfId="0" applyNumberFormat="1" applyBorder="1"/>
    <xf numFmtId="168" fontId="2" fillId="0" borderId="23" xfId="0" applyNumberFormat="1" applyFont="1" applyBorder="1"/>
    <xf numFmtId="168" fontId="2" fillId="0" borderId="24" xfId="0" applyNumberFormat="1" applyFont="1" applyBorder="1"/>
    <xf numFmtId="168" fontId="0" fillId="0" borderId="2" xfId="0" applyNumberFormat="1" applyBorder="1"/>
    <xf numFmtId="168" fontId="2" fillId="0" borderId="26" xfId="0" applyNumberFormat="1" applyFont="1" applyBorder="1"/>
    <xf numFmtId="166" fontId="2" fillId="0" borderId="23" xfId="1" applyNumberFormat="1" applyFont="1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8" fontId="10" fillId="0" borderId="24" xfId="0" applyNumberFormat="1" applyFont="1" applyBorder="1"/>
    <xf numFmtId="168" fontId="0" fillId="0" borderId="30" xfId="0" applyNumberFormat="1" applyBorder="1" applyAlignment="1">
      <alignment vertical="center"/>
    </xf>
    <xf numFmtId="168" fontId="2" fillId="0" borderId="30" xfId="0" applyNumberFormat="1" applyFont="1" applyBorder="1"/>
    <xf numFmtId="168" fontId="2" fillId="0" borderId="31" xfId="0" applyNumberFormat="1" applyFont="1" applyBorder="1"/>
    <xf numFmtId="168" fontId="0" fillId="0" borderId="49" xfId="0" applyNumberFormat="1" applyBorder="1" applyAlignment="1">
      <alignment vertical="center"/>
    </xf>
    <xf numFmtId="168" fontId="2" fillId="0" borderId="49" xfId="0" applyNumberFormat="1" applyFont="1" applyBorder="1"/>
    <xf numFmtId="168" fontId="2" fillId="0" borderId="50" xfId="0" applyNumberFormat="1" applyFont="1" applyBorder="1"/>
    <xf numFmtId="10" fontId="2" fillId="5" borderId="1" xfId="1" applyNumberFormat="1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167" fontId="2" fillId="0" borderId="23" xfId="0" applyNumberFormat="1" applyFont="1" applyBorder="1" applyAlignment="1">
      <alignment horizontal="center" vertical="center"/>
    </xf>
    <xf numFmtId="10" fontId="2" fillId="0" borderId="30" xfId="0" applyNumberFormat="1" applyFont="1" applyBorder="1" applyAlignment="1">
      <alignment horizontal="center" vertical="center"/>
    </xf>
    <xf numFmtId="167" fontId="2" fillId="0" borderId="30" xfId="0" applyNumberFormat="1" applyFont="1" applyBorder="1" applyAlignment="1">
      <alignment horizontal="center" vertical="center"/>
    </xf>
    <xf numFmtId="10" fontId="2" fillId="0" borderId="49" xfId="0" applyNumberFormat="1" applyFont="1" applyBorder="1" applyAlignment="1">
      <alignment horizontal="center" vertical="center"/>
    </xf>
    <xf numFmtId="0" fontId="12" fillId="2" borderId="0" xfId="0" applyFont="1" applyFill="1"/>
    <xf numFmtId="168" fontId="2" fillId="0" borderId="0" xfId="0" applyNumberFormat="1" applyFont="1" applyAlignment="1">
      <alignment horizontal="center"/>
    </xf>
    <xf numFmtId="168" fontId="6" fillId="0" borderId="0" xfId="2" applyNumberFormat="1" applyAlignment="1">
      <alignment horizontal="center"/>
    </xf>
    <xf numFmtId="2" fontId="6" fillId="0" borderId="0" xfId="2" applyNumberFormat="1" applyAlignment="1">
      <alignment horizontal="center" vertical="center"/>
    </xf>
    <xf numFmtId="2" fontId="9" fillId="2" borderId="17" xfId="2" applyNumberFormat="1" applyFont="1" applyFill="1" applyBorder="1"/>
    <xf numFmtId="2" fontId="9" fillId="2" borderId="1" xfId="2" applyNumberFormat="1" applyFont="1" applyFill="1" applyBorder="1"/>
    <xf numFmtId="2" fontId="9" fillId="2" borderId="18" xfId="2" applyNumberFormat="1" applyFont="1" applyFill="1" applyBorder="1"/>
    <xf numFmtId="2" fontId="9" fillId="2" borderId="32" xfId="2" applyNumberFormat="1" applyFont="1" applyFill="1" applyBorder="1"/>
    <xf numFmtId="2" fontId="9" fillId="2" borderId="33" xfId="2" applyNumberFormat="1" applyFont="1" applyFill="1" applyBorder="1"/>
    <xf numFmtId="2" fontId="9" fillId="2" borderId="45" xfId="2" applyNumberFormat="1" applyFont="1" applyFill="1" applyBorder="1"/>
    <xf numFmtId="2" fontId="6" fillId="2" borderId="25" xfId="2" applyNumberFormat="1" applyFont="1" applyFill="1" applyBorder="1"/>
    <xf numFmtId="0" fontId="6" fillId="3" borderId="23" xfId="2" applyFill="1" applyBorder="1"/>
    <xf numFmtId="2" fontId="6" fillId="3" borderId="23" xfId="2" applyNumberFormat="1" applyFill="1" applyBorder="1"/>
    <xf numFmtId="2" fontId="6" fillId="3" borderId="24" xfId="2" applyNumberFormat="1" applyFill="1" applyBorder="1"/>
    <xf numFmtId="0" fontId="6" fillId="3" borderId="49" xfId="2" applyFill="1" applyBorder="1"/>
    <xf numFmtId="2" fontId="6" fillId="3" borderId="49" xfId="2" applyNumberFormat="1" applyFill="1" applyBorder="1"/>
    <xf numFmtId="2" fontId="6" fillId="3" borderId="50" xfId="2" applyNumberFormat="1" applyFill="1" applyBorder="1"/>
    <xf numFmtId="1" fontId="9" fillId="6" borderId="27" xfId="2" applyNumberFormat="1" applyFont="1" applyFill="1" applyBorder="1"/>
    <xf numFmtId="1" fontId="9" fillId="6" borderId="60" xfId="2" applyNumberFormat="1" applyFont="1" applyFill="1" applyBorder="1"/>
    <xf numFmtId="1" fontId="9" fillId="6" borderId="28" xfId="2" applyNumberFormat="1" applyFont="1" applyFill="1" applyBorder="1"/>
    <xf numFmtId="1" fontId="9" fillId="6" borderId="27" xfId="2" applyNumberFormat="1" applyFont="1" applyFill="1" applyBorder="1" applyAlignment="1">
      <alignment vertical="center"/>
    </xf>
    <xf numFmtId="1" fontId="9" fillId="6" borderId="60" xfId="2" applyNumberFormat="1" applyFont="1" applyFill="1" applyBorder="1" applyAlignment="1">
      <alignment vertical="center"/>
    </xf>
    <xf numFmtId="1" fontId="9" fillId="6" borderId="61" xfId="2" applyNumberFormat="1" applyFont="1" applyFill="1" applyBorder="1" applyAlignment="1">
      <alignment vertical="center"/>
    </xf>
    <xf numFmtId="1" fontId="9" fillId="6" borderId="61" xfId="2" applyNumberFormat="1" applyFont="1" applyFill="1" applyBorder="1"/>
    <xf numFmtId="9" fontId="6" fillId="3" borderId="24" xfId="2" applyNumberFormat="1" applyFill="1" applyBorder="1"/>
    <xf numFmtId="9" fontId="6" fillId="3" borderId="50" xfId="2" applyNumberFormat="1" applyFill="1" applyBorder="1"/>
    <xf numFmtId="2" fontId="9" fillId="6" borderId="23" xfId="2" applyNumberFormat="1" applyFont="1" applyFill="1" applyBorder="1"/>
    <xf numFmtId="2" fontId="9" fillId="6" borderId="24" xfId="2" applyNumberFormat="1" applyFont="1" applyFill="1" applyBorder="1"/>
    <xf numFmtId="2" fontId="9" fillId="6" borderId="2" xfId="2" applyNumberFormat="1" applyFont="1" applyFill="1" applyBorder="1"/>
    <xf numFmtId="2" fontId="9" fillId="6" borderId="26" xfId="2" applyNumberFormat="1" applyFont="1" applyFill="1" applyBorder="1"/>
    <xf numFmtId="2" fontId="9" fillId="6" borderId="30" xfId="2" applyNumberFormat="1" applyFont="1" applyFill="1" applyBorder="1"/>
    <xf numFmtId="2" fontId="9" fillId="6" borderId="31" xfId="2" applyNumberFormat="1" applyFont="1" applyFill="1" applyBorder="1"/>
    <xf numFmtId="168" fontId="9" fillId="6" borderId="48" xfId="2" applyNumberFormat="1" applyFont="1" applyFill="1" applyBorder="1" applyAlignment="1">
      <alignment horizontal="right" vertical="center"/>
    </xf>
    <xf numFmtId="168" fontId="9" fillId="6" borderId="46" xfId="2" applyNumberFormat="1" applyFont="1" applyFill="1" applyBorder="1" applyAlignment="1">
      <alignment horizontal="right" vertical="center"/>
    </xf>
    <xf numFmtId="2" fontId="9" fillId="3" borderId="41" xfId="2" applyNumberFormat="1" applyFont="1" applyFill="1" applyBorder="1" applyAlignment="1">
      <alignment vertical="center"/>
    </xf>
    <xf numFmtId="2" fontId="9" fillId="3" borderId="1" xfId="2" applyNumberFormat="1" applyFont="1" applyFill="1" applyBorder="1" applyAlignment="1">
      <alignment vertical="center"/>
    </xf>
    <xf numFmtId="2" fontId="9" fillId="3" borderId="18" xfId="2" applyNumberFormat="1" applyFont="1" applyFill="1" applyBorder="1" applyAlignment="1">
      <alignment vertical="center"/>
    </xf>
    <xf numFmtId="0" fontId="12" fillId="0" borderId="0" xfId="0" applyFont="1" applyFill="1"/>
    <xf numFmtId="0" fontId="2" fillId="0" borderId="0" xfId="0" applyFont="1" applyFill="1" applyAlignment="1">
      <alignment horizontal="right" vertical="center"/>
    </xf>
    <xf numFmtId="0" fontId="6" fillId="0" borderId="0" xfId="2" applyFill="1"/>
    <xf numFmtId="2" fontId="6" fillId="0" borderId="0" xfId="2" applyNumberFormat="1" applyFill="1" applyAlignment="1">
      <alignment horizontal="center" vertical="center"/>
    </xf>
    <xf numFmtId="2" fontId="6" fillId="7" borderId="41" xfId="2" applyNumberFormat="1" applyFont="1" applyFill="1" applyBorder="1"/>
    <xf numFmtId="2" fontId="6" fillId="7" borderId="1" xfId="2" applyNumberFormat="1" applyFont="1" applyFill="1" applyBorder="1"/>
    <xf numFmtId="2" fontId="6" fillId="7" borderId="18" xfId="2" applyNumberFormat="1" applyFont="1" applyFill="1" applyBorder="1"/>
    <xf numFmtId="0" fontId="6" fillId="0" borderId="0" xfId="2"/>
    <xf numFmtId="0" fontId="13" fillId="0" borderId="0" xfId="2" applyFont="1" applyFill="1" applyBorder="1"/>
    <xf numFmtId="2" fontId="9" fillId="5" borderId="10" xfId="2" applyNumberFormat="1" applyFont="1" applyFill="1" applyBorder="1"/>
    <xf numFmtId="0" fontId="9" fillId="5" borderId="64" xfId="2" applyFont="1" applyFill="1" applyBorder="1"/>
    <xf numFmtId="2" fontId="6" fillId="5" borderId="41" xfId="2" applyNumberFormat="1" applyFont="1" applyFill="1" applyBorder="1"/>
    <xf numFmtId="2" fontId="6" fillId="5" borderId="1" xfId="2" applyNumberFormat="1" applyFont="1" applyFill="1" applyBorder="1"/>
    <xf numFmtId="2" fontId="6" fillId="5" borderId="18" xfId="2" applyNumberFormat="1" applyFont="1" applyFill="1" applyBorder="1"/>
    <xf numFmtId="0" fontId="9" fillId="5" borderId="10" xfId="2" applyFont="1" applyFill="1" applyBorder="1"/>
    <xf numFmtId="0" fontId="9" fillId="5" borderId="73" xfId="2" applyFont="1" applyFill="1" applyBorder="1"/>
    <xf numFmtId="2" fontId="9" fillId="5" borderId="9" xfId="2" applyNumberFormat="1" applyFont="1" applyFill="1" applyBorder="1"/>
    <xf numFmtId="0" fontId="14" fillId="4" borderId="9" xfId="2" applyFont="1" applyFill="1" applyBorder="1"/>
    <xf numFmtId="0" fontId="14" fillId="4" borderId="23" xfId="2" applyFont="1" applyFill="1" applyBorder="1"/>
    <xf numFmtId="2" fontId="14" fillId="4" borderId="41" xfId="2" applyNumberFormat="1" applyFont="1" applyFill="1" applyBorder="1"/>
    <xf numFmtId="2" fontId="14" fillId="4" borderId="1" xfId="2" applyNumberFormat="1" applyFont="1" applyFill="1" applyBorder="1"/>
    <xf numFmtId="0" fontId="14" fillId="4" borderId="1" xfId="2" applyFont="1" applyFill="1" applyBorder="1"/>
    <xf numFmtId="0" fontId="14" fillId="4" borderId="10" xfId="2" applyFont="1" applyFill="1" applyBorder="1"/>
    <xf numFmtId="2" fontId="14" fillId="4" borderId="18" xfId="2" applyNumberFormat="1" applyFont="1" applyFill="1" applyBorder="1"/>
    <xf numFmtId="0" fontId="14" fillId="4" borderId="64" xfId="2" applyFont="1" applyFill="1" applyBorder="1" applyAlignment="1">
      <alignment vertical="center"/>
    </xf>
    <xf numFmtId="0" fontId="14" fillId="4" borderId="23" xfId="2" applyFont="1" applyFill="1" applyBorder="1" applyAlignment="1">
      <alignment vertical="center" wrapText="1"/>
    </xf>
    <xf numFmtId="0" fontId="14" fillId="4" borderId="44" xfId="2" applyFont="1" applyFill="1" applyBorder="1"/>
    <xf numFmtId="1" fontId="14" fillId="4" borderId="74" xfId="2" applyNumberFormat="1" applyFont="1" applyFill="1" applyBorder="1"/>
    <xf numFmtId="0" fontId="14" fillId="4" borderId="3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 wrapText="1"/>
    </xf>
    <xf numFmtId="0" fontId="14" fillId="4" borderId="4" xfId="2" applyFont="1" applyFill="1" applyBorder="1"/>
    <xf numFmtId="0" fontId="14" fillId="4" borderId="5" xfId="2" applyFont="1" applyFill="1" applyBorder="1"/>
    <xf numFmtId="1" fontId="14" fillId="4" borderId="38" xfId="2" applyNumberFormat="1" applyFont="1" applyFill="1" applyBorder="1"/>
    <xf numFmtId="0" fontId="6" fillId="2" borderId="66" xfId="2" applyFont="1" applyFill="1" applyBorder="1"/>
    <xf numFmtId="0" fontId="6" fillId="2" borderId="67" xfId="2" applyFont="1" applyFill="1" applyBorder="1"/>
    <xf numFmtId="2" fontId="6" fillId="2" borderId="65" xfId="2" applyNumberFormat="1" applyFont="1" applyFill="1" applyBorder="1"/>
    <xf numFmtId="2" fontId="6" fillId="2" borderId="66" xfId="2" applyNumberFormat="1" applyFont="1" applyFill="1" applyBorder="1"/>
    <xf numFmtId="0" fontId="6" fillId="2" borderId="69" xfId="2" applyFont="1" applyFill="1" applyBorder="1"/>
    <xf numFmtId="2" fontId="6" fillId="2" borderId="68" xfId="2" applyNumberFormat="1" applyFont="1" applyFill="1" applyBorder="1"/>
    <xf numFmtId="0" fontId="6" fillId="2" borderId="44" xfId="2" applyFont="1" applyFill="1" applyBorder="1"/>
    <xf numFmtId="1" fontId="6" fillId="2" borderId="74" xfId="2" applyNumberFormat="1" applyFont="1" applyFill="1" applyBorder="1"/>
    <xf numFmtId="2" fontId="6" fillId="2" borderId="64" xfId="2" applyNumberFormat="1" applyFont="1" applyFill="1" applyBorder="1"/>
    <xf numFmtId="2" fontId="6" fillId="2" borderId="44" xfId="2" applyNumberFormat="1" applyFont="1" applyFill="1" applyBorder="1"/>
    <xf numFmtId="0" fontId="6" fillId="2" borderId="71" xfId="2" applyFont="1" applyFill="1" applyBorder="1"/>
    <xf numFmtId="1" fontId="6" fillId="2" borderId="0" xfId="2" applyNumberFormat="1" applyFont="1" applyFill="1" applyBorder="1"/>
    <xf numFmtId="2" fontId="6" fillId="2" borderId="69" xfId="2" applyNumberFormat="1" applyFont="1" applyFill="1" applyBorder="1"/>
    <xf numFmtId="0" fontId="6" fillId="2" borderId="10" xfId="2" applyFont="1" applyFill="1" applyBorder="1"/>
    <xf numFmtId="0" fontId="6" fillId="2" borderId="73" xfId="2" applyFont="1" applyFill="1" applyBorder="1"/>
    <xf numFmtId="2" fontId="6" fillId="2" borderId="9" xfId="2" applyNumberFormat="1" applyFont="1" applyFill="1" applyBorder="1"/>
    <xf numFmtId="2" fontId="6" fillId="2" borderId="10" xfId="2" applyNumberFormat="1" applyFont="1" applyFill="1" applyBorder="1"/>
    <xf numFmtId="0" fontId="6" fillId="5" borderId="1" xfId="2" applyFont="1" applyFill="1" applyBorder="1"/>
    <xf numFmtId="0" fontId="6" fillId="5" borderId="10" xfId="2" applyFont="1" applyFill="1" applyBorder="1"/>
    <xf numFmtId="0" fontId="6" fillId="5" borderId="73" xfId="2" applyFont="1" applyFill="1" applyBorder="1"/>
    <xf numFmtId="2" fontId="6" fillId="5" borderId="9" xfId="2" applyNumberFormat="1" applyFont="1" applyFill="1" applyBorder="1"/>
    <xf numFmtId="2" fontId="6" fillId="5" borderId="10" xfId="2" applyNumberFormat="1" applyFont="1" applyFill="1" applyBorder="1"/>
    <xf numFmtId="0" fontId="6" fillId="7" borderId="1" xfId="2" applyFont="1" applyFill="1" applyBorder="1"/>
    <xf numFmtId="0" fontId="6" fillId="7" borderId="10" xfId="2" applyFont="1" applyFill="1" applyBorder="1"/>
    <xf numFmtId="0" fontId="6" fillId="7" borderId="73" xfId="2" applyFont="1" applyFill="1" applyBorder="1"/>
    <xf numFmtId="2" fontId="6" fillId="7" borderId="9" xfId="2" applyNumberFormat="1" applyFont="1" applyFill="1" applyBorder="1"/>
    <xf numFmtId="2" fontId="6" fillId="7" borderId="10" xfId="2" applyNumberFormat="1" applyFont="1" applyFill="1" applyBorder="1"/>
    <xf numFmtId="2" fontId="6" fillId="2" borderId="70" xfId="2" applyNumberFormat="1" applyFont="1" applyFill="1" applyBorder="1"/>
    <xf numFmtId="2" fontId="6" fillId="2" borderId="71" xfId="2" applyNumberFormat="1" applyFont="1" applyFill="1" applyBorder="1"/>
    <xf numFmtId="1" fontId="6" fillId="2" borderId="72" xfId="2" applyNumberFormat="1" applyFont="1" applyFill="1" applyBorder="1"/>
    <xf numFmtId="0" fontId="9" fillId="2" borderId="65" xfId="2" applyFont="1" applyFill="1" applyBorder="1"/>
    <xf numFmtId="1" fontId="9" fillId="2" borderId="75" xfId="2" applyNumberFormat="1" applyFont="1" applyFill="1" applyBorder="1"/>
    <xf numFmtId="2" fontId="9" fillId="2" borderId="67" xfId="2" applyNumberFormat="1" applyFont="1" applyFill="1" applyBorder="1"/>
    <xf numFmtId="0" fontId="9" fillId="2" borderId="68" xfId="2" applyFont="1" applyFill="1" applyBorder="1"/>
    <xf numFmtId="1" fontId="9" fillId="2" borderId="72" xfId="2" applyNumberFormat="1" applyFont="1" applyFill="1" applyBorder="1"/>
    <xf numFmtId="2" fontId="9" fillId="2" borderId="69" xfId="2" applyNumberFormat="1" applyFont="1" applyFill="1" applyBorder="1"/>
    <xf numFmtId="0" fontId="9" fillId="5" borderId="9" xfId="2" applyFont="1" applyFill="1" applyBorder="1"/>
    <xf numFmtId="0" fontId="9" fillId="2" borderId="64" xfId="2" applyFont="1" applyFill="1" applyBorder="1"/>
    <xf numFmtId="0" fontId="9" fillId="2" borderId="70" xfId="2" applyFont="1" applyFill="1" applyBorder="1"/>
    <xf numFmtId="0" fontId="9" fillId="2" borderId="9" xfId="2" applyFont="1" applyFill="1" applyBorder="1"/>
    <xf numFmtId="1" fontId="9" fillId="2" borderId="74" xfId="2" applyNumberFormat="1" applyFont="1" applyFill="1" applyBorder="1"/>
    <xf numFmtId="0" fontId="9" fillId="7" borderId="9" xfId="2" applyFont="1" applyFill="1" applyBorder="1"/>
    <xf numFmtId="0" fontId="14" fillId="4" borderId="73" xfId="2" applyFont="1" applyFill="1" applyBorder="1"/>
    <xf numFmtId="2" fontId="14" fillId="4" borderId="9" xfId="2" applyNumberFormat="1" applyFont="1" applyFill="1" applyBorder="1"/>
    <xf numFmtId="2" fontId="14" fillId="4" borderId="85" xfId="2" applyNumberFormat="1" applyFont="1" applyFill="1" applyBorder="1"/>
    <xf numFmtId="2" fontId="14" fillId="4" borderId="64" xfId="2" applyNumberFormat="1" applyFont="1" applyFill="1" applyBorder="1"/>
    <xf numFmtId="2" fontId="14" fillId="4" borderId="23" xfId="2" applyNumberFormat="1" applyFont="1" applyFill="1" applyBorder="1"/>
    <xf numFmtId="2" fontId="14" fillId="4" borderId="44" xfId="2" applyNumberFormat="1" applyFont="1" applyFill="1" applyBorder="1"/>
    <xf numFmtId="2" fontId="14" fillId="4" borderId="3" xfId="2" applyNumberFormat="1" applyFont="1" applyFill="1" applyBorder="1"/>
    <xf numFmtId="2" fontId="14" fillId="4" borderId="4" xfId="2" applyNumberFormat="1" applyFont="1" applyFill="1" applyBorder="1"/>
    <xf numFmtId="2" fontId="14" fillId="4" borderId="5" xfId="2" applyNumberFormat="1" applyFont="1" applyFill="1" applyBorder="1"/>
    <xf numFmtId="0" fontId="6" fillId="2" borderId="65" xfId="2" applyFont="1" applyFill="1" applyBorder="1"/>
    <xf numFmtId="2" fontId="6" fillId="2" borderId="78" xfId="2" applyNumberFormat="1" applyFont="1" applyFill="1" applyBorder="1"/>
    <xf numFmtId="2" fontId="6" fillId="2" borderId="67" xfId="2" applyNumberFormat="1" applyFont="1" applyFill="1" applyBorder="1"/>
    <xf numFmtId="0" fontId="6" fillId="5" borderId="23" xfId="2" applyFont="1" applyFill="1" applyBorder="1"/>
    <xf numFmtId="2" fontId="6" fillId="5" borderId="42" xfId="2" applyNumberFormat="1" applyFont="1" applyFill="1" applyBorder="1" applyAlignment="1">
      <alignment horizontal="right" vertical="center"/>
    </xf>
    <xf numFmtId="2" fontId="6" fillId="5" borderId="23" xfId="2" applyNumberFormat="1" applyFont="1" applyFill="1" applyBorder="1" applyAlignment="1">
      <alignment horizontal="right" vertical="center"/>
    </xf>
    <xf numFmtId="2" fontId="6" fillId="5" borderId="69" xfId="2" applyNumberFormat="1" applyFont="1" applyFill="1" applyBorder="1" applyAlignment="1">
      <alignment horizontal="right" vertical="center"/>
    </xf>
    <xf numFmtId="0" fontId="6" fillId="5" borderId="9" xfId="2" applyFont="1" applyFill="1" applyBorder="1"/>
    <xf numFmtId="0" fontId="6" fillId="2" borderId="64" xfId="2" applyFont="1" applyFill="1" applyBorder="1"/>
    <xf numFmtId="1" fontId="6" fillId="2" borderId="44" xfId="2" applyNumberFormat="1" applyFont="1" applyFill="1" applyBorder="1"/>
    <xf numFmtId="0" fontId="6" fillId="2" borderId="70" xfId="2" applyFont="1" applyFill="1" applyBorder="1"/>
    <xf numFmtId="1" fontId="6" fillId="2" borderId="71" xfId="2" applyNumberFormat="1" applyFont="1" applyFill="1" applyBorder="1"/>
    <xf numFmtId="0" fontId="6" fillId="2" borderId="68" xfId="2" applyFont="1" applyFill="1" applyBorder="1"/>
    <xf numFmtId="1" fontId="6" fillId="2" borderId="69" xfId="2" applyNumberFormat="1" applyFont="1" applyFill="1" applyBorder="1"/>
    <xf numFmtId="2" fontId="6" fillId="2" borderId="79" xfId="2" applyNumberFormat="1" applyFont="1" applyFill="1" applyBorder="1" applyAlignment="1">
      <alignment horizontal="right" vertical="center"/>
    </xf>
    <xf numFmtId="0" fontId="6" fillId="2" borderId="9" xfId="2" applyFont="1" applyFill="1" applyBorder="1"/>
    <xf numFmtId="2" fontId="6" fillId="2" borderId="35" xfId="2" applyNumberFormat="1" applyFont="1" applyFill="1" applyBorder="1"/>
    <xf numFmtId="0" fontId="6" fillId="5" borderId="64" xfId="2" applyFont="1" applyFill="1" applyBorder="1"/>
    <xf numFmtId="0" fontId="6" fillId="5" borderId="44" xfId="2" applyFont="1" applyFill="1" applyBorder="1"/>
    <xf numFmtId="11" fontId="6" fillId="2" borderId="2" xfId="2" applyNumberFormat="1" applyFont="1" applyFill="1" applyBorder="1"/>
    <xf numFmtId="0" fontId="6" fillId="5" borderId="11" xfId="2" applyFont="1" applyFill="1" applyBorder="1"/>
    <xf numFmtId="0" fontId="6" fillId="5" borderId="12" xfId="2" applyFont="1" applyFill="1" applyBorder="1"/>
    <xf numFmtId="9" fontId="6" fillId="5" borderId="13" xfId="2" applyNumberFormat="1" applyFont="1" applyFill="1" applyBorder="1"/>
    <xf numFmtId="2" fontId="6" fillId="5" borderId="84" xfId="2" applyNumberFormat="1" applyFont="1" applyFill="1" applyBorder="1"/>
    <xf numFmtId="2" fontId="6" fillId="5" borderId="4" xfId="2" applyNumberFormat="1" applyFont="1" applyFill="1" applyBorder="1"/>
    <xf numFmtId="2" fontId="6" fillId="5" borderId="5" xfId="2" applyNumberFormat="1" applyFont="1" applyFill="1" applyBorder="1"/>
    <xf numFmtId="2" fontId="6" fillId="5" borderId="82" xfId="2" applyNumberFormat="1" applyFont="1" applyFill="1" applyBorder="1" applyAlignment="1">
      <alignment horizontal="right" vertical="center"/>
    </xf>
    <xf numFmtId="2" fontId="6" fillId="5" borderId="12" xfId="2" applyNumberFormat="1" applyFont="1" applyFill="1" applyBorder="1" applyAlignment="1">
      <alignment horizontal="right" vertical="center"/>
    </xf>
    <xf numFmtId="2" fontId="6" fillId="5" borderId="13" xfId="2" applyNumberFormat="1" applyFont="1" applyFill="1" applyBorder="1" applyAlignment="1">
      <alignment horizontal="right" vertical="center"/>
    </xf>
    <xf numFmtId="1" fontId="9" fillId="2" borderId="67" xfId="2" applyNumberFormat="1" applyFont="1" applyFill="1" applyBorder="1"/>
    <xf numFmtId="0" fontId="9" fillId="5" borderId="80" xfId="2" applyFont="1" applyFill="1" applyBorder="1" applyAlignment="1">
      <alignment vertical="center"/>
    </xf>
    <xf numFmtId="1" fontId="9" fillId="5" borderId="44" xfId="2" applyNumberFormat="1" applyFont="1" applyFill="1" applyBorder="1"/>
    <xf numFmtId="0" fontId="9" fillId="5" borderId="36" xfId="2" applyFont="1" applyFill="1" applyBorder="1"/>
    <xf numFmtId="0" fontId="9" fillId="2" borderId="80" xfId="2" applyFont="1" applyFill="1" applyBorder="1" applyAlignment="1">
      <alignment vertical="center"/>
    </xf>
    <xf numFmtId="0" fontId="9" fillId="2" borderId="76" xfId="2" applyFont="1" applyFill="1" applyBorder="1" applyAlignment="1">
      <alignment vertical="center"/>
    </xf>
    <xf numFmtId="0" fontId="9" fillId="2" borderId="81" xfId="2" applyFont="1" applyFill="1" applyBorder="1" applyAlignment="1">
      <alignment vertical="center"/>
    </xf>
    <xf numFmtId="1" fontId="9" fillId="2" borderId="44" xfId="2" applyNumberFormat="1" applyFont="1" applyFill="1" applyBorder="1"/>
    <xf numFmtId="0" fontId="9" fillId="2" borderId="36" xfId="2" applyFont="1" applyFill="1" applyBorder="1"/>
    <xf numFmtId="0" fontId="9" fillId="5" borderId="80" xfId="2" applyFont="1" applyFill="1" applyBorder="1"/>
    <xf numFmtId="0" fontId="9" fillId="2" borderId="81" xfId="2" applyFont="1" applyFill="1" applyBorder="1"/>
    <xf numFmtId="0" fontId="9" fillId="5" borderId="83" xfId="2" applyFont="1" applyFill="1" applyBorder="1" applyAlignment="1">
      <alignment vertical="center"/>
    </xf>
    <xf numFmtId="0" fontId="6" fillId="0" borderId="0" xfId="2"/>
    <xf numFmtId="2" fontId="9" fillId="2" borderId="9" xfId="2" applyNumberFormat="1" applyFont="1" applyFill="1" applyBorder="1"/>
    <xf numFmtId="2" fontId="9" fillId="2" borderId="10" xfId="2" applyNumberFormat="1" applyFont="1" applyFill="1" applyBorder="1"/>
    <xf numFmtId="2" fontId="9" fillId="2" borderId="41" xfId="2" applyNumberFormat="1" applyFont="1" applyFill="1" applyBorder="1"/>
    <xf numFmtId="0" fontId="9" fillId="2" borderId="68" xfId="2" applyFont="1" applyFill="1" applyBorder="1" applyAlignment="1"/>
    <xf numFmtId="0" fontId="9" fillId="4" borderId="1" xfId="2" applyFont="1" applyFill="1" applyBorder="1"/>
    <xf numFmtId="0" fontId="9" fillId="4" borderId="10" xfId="2" applyFont="1" applyFill="1" applyBorder="1"/>
    <xf numFmtId="2" fontId="9" fillId="4" borderId="9" xfId="2" applyNumberFormat="1" applyFont="1" applyFill="1" applyBorder="1"/>
    <xf numFmtId="2" fontId="9" fillId="4" borderId="1" xfId="2" applyNumberFormat="1" applyFont="1" applyFill="1" applyBorder="1"/>
    <xf numFmtId="2" fontId="9" fillId="4" borderId="10" xfId="2" applyNumberFormat="1" applyFont="1" applyFill="1" applyBorder="1"/>
    <xf numFmtId="2" fontId="9" fillId="4" borderId="41" xfId="2" applyNumberFormat="1" applyFont="1" applyFill="1" applyBorder="1"/>
    <xf numFmtId="0" fontId="17" fillId="2" borderId="64" xfId="2" applyFont="1" applyFill="1" applyBorder="1" applyAlignment="1"/>
    <xf numFmtId="0" fontId="17" fillId="2" borderId="9" xfId="2" applyFont="1" applyFill="1" applyBorder="1"/>
    <xf numFmtId="0" fontId="17" fillId="4" borderId="9" xfId="2" applyFont="1" applyFill="1" applyBorder="1"/>
    <xf numFmtId="0" fontId="17" fillId="2" borderId="64" xfId="2" applyFont="1" applyFill="1" applyBorder="1"/>
    <xf numFmtId="2" fontId="9" fillId="2" borderId="65" xfId="2" applyNumberFormat="1" applyFont="1" applyFill="1" applyBorder="1"/>
    <xf numFmtId="2" fontId="9" fillId="2" borderId="66" xfId="2" applyNumberFormat="1" applyFont="1" applyFill="1" applyBorder="1"/>
    <xf numFmtId="2" fontId="9" fillId="2" borderId="68" xfId="2" applyNumberFormat="1" applyFont="1" applyFill="1" applyBorder="1"/>
    <xf numFmtId="2" fontId="9" fillId="2" borderId="64" xfId="2" applyNumberFormat="1" applyFont="1" applyFill="1" applyBorder="1"/>
    <xf numFmtId="2" fontId="9" fillId="2" borderId="44" xfId="2" applyNumberFormat="1" applyFont="1" applyFill="1" applyBorder="1"/>
    <xf numFmtId="0" fontId="9" fillId="2" borderId="71" xfId="2" applyFont="1" applyFill="1" applyBorder="1"/>
    <xf numFmtId="2" fontId="9" fillId="2" borderId="70" xfId="2" applyNumberFormat="1" applyFont="1" applyFill="1" applyBorder="1"/>
    <xf numFmtId="2" fontId="9" fillId="2" borderId="30" xfId="2" applyNumberFormat="1" applyFont="1" applyFill="1" applyBorder="1"/>
    <xf numFmtId="2" fontId="9" fillId="2" borderId="71" xfId="2" applyNumberFormat="1" applyFont="1" applyFill="1" applyBorder="1"/>
    <xf numFmtId="0" fontId="9" fillId="5" borderId="23" xfId="2" applyFont="1" applyFill="1" applyBorder="1"/>
    <xf numFmtId="0" fontId="13" fillId="0" borderId="0" xfId="2" applyFont="1"/>
    <xf numFmtId="0" fontId="9" fillId="2" borderId="66" xfId="2" applyFont="1" applyFill="1" applyBorder="1"/>
    <xf numFmtId="0" fontId="9" fillId="2" borderId="67" xfId="2" applyFont="1" applyFill="1" applyBorder="1"/>
    <xf numFmtId="0" fontId="9" fillId="2" borderId="69" xfId="2" applyFont="1" applyFill="1" applyBorder="1"/>
    <xf numFmtId="0" fontId="9" fillId="2" borderId="10" xfId="2" applyFont="1" applyFill="1" applyBorder="1"/>
    <xf numFmtId="0" fontId="9" fillId="2" borderId="44" xfId="2" applyFont="1" applyFill="1" applyBorder="1"/>
    <xf numFmtId="0" fontId="9" fillId="5" borderId="11" xfId="2" applyFont="1" applyFill="1" applyBorder="1" applyAlignment="1">
      <alignment vertical="center"/>
    </xf>
    <xf numFmtId="0" fontId="9" fillId="5" borderId="12" xfId="2" applyFont="1" applyFill="1" applyBorder="1" applyAlignment="1">
      <alignment vertical="center" wrapText="1"/>
    </xf>
    <xf numFmtId="0" fontId="9" fillId="5" borderId="12" xfId="2" applyFont="1" applyFill="1" applyBorder="1"/>
    <xf numFmtId="0" fontId="9" fillId="5" borderId="13" xfId="2" applyFont="1" applyFill="1" applyBorder="1"/>
    <xf numFmtId="1" fontId="9" fillId="2" borderId="86" xfId="2" applyNumberFormat="1" applyFont="1" applyFill="1" applyBorder="1"/>
    <xf numFmtId="1" fontId="9" fillId="2" borderId="87" xfId="2" applyNumberFormat="1" applyFont="1" applyFill="1" applyBorder="1"/>
    <xf numFmtId="0" fontId="9" fillId="5" borderId="85" xfId="2" applyFont="1" applyFill="1" applyBorder="1"/>
    <xf numFmtId="1" fontId="9" fillId="2" borderId="85" xfId="2" applyNumberFormat="1" applyFont="1" applyFill="1" applyBorder="1"/>
    <xf numFmtId="0" fontId="9" fillId="2" borderId="85" xfId="2" applyFont="1" applyFill="1" applyBorder="1"/>
    <xf numFmtId="1" fontId="9" fillId="2" borderId="88" xfId="2" applyNumberFormat="1" applyFont="1" applyFill="1" applyBorder="1"/>
    <xf numFmtId="0" fontId="9" fillId="2" borderId="88" xfId="2" applyFont="1" applyFill="1" applyBorder="1"/>
    <xf numFmtId="0" fontId="9" fillId="2" borderId="87" xfId="2" applyFont="1" applyFill="1" applyBorder="1"/>
    <xf numFmtId="0" fontId="9" fillId="4" borderId="85" xfId="2" applyFont="1" applyFill="1" applyBorder="1"/>
    <xf numFmtId="1" fontId="9" fillId="2" borderId="89" xfId="2" applyNumberFormat="1" applyFont="1" applyFill="1" applyBorder="1"/>
    <xf numFmtId="1" fontId="9" fillId="5" borderId="90" xfId="2" applyNumberFormat="1" applyFont="1" applyFill="1" applyBorder="1"/>
    <xf numFmtId="2" fontId="9" fillId="5" borderId="11" xfId="2" applyNumberFormat="1" applyFont="1" applyFill="1" applyBorder="1"/>
    <xf numFmtId="2" fontId="9" fillId="5" borderId="12" xfId="2" applyNumberFormat="1" applyFont="1" applyFill="1" applyBorder="1"/>
    <xf numFmtId="2" fontId="9" fillId="5" borderId="13" xfId="2" applyNumberFormat="1" applyFont="1" applyFill="1" applyBorder="1"/>
    <xf numFmtId="168" fontId="9" fillId="5" borderId="11" xfId="2" applyNumberFormat="1" applyFont="1" applyFill="1" applyBorder="1" applyAlignment="1">
      <alignment horizontal="center" vertical="center"/>
    </xf>
    <xf numFmtId="168" fontId="9" fillId="5" borderId="12" xfId="2" applyNumberFormat="1" applyFont="1" applyFill="1" applyBorder="1" applyAlignment="1">
      <alignment horizontal="center" vertical="center"/>
    </xf>
    <xf numFmtId="168" fontId="9" fillId="5" borderId="13" xfId="2" applyNumberFormat="1" applyFont="1" applyFill="1" applyBorder="1" applyAlignment="1">
      <alignment horizontal="center" vertical="center"/>
    </xf>
    <xf numFmtId="2" fontId="9" fillId="0" borderId="0" xfId="2" applyNumberFormat="1" applyFont="1" applyFill="1" applyBorder="1"/>
    <xf numFmtId="2" fontId="6" fillId="0" borderId="0" xfId="2" applyNumberFormat="1"/>
    <xf numFmtId="0" fontId="9" fillId="2" borderId="77" xfId="2" applyFont="1" applyFill="1" applyBorder="1" applyAlignment="1">
      <alignment vertical="center"/>
    </xf>
    <xf numFmtId="2" fontId="6" fillId="2" borderId="78" xfId="2" applyNumberFormat="1" applyFont="1" applyFill="1" applyBorder="1" applyAlignment="1">
      <alignment horizontal="right" vertical="center"/>
    </xf>
    <xf numFmtId="2" fontId="6" fillId="2" borderId="66" xfId="2" applyNumberFormat="1" applyFont="1" applyFill="1" applyBorder="1" applyAlignment="1">
      <alignment horizontal="right" vertical="center"/>
    </xf>
    <xf numFmtId="2" fontId="6" fillId="2" borderId="67" xfId="2" applyNumberFormat="1" applyFont="1" applyFill="1" applyBorder="1" applyAlignment="1">
      <alignment horizontal="right" vertical="center"/>
    </xf>
    <xf numFmtId="2" fontId="9" fillId="5" borderId="42" xfId="2" applyNumberFormat="1" applyFont="1" applyFill="1" applyBorder="1" applyAlignment="1">
      <alignment horizontal="right" vertical="center"/>
    </xf>
    <xf numFmtId="2" fontId="9" fillId="5" borderId="79" xfId="2" applyNumberFormat="1" applyFont="1" applyFill="1" applyBorder="1" applyAlignment="1">
      <alignment horizontal="right" vertical="center"/>
    </xf>
    <xf numFmtId="0" fontId="6" fillId="5" borderId="80" xfId="2" applyFont="1" applyFill="1" applyBorder="1"/>
    <xf numFmtId="2" fontId="6" fillId="5" borderId="42" xfId="2" applyNumberFormat="1" applyFont="1" applyFill="1" applyBorder="1"/>
    <xf numFmtId="2" fontId="6" fillId="5" borderId="23" xfId="2" applyNumberFormat="1" applyFont="1" applyFill="1" applyBorder="1"/>
    <xf numFmtId="2" fontId="6" fillId="5" borderId="44" xfId="2" applyNumberFormat="1" applyFont="1" applyFill="1" applyBorder="1"/>
    <xf numFmtId="0" fontId="9" fillId="5" borderId="81" xfId="2" applyFont="1" applyFill="1" applyBorder="1"/>
    <xf numFmtId="0" fontId="6" fillId="5" borderId="81" xfId="2" applyFont="1" applyFill="1" applyBorder="1"/>
    <xf numFmtId="0" fontId="6" fillId="5" borderId="2" xfId="2" applyFont="1" applyFill="1" applyBorder="1"/>
    <xf numFmtId="1" fontId="9" fillId="5" borderId="71" xfId="2" applyNumberFormat="1" applyFont="1" applyFill="1" applyBorder="1"/>
    <xf numFmtId="2" fontId="6" fillId="5" borderId="40" xfId="2" applyNumberFormat="1" applyFont="1" applyFill="1" applyBorder="1"/>
    <xf numFmtId="2" fontId="6" fillId="5" borderId="2" xfId="2" applyNumberFormat="1" applyFont="1" applyFill="1" applyBorder="1"/>
    <xf numFmtId="2" fontId="6" fillId="5" borderId="69" xfId="2" applyNumberFormat="1" applyFont="1" applyFill="1" applyBorder="1"/>
    <xf numFmtId="0" fontId="9" fillId="4" borderId="36" xfId="2" applyFont="1" applyFill="1" applyBorder="1"/>
    <xf numFmtId="0" fontId="6" fillId="0" borderId="0" xfId="2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9" fillId="6" borderId="23" xfId="2" applyNumberFormat="1" applyFont="1" applyFill="1" applyBorder="1" applyAlignment="1">
      <alignment horizontal="right" vertical="center"/>
    </xf>
    <xf numFmtId="2" fontId="9" fillId="6" borderId="30" xfId="2" applyNumberFormat="1" applyFont="1" applyFill="1" applyBorder="1" applyAlignment="1">
      <alignment horizontal="right" vertical="center"/>
    </xf>
    <xf numFmtId="2" fontId="9" fillId="6" borderId="49" xfId="2" applyNumberFormat="1" applyFont="1" applyFill="1" applyBorder="1" applyAlignment="1">
      <alignment horizontal="right" vertical="center"/>
    </xf>
    <xf numFmtId="168" fontId="9" fillId="6" borderId="50" xfId="2" applyNumberFormat="1" applyFont="1" applyFill="1" applyBorder="1" applyAlignment="1">
      <alignment horizontal="right" vertical="center"/>
    </xf>
    <xf numFmtId="2" fontId="6" fillId="2" borderId="42" xfId="2" applyNumberFormat="1" applyFont="1" applyFill="1" applyBorder="1" applyAlignment="1">
      <alignment horizontal="right" vertical="center"/>
    </xf>
    <xf numFmtId="2" fontId="9" fillId="2" borderId="9" xfId="2" applyNumberFormat="1" applyFont="1" applyFill="1" applyBorder="1" applyAlignment="1">
      <alignment horizontal="right" vertical="center"/>
    </xf>
    <xf numFmtId="2" fontId="9" fillId="2" borderId="1" xfId="2" applyNumberFormat="1" applyFont="1" applyFill="1" applyBorder="1" applyAlignment="1">
      <alignment horizontal="right" vertical="center"/>
    </xf>
    <xf numFmtId="2" fontId="9" fillId="2" borderId="10" xfId="2" applyNumberFormat="1" applyFont="1" applyFill="1" applyBorder="1" applyAlignment="1">
      <alignment horizontal="right" vertical="center"/>
    </xf>
    <xf numFmtId="0" fontId="2" fillId="0" borderId="0" xfId="3" applyFont="1" applyAlignment="1">
      <alignment horizontal="center" vertical="center"/>
    </xf>
    <xf numFmtId="0" fontId="2" fillId="0" borderId="0" xfId="5" applyFont="1" applyAlignment="1">
      <alignment horizontal="center" vertical="center"/>
    </xf>
    <xf numFmtId="1" fontId="0" fillId="0" borderId="0" xfId="0" applyNumberFormat="1"/>
    <xf numFmtId="165" fontId="13" fillId="0" borderId="0" xfId="2" applyNumberFormat="1" applyFont="1"/>
    <xf numFmtId="168" fontId="13" fillId="0" borderId="0" xfId="2" applyNumberFormat="1" applyFont="1"/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4" borderId="18" xfId="2" applyFont="1" applyFill="1" applyBorder="1"/>
    <xf numFmtId="2" fontId="9" fillId="4" borderId="18" xfId="2" applyNumberFormat="1" applyFont="1" applyFill="1" applyBorder="1"/>
    <xf numFmtId="0" fontId="18" fillId="4" borderId="9" xfId="2" applyFont="1" applyFill="1" applyBorder="1"/>
    <xf numFmtId="0" fontId="18" fillId="4" borderId="1" xfId="2" applyFont="1" applyFill="1" applyBorder="1"/>
    <xf numFmtId="1" fontId="18" fillId="4" borderId="44" xfId="2" applyNumberFormat="1" applyFont="1" applyFill="1" applyBorder="1"/>
    <xf numFmtId="2" fontId="18" fillId="4" borderId="41" xfId="2" applyNumberFormat="1" applyFont="1" applyFill="1" applyBorder="1"/>
    <xf numFmtId="2" fontId="18" fillId="4" borderId="1" xfId="2" applyNumberFormat="1" applyFont="1" applyFill="1" applyBorder="1"/>
    <xf numFmtId="2" fontId="18" fillId="4" borderId="10" xfId="2" applyNumberFormat="1" applyFont="1" applyFill="1" applyBorder="1"/>
    <xf numFmtId="0" fontId="18" fillId="4" borderId="36" xfId="2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Border="1"/>
    <xf numFmtId="0" fontId="2" fillId="0" borderId="7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2" borderId="6" xfId="2" applyFont="1" applyFill="1" applyBorder="1"/>
    <xf numFmtId="0" fontId="9" fillId="2" borderId="7" xfId="2" applyFont="1" applyFill="1" applyBorder="1"/>
    <xf numFmtId="0" fontId="9" fillId="2" borderId="8" xfId="2" applyFont="1" applyFill="1" applyBorder="1"/>
    <xf numFmtId="0" fontId="9" fillId="3" borderId="11" xfId="2" applyFont="1" applyFill="1" applyBorder="1"/>
    <xf numFmtId="0" fontId="9" fillId="3" borderId="12" xfId="2" applyFont="1" applyFill="1" applyBorder="1"/>
    <xf numFmtId="0" fontId="9" fillId="3" borderId="13" xfId="2" applyFont="1" applyFill="1" applyBorder="1"/>
    <xf numFmtId="2" fontId="9" fillId="2" borderId="7" xfId="2" applyNumberFormat="1" applyFont="1" applyFill="1" applyBorder="1"/>
    <xf numFmtId="2" fontId="9" fillId="2" borderId="8" xfId="2" applyNumberFormat="1" applyFont="1" applyFill="1" applyBorder="1"/>
    <xf numFmtId="2" fontId="9" fillId="3" borderId="12" xfId="2" applyNumberFormat="1" applyFont="1" applyFill="1" applyBorder="1"/>
    <xf numFmtId="2" fontId="9" fillId="3" borderId="13" xfId="2" applyNumberFormat="1" applyFont="1" applyFill="1" applyBorder="1"/>
    <xf numFmtId="0" fontId="9" fillId="2" borderId="94" xfId="2" applyFont="1" applyFill="1" applyBorder="1"/>
    <xf numFmtId="0" fontId="9" fillId="3" borderId="82" xfId="2" applyFont="1" applyFill="1" applyBorder="1"/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4" fontId="2" fillId="0" borderId="66" xfId="0" applyNumberFormat="1" applyFont="1" applyBorder="1" applyAlignment="1">
      <alignment horizontal="center" vertical="center"/>
    </xf>
    <xf numFmtId="165" fontId="2" fillId="0" borderId="66" xfId="0" applyNumberFormat="1" applyFont="1" applyBorder="1" applyAlignment="1">
      <alignment horizontal="center" vertical="center"/>
    </xf>
    <xf numFmtId="1" fontId="2" fillId="0" borderId="67" xfId="0" applyNumberFormat="1" applyFont="1" applyBorder="1" applyAlignment="1">
      <alignment horizontal="center" vertical="center"/>
    </xf>
    <xf numFmtId="1" fontId="2" fillId="0" borderId="6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68" fontId="2" fillId="0" borderId="44" xfId="0" applyNumberFormat="1" applyFont="1" applyBorder="1" applyAlignment="1">
      <alignment horizontal="center" vertical="center"/>
    </xf>
    <xf numFmtId="1" fontId="2" fillId="0" borderId="71" xfId="0" applyNumberFormat="1" applyFont="1" applyBorder="1" applyAlignment="1">
      <alignment horizontal="center" vertical="center"/>
    </xf>
    <xf numFmtId="168" fontId="2" fillId="0" borderId="69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0" fillId="0" borderId="86" xfId="0" applyNumberFormat="1" applyBorder="1"/>
    <xf numFmtId="10" fontId="0" fillId="0" borderId="89" xfId="0" applyNumberFormat="1" applyBorder="1"/>
    <xf numFmtId="10" fontId="0" fillId="0" borderId="97" xfId="0" applyNumberFormat="1" applyBorder="1"/>
    <xf numFmtId="2" fontId="9" fillId="0" borderId="1" xfId="2" applyNumberFormat="1" applyFont="1" applyFill="1" applyBorder="1"/>
    <xf numFmtId="2" fontId="6" fillId="0" borderId="1" xfId="2" applyNumberFormat="1" applyBorder="1"/>
    <xf numFmtId="0" fontId="2" fillId="0" borderId="6" xfId="0" applyFont="1" applyBorder="1" applyAlignment="1">
      <alignment horizontal="right" vertical="center"/>
    </xf>
    <xf numFmtId="0" fontId="2" fillId="0" borderId="8" xfId="0" applyFont="1" applyFill="1" applyBorder="1"/>
    <xf numFmtId="0" fontId="2" fillId="0" borderId="9" xfId="0" applyFont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3" xfId="0" applyFont="1" applyFill="1" applyBorder="1"/>
    <xf numFmtId="0" fontId="12" fillId="2" borderId="95" xfId="0" applyFont="1" applyFill="1" applyBorder="1"/>
    <xf numFmtId="2" fontId="9" fillId="0" borderId="6" xfId="2" applyNumberFormat="1" applyFont="1" applyFill="1" applyBorder="1"/>
    <xf numFmtId="2" fontId="9" fillId="0" borderId="7" xfId="2" applyNumberFormat="1" applyFont="1" applyFill="1" applyBorder="1"/>
    <xf numFmtId="2" fontId="9" fillId="0" borderId="8" xfId="2" applyNumberFormat="1" applyFont="1" applyFill="1" applyBorder="1"/>
    <xf numFmtId="2" fontId="9" fillId="0" borderId="9" xfId="2" applyNumberFormat="1" applyFont="1" applyFill="1" applyBorder="1"/>
    <xf numFmtId="2" fontId="9" fillId="0" borderId="10" xfId="2" applyNumberFormat="1" applyFont="1" applyFill="1" applyBorder="1"/>
    <xf numFmtId="2" fontId="6" fillId="0" borderId="9" xfId="2" applyNumberFormat="1" applyBorder="1"/>
    <xf numFmtId="2" fontId="6" fillId="0" borderId="10" xfId="2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98" xfId="0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86" xfId="0" applyBorder="1"/>
    <xf numFmtId="0" fontId="2" fillId="0" borderId="86" xfId="0" applyFont="1" applyBorder="1" applyAlignment="1">
      <alignment horizontal="center" vertical="center"/>
    </xf>
    <xf numFmtId="10" fontId="0" fillId="0" borderId="88" xfId="0" applyNumberFormat="1" applyBorder="1"/>
    <xf numFmtId="10" fontId="0" fillId="0" borderId="87" xfId="0" applyNumberFormat="1" applyBorder="1"/>
    <xf numFmtId="10" fontId="0" fillId="0" borderId="85" xfId="0" applyNumberFormat="1" applyBorder="1"/>
    <xf numFmtId="0" fontId="2" fillId="0" borderId="67" xfId="0" applyFont="1" applyBorder="1"/>
    <xf numFmtId="0" fontId="2" fillId="0" borderId="69" xfId="0" applyFont="1" applyBorder="1"/>
    <xf numFmtId="0" fontId="0" fillId="0" borderId="36" xfId="0" applyBorder="1" applyAlignment="1">
      <alignment horizontal="center"/>
    </xf>
    <xf numFmtId="0" fontId="2" fillId="0" borderId="71" xfId="0" applyFont="1" applyBorder="1"/>
    <xf numFmtId="0" fontId="2" fillId="0" borderId="5" xfId="0" applyFont="1" applyBorder="1"/>
    <xf numFmtId="10" fontId="2" fillId="0" borderId="88" xfId="0" applyNumberFormat="1" applyFont="1" applyBorder="1" applyAlignment="1">
      <alignment horizontal="center" vertical="center"/>
    </xf>
    <xf numFmtId="10" fontId="2" fillId="0" borderId="87" xfId="0" applyNumberFormat="1" applyFont="1" applyBorder="1" applyAlignment="1">
      <alignment horizontal="center" vertical="center"/>
    </xf>
    <xf numFmtId="10" fontId="2" fillId="0" borderId="85" xfId="0" applyNumberFormat="1" applyFont="1" applyBorder="1" applyAlignment="1">
      <alignment horizontal="center" vertical="center"/>
    </xf>
    <xf numFmtId="166" fontId="2" fillId="0" borderId="88" xfId="1" applyNumberFormat="1" applyFont="1" applyBorder="1" applyAlignment="1">
      <alignment horizontal="center" vertical="center"/>
    </xf>
    <xf numFmtId="10" fontId="2" fillId="0" borderId="89" xfId="1" applyNumberFormat="1" applyFont="1" applyBorder="1" applyAlignment="1">
      <alignment horizontal="center" vertical="center"/>
    </xf>
    <xf numFmtId="10" fontId="2" fillId="0" borderId="97" xfId="1" applyNumberFormat="1" applyFont="1" applyBorder="1" applyAlignment="1">
      <alignment horizontal="center" vertical="center"/>
    </xf>
    <xf numFmtId="10" fontId="2" fillId="0" borderId="86" xfId="0" applyNumberFormat="1" applyFont="1" applyBorder="1" applyAlignment="1">
      <alignment horizontal="center" vertical="center"/>
    </xf>
    <xf numFmtId="165" fontId="0" fillId="0" borderId="77" xfId="0" applyNumberFormat="1" applyBorder="1"/>
    <xf numFmtId="165" fontId="0" fillId="0" borderId="81" xfId="0" applyNumberFormat="1" applyBorder="1"/>
    <xf numFmtId="165" fontId="0" fillId="0" borderId="36" xfId="0" applyNumberFormat="1" applyBorder="1"/>
    <xf numFmtId="165" fontId="0" fillId="0" borderId="80" xfId="0" applyNumberFormat="1" applyBorder="1"/>
    <xf numFmtId="165" fontId="0" fillId="0" borderId="76" xfId="0" applyNumberFormat="1" applyBorder="1"/>
    <xf numFmtId="165" fontId="0" fillId="0" borderId="102" xfId="0" applyNumberFormat="1" applyBorder="1"/>
    <xf numFmtId="2" fontId="0" fillId="0" borderId="91" xfId="0" applyNumberFormat="1" applyBorder="1"/>
    <xf numFmtId="2" fontId="0" fillId="0" borderId="72" xfId="0" applyNumberFormat="1" applyBorder="1"/>
    <xf numFmtId="2" fontId="0" fillId="0" borderId="73" xfId="0" applyNumberFormat="1" applyBorder="1"/>
    <xf numFmtId="2" fontId="0" fillId="0" borderId="74" xfId="0" applyNumberFormat="1" applyBorder="1"/>
    <xf numFmtId="2" fontId="0" fillId="0" borderId="0" xfId="0" applyNumberFormat="1" applyBorder="1"/>
    <xf numFmtId="2" fontId="0" fillId="0" borderId="96" xfId="0" applyNumberFormat="1" applyBorder="1"/>
    <xf numFmtId="168" fontId="0" fillId="0" borderId="92" xfId="0" applyNumberFormat="1" applyBorder="1"/>
    <xf numFmtId="168" fontId="0" fillId="0" borderId="101" xfId="0" applyNumberFormat="1" applyBorder="1"/>
    <xf numFmtId="168" fontId="0" fillId="0" borderId="35" xfId="0" applyNumberFormat="1" applyBorder="1"/>
    <xf numFmtId="168" fontId="0" fillId="0" borderId="79" xfId="0" applyNumberFormat="1" applyBorder="1"/>
    <xf numFmtId="168" fontId="0" fillId="0" borderId="93" xfId="0" applyNumberFormat="1" applyBorder="1"/>
    <xf numFmtId="168" fontId="0" fillId="0" borderId="103" xfId="0" applyNumberFormat="1" applyBorder="1"/>
    <xf numFmtId="165" fontId="9" fillId="2" borderId="7" xfId="2" applyNumberFormat="1" applyFont="1" applyFill="1" applyBorder="1"/>
    <xf numFmtId="165" fontId="9" fillId="3" borderId="12" xfId="2" applyNumberFormat="1" applyFont="1" applyFill="1" applyBorder="1"/>
    <xf numFmtId="165" fontId="9" fillId="2" borderId="6" xfId="2" applyNumberFormat="1" applyFont="1" applyFill="1" applyBorder="1"/>
    <xf numFmtId="165" fontId="9" fillId="3" borderId="11" xfId="2" applyNumberFormat="1" applyFont="1" applyFill="1" applyBorder="1"/>
    <xf numFmtId="0" fontId="2" fillId="2" borderId="22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32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8" fontId="2" fillId="2" borderId="15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65" fontId="2" fillId="2" borderId="23" xfId="0" applyNumberFormat="1" applyFont="1" applyFill="1" applyBorder="1" applyAlignment="1">
      <alignment horizontal="center" vertical="center"/>
    </xf>
    <xf numFmtId="165" fontId="2" fillId="2" borderId="3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30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8" fontId="2" fillId="2" borderId="23" xfId="0" applyNumberFormat="1" applyFont="1" applyFill="1" applyBorder="1" applyAlignment="1">
      <alignment horizontal="center" vertical="center"/>
    </xf>
    <xf numFmtId="168" fontId="2" fillId="2" borderId="30" xfId="0" applyNumberFormat="1" applyFont="1" applyFill="1" applyBorder="1" applyAlignment="1">
      <alignment horizontal="center" vertical="center"/>
    </xf>
    <xf numFmtId="168" fontId="2" fillId="2" borderId="2" xfId="0" applyNumberFormat="1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/>
    </xf>
    <xf numFmtId="1" fontId="2" fillId="2" borderId="31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68" fontId="2" fillId="2" borderId="24" xfId="0" applyNumberFormat="1" applyFont="1" applyFill="1" applyBorder="1" applyAlignment="1">
      <alignment horizontal="center" vertical="center"/>
    </xf>
    <xf numFmtId="168" fontId="2" fillId="2" borderId="31" xfId="0" applyNumberFormat="1" applyFont="1" applyFill="1" applyBorder="1" applyAlignment="1">
      <alignment horizontal="center" vertical="center"/>
    </xf>
    <xf numFmtId="168" fontId="2" fillId="2" borderId="26" xfId="0" applyNumberFormat="1" applyFont="1" applyFill="1" applyBorder="1" applyAlignment="1">
      <alignment horizontal="center" vertical="center"/>
    </xf>
    <xf numFmtId="1" fontId="2" fillId="2" borderId="50" xfId="0" applyNumberFormat="1" applyFont="1" applyFill="1" applyBorder="1" applyAlignment="1">
      <alignment horizontal="center" vertical="center"/>
    </xf>
    <xf numFmtId="165" fontId="2" fillId="2" borderId="49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2" fillId="2" borderId="49" xfId="0" applyNumberFormat="1" applyFont="1" applyFill="1" applyBorder="1" applyAlignment="1">
      <alignment horizontal="center" vertical="center"/>
    </xf>
    <xf numFmtId="164" fontId="2" fillId="2" borderId="33" xfId="0" applyNumberFormat="1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0" xfId="0" applyNumberFormat="1" applyFont="1" applyFill="1" applyBorder="1" applyAlignment="1">
      <alignment horizontal="center" vertical="center"/>
    </xf>
    <xf numFmtId="1" fontId="2" fillId="2" borderId="49" xfId="0" applyNumberFormat="1" applyFont="1" applyFill="1" applyBorder="1" applyAlignment="1">
      <alignment horizontal="center" vertical="center"/>
    </xf>
    <xf numFmtId="2" fontId="2" fillId="2" borderId="33" xfId="0" applyNumberFormat="1" applyFont="1" applyFill="1" applyBorder="1" applyAlignment="1">
      <alignment horizontal="center" vertical="center"/>
    </xf>
    <xf numFmtId="165" fontId="2" fillId="2" borderId="33" xfId="0" applyNumberFormat="1" applyFont="1" applyFill="1" applyBorder="1" applyAlignment="1">
      <alignment horizontal="center" vertical="center"/>
    </xf>
    <xf numFmtId="1" fontId="2" fillId="2" borderId="3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4" borderId="32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7" fontId="2" fillId="2" borderId="23" xfId="0" applyNumberFormat="1" applyFont="1" applyFill="1" applyBorder="1" applyAlignment="1">
      <alignment horizontal="center" vertical="center"/>
    </xf>
    <xf numFmtId="167" fontId="2" fillId="2" borderId="30" xfId="0" applyNumberFormat="1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" fontId="2" fillId="2" borderId="45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38" xfId="2" applyFont="1" applyBorder="1" applyAlignment="1">
      <alignment horizontal="center" vertical="center"/>
    </xf>
    <xf numFmtId="0" fontId="5" fillId="6" borderId="22" xfId="2" applyFont="1" applyFill="1" applyBorder="1" applyAlignment="1">
      <alignment horizontal="left" vertical="center"/>
    </xf>
    <xf numFmtId="0" fontId="5" fillId="6" borderId="29" xfId="2" applyFont="1" applyFill="1" applyBorder="1" applyAlignment="1">
      <alignment horizontal="left" vertical="center"/>
    </xf>
    <xf numFmtId="0" fontId="5" fillId="6" borderId="47" xfId="2" applyFont="1" applyFill="1" applyBorder="1" applyAlignment="1">
      <alignment horizontal="left" vertical="center"/>
    </xf>
    <xf numFmtId="2" fontId="6" fillId="2" borderId="22" xfId="2" applyNumberFormat="1" applyFill="1" applyBorder="1" applyAlignment="1">
      <alignment horizontal="right" vertical="center"/>
    </xf>
    <xf numFmtId="2" fontId="6" fillId="2" borderId="25" xfId="2" applyNumberFormat="1" applyFill="1" applyBorder="1" applyAlignment="1">
      <alignment horizontal="right" vertical="center"/>
    </xf>
    <xf numFmtId="2" fontId="6" fillId="2" borderId="23" xfId="2" applyNumberFormat="1" applyFill="1" applyBorder="1" applyAlignment="1">
      <alignment horizontal="right" vertical="center"/>
    </xf>
    <xf numFmtId="2" fontId="6" fillId="2" borderId="2" xfId="2" applyNumberFormat="1" applyFill="1" applyBorder="1" applyAlignment="1">
      <alignment horizontal="right" vertical="center"/>
    </xf>
    <xf numFmtId="2" fontId="6" fillId="2" borderId="24" xfId="2" applyNumberFormat="1" applyFill="1" applyBorder="1" applyAlignment="1">
      <alignment horizontal="right" vertical="center"/>
    </xf>
    <xf numFmtId="2" fontId="6" fillId="2" borderId="26" xfId="2" applyNumberFormat="1" applyFill="1" applyBorder="1" applyAlignment="1">
      <alignment horizontal="right" vertical="center"/>
    </xf>
    <xf numFmtId="2" fontId="9" fillId="6" borderId="22" xfId="2" applyNumberFormat="1" applyFont="1" applyFill="1" applyBorder="1" applyAlignment="1">
      <alignment horizontal="right" vertical="center"/>
    </xf>
    <xf numFmtId="2" fontId="9" fillId="6" borderId="29" xfId="2" applyNumberFormat="1" applyFont="1" applyFill="1" applyBorder="1" applyAlignment="1">
      <alignment horizontal="right" vertical="center"/>
    </xf>
    <xf numFmtId="2" fontId="9" fillId="6" borderId="47" xfId="2" applyNumberFormat="1" applyFont="1" applyFill="1" applyBorder="1" applyAlignment="1">
      <alignment horizontal="right" vertical="center"/>
    </xf>
    <xf numFmtId="2" fontId="9" fillId="6" borderId="23" xfId="2" applyNumberFormat="1" applyFont="1" applyFill="1" applyBorder="1" applyAlignment="1">
      <alignment horizontal="right" vertical="center"/>
    </xf>
    <xf numFmtId="2" fontId="9" fillId="6" borderId="30" xfId="2" applyNumberFormat="1" applyFont="1" applyFill="1" applyBorder="1" applyAlignment="1">
      <alignment horizontal="right" vertical="center"/>
    </xf>
    <xf numFmtId="2" fontId="9" fillId="6" borderId="49" xfId="2" applyNumberFormat="1" applyFont="1" applyFill="1" applyBorder="1" applyAlignment="1">
      <alignment horizontal="right" vertical="center"/>
    </xf>
    <xf numFmtId="2" fontId="9" fillId="6" borderId="24" xfId="2" applyNumberFormat="1" applyFont="1" applyFill="1" applyBorder="1" applyAlignment="1">
      <alignment horizontal="right" vertical="center"/>
    </xf>
    <xf numFmtId="2" fontId="9" fillId="6" borderId="31" xfId="2" applyNumberFormat="1" applyFont="1" applyFill="1" applyBorder="1" applyAlignment="1">
      <alignment horizontal="right" vertical="center"/>
    </xf>
    <xf numFmtId="2" fontId="9" fillId="6" borderId="50" xfId="2" applyNumberFormat="1" applyFont="1" applyFill="1" applyBorder="1" applyAlignment="1">
      <alignment horizontal="right" vertical="center"/>
    </xf>
    <xf numFmtId="2" fontId="6" fillId="2" borderId="32" xfId="2" applyNumberFormat="1" applyFill="1" applyBorder="1" applyAlignment="1">
      <alignment horizontal="right" vertical="center"/>
    </xf>
    <xf numFmtId="2" fontId="6" fillId="2" borderId="33" xfId="2" applyNumberFormat="1" applyFill="1" applyBorder="1" applyAlignment="1">
      <alignment horizontal="right" vertical="center"/>
    </xf>
    <xf numFmtId="2" fontId="6" fillId="2" borderId="45" xfId="2" applyNumberFormat="1" applyFill="1" applyBorder="1" applyAlignment="1">
      <alignment horizontal="right" vertical="center"/>
    </xf>
    <xf numFmtId="2" fontId="9" fillId="6" borderId="22" xfId="2" applyNumberFormat="1" applyFont="1" applyFill="1" applyBorder="1" applyAlignment="1">
      <alignment horizontal="center" vertical="center"/>
    </xf>
    <xf numFmtId="2" fontId="9" fillId="6" borderId="29" xfId="2" applyNumberFormat="1" applyFont="1" applyFill="1" applyBorder="1" applyAlignment="1">
      <alignment horizontal="center" vertical="center"/>
    </xf>
    <xf numFmtId="2" fontId="9" fillId="6" borderId="47" xfId="2" applyNumberFormat="1" applyFont="1" applyFill="1" applyBorder="1" applyAlignment="1">
      <alignment horizontal="center" vertical="center"/>
    </xf>
    <xf numFmtId="2" fontId="9" fillId="6" borderId="23" xfId="2" applyNumberFormat="1" applyFont="1" applyFill="1" applyBorder="1" applyAlignment="1">
      <alignment horizontal="center" vertical="center"/>
    </xf>
    <xf numFmtId="2" fontId="9" fillId="6" borderId="30" xfId="2" applyNumberFormat="1" applyFont="1" applyFill="1" applyBorder="1" applyAlignment="1">
      <alignment horizontal="center" vertical="center"/>
    </xf>
    <xf numFmtId="2" fontId="9" fillId="6" borderId="49" xfId="2" applyNumberFormat="1" applyFont="1" applyFill="1" applyBorder="1" applyAlignment="1">
      <alignment horizontal="center" vertical="center"/>
    </xf>
    <xf numFmtId="2" fontId="9" fillId="6" borderId="24" xfId="2" applyNumberFormat="1" applyFont="1" applyFill="1" applyBorder="1" applyAlignment="1">
      <alignment horizontal="center" vertical="center"/>
    </xf>
    <xf numFmtId="2" fontId="9" fillId="6" borderId="31" xfId="2" applyNumberFormat="1" applyFont="1" applyFill="1" applyBorder="1" applyAlignment="1">
      <alignment horizontal="center" vertical="center"/>
    </xf>
    <xf numFmtId="2" fontId="9" fillId="6" borderId="50" xfId="2" applyNumberFormat="1" applyFont="1" applyFill="1" applyBorder="1" applyAlignment="1">
      <alignment horizontal="center" vertical="center"/>
    </xf>
    <xf numFmtId="2" fontId="6" fillId="2" borderId="22" xfId="2" applyNumberFormat="1" applyFont="1" applyFill="1" applyBorder="1" applyAlignment="1">
      <alignment horizontal="right" vertical="center"/>
    </xf>
    <xf numFmtId="2" fontId="6" fillId="2" borderId="29" xfId="2" applyNumberFormat="1" applyFont="1" applyFill="1" applyBorder="1" applyAlignment="1">
      <alignment horizontal="right" vertical="center"/>
    </xf>
    <xf numFmtId="2" fontId="6" fillId="2" borderId="25" xfId="2" applyNumberFormat="1" applyFont="1" applyFill="1" applyBorder="1" applyAlignment="1">
      <alignment horizontal="right" vertical="center"/>
    </xf>
    <xf numFmtId="2" fontId="6" fillId="2" borderId="23" xfId="2" applyNumberFormat="1" applyFont="1" applyFill="1" applyBorder="1" applyAlignment="1">
      <alignment horizontal="center" vertical="center"/>
    </xf>
    <xf numFmtId="2" fontId="6" fillId="2" borderId="30" xfId="2" applyNumberFormat="1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center" vertical="center"/>
    </xf>
    <xf numFmtId="2" fontId="6" fillId="2" borderId="24" xfId="2" applyNumberFormat="1" applyFont="1" applyFill="1" applyBorder="1" applyAlignment="1">
      <alignment horizontal="center" vertical="center"/>
    </xf>
    <xf numFmtId="2" fontId="6" fillId="2" borderId="31" xfId="2" applyNumberFormat="1" applyFont="1" applyFill="1" applyBorder="1" applyAlignment="1">
      <alignment horizontal="center" vertical="center"/>
    </xf>
    <xf numFmtId="2" fontId="6" fillId="2" borderId="26" xfId="2" applyNumberFormat="1" applyFont="1" applyFill="1" applyBorder="1" applyAlignment="1">
      <alignment horizontal="center" vertical="center"/>
    </xf>
    <xf numFmtId="2" fontId="6" fillId="2" borderId="42" xfId="2" applyNumberFormat="1" applyFill="1" applyBorder="1" applyAlignment="1">
      <alignment horizontal="right" vertical="center"/>
    </xf>
    <xf numFmtId="2" fontId="6" fillId="2" borderId="40" xfId="2" applyNumberFormat="1" applyFill="1" applyBorder="1" applyAlignment="1">
      <alignment horizontal="right" vertical="center"/>
    </xf>
    <xf numFmtId="2" fontId="6" fillId="2" borderId="23" xfId="2" applyNumberFormat="1" applyFont="1" applyFill="1" applyBorder="1" applyAlignment="1">
      <alignment horizontal="right" vertical="center"/>
    </xf>
    <xf numFmtId="2" fontId="6" fillId="2" borderId="30" xfId="2" applyNumberFormat="1" applyFont="1" applyFill="1" applyBorder="1" applyAlignment="1">
      <alignment horizontal="right" vertical="center"/>
    </xf>
    <xf numFmtId="2" fontId="6" fillId="2" borderId="2" xfId="2" applyNumberFormat="1" applyFont="1" applyFill="1" applyBorder="1" applyAlignment="1">
      <alignment horizontal="right" vertical="center"/>
    </xf>
    <xf numFmtId="2" fontId="6" fillId="2" borderId="24" xfId="2" applyNumberFormat="1" applyFont="1" applyFill="1" applyBorder="1" applyAlignment="1">
      <alignment horizontal="right" vertical="center"/>
    </xf>
    <xf numFmtId="2" fontId="6" fillId="2" borderId="31" xfId="2" applyNumberFormat="1" applyFont="1" applyFill="1" applyBorder="1" applyAlignment="1">
      <alignment horizontal="right" vertical="center"/>
    </xf>
    <xf numFmtId="2" fontId="6" fillId="2" borderId="26" xfId="2" applyNumberFormat="1" applyFont="1" applyFill="1" applyBorder="1" applyAlignment="1">
      <alignment horizontal="right" vertical="center"/>
    </xf>
    <xf numFmtId="0" fontId="9" fillId="6" borderId="22" xfId="2" applyFont="1" applyFill="1" applyBorder="1" applyAlignment="1">
      <alignment horizontal="left" vertical="center"/>
    </xf>
    <xf numFmtId="0" fontId="9" fillId="6" borderId="29" xfId="2" applyFont="1" applyFill="1" applyBorder="1" applyAlignment="1">
      <alignment horizontal="left" vertical="center"/>
    </xf>
    <xf numFmtId="0" fontId="9" fillId="6" borderId="47" xfId="2" applyFont="1" applyFill="1" applyBorder="1" applyAlignment="1">
      <alignment horizontal="left" vertical="center"/>
    </xf>
    <xf numFmtId="168" fontId="9" fillId="6" borderId="22" xfId="2" applyNumberFormat="1" applyFont="1" applyFill="1" applyBorder="1" applyAlignment="1">
      <alignment horizontal="right" vertical="center"/>
    </xf>
    <xf numFmtId="168" fontId="9" fillId="6" borderId="29" xfId="2" applyNumberFormat="1" applyFont="1" applyFill="1" applyBorder="1" applyAlignment="1">
      <alignment horizontal="right" vertical="center"/>
    </xf>
    <xf numFmtId="168" fontId="9" fillId="6" borderId="47" xfId="2" applyNumberFormat="1" applyFont="1" applyFill="1" applyBorder="1" applyAlignment="1">
      <alignment horizontal="right" vertical="center"/>
    </xf>
    <xf numFmtId="168" fontId="9" fillId="6" borderId="23" xfId="2" applyNumberFormat="1" applyFont="1" applyFill="1" applyBorder="1" applyAlignment="1">
      <alignment horizontal="right" vertical="center"/>
    </xf>
    <xf numFmtId="168" fontId="9" fillId="6" borderId="30" xfId="2" applyNumberFormat="1" applyFont="1" applyFill="1" applyBorder="1" applyAlignment="1">
      <alignment horizontal="right" vertical="center"/>
    </xf>
    <xf numFmtId="168" fontId="9" fillId="6" borderId="49" xfId="2" applyNumberFormat="1" applyFont="1" applyFill="1" applyBorder="1" applyAlignment="1">
      <alignment horizontal="right" vertical="center"/>
    </xf>
    <xf numFmtId="168" fontId="9" fillId="6" borderId="24" xfId="2" applyNumberFormat="1" applyFont="1" applyFill="1" applyBorder="1" applyAlignment="1">
      <alignment horizontal="right" vertical="center"/>
    </xf>
    <xf numFmtId="168" fontId="9" fillId="6" borderId="31" xfId="2" applyNumberFormat="1" applyFont="1" applyFill="1" applyBorder="1" applyAlignment="1">
      <alignment horizontal="right" vertical="center"/>
    </xf>
    <xf numFmtId="168" fontId="9" fillId="6" borderId="50" xfId="2" applyNumberFormat="1" applyFont="1" applyFill="1" applyBorder="1" applyAlignment="1">
      <alignment horizontal="right" vertical="center"/>
    </xf>
    <xf numFmtId="0" fontId="9" fillId="6" borderId="25" xfId="2" applyFont="1" applyFill="1" applyBorder="1" applyAlignment="1">
      <alignment horizontal="left" vertical="center"/>
    </xf>
    <xf numFmtId="2" fontId="9" fillId="6" borderId="25" xfId="2" applyNumberFormat="1" applyFont="1" applyFill="1" applyBorder="1" applyAlignment="1">
      <alignment horizontal="right" vertical="center"/>
    </xf>
    <xf numFmtId="2" fontId="9" fillId="6" borderId="2" xfId="2" applyNumberFormat="1" applyFont="1" applyFill="1" applyBorder="1" applyAlignment="1">
      <alignment horizontal="right" vertical="center"/>
    </xf>
    <xf numFmtId="2" fontId="9" fillId="6" borderId="26" xfId="2" applyNumberFormat="1" applyFont="1" applyFill="1" applyBorder="1" applyAlignment="1">
      <alignment horizontal="right" vertical="center"/>
    </xf>
    <xf numFmtId="2" fontId="9" fillId="6" borderId="2" xfId="2" applyNumberFormat="1" applyFont="1" applyFill="1" applyBorder="1" applyAlignment="1">
      <alignment horizontal="center" vertical="center"/>
    </xf>
    <xf numFmtId="2" fontId="9" fillId="6" borderId="26" xfId="2" applyNumberFormat="1" applyFont="1" applyFill="1" applyBorder="1" applyAlignment="1">
      <alignment horizontal="center" vertical="center"/>
    </xf>
    <xf numFmtId="0" fontId="5" fillId="3" borderId="22" xfId="2" applyFont="1" applyFill="1" applyBorder="1" applyAlignment="1">
      <alignment horizontal="left" vertical="center"/>
    </xf>
    <xf numFmtId="0" fontId="5" fillId="3" borderId="47" xfId="2" applyFont="1" applyFill="1" applyBorder="1" applyAlignment="1">
      <alignment horizontal="left" vertical="center"/>
    </xf>
    <xf numFmtId="2" fontId="6" fillId="3" borderId="22" xfId="2" applyNumberFormat="1" applyFill="1" applyBorder="1" applyAlignment="1">
      <alignment horizontal="right" vertical="center"/>
    </xf>
    <xf numFmtId="2" fontId="6" fillId="3" borderId="47" xfId="2" applyNumberFormat="1" applyFill="1" applyBorder="1" applyAlignment="1">
      <alignment horizontal="right" vertical="center"/>
    </xf>
    <xf numFmtId="2" fontId="6" fillId="3" borderId="23" xfId="2" applyNumberFormat="1" applyFill="1" applyBorder="1" applyAlignment="1">
      <alignment horizontal="right" vertical="center"/>
    </xf>
    <xf numFmtId="2" fontId="6" fillId="3" borderId="49" xfId="2" applyNumberFormat="1" applyFill="1" applyBorder="1" applyAlignment="1">
      <alignment horizontal="right" vertical="center"/>
    </xf>
    <xf numFmtId="2" fontId="6" fillId="3" borderId="24" xfId="2" applyNumberFormat="1" applyFill="1" applyBorder="1" applyAlignment="1">
      <alignment horizontal="right" vertical="center"/>
    </xf>
    <xf numFmtId="2" fontId="6" fillId="3" borderId="50" xfId="2" applyNumberFormat="1" applyFill="1" applyBorder="1" applyAlignment="1">
      <alignment horizontal="right" vertical="center"/>
    </xf>
    <xf numFmtId="2" fontId="9" fillId="5" borderId="64" xfId="2" applyNumberFormat="1" applyFont="1" applyFill="1" applyBorder="1" applyAlignment="1">
      <alignment horizontal="right" vertical="center"/>
    </xf>
    <xf numFmtId="2" fontId="9" fillId="5" borderId="68" xfId="2" applyNumberFormat="1" applyFont="1" applyFill="1" applyBorder="1" applyAlignment="1">
      <alignment horizontal="right" vertical="center"/>
    </xf>
    <xf numFmtId="2" fontId="9" fillId="5" borderId="23" xfId="2" applyNumberFormat="1" applyFont="1" applyFill="1" applyBorder="1" applyAlignment="1">
      <alignment horizontal="right" vertical="center"/>
    </xf>
    <xf numFmtId="2" fontId="9" fillId="5" borderId="2" xfId="2" applyNumberFormat="1" applyFont="1" applyFill="1" applyBorder="1" applyAlignment="1">
      <alignment horizontal="right" vertical="center"/>
    </xf>
    <xf numFmtId="2" fontId="9" fillId="5" borderId="44" xfId="2" applyNumberFormat="1" applyFont="1" applyFill="1" applyBorder="1" applyAlignment="1">
      <alignment horizontal="right" vertical="center"/>
    </xf>
    <xf numFmtId="2" fontId="9" fillId="5" borderId="69" xfId="2" applyNumberFormat="1" applyFont="1" applyFill="1" applyBorder="1" applyAlignment="1">
      <alignment horizontal="right" vertical="center"/>
    </xf>
    <xf numFmtId="2" fontId="6" fillId="2" borderId="42" xfId="2" applyNumberFormat="1" applyFont="1" applyFill="1" applyBorder="1" applyAlignment="1">
      <alignment horizontal="right" vertical="center"/>
    </xf>
    <xf numFmtId="2" fontId="6" fillId="2" borderId="43" xfId="2" applyNumberFormat="1" applyFont="1" applyFill="1" applyBorder="1" applyAlignment="1">
      <alignment horizontal="right" vertical="center"/>
    </xf>
    <xf numFmtId="2" fontId="6" fillId="2" borderId="40" xfId="2" applyNumberFormat="1" applyFont="1" applyFill="1" applyBorder="1" applyAlignment="1">
      <alignment horizontal="right" vertical="center"/>
    </xf>
    <xf numFmtId="2" fontId="6" fillId="2" borderId="44" xfId="2" applyNumberFormat="1" applyFont="1" applyFill="1" applyBorder="1" applyAlignment="1">
      <alignment horizontal="right" vertical="center"/>
    </xf>
    <xf numFmtId="2" fontId="6" fillId="2" borderId="71" xfId="2" applyNumberFormat="1" applyFont="1" applyFill="1" applyBorder="1" applyAlignment="1">
      <alignment horizontal="right" vertical="center"/>
    </xf>
    <xf numFmtId="2" fontId="6" fillId="2" borderId="69" xfId="2" applyNumberFormat="1" applyFont="1" applyFill="1" applyBorder="1" applyAlignment="1">
      <alignment horizontal="right" vertical="center"/>
    </xf>
    <xf numFmtId="0" fontId="2" fillId="0" borderId="0" xfId="2" applyFont="1" applyBorder="1" applyAlignment="1">
      <alignment horizontal="center" vertical="center"/>
    </xf>
    <xf numFmtId="2" fontId="9" fillId="2" borderId="9" xfId="2" applyNumberFormat="1" applyFont="1" applyFill="1" applyBorder="1" applyAlignment="1">
      <alignment horizontal="right" vertical="center"/>
    </xf>
    <xf numFmtId="2" fontId="9" fillId="2" borderId="1" xfId="2" applyNumberFormat="1" applyFont="1" applyFill="1" applyBorder="1" applyAlignment="1">
      <alignment horizontal="right" vertical="center"/>
    </xf>
    <xf numFmtId="2" fontId="9" fillId="2" borderId="10" xfId="2" applyNumberFormat="1" applyFont="1" applyFill="1" applyBorder="1" applyAlignment="1">
      <alignment horizontal="right" vertical="center"/>
    </xf>
    <xf numFmtId="2" fontId="9" fillId="2" borderId="6" xfId="2" applyNumberFormat="1" applyFont="1" applyFill="1" applyBorder="1" applyAlignment="1">
      <alignment horizontal="right" vertical="center"/>
    </xf>
    <xf numFmtId="2" fontId="9" fillId="2" borderId="7" xfId="2" applyNumberFormat="1" applyFont="1" applyFill="1" applyBorder="1" applyAlignment="1">
      <alignment horizontal="right" vertical="center"/>
    </xf>
    <xf numFmtId="2" fontId="9" fillId="2" borderId="8" xfId="2" applyNumberFormat="1" applyFont="1" applyFill="1" applyBorder="1" applyAlignment="1">
      <alignment horizontal="right" vertical="center"/>
    </xf>
    <xf numFmtId="2" fontId="6" fillId="2" borderId="39" xfId="2" applyNumberFormat="1" applyFont="1" applyFill="1" applyBorder="1" applyAlignment="1">
      <alignment horizontal="right" vertical="center"/>
    </xf>
    <xf numFmtId="2" fontId="6" fillId="2" borderId="33" xfId="2" applyNumberFormat="1" applyFont="1" applyFill="1" applyBorder="1" applyAlignment="1">
      <alignment horizontal="right" vertical="center"/>
    </xf>
    <xf numFmtId="2" fontId="6" fillId="2" borderId="45" xfId="2" applyNumberFormat="1" applyFont="1" applyFill="1" applyBorder="1" applyAlignment="1">
      <alignment horizontal="right" vertical="center"/>
    </xf>
    <xf numFmtId="168" fontId="14" fillId="4" borderId="42" xfId="2" applyNumberFormat="1" applyFont="1" applyFill="1" applyBorder="1" applyAlignment="1">
      <alignment horizontal="center" vertical="center"/>
    </xf>
    <xf numFmtId="168" fontId="14" fillId="4" borderId="57" xfId="2" applyNumberFormat="1" applyFont="1" applyFill="1" applyBorder="1" applyAlignment="1">
      <alignment horizontal="center" vertical="center"/>
    </xf>
    <xf numFmtId="168" fontId="14" fillId="4" borderId="23" xfId="2" applyNumberFormat="1" applyFont="1" applyFill="1" applyBorder="1" applyAlignment="1">
      <alignment horizontal="center" vertical="center"/>
    </xf>
    <xf numFmtId="168" fontId="14" fillId="4" borderId="49" xfId="2" applyNumberFormat="1" applyFont="1" applyFill="1" applyBorder="1" applyAlignment="1">
      <alignment horizontal="center" vertical="center"/>
    </xf>
    <xf numFmtId="168" fontId="14" fillId="4" borderId="24" xfId="2" applyNumberFormat="1" applyFont="1" applyFill="1" applyBorder="1" applyAlignment="1">
      <alignment horizontal="center" vertical="center"/>
    </xf>
    <xf numFmtId="168" fontId="14" fillId="4" borderId="50" xfId="2" applyNumberFormat="1" applyFont="1" applyFill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7" xfId="2" applyFont="1" applyBorder="1" applyAlignment="1">
      <alignment horizontal="center" vertical="center"/>
    </xf>
    <xf numFmtId="0" fontId="2" fillId="0" borderId="76" xfId="2" applyFont="1" applyBorder="1" applyAlignment="1">
      <alignment horizontal="center" vertical="center"/>
    </xf>
    <xf numFmtId="0" fontId="2" fillId="0" borderId="91" xfId="2" applyFont="1" applyBorder="1" applyAlignment="1">
      <alignment horizontal="center" vertical="center"/>
    </xf>
    <xf numFmtId="0" fontId="2" fillId="0" borderId="92" xfId="2" applyFont="1" applyBorder="1" applyAlignment="1">
      <alignment horizontal="center" vertical="center"/>
    </xf>
    <xf numFmtId="0" fontId="2" fillId="0" borderId="93" xfId="2" applyFont="1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11" fillId="0" borderId="0" xfId="5" applyFont="1" applyAlignment="1">
      <alignment horizontal="left" vertical="center"/>
    </xf>
    <xf numFmtId="0" fontId="2" fillId="0" borderId="0" xfId="5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2" fillId="0" borderId="0" xfId="3" applyFont="1" applyAlignment="1">
      <alignment horizontal="center" vertical="center"/>
    </xf>
    <xf numFmtId="11" fontId="2" fillId="3" borderId="1" xfId="1" applyNumberFormat="1" applyFont="1" applyFill="1" applyBorder="1" applyAlignment="1">
      <alignment horizontal="center"/>
    </xf>
    <xf numFmtId="9" fontId="2" fillId="5" borderId="1" xfId="1" applyFont="1" applyFill="1" applyBorder="1" applyAlignment="1">
      <alignment horizontal="center" vertical="center"/>
    </xf>
  </cellXfs>
  <cellStyles count="19">
    <cellStyle name="Normal" xfId="0" builtinId="0"/>
    <cellStyle name="Normal 10" xfId="18"/>
    <cellStyle name="Normal 2" xfId="2"/>
    <cellStyle name="Normal 3" xfId="3"/>
    <cellStyle name="Normal 4" xfId="5"/>
    <cellStyle name="Normal 5" xfId="7"/>
    <cellStyle name="Normal 6" xfId="9"/>
    <cellStyle name="Normal 7" xfId="11"/>
    <cellStyle name="Normal 8" xfId="15"/>
    <cellStyle name="Normal 9" xfId="17"/>
    <cellStyle name="Percent" xfId="1" builtinId="5"/>
    <cellStyle name="Pourcentage 2" xfId="4"/>
    <cellStyle name="Pourcentage 3" xfId="6"/>
    <cellStyle name="Pourcentage 4" xfId="8"/>
    <cellStyle name="Pourcentage 5" xfId="10"/>
    <cellStyle name="Pourcentage 6" xfId="13"/>
    <cellStyle name="Pourcentage 7" xfId="14"/>
    <cellStyle name="Pourcentage 8" xfId="12"/>
    <cellStyle name="Pourcentage 9" xfId="16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6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" sqref="C2:C4"/>
    </sheetView>
  </sheetViews>
  <sheetFormatPr defaultColWidth="8.88671875" defaultRowHeight="11.4" x14ac:dyDescent="0.25"/>
  <cols>
    <col min="1" max="1" width="23.33203125" style="1" bestFit="1" customWidth="1"/>
    <col min="2" max="2" width="87.5546875" style="1" bestFit="1" customWidth="1"/>
    <col min="3" max="3" width="13.6640625" style="6" customWidth="1"/>
    <col min="4" max="4" width="14" style="2" bestFit="1" customWidth="1"/>
    <col min="5" max="5" width="12.44140625" style="2" bestFit="1" customWidth="1"/>
    <col min="6" max="6" width="13.88671875" style="2" bestFit="1" customWidth="1"/>
    <col min="7" max="7" width="11.6640625" style="2" bestFit="1" customWidth="1"/>
    <col min="8" max="8" width="15.6640625" style="2" bestFit="1" customWidth="1"/>
    <col min="9" max="9" width="13.88671875" style="2" bestFit="1" customWidth="1"/>
    <col min="10" max="10" width="12.33203125" style="2" bestFit="1" customWidth="1"/>
    <col min="11" max="11" width="13.6640625" style="2" bestFit="1" customWidth="1"/>
    <col min="12" max="12" width="7.5546875" style="6" bestFit="1" customWidth="1"/>
    <col min="13" max="16384" width="8.88671875" style="1"/>
  </cols>
  <sheetData>
    <row r="1" spans="1:12" x14ac:dyDescent="0.25">
      <c r="C1" s="638"/>
      <c r="D1" s="779" t="s">
        <v>0</v>
      </c>
      <c r="E1" s="779"/>
      <c r="F1" s="779"/>
      <c r="G1" s="779"/>
      <c r="H1" s="638"/>
      <c r="I1" s="779" t="s">
        <v>1</v>
      </c>
      <c r="J1" s="779"/>
      <c r="K1" s="779"/>
      <c r="L1" s="779"/>
    </row>
    <row r="2" spans="1:12" x14ac:dyDescent="0.25">
      <c r="A2" s="779" t="s">
        <v>2</v>
      </c>
      <c r="B2" s="779" t="s">
        <v>452</v>
      </c>
      <c r="C2" s="780" t="s">
        <v>451</v>
      </c>
      <c r="D2" s="638" t="s">
        <v>5</v>
      </c>
      <c r="E2" s="638" t="s">
        <v>6</v>
      </c>
      <c r="F2" s="638" t="s">
        <v>7</v>
      </c>
      <c r="G2" s="638" t="s">
        <v>8</v>
      </c>
      <c r="H2" s="780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25">
      <c r="A3" s="779"/>
      <c r="B3" s="779"/>
      <c r="C3" s="780"/>
      <c r="D3" s="638" t="s">
        <v>10</v>
      </c>
      <c r="E3" s="638" t="s">
        <v>11</v>
      </c>
      <c r="F3" s="638" t="s">
        <v>11</v>
      </c>
      <c r="G3" s="638" t="s">
        <v>12</v>
      </c>
      <c r="H3" s="780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ht="12" thickBot="1" x14ac:dyDescent="0.3">
      <c r="A4" s="779"/>
      <c r="B4" s="779"/>
      <c r="C4" s="780"/>
      <c r="D4" s="638" t="s">
        <v>13</v>
      </c>
      <c r="E4" s="638" t="s">
        <v>14</v>
      </c>
      <c r="F4" s="638" t="s">
        <v>14</v>
      </c>
      <c r="G4" s="638" t="s">
        <v>15</v>
      </c>
      <c r="H4" s="780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ht="12" thickTop="1" x14ac:dyDescent="0.25">
      <c r="A5" s="781" t="s">
        <v>16</v>
      </c>
      <c r="B5" s="323" t="s">
        <v>17</v>
      </c>
      <c r="C5" s="324">
        <v>5.7600000000000004E-3</v>
      </c>
      <c r="D5" s="325">
        <v>0.25409999999999999</v>
      </c>
      <c r="E5" s="326">
        <v>6.4536793499999995E-2</v>
      </c>
      <c r="F5" s="327">
        <v>0.49021496881929999</v>
      </c>
      <c r="G5" s="328">
        <v>784.80297942484481</v>
      </c>
      <c r="H5" s="329">
        <f>C5/(C5+C6)</f>
        <v>0.27745664739884396</v>
      </c>
      <c r="I5" s="785">
        <f>D5*$H5+D6*$H6</f>
        <v>0.11051618497109827</v>
      </c>
      <c r="J5" s="787">
        <f>E5*$H5+E6*$H6</f>
        <v>12.160389435479765</v>
      </c>
      <c r="K5" s="789">
        <f>F5*$H5+F6*$H6</f>
        <v>0.55060600811171323</v>
      </c>
      <c r="L5" s="791">
        <f>G5*$H5+G6*$H6</f>
        <v>476.83000185116589</v>
      </c>
    </row>
    <row r="6" spans="1:12" x14ac:dyDescent="0.25">
      <c r="A6" s="782"/>
      <c r="B6" s="330" t="s">
        <v>18</v>
      </c>
      <c r="C6" s="331">
        <v>1.4999999999999999E-2</v>
      </c>
      <c r="D6" s="332">
        <v>5.5379999999999999E-2</v>
      </c>
      <c r="E6" s="333">
        <v>16.805196849999998</v>
      </c>
      <c r="F6" s="334">
        <v>0.57379616720000004</v>
      </c>
      <c r="G6" s="335">
        <v>358.56837846287317</v>
      </c>
      <c r="H6" s="336">
        <f>C6/(C5+C6)</f>
        <v>0.72254335260115599</v>
      </c>
      <c r="I6" s="786"/>
      <c r="J6" s="788"/>
      <c r="K6" s="790"/>
      <c r="L6" s="792"/>
    </row>
    <row r="7" spans="1:12" x14ac:dyDescent="0.25">
      <c r="A7" s="310" t="s">
        <v>19</v>
      </c>
      <c r="B7" s="311" t="s">
        <v>20</v>
      </c>
      <c r="C7" s="312" t="s">
        <v>20</v>
      </c>
      <c r="D7" s="313" t="s">
        <v>20</v>
      </c>
      <c r="E7" s="313" t="s">
        <v>20</v>
      </c>
      <c r="F7" s="313" t="s">
        <v>20</v>
      </c>
      <c r="G7" s="313" t="s">
        <v>20</v>
      </c>
      <c r="H7" s="313" t="s">
        <v>20</v>
      </c>
      <c r="I7" s="313" t="s">
        <v>20</v>
      </c>
      <c r="J7" s="313" t="s">
        <v>20</v>
      </c>
      <c r="K7" s="313" t="s">
        <v>20</v>
      </c>
      <c r="L7" s="314" t="s">
        <v>20</v>
      </c>
    </row>
    <row r="8" spans="1:12" x14ac:dyDescent="0.25">
      <c r="A8" s="310" t="s">
        <v>21</v>
      </c>
      <c r="B8" s="311" t="s">
        <v>20</v>
      </c>
      <c r="C8" s="312" t="s">
        <v>20</v>
      </c>
      <c r="D8" s="313" t="s">
        <v>20</v>
      </c>
      <c r="E8" s="313" t="s">
        <v>20</v>
      </c>
      <c r="F8" s="313" t="s">
        <v>20</v>
      </c>
      <c r="G8" s="313" t="s">
        <v>20</v>
      </c>
      <c r="H8" s="313" t="s">
        <v>20</v>
      </c>
      <c r="I8" s="313" t="s">
        <v>20</v>
      </c>
      <c r="J8" s="313" t="s">
        <v>20</v>
      </c>
      <c r="K8" s="313" t="s">
        <v>20</v>
      </c>
      <c r="L8" s="314" t="s">
        <v>20</v>
      </c>
    </row>
    <row r="9" spans="1:12" x14ac:dyDescent="0.25">
      <c r="A9" s="783" t="s">
        <v>22</v>
      </c>
      <c r="B9" s="337" t="s">
        <v>23</v>
      </c>
      <c r="C9" s="338">
        <v>3.6200000000000003E-2</v>
      </c>
      <c r="D9" s="339">
        <v>0.50019999999999998</v>
      </c>
      <c r="E9" s="340">
        <v>1.04050985E-2</v>
      </c>
      <c r="F9" s="341">
        <v>9.0987060775180009</v>
      </c>
      <c r="G9" s="342">
        <v>306.17470424288587</v>
      </c>
      <c r="H9" s="343">
        <f>C9/SUM(C$9:C$12)</f>
        <v>0.36788617886178865</v>
      </c>
      <c r="I9" s="793">
        <f>D9*$H9+D10*$H10+D11*$H11+D12*$H12</f>
        <v>0.59372479674796752</v>
      </c>
      <c r="J9" s="796">
        <f t="shared" ref="J9:L9" si="0">E9*$H9+E10*$H10+E11*$H11+E12*$H12</f>
        <v>1.2153310947764229E-2</v>
      </c>
      <c r="K9" s="799">
        <f t="shared" si="0"/>
        <v>10.708956575496373</v>
      </c>
      <c r="L9" s="802">
        <f t="shared" si="0"/>
        <v>364.82979729707864</v>
      </c>
    </row>
    <row r="10" spans="1:12" x14ac:dyDescent="0.25">
      <c r="A10" s="783"/>
      <c r="B10" s="344" t="s">
        <v>24</v>
      </c>
      <c r="C10" s="345">
        <v>1.6899999999999998E-2</v>
      </c>
      <c r="D10" s="346">
        <v>0.8306</v>
      </c>
      <c r="E10" s="347">
        <v>1.5346086700000001E-2</v>
      </c>
      <c r="F10" s="348">
        <v>14.585753437296001</v>
      </c>
      <c r="G10" s="349">
        <v>511.2557954800933</v>
      </c>
      <c r="H10" s="350">
        <f t="shared" ref="H10:H12" si="1">C10/SUM(C$9:C$12)</f>
        <v>0.17174796747967477</v>
      </c>
      <c r="I10" s="794"/>
      <c r="J10" s="797"/>
      <c r="K10" s="800"/>
      <c r="L10" s="803"/>
    </row>
    <row r="11" spans="1:12" x14ac:dyDescent="0.25">
      <c r="A11" s="783"/>
      <c r="B11" s="344" t="s">
        <v>25</v>
      </c>
      <c r="C11" s="345">
        <v>3.4700000000000002E-2</v>
      </c>
      <c r="D11" s="346">
        <v>0.52659999999999996</v>
      </c>
      <c r="E11" s="347">
        <v>1.0958082500000001E-2</v>
      </c>
      <c r="F11" s="351">
        <v>9.5822611184959978</v>
      </c>
      <c r="G11" s="349">
        <v>322.44747385298172</v>
      </c>
      <c r="H11" s="350">
        <f t="shared" si="1"/>
        <v>0.35264227642276424</v>
      </c>
      <c r="I11" s="794"/>
      <c r="J11" s="797"/>
      <c r="K11" s="800"/>
      <c r="L11" s="803"/>
    </row>
    <row r="12" spans="1:12" x14ac:dyDescent="0.25">
      <c r="A12" s="783"/>
      <c r="B12" s="330" t="s">
        <v>26</v>
      </c>
      <c r="C12" s="331">
        <v>1.06E-2</v>
      </c>
      <c r="D12" s="332">
        <v>0.75519999999999998</v>
      </c>
      <c r="E12" s="352">
        <v>1.69459343E-2</v>
      </c>
      <c r="F12" s="333">
        <v>13.715516332129999</v>
      </c>
      <c r="G12" s="335">
        <v>470.43183718188925</v>
      </c>
      <c r="H12" s="336">
        <f t="shared" si="1"/>
        <v>0.10772357723577236</v>
      </c>
      <c r="I12" s="795"/>
      <c r="J12" s="798"/>
      <c r="K12" s="801"/>
      <c r="L12" s="804"/>
    </row>
    <row r="13" spans="1:12" x14ac:dyDescent="0.25">
      <c r="A13" s="783" t="s">
        <v>27</v>
      </c>
      <c r="B13" s="337" t="s">
        <v>28</v>
      </c>
      <c r="C13" s="338">
        <v>1.3599999999999999E-2</v>
      </c>
      <c r="D13" s="339">
        <v>0.95550000000000002</v>
      </c>
      <c r="E13" s="353">
        <f>0.099+0.00528+0.0248</f>
        <v>0.12908</v>
      </c>
      <c r="F13" s="354">
        <f>11.8+0.13+0.0000219</f>
        <v>11.930021900000002</v>
      </c>
      <c r="G13" s="342">
        <v>551.55149981874342</v>
      </c>
      <c r="H13" s="355">
        <f>C13/(C13+C14)</f>
        <v>0.87403598971722363</v>
      </c>
      <c r="I13" s="805">
        <f>D13*$H13+D14*$H14</f>
        <v>0.9839048843187661</v>
      </c>
      <c r="J13" s="793">
        <f t="shared" ref="J13:L13" si="2">E13*$H13+E14*$H14</f>
        <v>0.1328743736236504</v>
      </c>
      <c r="K13" s="799">
        <f t="shared" si="2"/>
        <v>12.290407634097607</v>
      </c>
      <c r="L13" s="802">
        <f t="shared" si="2"/>
        <v>567.98343567416282</v>
      </c>
    </row>
    <row r="14" spans="1:12" x14ac:dyDescent="0.25">
      <c r="A14" s="783"/>
      <c r="B14" s="330" t="s">
        <v>29</v>
      </c>
      <c r="C14" s="331">
        <v>1.9599999999999999E-3</v>
      </c>
      <c r="D14" s="332">
        <v>1.181</v>
      </c>
      <c r="E14" s="334">
        <v>0.15920268040000002</v>
      </c>
      <c r="F14" s="333">
        <v>14.791043340081</v>
      </c>
      <c r="G14" s="335">
        <v>682.00094977299182</v>
      </c>
      <c r="H14" s="336">
        <f>C14/(C13+C14)</f>
        <v>0.12596401028277635</v>
      </c>
      <c r="I14" s="806"/>
      <c r="J14" s="795"/>
      <c r="K14" s="801"/>
      <c r="L14" s="804"/>
    </row>
    <row r="15" spans="1:12" x14ac:dyDescent="0.25">
      <c r="A15" s="777" t="s">
        <v>30</v>
      </c>
      <c r="B15" s="337" t="s">
        <v>31</v>
      </c>
      <c r="C15" s="338">
        <v>2.26E-5</v>
      </c>
      <c r="D15" s="339">
        <v>1.117</v>
      </c>
      <c r="E15" s="340">
        <v>5.9406696000000002E-2</v>
      </c>
      <c r="F15" s="354">
        <v>17.482426722393999</v>
      </c>
      <c r="G15" s="342">
        <v>886.4630321056718</v>
      </c>
      <c r="H15" s="343">
        <f>C15/(C15+C16)</f>
        <v>1.5141364062709366E-2</v>
      </c>
      <c r="I15" s="805">
        <f>D15*$H15+D16*$H16</f>
        <v>0.93027080262628958</v>
      </c>
      <c r="J15" s="796">
        <f t="shared" ref="J15:L15" si="3">E15*$H15+E16*$H16</f>
        <v>4.9457521399303227E-2</v>
      </c>
      <c r="K15" s="799">
        <f t="shared" si="3"/>
        <v>14.55454561163017</v>
      </c>
      <c r="L15" s="802">
        <f t="shared" si="3"/>
        <v>739.4979416413596</v>
      </c>
    </row>
    <row r="16" spans="1:12" x14ac:dyDescent="0.25">
      <c r="A16" s="782"/>
      <c r="B16" s="330" t="s">
        <v>32</v>
      </c>
      <c r="C16" s="331">
        <v>1.47E-3</v>
      </c>
      <c r="D16" s="332">
        <v>0.9274</v>
      </c>
      <c r="E16" s="352">
        <v>4.9304561300000001E-2</v>
      </c>
      <c r="F16" s="333">
        <v>14.509531929246998</v>
      </c>
      <c r="G16" s="335">
        <v>737.23847834578578</v>
      </c>
      <c r="H16" s="336">
        <f>C16/(C15+C16)</f>
        <v>0.98485863593729062</v>
      </c>
      <c r="I16" s="806"/>
      <c r="J16" s="798"/>
      <c r="K16" s="801"/>
      <c r="L16" s="804"/>
    </row>
    <row r="17" spans="1:12" x14ac:dyDescent="0.25">
      <c r="A17" s="310" t="s">
        <v>33</v>
      </c>
      <c r="B17" s="311" t="s">
        <v>20</v>
      </c>
      <c r="C17" s="312" t="s">
        <v>20</v>
      </c>
      <c r="D17" s="313" t="s">
        <v>20</v>
      </c>
      <c r="E17" s="313" t="s">
        <v>20</v>
      </c>
      <c r="F17" s="313" t="s">
        <v>20</v>
      </c>
      <c r="G17" s="313" t="s">
        <v>20</v>
      </c>
      <c r="H17" s="313" t="s">
        <v>20</v>
      </c>
      <c r="I17" s="313" t="s">
        <v>20</v>
      </c>
      <c r="J17" s="313" t="s">
        <v>20</v>
      </c>
      <c r="K17" s="313" t="s">
        <v>20</v>
      </c>
      <c r="L17" s="314" t="s">
        <v>20</v>
      </c>
    </row>
    <row r="18" spans="1:12" x14ac:dyDescent="0.25">
      <c r="A18" s="310" t="s">
        <v>34</v>
      </c>
      <c r="B18" s="311" t="s">
        <v>20</v>
      </c>
      <c r="C18" s="312" t="s">
        <v>20</v>
      </c>
      <c r="D18" s="313" t="s">
        <v>20</v>
      </c>
      <c r="E18" s="313" t="s">
        <v>20</v>
      </c>
      <c r="F18" s="313" t="s">
        <v>20</v>
      </c>
      <c r="G18" s="313" t="s">
        <v>20</v>
      </c>
      <c r="H18" s="313" t="s">
        <v>20</v>
      </c>
      <c r="I18" s="313" t="s">
        <v>20</v>
      </c>
      <c r="J18" s="313" t="s">
        <v>20</v>
      </c>
      <c r="K18" s="313" t="s">
        <v>20</v>
      </c>
      <c r="L18" s="314" t="s">
        <v>20</v>
      </c>
    </row>
    <row r="19" spans="1:12" x14ac:dyDescent="0.25">
      <c r="A19" s="302" t="s">
        <v>35</v>
      </c>
      <c r="B19" s="317" t="s">
        <v>36</v>
      </c>
      <c r="C19" s="964">
        <v>9.0699999999999996E-7</v>
      </c>
      <c r="D19" s="305">
        <v>6.7299999999999999E-2</v>
      </c>
      <c r="E19" s="315">
        <v>8.6727244000000009E-2</v>
      </c>
      <c r="F19" s="307">
        <v>0.99617338859549998</v>
      </c>
      <c r="G19" s="308">
        <v>104.42918960888619</v>
      </c>
      <c r="H19" s="319">
        <v>1</v>
      </c>
      <c r="I19" s="44">
        <f>D19*$H19</f>
        <v>6.7299999999999999E-2</v>
      </c>
      <c r="J19" s="642">
        <f t="shared" ref="J19:L22" si="4">E19*$H19</f>
        <v>8.6727244000000009E-2</v>
      </c>
      <c r="K19" s="642">
        <f t="shared" si="4"/>
        <v>0.99617338859549998</v>
      </c>
      <c r="L19" s="643">
        <f t="shared" si="4"/>
        <v>104.42918960888619</v>
      </c>
    </row>
    <row r="20" spans="1:12" x14ac:dyDescent="0.25">
      <c r="A20" s="302" t="s">
        <v>38</v>
      </c>
      <c r="B20" s="303" t="s">
        <v>39</v>
      </c>
      <c r="C20" s="304">
        <v>4.2099999999999999E-2</v>
      </c>
      <c r="D20" s="305">
        <v>0.49159999999999998</v>
      </c>
      <c r="E20" s="46">
        <v>4.0430911500000004</v>
      </c>
      <c r="F20" s="46">
        <v>6.9466147996769996</v>
      </c>
      <c r="G20" s="308">
        <v>371.93328024888979</v>
      </c>
      <c r="H20" s="319">
        <v>1</v>
      </c>
      <c r="I20" s="44">
        <f t="shared" ref="I20:I22" si="5">D20*$H20</f>
        <v>0.49159999999999998</v>
      </c>
      <c r="J20" s="43">
        <f t="shared" si="4"/>
        <v>4.0430911500000004</v>
      </c>
      <c r="K20" s="43">
        <f t="shared" si="4"/>
        <v>6.9466147996769996</v>
      </c>
      <c r="L20" s="643">
        <f t="shared" si="4"/>
        <v>371.93328024888979</v>
      </c>
    </row>
    <row r="21" spans="1:12" x14ac:dyDescent="0.25">
      <c r="A21" s="302" t="s">
        <v>40</v>
      </c>
      <c r="B21" s="303" t="s">
        <v>41</v>
      </c>
      <c r="C21" s="304">
        <v>0.308</v>
      </c>
      <c r="D21" s="305">
        <v>3.8440000000000002E-3</v>
      </c>
      <c r="E21" s="46">
        <v>3.7930434521199996</v>
      </c>
      <c r="F21" s="315">
        <v>4.3335246012190007E-2</v>
      </c>
      <c r="G21" s="306">
        <v>11.914536742744552</v>
      </c>
      <c r="H21" s="319">
        <v>1</v>
      </c>
      <c r="I21" s="44">
        <f t="shared" si="5"/>
        <v>3.8440000000000002E-3</v>
      </c>
      <c r="J21" s="43">
        <f t="shared" si="4"/>
        <v>3.7930434521199996</v>
      </c>
      <c r="K21" s="640">
        <f t="shared" si="4"/>
        <v>4.3335246012190007E-2</v>
      </c>
      <c r="L21" s="320">
        <f t="shared" si="4"/>
        <v>11.914536742744552</v>
      </c>
    </row>
    <row r="22" spans="1:12" x14ac:dyDescent="0.25">
      <c r="A22" s="302" t="s">
        <v>42</v>
      </c>
      <c r="B22" s="303" t="s">
        <v>43</v>
      </c>
      <c r="C22" s="304">
        <v>0.10299999999999999</v>
      </c>
      <c r="D22" s="305">
        <v>5.9930000000000001E-3</v>
      </c>
      <c r="E22" s="46">
        <v>3.7941413281699998</v>
      </c>
      <c r="F22" s="315">
        <v>5.8195800772079996E-2</v>
      </c>
      <c r="G22" s="306">
        <v>14.104584162476513</v>
      </c>
      <c r="H22" s="319">
        <v>1</v>
      </c>
      <c r="I22" s="44">
        <f t="shared" si="5"/>
        <v>5.9930000000000001E-3</v>
      </c>
      <c r="J22" s="43">
        <f t="shared" si="4"/>
        <v>3.7941413281699998</v>
      </c>
      <c r="K22" s="640">
        <f t="shared" si="4"/>
        <v>5.8195800772079996E-2</v>
      </c>
      <c r="L22" s="320">
        <f t="shared" si="4"/>
        <v>14.104584162476513</v>
      </c>
    </row>
    <row r="23" spans="1:12" x14ac:dyDescent="0.25">
      <c r="A23" s="310" t="s">
        <v>44</v>
      </c>
      <c r="B23" s="311" t="s">
        <v>20</v>
      </c>
      <c r="C23" s="312" t="s">
        <v>20</v>
      </c>
      <c r="D23" s="313" t="s">
        <v>20</v>
      </c>
      <c r="E23" s="313" t="s">
        <v>20</v>
      </c>
      <c r="F23" s="313" t="s">
        <v>20</v>
      </c>
      <c r="G23" s="313" t="s">
        <v>20</v>
      </c>
      <c r="H23" s="313" t="s">
        <v>20</v>
      </c>
      <c r="I23" s="313" t="s">
        <v>20</v>
      </c>
      <c r="J23" s="313" t="s">
        <v>20</v>
      </c>
      <c r="K23" s="313" t="s">
        <v>20</v>
      </c>
      <c r="L23" s="314" t="s">
        <v>20</v>
      </c>
    </row>
    <row r="24" spans="1:12" x14ac:dyDescent="0.25">
      <c r="A24" s="310" t="s">
        <v>45</v>
      </c>
      <c r="B24" s="311" t="s">
        <v>20</v>
      </c>
      <c r="C24" s="312" t="s">
        <v>20</v>
      </c>
      <c r="D24" s="313" t="s">
        <v>20</v>
      </c>
      <c r="E24" s="313" t="s">
        <v>20</v>
      </c>
      <c r="F24" s="313" t="s">
        <v>20</v>
      </c>
      <c r="G24" s="313" t="s">
        <v>20</v>
      </c>
      <c r="H24" s="313" t="s">
        <v>20</v>
      </c>
      <c r="I24" s="313" t="s">
        <v>20</v>
      </c>
      <c r="J24" s="313" t="s">
        <v>20</v>
      </c>
      <c r="K24" s="313" t="s">
        <v>20</v>
      </c>
      <c r="L24" s="314" t="s">
        <v>20</v>
      </c>
    </row>
    <row r="25" spans="1:12" x14ac:dyDescent="0.25">
      <c r="A25" s="302" t="s">
        <v>46</v>
      </c>
      <c r="B25" s="321" t="str">
        <f>IF(B36=A37,B37,IF(B36=A38,B38,IF(B36=A39,B39,"")))</f>
        <v>Electricity, high voltage {BG}| electricity production, hard coal | Cut-off, U</v>
      </c>
      <c r="C25" s="322" t="s">
        <v>37</v>
      </c>
      <c r="D25" s="46">
        <v>1.8939999999999999</v>
      </c>
      <c r="E25" s="46">
        <f t="shared" ref="E25:G25" si="6">VLOOKUP($B25,$B37:$G39,E35,)</f>
        <v>0.222385</v>
      </c>
      <c r="F25" s="46">
        <f t="shared" si="6"/>
        <v>19.09919</v>
      </c>
      <c r="G25" s="46">
        <f t="shared" si="6"/>
        <v>1486.056</v>
      </c>
      <c r="H25" s="319">
        <v>1</v>
      </c>
      <c r="I25" s="44">
        <f t="shared" ref="I25" si="7">D25*$H25</f>
        <v>1.8939999999999999</v>
      </c>
      <c r="J25" s="43">
        <f t="shared" ref="J25" si="8">E25*$H25</f>
        <v>0.222385</v>
      </c>
      <c r="K25" s="640">
        <f t="shared" ref="K25" si="9">F25*$H25</f>
        <v>19.09919</v>
      </c>
      <c r="L25" s="320">
        <f t="shared" ref="L25" si="10">G25*$H25</f>
        <v>1486.056</v>
      </c>
    </row>
    <row r="26" spans="1:12" x14ac:dyDescent="0.25">
      <c r="A26" s="310" t="s">
        <v>47</v>
      </c>
      <c r="B26" s="311" t="s">
        <v>20</v>
      </c>
      <c r="C26" s="312" t="s">
        <v>20</v>
      </c>
      <c r="D26" s="313" t="s">
        <v>20</v>
      </c>
      <c r="E26" s="313" t="s">
        <v>20</v>
      </c>
      <c r="F26" s="313" t="s">
        <v>20</v>
      </c>
      <c r="G26" s="313" t="s">
        <v>20</v>
      </c>
      <c r="H26" s="313" t="s">
        <v>20</v>
      </c>
      <c r="I26" s="313" t="s">
        <v>20</v>
      </c>
      <c r="J26" s="313" t="s">
        <v>20</v>
      </c>
      <c r="K26" s="313" t="s">
        <v>20</v>
      </c>
      <c r="L26" s="314" t="s">
        <v>20</v>
      </c>
    </row>
    <row r="27" spans="1:12" x14ac:dyDescent="0.25">
      <c r="A27" s="302" t="s">
        <v>48</v>
      </c>
      <c r="B27" s="317" t="s">
        <v>49</v>
      </c>
      <c r="C27" s="318">
        <v>5.7299999999999999E-3</v>
      </c>
      <c r="D27" s="45">
        <v>0</v>
      </c>
      <c r="E27" s="45">
        <v>0</v>
      </c>
      <c r="F27" s="45">
        <v>0</v>
      </c>
      <c r="G27" s="45">
        <v>0</v>
      </c>
      <c r="H27" s="319">
        <v>1</v>
      </c>
      <c r="I27" s="44">
        <f t="shared" ref="I27" si="11">D27*$H27</f>
        <v>0</v>
      </c>
      <c r="J27" s="43">
        <f t="shared" ref="J27" si="12">E27*$H27</f>
        <v>0</v>
      </c>
      <c r="K27" s="640">
        <f t="shared" ref="K27" si="13">F27*$H27</f>
        <v>0</v>
      </c>
      <c r="L27" s="320">
        <f t="shared" ref="L27" si="14">G27*$H27</f>
        <v>0</v>
      </c>
    </row>
    <row r="28" spans="1:12" x14ac:dyDescent="0.25">
      <c r="A28" s="310" t="s">
        <v>50</v>
      </c>
      <c r="B28" s="311" t="s">
        <v>20</v>
      </c>
      <c r="C28" s="312" t="s">
        <v>20</v>
      </c>
      <c r="D28" s="313" t="s">
        <v>20</v>
      </c>
      <c r="E28" s="313" t="s">
        <v>20</v>
      </c>
      <c r="F28" s="313" t="s">
        <v>20</v>
      </c>
      <c r="G28" s="313" t="s">
        <v>20</v>
      </c>
      <c r="H28" s="313" t="s">
        <v>20</v>
      </c>
      <c r="I28" s="313" t="s">
        <v>20</v>
      </c>
      <c r="J28" s="313" t="s">
        <v>20</v>
      </c>
      <c r="K28" s="313" t="s">
        <v>20</v>
      </c>
      <c r="L28" s="314" t="s">
        <v>20</v>
      </c>
    </row>
    <row r="29" spans="1:12" x14ac:dyDescent="0.25">
      <c r="A29" s="777" t="s">
        <v>51</v>
      </c>
      <c r="B29" s="337" t="s">
        <v>52</v>
      </c>
      <c r="C29" s="338">
        <v>2.3999999999999998E-3</v>
      </c>
      <c r="D29" s="339">
        <v>1.4670000000000001E-2</v>
      </c>
      <c r="E29" s="341">
        <v>3.8868632823000002</v>
      </c>
      <c r="F29" s="353">
        <v>0.20462894359029998</v>
      </c>
      <c r="G29" s="354">
        <v>38.442971175106614</v>
      </c>
      <c r="H29" s="343">
        <f>C29/SUM(C$29:C$31)</f>
        <v>3.3679483581251751E-2</v>
      </c>
      <c r="I29" s="796">
        <f>D29*$H29+D30*$H30+D31*$H31</f>
        <v>1.5782826269997195E-2</v>
      </c>
      <c r="J29" s="805">
        <f t="shared" ref="J29:L29" si="15">E29*$H29+E30*$H30+E31*$H31</f>
        <v>3.8853235637833285</v>
      </c>
      <c r="K29" s="793">
        <f t="shared" si="15"/>
        <v>0.23556731500896533</v>
      </c>
      <c r="L29" s="807">
        <f t="shared" si="15"/>
        <v>41.598889569711702</v>
      </c>
    </row>
    <row r="30" spans="1:12" x14ac:dyDescent="0.25">
      <c r="A30" s="784"/>
      <c r="B30" s="344" t="s">
        <v>53</v>
      </c>
      <c r="C30" s="345">
        <v>2.3600000000000001E-3</v>
      </c>
      <c r="D30" s="346">
        <v>2.742E-2</v>
      </c>
      <c r="E30" s="351">
        <v>3.8917640829999995</v>
      </c>
      <c r="F30" s="356">
        <v>0.33156273136999997</v>
      </c>
      <c r="G30" s="348">
        <v>86.875414461808589</v>
      </c>
      <c r="H30" s="350">
        <f t="shared" ref="H30:H31" si="16">C30/SUM(C$29:C$31)</f>
        <v>3.3118158854897557E-2</v>
      </c>
      <c r="I30" s="797"/>
      <c r="J30" s="812"/>
      <c r="K30" s="794"/>
      <c r="L30" s="808"/>
    </row>
    <row r="31" spans="1:12" x14ac:dyDescent="0.25">
      <c r="A31" s="782"/>
      <c r="B31" s="330" t="s">
        <v>54</v>
      </c>
      <c r="C31" s="331">
        <v>6.6500000000000004E-2</v>
      </c>
      <c r="D31" s="332">
        <v>1.541E-2</v>
      </c>
      <c r="E31" s="357">
        <v>3.8850394291999999</v>
      </c>
      <c r="F31" s="334">
        <v>0.2332771331863</v>
      </c>
      <c r="G31" s="333">
        <v>40.105981380263636</v>
      </c>
      <c r="H31" s="336">
        <f t="shared" si="16"/>
        <v>0.93320235756385073</v>
      </c>
      <c r="I31" s="798"/>
      <c r="J31" s="806"/>
      <c r="K31" s="795"/>
      <c r="L31" s="809"/>
    </row>
    <row r="32" spans="1:12" x14ac:dyDescent="0.25">
      <c r="A32" s="777" t="s">
        <v>55</v>
      </c>
      <c r="B32" s="337" t="s">
        <v>56</v>
      </c>
      <c r="C32" s="338">
        <v>1.5299999999999999E-2</v>
      </c>
      <c r="D32" s="339">
        <v>9.153E-2</v>
      </c>
      <c r="E32" s="341">
        <v>4.0636078019999999</v>
      </c>
      <c r="F32" s="341">
        <v>1.2398634668860002</v>
      </c>
      <c r="G32" s="342">
        <v>182.35950585822204</v>
      </c>
      <c r="H32" s="343">
        <f>C32/(C32+C33)</f>
        <v>0.55434782608695654</v>
      </c>
      <c r="I32" s="793">
        <f>D32*$H32+D33*$H33</f>
        <v>9.8023152173913053E-2</v>
      </c>
      <c r="J32" s="805">
        <f t="shared" ref="J32:L32" si="17">E32*$H32+E33*$H33</f>
        <v>4.0635555372500001</v>
      </c>
      <c r="K32" s="805">
        <f t="shared" si="17"/>
        <v>1.334397668717533</v>
      </c>
      <c r="L32" s="802">
        <f t="shared" si="17"/>
        <v>189.11472403059662</v>
      </c>
    </row>
    <row r="33" spans="1:12" ht="12" thickBot="1" x14ac:dyDescent="0.3">
      <c r="A33" s="778"/>
      <c r="B33" s="358" t="s">
        <v>57</v>
      </c>
      <c r="C33" s="359">
        <v>1.23E-2</v>
      </c>
      <c r="D33" s="360">
        <v>0.1061</v>
      </c>
      <c r="E33" s="361">
        <v>4.0634905249999997</v>
      </c>
      <c r="F33" s="361">
        <v>1.451988992947</v>
      </c>
      <c r="G33" s="362">
        <v>197.51755639135519</v>
      </c>
      <c r="H33" s="363">
        <f>C33/(C32+C33)</f>
        <v>0.44565217391304351</v>
      </c>
      <c r="I33" s="811"/>
      <c r="J33" s="813"/>
      <c r="K33" s="813"/>
      <c r="L33" s="810"/>
    </row>
    <row r="34" spans="1:12" ht="12" thickTop="1" x14ac:dyDescent="0.25">
      <c r="D34" s="638"/>
      <c r="E34" s="638"/>
      <c r="F34" s="638"/>
      <c r="G34" s="638"/>
      <c r="H34" s="3"/>
      <c r="I34" s="638"/>
      <c r="J34" s="638"/>
      <c r="K34" s="638"/>
    </row>
    <row r="35" spans="1:12" x14ac:dyDescent="0.25">
      <c r="A35" s="1" t="s">
        <v>58</v>
      </c>
      <c r="B35" s="638">
        <v>1</v>
      </c>
      <c r="C35" s="638">
        <v>2</v>
      </c>
      <c r="D35" s="638">
        <v>3</v>
      </c>
      <c r="E35" s="638">
        <v>4</v>
      </c>
      <c r="F35" s="638">
        <v>5</v>
      </c>
      <c r="G35" s="638">
        <v>6</v>
      </c>
      <c r="H35" s="638"/>
      <c r="I35" s="638"/>
      <c r="J35" s="638"/>
      <c r="K35" s="638"/>
    </row>
    <row r="36" spans="1:12" x14ac:dyDescent="0.25">
      <c r="A36" s="1" t="s">
        <v>59</v>
      </c>
      <c r="B36" s="402" t="s">
        <v>60</v>
      </c>
      <c r="C36" s="638"/>
      <c r="D36" s="638"/>
      <c r="E36" s="638"/>
      <c r="F36" s="638"/>
      <c r="G36" s="638"/>
      <c r="H36" s="638"/>
      <c r="I36" s="638"/>
      <c r="J36" s="638"/>
      <c r="K36" s="638"/>
    </row>
    <row r="37" spans="1:12" x14ac:dyDescent="0.25">
      <c r="A37" s="91" t="s">
        <v>60</v>
      </c>
      <c r="B37" s="1" t="str">
        <f>BG!B13</f>
        <v>Electricity, high voltage {BG}| electricity production, hard coal | Cut-off, U</v>
      </c>
      <c r="C37" s="301"/>
      <c r="D37" s="22">
        <f>BG!F13</f>
        <v>2.0395629999999998</v>
      </c>
      <c r="E37" s="22">
        <f>BG!G13</f>
        <v>0.222385</v>
      </c>
      <c r="F37" s="22">
        <f>BG!H13</f>
        <v>19.09919</v>
      </c>
      <c r="G37" s="22">
        <f>BG!I13</f>
        <v>1486.056</v>
      </c>
      <c r="H37" s="638"/>
      <c r="I37" s="638"/>
      <c r="J37" s="638"/>
      <c r="K37" s="638"/>
    </row>
    <row r="38" spans="1:12" x14ac:dyDescent="0.25">
      <c r="A38" s="91" t="s">
        <v>61</v>
      </c>
      <c r="B38" s="1" t="str">
        <f>B9</f>
        <v>Electricity, high voltage {AT}| electricity production, natural gas, combined cycle power plant | Cut-off, U</v>
      </c>
      <c r="D38" s="638">
        <f>D9</f>
        <v>0.50019999999999998</v>
      </c>
      <c r="E38" s="638">
        <f t="shared" ref="E38:G38" si="18">E9</f>
        <v>1.04050985E-2</v>
      </c>
      <c r="F38" s="638">
        <f t="shared" si="18"/>
        <v>9.0987060775180009</v>
      </c>
      <c r="G38" s="638">
        <f t="shared" si="18"/>
        <v>306.17470424288587</v>
      </c>
      <c r="H38" s="638"/>
      <c r="I38" s="638"/>
      <c r="J38" s="638"/>
      <c r="K38" s="638"/>
    </row>
    <row r="39" spans="1:12" x14ac:dyDescent="0.25">
      <c r="A39" s="91" t="s">
        <v>62</v>
      </c>
      <c r="B39" s="1" t="s">
        <v>63</v>
      </c>
      <c r="D39" s="638">
        <f>AVERAGE(D9:D16)</f>
        <v>0.84918749999999998</v>
      </c>
      <c r="E39" s="13">
        <f>AVERAGE(E9:E16)</f>
        <v>5.6331142462499997E-2</v>
      </c>
      <c r="F39" s="638">
        <f t="shared" ref="F39:G39" si="19">AVERAGE(F9:F16)</f>
        <v>13.21190760714525</v>
      </c>
      <c r="G39" s="638">
        <f t="shared" si="19"/>
        <v>558.44547135013033</v>
      </c>
      <c r="H39" s="638"/>
      <c r="I39" s="638"/>
      <c r="J39" s="638"/>
      <c r="K39" s="638"/>
    </row>
    <row r="41" spans="1:12" x14ac:dyDescent="0.25">
      <c r="A41" s="91"/>
      <c r="D41" s="638"/>
      <c r="E41" s="638"/>
      <c r="F41" s="638"/>
      <c r="G41" s="638"/>
      <c r="H41" s="638"/>
      <c r="I41" s="638"/>
      <c r="J41" s="638"/>
      <c r="K41" s="638"/>
    </row>
    <row r="42" spans="1:12" x14ac:dyDescent="0.25">
      <c r="A42" s="91"/>
      <c r="D42" s="638"/>
      <c r="E42" s="638"/>
      <c r="F42" s="638"/>
      <c r="G42" s="638"/>
      <c r="H42" s="638"/>
      <c r="I42" s="638"/>
      <c r="J42" s="638"/>
      <c r="K42" s="638"/>
    </row>
    <row r="43" spans="1:12" x14ac:dyDescent="0.25">
      <c r="A43" s="91"/>
      <c r="D43" s="638"/>
      <c r="E43" s="638"/>
      <c r="F43" s="638"/>
      <c r="G43" s="638"/>
      <c r="H43" s="638"/>
      <c r="I43" s="638"/>
      <c r="J43" s="638"/>
      <c r="K43" s="638"/>
    </row>
    <row r="65" spans="5:5" x14ac:dyDescent="0.25">
      <c r="E65" s="7"/>
    </row>
  </sheetData>
  <mergeCells count="36">
    <mergeCell ref="L32:L33"/>
    <mergeCell ref="I29:I31"/>
    <mergeCell ref="I32:I33"/>
    <mergeCell ref="J29:J31"/>
    <mergeCell ref="J32:J33"/>
    <mergeCell ref="K29:K31"/>
    <mergeCell ref="K32:K33"/>
    <mergeCell ref="I15:I16"/>
    <mergeCell ref="J15:J16"/>
    <mergeCell ref="K15:K16"/>
    <mergeCell ref="L15:L16"/>
    <mergeCell ref="L29:L31"/>
    <mergeCell ref="I9:I12"/>
    <mergeCell ref="J9:J12"/>
    <mergeCell ref="K9:K12"/>
    <mergeCell ref="L9:L12"/>
    <mergeCell ref="I13:I14"/>
    <mergeCell ref="J13:J14"/>
    <mergeCell ref="K13:K14"/>
    <mergeCell ref="L13:L14"/>
    <mergeCell ref="I1:L1"/>
    <mergeCell ref="H2:H4"/>
    <mergeCell ref="I5:I6"/>
    <mergeCell ref="J5:J6"/>
    <mergeCell ref="K5:K6"/>
    <mergeCell ref="L5:L6"/>
    <mergeCell ref="A32:A33"/>
    <mergeCell ref="D1:G1"/>
    <mergeCell ref="A2:A4"/>
    <mergeCell ref="B2:B4"/>
    <mergeCell ref="C2:C4"/>
    <mergeCell ref="A5:A6"/>
    <mergeCell ref="A9:A12"/>
    <mergeCell ref="A13:A14"/>
    <mergeCell ref="A15:A16"/>
    <mergeCell ref="A29:A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topLeftCell="B10" workbookViewId="0">
      <selection activeCell="C41" sqref="C41"/>
    </sheetView>
  </sheetViews>
  <sheetFormatPr defaultColWidth="11.44140625" defaultRowHeight="13.2" x14ac:dyDescent="0.25"/>
  <cols>
    <col min="1" max="1" width="28.33203125" style="88" customWidth="1"/>
    <col min="2" max="2" width="88" style="88" customWidth="1"/>
    <col min="3" max="16384" width="11.44140625" style="88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22.5" customHeight="1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114" t="s">
        <v>16</v>
      </c>
      <c r="B5" s="115" t="s">
        <v>247</v>
      </c>
      <c r="C5" s="115">
        <v>1.65928463422141E-3</v>
      </c>
      <c r="D5" s="196" t="s">
        <v>204</v>
      </c>
      <c r="E5" s="286">
        <f>C5/(C5+C6)%</f>
        <v>15.196078431372568</v>
      </c>
      <c r="F5" s="409">
        <f>VLOOKUP($B5,Espagne,2,FALSE)</f>
        <v>0.165854</v>
      </c>
      <c r="G5" s="410">
        <f>VLOOKUP($B5,Espagne,3,FALSE)</f>
        <v>6.4902000000000001E-2</v>
      </c>
      <c r="H5" s="410">
        <f>VLOOKUP($B5,Espagne,4,FALSE)</f>
        <v>0.49018499999999998</v>
      </c>
      <c r="I5" s="411">
        <f>VLOOKUP($B5,Espagne,5,FALSE)</f>
        <v>784.79459999999995</v>
      </c>
      <c r="J5" s="861">
        <f>F5*$E5%+F6*$E6%</f>
        <v>6.6517230392156887E-2</v>
      </c>
      <c r="K5" s="862">
        <f t="shared" ref="K5:L5" si="1">G5*$E5%+G6*$E6%</f>
        <v>14.261449911764704</v>
      </c>
      <c r="L5" s="862">
        <f t="shared" si="1"/>
        <v>0.56107683823529397</v>
      </c>
      <c r="M5" s="863">
        <f>I5*$E5%+I6*$E6%</f>
        <v>423.33162254901964</v>
      </c>
    </row>
    <row r="6" spans="1:13" x14ac:dyDescent="0.25">
      <c r="A6" s="107"/>
      <c r="B6" s="108" t="s">
        <v>248</v>
      </c>
      <c r="C6" s="108">
        <v>9.2598787651710802E-3</v>
      </c>
      <c r="D6" s="197" t="s">
        <v>204</v>
      </c>
      <c r="E6" s="287">
        <f>C6/(C6+C5)%</f>
        <v>84.80392156862743</v>
      </c>
      <c r="F6" s="412">
        <f>VLOOKUP($B6,Espagne,2,FALSE)</f>
        <v>4.8717000000000003E-2</v>
      </c>
      <c r="G6" s="216">
        <f>VLOOKUP($B6,Espagne,3,FALSE)</f>
        <v>16.805340000000001</v>
      </c>
      <c r="H6" s="216">
        <f>VLOOKUP($B6,Espagne,4,FALSE)</f>
        <v>0.57377999999999996</v>
      </c>
      <c r="I6" s="226">
        <f>VLOOKUP($B6,Espagne,5,FALSE)</f>
        <v>358.56079999999997</v>
      </c>
      <c r="J6" s="847"/>
      <c r="K6" s="849"/>
      <c r="L6" s="849"/>
      <c r="M6" s="851"/>
    </row>
    <row r="7" spans="1:13" x14ac:dyDescent="0.25">
      <c r="A7" s="98" t="s">
        <v>19</v>
      </c>
      <c r="B7" s="99" t="s">
        <v>249</v>
      </c>
      <c r="C7" s="99">
        <v>1.2560606263353501E-2</v>
      </c>
      <c r="D7" s="201" t="s">
        <v>204</v>
      </c>
      <c r="E7" s="211">
        <v>100</v>
      </c>
      <c r="F7" s="217">
        <f>VLOOKUP($B7,Espagne,2,FALSE)</f>
        <v>1.0668070000000001</v>
      </c>
      <c r="G7" s="217">
        <f>VLOOKUP($B7,Espagne,3,FALSE)</f>
        <v>3.9302999999999998E-2</v>
      </c>
      <c r="H7" s="217">
        <f>VLOOKUP($B7,Espagne,4,FALSE)</f>
        <v>10.54889</v>
      </c>
      <c r="I7" s="218">
        <f>VLOOKUP($B7,Espagne,5,FALSE)</f>
        <v>2157.1019999999999</v>
      </c>
      <c r="J7" s="274">
        <f>F7*$E7%</f>
        <v>1.0668070000000001</v>
      </c>
      <c r="K7" s="217">
        <f t="shared" ref="K7:M7" si="2">G7*$E7%</f>
        <v>3.9302999999999998E-2</v>
      </c>
      <c r="L7" s="217">
        <f t="shared" si="2"/>
        <v>10.54889</v>
      </c>
      <c r="M7" s="218">
        <f t="shared" si="2"/>
        <v>2157.1019999999999</v>
      </c>
    </row>
    <row r="8" spans="1:13" x14ac:dyDescent="0.25">
      <c r="A8" s="95" t="s">
        <v>21</v>
      </c>
      <c r="B8" s="96"/>
      <c r="C8" s="96"/>
      <c r="D8" s="198"/>
      <c r="E8" s="209"/>
      <c r="F8" s="227"/>
      <c r="G8" s="227"/>
      <c r="H8" s="227"/>
      <c r="I8" s="228"/>
      <c r="J8" s="227"/>
      <c r="K8" s="227"/>
      <c r="L8" s="227"/>
      <c r="M8" s="228"/>
    </row>
    <row r="9" spans="1:13" x14ac:dyDescent="0.25">
      <c r="A9" s="104" t="s">
        <v>22</v>
      </c>
      <c r="B9" s="105" t="s">
        <v>250</v>
      </c>
      <c r="C9" s="105">
        <v>3.09554714018725E-3</v>
      </c>
      <c r="D9" s="199" t="s">
        <v>204</v>
      </c>
      <c r="E9" s="288">
        <f>C9/(C9+C10)%</f>
        <v>3.1027853534224539</v>
      </c>
      <c r="F9" s="219">
        <f>VLOOKUP($B9,Espagne,2,FALSE)</f>
        <v>0.77637100000000003</v>
      </c>
      <c r="G9" s="219">
        <f>VLOOKUP($B9,Espagne,3,FALSE)</f>
        <v>2.3279000000000001E-2</v>
      </c>
      <c r="H9" s="219">
        <f>VLOOKUP($B9,Espagne,4,FALSE)</f>
        <v>14.143219999999999</v>
      </c>
      <c r="I9" s="229">
        <f>VLOOKUP($B9,Espagne,5,FALSE)</f>
        <v>472.47289999999998</v>
      </c>
      <c r="J9" s="882">
        <f>F9*$E9%+F10*$E10%</f>
        <v>0.49233038087360842</v>
      </c>
      <c r="K9" s="848">
        <f t="shared" ref="K9:L9" si="3">G9*$E9%+G10*$E10%</f>
        <v>1.6184185943577588E-2</v>
      </c>
      <c r="L9" s="848">
        <f t="shared" si="3"/>
        <v>9.3246193818124912</v>
      </c>
      <c r="M9" s="851">
        <f>I9*$E9%+I10*$E10%</f>
        <v>297.84706529708939</v>
      </c>
    </row>
    <row r="10" spans="1:13" x14ac:dyDescent="0.25">
      <c r="A10" s="107"/>
      <c r="B10" s="108" t="s">
        <v>251</v>
      </c>
      <c r="C10" s="108">
        <v>9.6671171713657397E-2</v>
      </c>
      <c r="D10" s="197" t="s">
        <v>204</v>
      </c>
      <c r="E10" s="287">
        <f>C10/(C10+C9)%</f>
        <v>96.897214646577538</v>
      </c>
      <c r="F10" s="216">
        <f>VLOOKUP($B10,Espagne,2,FALSE)</f>
        <v>0.48323500000000003</v>
      </c>
      <c r="G10" s="216">
        <f>VLOOKUP($B10,Espagne,3,FALSE)</f>
        <v>1.5956999999999999E-2</v>
      </c>
      <c r="H10" s="216">
        <f>VLOOKUP($B10,Espagne,4,FALSE)</f>
        <v>9.1703209999999995</v>
      </c>
      <c r="I10" s="226">
        <f>VLOOKUP($B10,Espagne,5,FALSE)</f>
        <v>292.25529999999998</v>
      </c>
      <c r="J10" s="883"/>
      <c r="K10" s="849"/>
      <c r="L10" s="849"/>
      <c r="M10" s="851"/>
    </row>
    <row r="11" spans="1:13" x14ac:dyDescent="0.25">
      <c r="A11" s="98" t="s">
        <v>27</v>
      </c>
      <c r="B11" s="99" t="s">
        <v>252</v>
      </c>
      <c r="C11" s="99">
        <v>0.17286445161088901</v>
      </c>
      <c r="D11" s="201" t="s">
        <v>204</v>
      </c>
      <c r="E11" s="211">
        <v>100</v>
      </c>
      <c r="F11" s="217">
        <f>VLOOKUP($B11,Espagne,2,FALSE)</f>
        <v>1.2244820000000001</v>
      </c>
      <c r="G11" s="217">
        <f>VLOOKUP($B11,Espagne,3,FALSE)</f>
        <v>0.12995100000000001</v>
      </c>
      <c r="H11" s="217">
        <f>VLOOKUP($B11,Espagne,4,FALSE)</f>
        <v>11.114660000000001</v>
      </c>
      <c r="I11" s="218">
        <f>VLOOKUP($B11,Espagne,5,FALSE)</f>
        <v>1083.155</v>
      </c>
      <c r="J11" s="274">
        <f>F11*$E11%</f>
        <v>1.2244820000000001</v>
      </c>
      <c r="K11" s="217">
        <f t="shared" ref="K11:M12" si="4">G11*$E11%</f>
        <v>0.12995100000000001</v>
      </c>
      <c r="L11" s="217">
        <f t="shared" si="4"/>
        <v>11.114660000000001</v>
      </c>
      <c r="M11" s="218">
        <f t="shared" si="4"/>
        <v>1083.155</v>
      </c>
    </row>
    <row r="12" spans="1:13" x14ac:dyDescent="0.25">
      <c r="A12" s="98" t="s">
        <v>30</v>
      </c>
      <c r="B12" s="99" t="s">
        <v>253</v>
      </c>
      <c r="C12" s="99">
        <v>4.8774939449492197E-2</v>
      </c>
      <c r="D12" s="201" t="s">
        <v>204</v>
      </c>
      <c r="E12" s="211">
        <v>100</v>
      </c>
      <c r="F12" s="217">
        <f>VLOOKUP($B12,Espagne,2,FALSE)</f>
        <v>0.86565700000000001</v>
      </c>
      <c r="G12" s="217">
        <f>VLOOKUP($B12,Espagne,3,FALSE)</f>
        <v>4.4414000000000002E-2</v>
      </c>
      <c r="H12" s="217">
        <f>VLOOKUP($B12,Espagne,4,FALSE)</f>
        <v>12.860239999999999</v>
      </c>
      <c r="I12" s="218">
        <f>VLOOKUP($B12,Espagne,5,FALSE)</f>
        <v>824.88220000000001</v>
      </c>
      <c r="J12" s="274">
        <f>F12*$E12%</f>
        <v>0.86565700000000001</v>
      </c>
      <c r="K12" s="217">
        <f t="shared" si="4"/>
        <v>4.4414000000000002E-2</v>
      </c>
      <c r="L12" s="217">
        <f t="shared" si="4"/>
        <v>12.860239999999999</v>
      </c>
      <c r="M12" s="218">
        <f t="shared" si="4"/>
        <v>824.88220000000001</v>
      </c>
    </row>
    <row r="13" spans="1:13" x14ac:dyDescent="0.25">
      <c r="A13" s="95" t="s">
        <v>33</v>
      </c>
      <c r="B13" s="96"/>
      <c r="C13" s="96"/>
      <c r="D13" s="198"/>
      <c r="E13" s="209"/>
      <c r="F13" s="227"/>
      <c r="G13" s="227"/>
      <c r="H13" s="227"/>
      <c r="I13" s="228"/>
      <c r="J13" s="227"/>
      <c r="K13" s="227"/>
      <c r="L13" s="227"/>
      <c r="M13" s="228"/>
    </row>
    <row r="14" spans="1:13" x14ac:dyDescent="0.25">
      <c r="A14" s="95" t="s">
        <v>34</v>
      </c>
      <c r="B14" s="96"/>
      <c r="C14" s="96"/>
      <c r="D14" s="198"/>
      <c r="E14" s="209"/>
      <c r="F14" s="227"/>
      <c r="G14" s="227"/>
      <c r="H14" s="227"/>
      <c r="I14" s="228"/>
      <c r="J14" s="227"/>
      <c r="K14" s="227"/>
      <c r="L14" s="227"/>
      <c r="M14" s="228"/>
    </row>
    <row r="15" spans="1:13" x14ac:dyDescent="0.25">
      <c r="A15" s="95" t="s">
        <v>35</v>
      </c>
      <c r="B15" s="96"/>
      <c r="C15" s="96"/>
      <c r="D15" s="198"/>
      <c r="E15" s="209"/>
      <c r="F15" s="227"/>
      <c r="G15" s="227"/>
      <c r="H15" s="227"/>
      <c r="I15" s="228"/>
      <c r="J15" s="227"/>
      <c r="K15" s="227"/>
      <c r="L15" s="227"/>
      <c r="M15" s="228"/>
    </row>
    <row r="16" spans="1:13" x14ac:dyDescent="0.25">
      <c r="A16" s="98" t="s">
        <v>38</v>
      </c>
      <c r="B16" s="99" t="s">
        <v>254</v>
      </c>
      <c r="C16" s="99">
        <v>1.69541421899881E-2</v>
      </c>
      <c r="D16" s="201" t="s">
        <v>204</v>
      </c>
      <c r="E16" s="211">
        <v>100</v>
      </c>
      <c r="F16" s="217">
        <f>VLOOKUP($B16,Espagne,2,FALSE)</f>
        <v>0.54542999999999997</v>
      </c>
      <c r="G16" s="217">
        <f>VLOOKUP($B16,Espagne,3,FALSE)</f>
        <v>2.6298689999999998</v>
      </c>
      <c r="H16" s="217">
        <f>VLOOKUP($B16,Espagne,4,FALSE)</f>
        <v>10.73987</v>
      </c>
      <c r="I16" s="218">
        <f>VLOOKUP($B16,Espagne,5,FALSE)</f>
        <v>606.3021</v>
      </c>
      <c r="J16" s="274">
        <f>F16*$E16%</f>
        <v>0.54542999999999997</v>
      </c>
      <c r="K16" s="217">
        <f t="shared" ref="K16:M18" si="5">G16*$E16%</f>
        <v>2.6298689999999998</v>
      </c>
      <c r="L16" s="217">
        <f t="shared" si="5"/>
        <v>10.73987</v>
      </c>
      <c r="M16" s="218">
        <f t="shared" si="5"/>
        <v>606.3021</v>
      </c>
    </row>
    <row r="17" spans="1:13" x14ac:dyDescent="0.25">
      <c r="A17" s="98" t="s">
        <v>40</v>
      </c>
      <c r="B17" s="99" t="s">
        <v>255</v>
      </c>
      <c r="C17" s="99">
        <v>0.11105609898614099</v>
      </c>
      <c r="D17" s="201" t="s">
        <v>204</v>
      </c>
      <c r="E17" s="211">
        <v>100</v>
      </c>
      <c r="F17" s="217">
        <f>VLOOKUP($B17,Espagne,2,FALSE)</f>
        <v>4.3660000000000001E-3</v>
      </c>
      <c r="G17" s="217">
        <f>VLOOKUP($B17,Espagne,3,FALSE)</f>
        <v>3.7930769999999998</v>
      </c>
      <c r="H17" s="217">
        <f>VLOOKUP($B17,Espagne,4,FALSE)</f>
        <v>4.3333000000000003E-2</v>
      </c>
      <c r="I17" s="218">
        <f>VLOOKUP($B17,Espagne,5,FALSE)</f>
        <v>11.91413</v>
      </c>
      <c r="J17" s="274">
        <f>F17*$E17%</f>
        <v>4.3660000000000001E-3</v>
      </c>
      <c r="K17" s="217">
        <f t="shared" si="5"/>
        <v>3.7930769999999998</v>
      </c>
      <c r="L17" s="217">
        <f t="shared" si="5"/>
        <v>4.3333000000000003E-2</v>
      </c>
      <c r="M17" s="218">
        <f t="shared" si="5"/>
        <v>11.91413</v>
      </c>
    </row>
    <row r="18" spans="1:13" x14ac:dyDescent="0.25">
      <c r="A18" s="98" t="s">
        <v>42</v>
      </c>
      <c r="B18" s="99" t="s">
        <v>256</v>
      </c>
      <c r="C18" s="99">
        <v>5.7209636340117699E-2</v>
      </c>
      <c r="D18" s="201" t="s">
        <v>204</v>
      </c>
      <c r="E18" s="211">
        <v>100</v>
      </c>
      <c r="F18" s="217">
        <f>VLOOKUP($B18,Espagne,2,FALSE)</f>
        <v>5.1216999999999999E-2</v>
      </c>
      <c r="G18" s="217">
        <f>VLOOKUP($B18,Espagne,3,FALSE)</f>
        <v>3.7941950000000002</v>
      </c>
      <c r="H18" s="217">
        <f>VLOOKUP($B18,Espagne,4,FALSE)</f>
        <v>5.8189999999999999E-2</v>
      </c>
      <c r="I18" s="218">
        <f>VLOOKUP($B18,Espagne,5,FALSE)</f>
        <v>57.369079999999997</v>
      </c>
      <c r="J18" s="274">
        <f>F18*$E18%</f>
        <v>5.1216999999999999E-2</v>
      </c>
      <c r="K18" s="217">
        <f t="shared" si="5"/>
        <v>3.7941950000000002</v>
      </c>
      <c r="L18" s="217">
        <f t="shared" si="5"/>
        <v>5.8189999999999999E-2</v>
      </c>
      <c r="M18" s="218">
        <f t="shared" si="5"/>
        <v>57.369079999999997</v>
      </c>
    </row>
    <row r="19" spans="1:13" x14ac:dyDescent="0.25">
      <c r="A19" s="95" t="s">
        <v>44</v>
      </c>
      <c r="B19" s="96"/>
      <c r="C19" s="96"/>
      <c r="D19" s="198"/>
      <c r="E19" s="209"/>
      <c r="F19" s="227"/>
      <c r="G19" s="227"/>
      <c r="H19" s="227"/>
      <c r="I19" s="228"/>
      <c r="J19" s="227"/>
      <c r="K19" s="227"/>
      <c r="L19" s="227"/>
      <c r="M19" s="228"/>
    </row>
    <row r="20" spans="1:13" x14ac:dyDescent="0.25">
      <c r="A20" s="104" t="s">
        <v>45</v>
      </c>
      <c r="B20" s="105" t="s">
        <v>257</v>
      </c>
      <c r="C20" s="105">
        <v>4.7945297132381499E-2</v>
      </c>
      <c r="D20" s="199" t="s">
        <v>204</v>
      </c>
      <c r="E20" s="288">
        <f>C20/(C20+C21)%</f>
        <v>19.954703250598744</v>
      </c>
      <c r="F20" s="219">
        <f>VLOOKUP($B20,Espagne,2,FALSE)</f>
        <v>1.2675000000000001E-2</v>
      </c>
      <c r="G20" s="219">
        <f>VLOOKUP($B20,Espagne,3,FALSE)</f>
        <v>2.2377000000000001E-2</v>
      </c>
      <c r="H20" s="219">
        <f>VLOOKUP($B20,Espagne,4,FALSE)</f>
        <v>14.24422</v>
      </c>
      <c r="I20" s="229">
        <f>VLOOKUP($B20,Espagne,5,FALSE)</f>
        <v>338.62310000000002</v>
      </c>
      <c r="J20" s="882">
        <f>F20*$E20%+F21*$E21%</f>
        <v>1.2089868880761879E-2</v>
      </c>
      <c r="K20" s="848">
        <f t="shared" ref="K20" si="6">G20*$E20%+G21*$E21%</f>
        <v>2.0452711066144394E-2</v>
      </c>
      <c r="L20" s="848">
        <f t="shared" ref="L20" si="7">H20*$E20%+H21*$E21%</f>
        <v>13.569061935507825</v>
      </c>
      <c r="M20" s="851">
        <f>I20*$E20%+I21*$E21%</f>
        <v>318.50275411847701</v>
      </c>
    </row>
    <row r="21" spans="1:13" x14ac:dyDescent="0.25">
      <c r="A21" s="107"/>
      <c r="B21" s="108" t="s">
        <v>258</v>
      </c>
      <c r="C21" s="108">
        <v>0.19232536252246901</v>
      </c>
      <c r="D21" s="197" t="s">
        <v>204</v>
      </c>
      <c r="E21" s="287">
        <f>C21/(C21+C20)%</f>
        <v>80.04529674940126</v>
      </c>
      <c r="F21" s="216">
        <f>VLOOKUP($B21,Espagne,2,FALSE)</f>
        <v>1.1944E-2</v>
      </c>
      <c r="G21" s="216">
        <f>VLOOKUP($B21,Espagne,3,FALSE)</f>
        <v>1.9973000000000001E-2</v>
      </c>
      <c r="H21" s="216">
        <f>VLOOKUP($B21,Espagne,4,FALSE)</f>
        <v>13.40075</v>
      </c>
      <c r="I21" s="226">
        <f>VLOOKUP($B21,Espagne,5,FALSE)</f>
        <v>313.48689999999999</v>
      </c>
      <c r="J21" s="883"/>
      <c r="K21" s="849"/>
      <c r="L21" s="849"/>
      <c r="M21" s="851"/>
    </row>
    <row r="22" spans="1:13" x14ac:dyDescent="0.25">
      <c r="A22" s="101" t="s">
        <v>46</v>
      </c>
      <c r="B22" s="214" t="str">
        <f>IF(B34=A35,B35,IF(B34=A36,B36,IF(B34=A37,B37,"")))</f>
        <v>Electricity, high voltage {BG}| electricity production, hard coal | Cut-off, U</v>
      </c>
      <c r="C22" s="214"/>
      <c r="D22" s="283"/>
      <c r="E22" s="284">
        <v>100</v>
      </c>
      <c r="F22" s="285">
        <f>VLOOKUP($B22,$B35:$G37,D33,FALSE)</f>
        <v>2.0395634643351492</v>
      </c>
      <c r="G22" s="230">
        <f t="shared" ref="G22:I22" si="8">VLOOKUP($B22,$B35:$G37,E33,FALSE)</f>
        <v>0.22238462025122496</v>
      </c>
      <c r="H22" s="230">
        <f t="shared" si="8"/>
        <v>19.099188159688769</v>
      </c>
      <c r="I22" s="231">
        <f t="shared" si="8"/>
        <v>1486.7509009157554</v>
      </c>
      <c r="J22" s="285">
        <f>F22*$E22%</f>
        <v>2.0395634643351492</v>
      </c>
      <c r="K22" s="230">
        <f t="shared" ref="K22:M24" si="9">G22*$E22%</f>
        <v>0.22238462025122496</v>
      </c>
      <c r="L22" s="230">
        <f t="shared" si="9"/>
        <v>19.099188159688769</v>
      </c>
      <c r="M22" s="231">
        <f t="shared" si="9"/>
        <v>1486.7509009157554</v>
      </c>
    </row>
    <row r="23" spans="1:13" x14ac:dyDescent="0.25">
      <c r="A23" s="101" t="s">
        <v>47</v>
      </c>
      <c r="B23" s="214" t="str">
        <f>IF(B39=A40,B40,IF(B39=A41,B41,IF(B39=A42,B42,"")))</f>
        <v>Electricity, low voltage {CH}| electricity production, photovoltaic, 3kWp facade installation, single-Si, panel, mounted | Cut-off, U</v>
      </c>
      <c r="C23" s="102"/>
      <c r="D23" s="202"/>
      <c r="E23" s="212">
        <v>100</v>
      </c>
      <c r="F23" s="285">
        <f>VLOOKUP($B23,$B40:$G42,D33,FALSE)</f>
        <v>0.14799999999999999</v>
      </c>
      <c r="G23" s="230">
        <f t="shared" ref="G23:I23" si="10">VLOOKUP($B23,$B40:$G42,E33,FALSE)</f>
        <v>4.122755626</v>
      </c>
      <c r="H23" s="230">
        <f t="shared" si="10"/>
        <v>1.8555277997859998</v>
      </c>
      <c r="I23" s="231">
        <f t="shared" si="10"/>
        <v>252.0720348641037</v>
      </c>
      <c r="J23" s="285">
        <f>F23*$E23%</f>
        <v>0.14799999999999999</v>
      </c>
      <c r="K23" s="230">
        <f t="shared" si="9"/>
        <v>4.122755626</v>
      </c>
      <c r="L23" s="230">
        <f t="shared" si="9"/>
        <v>1.8555277997859998</v>
      </c>
      <c r="M23" s="231">
        <f t="shared" si="9"/>
        <v>252.0720348641037</v>
      </c>
    </row>
    <row r="24" spans="1:13" x14ac:dyDescent="0.25">
      <c r="A24" s="101" t="s">
        <v>48</v>
      </c>
      <c r="B24" s="214" t="s">
        <v>259</v>
      </c>
      <c r="C24" s="102"/>
      <c r="D24" s="202"/>
      <c r="E24" s="212">
        <v>100</v>
      </c>
      <c r="F24" s="230">
        <v>0</v>
      </c>
      <c r="G24" s="230">
        <v>0</v>
      </c>
      <c r="H24" s="230">
        <v>0</v>
      </c>
      <c r="I24" s="231">
        <v>0</v>
      </c>
      <c r="J24" s="230">
        <f>F24*$E24%</f>
        <v>0</v>
      </c>
      <c r="K24" s="230">
        <f t="shared" si="9"/>
        <v>0</v>
      </c>
      <c r="L24" s="230">
        <f t="shared" si="9"/>
        <v>0</v>
      </c>
      <c r="M24" s="231">
        <f t="shared" si="9"/>
        <v>0</v>
      </c>
    </row>
    <row r="25" spans="1:13" x14ac:dyDescent="0.25">
      <c r="A25" s="98" t="s">
        <v>50</v>
      </c>
      <c r="B25" s="99" t="s">
        <v>260</v>
      </c>
      <c r="C25" s="99">
        <v>4.4604425651113099E-5</v>
      </c>
      <c r="D25" s="201" t="s">
        <v>204</v>
      </c>
      <c r="E25" s="211">
        <v>100</v>
      </c>
      <c r="F25" s="217">
        <f>VLOOKUP($B25,Espagne,2,FALSE)</f>
        <v>1.5521E-2</v>
      </c>
      <c r="G25" s="217">
        <f>VLOOKUP($B25,Espagne,3,FALSE)</f>
        <v>3.8848600000000002</v>
      </c>
      <c r="H25" s="217">
        <f>VLOOKUP($B25,Espagne,4,FALSE)</f>
        <v>0.19017200000000001</v>
      </c>
      <c r="I25" s="218">
        <f>VLOOKUP($B25,Espagne,5,FALSE)</f>
        <v>37.239910000000002</v>
      </c>
      <c r="J25" s="274">
        <f>F25*$E25%</f>
        <v>1.5521E-2</v>
      </c>
      <c r="K25" s="217">
        <f t="shared" ref="K25:M25" si="11">G25*$E25%</f>
        <v>3.8848600000000002</v>
      </c>
      <c r="L25" s="217">
        <f t="shared" si="11"/>
        <v>0.19017200000000001</v>
      </c>
      <c r="M25" s="218">
        <f t="shared" si="11"/>
        <v>37.239910000000002</v>
      </c>
    </row>
    <row r="26" spans="1:13" x14ac:dyDescent="0.25">
      <c r="A26" s="104" t="s">
        <v>51</v>
      </c>
      <c r="B26" s="105" t="s">
        <v>261</v>
      </c>
      <c r="C26" s="105">
        <v>8.1367393272760505E-2</v>
      </c>
      <c r="D26" s="199" t="s">
        <v>204</v>
      </c>
      <c r="E26" s="110">
        <f>C26/SUM($C$26:$C$28)%</f>
        <v>35.442005051486269</v>
      </c>
      <c r="F26" s="219">
        <f>VLOOKUP($B26,Espagne,2,FALSE)</f>
        <v>1.3481999999999999E-2</v>
      </c>
      <c r="G26" s="219">
        <f>VLOOKUP($B26,Espagne,3,FALSE)</f>
        <v>3.884007</v>
      </c>
      <c r="H26" s="219">
        <f>VLOOKUP($B26,Espagne,4,FALSE)</f>
        <v>0.16852</v>
      </c>
      <c r="I26" s="220">
        <f>VLOOKUP($B26,Espagne,5,FALSE)</f>
        <v>32.342309999999998</v>
      </c>
      <c r="J26" s="873">
        <f>(F26*$E26+F27*$E27+F28*$E28)%</f>
        <v>1.3935335612978434E-2</v>
      </c>
      <c r="K26" s="884">
        <f t="shared" ref="K26:L26" si="12">(G26*$E26+G27*$E27+G28*$E28)%</f>
        <v>3.8830585595103946</v>
      </c>
      <c r="L26" s="884">
        <f t="shared" si="12"/>
        <v>0.18389020089372454</v>
      </c>
      <c r="M26" s="887">
        <f>(I26*$E26+I27*$E27+I28*$E28)%</f>
        <v>33.292371005634351</v>
      </c>
    </row>
    <row r="27" spans="1:13" x14ac:dyDescent="0.25">
      <c r="A27" s="112"/>
      <c r="B27" s="113" t="s">
        <v>262</v>
      </c>
      <c r="C27" s="113">
        <v>3.92518945729795E-4</v>
      </c>
      <c r="D27" s="200" t="s">
        <v>204</v>
      </c>
      <c r="E27" s="210">
        <f t="shared" ref="E27:E28" si="13">C27/SUM($C$26:$C$28)%</f>
        <v>0.1709733825529432</v>
      </c>
      <c r="F27" s="221">
        <f>VLOOKUP($B27,Espagne,2,FALSE)</f>
        <v>2.2550000000000001E-2</v>
      </c>
      <c r="G27" s="221">
        <f>VLOOKUP($B27,Espagne,3,FALSE)</f>
        <v>3.8881380000000001</v>
      </c>
      <c r="H27" s="221">
        <f>VLOOKUP($B27,Espagne,4,FALSE)</f>
        <v>0.27305499999999999</v>
      </c>
      <c r="I27" s="222">
        <f>VLOOKUP($B27,Espagne,5,FALSE)</f>
        <v>72.229830000000007</v>
      </c>
      <c r="J27" s="874"/>
      <c r="K27" s="885"/>
      <c r="L27" s="885"/>
      <c r="M27" s="888"/>
    </row>
    <row r="28" spans="1:13" x14ac:dyDescent="0.25">
      <c r="A28" s="107"/>
      <c r="B28" s="108" t="s">
        <v>263</v>
      </c>
      <c r="C28" s="108">
        <v>0.14781906660778901</v>
      </c>
      <c r="D28" s="197" t="s">
        <v>204</v>
      </c>
      <c r="E28" s="111">
        <f t="shared" si="13"/>
        <v>64.387021565960794</v>
      </c>
      <c r="F28" s="216">
        <f>VLOOKUP($B28,Espagne,2,FALSE)</f>
        <v>1.4161999999999999E-2</v>
      </c>
      <c r="G28" s="216">
        <f>VLOOKUP($B28,Espagne,3,FALSE)</f>
        <v>3.8825229999999999</v>
      </c>
      <c r="H28" s="216">
        <f>VLOOKUP($B28,Espagne,4,FALSE)</f>
        <v>0.19211400000000001</v>
      </c>
      <c r="I28" s="223">
        <f>VLOOKUP($B28,Espagne,5,FALSE)</f>
        <v>33.711939999999998</v>
      </c>
      <c r="J28" s="875"/>
      <c r="K28" s="886"/>
      <c r="L28" s="886"/>
      <c r="M28" s="889"/>
    </row>
    <row r="29" spans="1:13" ht="26.4" x14ac:dyDescent="0.25">
      <c r="A29" s="890" t="s">
        <v>55</v>
      </c>
      <c r="B29" s="180" t="s">
        <v>264</v>
      </c>
      <c r="C29" s="181"/>
      <c r="D29" s="203"/>
      <c r="E29" s="419">
        <f>1/3%</f>
        <v>33.333333333333336</v>
      </c>
      <c r="F29" s="206">
        <v>6.6336495999999995E-2</v>
      </c>
      <c r="G29" s="649">
        <v>3.9953295170000001</v>
      </c>
      <c r="H29" s="183">
        <v>0.83674985599999996</v>
      </c>
      <c r="I29" s="192">
        <v>124.0166198</v>
      </c>
      <c r="J29" s="864">
        <f>(F29*$E29+F30*$E30+F31*$E31)%</f>
        <v>7.1554776333333334E-2</v>
      </c>
      <c r="K29" s="867">
        <f>(G29*$E29+G30*$E30+G31*$E31)%</f>
        <v>3.995594498</v>
      </c>
      <c r="L29" s="867">
        <f t="shared" ref="L29:M29" si="14">(H29*$E29+H30*$E30+H31*$E31)%</f>
        <v>0.8925796903333334</v>
      </c>
      <c r="M29" s="870">
        <f t="shared" si="14"/>
        <v>127.04914593333335</v>
      </c>
    </row>
    <row r="30" spans="1:13" s="215" customFormat="1" ht="26.4" x14ac:dyDescent="0.25">
      <c r="A30" s="891"/>
      <c r="B30" s="184" t="s">
        <v>265</v>
      </c>
      <c r="C30" s="185"/>
      <c r="D30" s="204"/>
      <c r="E30" s="420">
        <f>1/3%</f>
        <v>33.333333333333336</v>
      </c>
      <c r="F30" s="207">
        <v>7.8430255000000004E-2</v>
      </c>
      <c r="G30" s="650">
        <v>3.9955970189999999</v>
      </c>
      <c r="H30" s="187">
        <v>0.97993081500000001</v>
      </c>
      <c r="I30" s="194">
        <v>134.3398981</v>
      </c>
      <c r="J30" s="865"/>
      <c r="K30" s="868"/>
      <c r="L30" s="868"/>
      <c r="M30" s="871"/>
    </row>
    <row r="31" spans="1:13" s="215" customFormat="1" ht="27" thickBot="1" x14ac:dyDescent="0.3">
      <c r="A31" s="892"/>
      <c r="B31" s="188" t="s">
        <v>266</v>
      </c>
      <c r="C31" s="189"/>
      <c r="D31" s="205"/>
      <c r="E31" s="425">
        <f>1/3%</f>
        <v>33.333333333333336</v>
      </c>
      <c r="F31" s="208">
        <v>6.9897578000000002E-2</v>
      </c>
      <c r="G31" s="651">
        <v>3.9958569580000001</v>
      </c>
      <c r="H31" s="191">
        <v>0.8610584</v>
      </c>
      <c r="I31" s="195">
        <v>122.79091990000001</v>
      </c>
      <c r="J31" s="866"/>
      <c r="K31" s="869"/>
      <c r="L31" s="869"/>
      <c r="M31" s="872"/>
    </row>
    <row r="32" spans="1:13" ht="13.8" thickTop="1" x14ac:dyDescent="0.25">
      <c r="A32" s="636"/>
      <c r="B32" s="636"/>
      <c r="C32" s="636">
        <f>SUM(C5:C29)</f>
        <v>0.99999999999999956</v>
      </c>
      <c r="D32" s="636"/>
      <c r="E32" s="636"/>
      <c r="F32" s="636"/>
      <c r="G32" s="636"/>
      <c r="H32" s="636"/>
      <c r="I32" s="636"/>
      <c r="J32" s="636"/>
      <c r="K32" s="636"/>
      <c r="L32" s="636"/>
      <c r="M32" s="636"/>
    </row>
    <row r="33" spans="1:10" x14ac:dyDescent="0.25">
      <c r="A33" s="1" t="s">
        <v>58</v>
      </c>
      <c r="B33" s="1">
        <v>1</v>
      </c>
      <c r="C33" s="1">
        <v>2</v>
      </c>
      <c r="D33" s="638">
        <v>3</v>
      </c>
      <c r="E33" s="638">
        <v>4</v>
      </c>
      <c r="F33" s="638">
        <v>5</v>
      </c>
      <c r="G33" s="638">
        <v>6</v>
      </c>
    </row>
    <row r="34" spans="1:10" x14ac:dyDescent="0.25">
      <c r="A34" s="1" t="s">
        <v>59</v>
      </c>
      <c r="B34" s="402" t="s">
        <v>60</v>
      </c>
      <c r="C34" s="1"/>
      <c r="D34" s="638"/>
      <c r="E34" s="638"/>
      <c r="F34" s="638"/>
      <c r="G34" s="638"/>
    </row>
    <row r="35" spans="1:10" x14ac:dyDescent="0.25">
      <c r="A35" s="91" t="s">
        <v>60</v>
      </c>
      <c r="B35" s="68" t="s">
        <v>175</v>
      </c>
      <c r="C35" s="1"/>
      <c r="D35" s="22">
        <v>2.0395634643351492</v>
      </c>
      <c r="E35" s="22">
        <v>0.22238462025122496</v>
      </c>
      <c r="F35" s="22">
        <v>19.099188159688769</v>
      </c>
      <c r="G35" s="22">
        <v>1486.7509009157554</v>
      </c>
    </row>
    <row r="36" spans="1:10" x14ac:dyDescent="0.25">
      <c r="A36" s="91" t="s">
        <v>61</v>
      </c>
      <c r="B36" s="636" t="s">
        <v>253</v>
      </c>
      <c r="C36" s="636"/>
      <c r="D36" s="405">
        <v>0.60261197640970843</v>
      </c>
      <c r="E36" s="405">
        <v>1.0781367496498852E-2</v>
      </c>
      <c r="F36" s="405">
        <v>11.219812947892375</v>
      </c>
      <c r="G36" s="405">
        <v>375.86991847086534</v>
      </c>
    </row>
    <row r="37" spans="1:10" x14ac:dyDescent="0.25">
      <c r="A37" s="91" t="s">
        <v>62</v>
      </c>
      <c r="B37" s="1" t="s">
        <v>267</v>
      </c>
      <c r="C37" s="636"/>
      <c r="D37" s="22">
        <f>AVERAGE(F7,F9:F12)</f>
        <v>0.88331040000000005</v>
      </c>
      <c r="E37" s="22">
        <f>AVERAGE(G7,G9:G12)</f>
        <v>5.0580800000000002E-2</v>
      </c>
      <c r="F37" s="22">
        <f>AVERAGE(H7,H9:H12)</f>
        <v>11.5674662</v>
      </c>
      <c r="G37" s="22">
        <f>AVERAGE(I7,I9:I12)</f>
        <v>965.97347999999988</v>
      </c>
    </row>
    <row r="38" spans="1:10" x14ac:dyDescent="0.25">
      <c r="A38" s="1" t="s">
        <v>130</v>
      </c>
      <c r="B38" s="1"/>
      <c r="C38" s="1"/>
      <c r="D38" s="638"/>
      <c r="E38" s="638"/>
      <c r="F38" s="638"/>
      <c r="G38" s="638"/>
    </row>
    <row r="39" spans="1:10" x14ac:dyDescent="0.25">
      <c r="A39" s="1" t="s">
        <v>59</v>
      </c>
      <c r="B39" s="402" t="s">
        <v>60</v>
      </c>
      <c r="C39" s="1"/>
      <c r="D39" s="638"/>
      <c r="E39" s="638"/>
      <c r="F39" s="638"/>
      <c r="G39" s="638"/>
    </row>
    <row r="40" spans="1:10" x14ac:dyDescent="0.25">
      <c r="A40" s="91" t="s">
        <v>60</v>
      </c>
      <c r="B40" s="1" t="s">
        <v>89</v>
      </c>
      <c r="C40" s="1"/>
      <c r="D40" s="638">
        <v>0.14799999999999999</v>
      </c>
      <c r="E40" s="638">
        <v>4.122755626</v>
      </c>
      <c r="F40" s="638">
        <v>1.8555277997859998</v>
      </c>
      <c r="G40" s="638">
        <v>252.0720348641037</v>
      </c>
    </row>
    <row r="41" spans="1:10" x14ac:dyDescent="0.25">
      <c r="A41" s="91" t="s">
        <v>61</v>
      </c>
      <c r="B41" s="1" t="str">
        <f>B17</f>
        <v>Electricity, high voltage {ES}| electricity production, hydro, run-of-river | Cut-off, U</v>
      </c>
      <c r="C41" s="1"/>
      <c r="D41" s="1">
        <f>F17</f>
        <v>4.3660000000000001E-3</v>
      </c>
      <c r="E41" s="1">
        <f>G17</f>
        <v>3.7930769999999998</v>
      </c>
      <c r="F41" s="1">
        <f>H17</f>
        <v>4.3333000000000003E-2</v>
      </c>
      <c r="G41" s="31">
        <f>I17</f>
        <v>11.91413</v>
      </c>
      <c r="J41" s="1"/>
    </row>
    <row r="42" spans="1:10" x14ac:dyDescent="0.25">
      <c r="A42" s="91" t="s">
        <v>62</v>
      </c>
      <c r="B42" s="1" t="s">
        <v>268</v>
      </c>
      <c r="C42" s="1"/>
      <c r="D42" s="22">
        <f>AVERAGE(F25:F31,F17:F18)</f>
        <v>3.7329147666666666E-2</v>
      </c>
      <c r="E42" s="22">
        <f t="shared" ref="E42:G42" si="15">AVERAGE(G25:G31,G17:G18)</f>
        <v>3.9015092771111117</v>
      </c>
      <c r="F42" s="22">
        <f t="shared" si="15"/>
        <v>0.40034700788888888</v>
      </c>
      <c r="G42" s="22">
        <f t="shared" si="15"/>
        <v>69.550515311111113</v>
      </c>
    </row>
  </sheetData>
  <mergeCells count="26">
    <mergeCell ref="J29:J31"/>
    <mergeCell ref="K29:K31"/>
    <mergeCell ref="L29:L31"/>
    <mergeCell ref="M29:M31"/>
    <mergeCell ref="J20:J21"/>
    <mergeCell ref="K20:K21"/>
    <mergeCell ref="L20:L21"/>
    <mergeCell ref="M20:M21"/>
    <mergeCell ref="J9:J10"/>
    <mergeCell ref="K9:K10"/>
    <mergeCell ref="L9:L10"/>
    <mergeCell ref="M9:M10"/>
    <mergeCell ref="J26:J28"/>
    <mergeCell ref="K26:K28"/>
    <mergeCell ref="L26:L28"/>
    <mergeCell ref="M26:M28"/>
    <mergeCell ref="J1:M1"/>
    <mergeCell ref="J5:J6"/>
    <mergeCell ref="K5:K6"/>
    <mergeCell ref="L5:L6"/>
    <mergeCell ref="M5:M6"/>
    <mergeCell ref="F1:I1"/>
    <mergeCell ref="A1:A4"/>
    <mergeCell ref="B1:D4"/>
    <mergeCell ref="E1:E4"/>
    <mergeCell ref="A29:A3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topLeftCell="B4" workbookViewId="0">
      <selection activeCell="B37" sqref="B37"/>
    </sheetView>
  </sheetViews>
  <sheetFormatPr defaultColWidth="11.44140625" defaultRowHeight="13.2" x14ac:dyDescent="0.25"/>
  <cols>
    <col min="1" max="1" width="26.88671875" style="88" customWidth="1"/>
    <col min="2" max="2" width="88" style="88" customWidth="1"/>
    <col min="3" max="16384" width="11.44140625" style="88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114" t="s">
        <v>16</v>
      </c>
      <c r="B5" s="115" t="s">
        <v>269</v>
      </c>
      <c r="C5" s="115">
        <v>4.5156358335259302E-3</v>
      </c>
      <c r="D5" s="196" t="s">
        <v>204</v>
      </c>
      <c r="E5" s="286">
        <f>C5/(C5+C6)%</f>
        <v>14.564220183486231</v>
      </c>
      <c r="F5" s="161">
        <f>VLOOKUP($B5,Belgique,2,FALSE)</f>
        <v>0.165854</v>
      </c>
      <c r="G5" s="161">
        <f>VLOOKUP($B5,Belgique,3,FALSE)</f>
        <v>6.4902000000000001E-2</v>
      </c>
      <c r="H5" s="161">
        <f>VLOOKUP($B5,Belgique,4,FALSE)</f>
        <v>0.49018499999999998</v>
      </c>
      <c r="I5" s="164">
        <f>VLOOKUP($B5,Belgique,5,FALSE)</f>
        <v>784.79459999999995</v>
      </c>
      <c r="J5" s="861">
        <f>F5*$E5%+F6*$E6%</f>
        <v>6.5777090596330259E-2</v>
      </c>
      <c r="K5" s="862">
        <f t="shared" ref="K5:L5" si="1">G5*$E5%+G6*$E6%</f>
        <v>14.367225750000001</v>
      </c>
      <c r="L5" s="862">
        <f t="shared" si="1"/>
        <v>0.56160504013761459</v>
      </c>
      <c r="M5" s="863">
        <f>I5*$E5%+I6*$E6%</f>
        <v>420.63842912844029</v>
      </c>
    </row>
    <row r="6" spans="1:13" x14ac:dyDescent="0.25">
      <c r="A6" s="107"/>
      <c r="B6" s="108" t="s">
        <v>270</v>
      </c>
      <c r="C6" s="108">
        <v>2.64893598108411E-2</v>
      </c>
      <c r="D6" s="197" t="s">
        <v>204</v>
      </c>
      <c r="E6" s="287">
        <f>C6/(C6+C5)%</f>
        <v>85.435779816513758</v>
      </c>
      <c r="F6" s="158">
        <f>VLOOKUP($B6,Belgique,2,FALSE)</f>
        <v>4.8717000000000003E-2</v>
      </c>
      <c r="G6" s="158">
        <f>VLOOKUP($B6,Belgique,3,FALSE)</f>
        <v>16.805340000000001</v>
      </c>
      <c r="H6" s="158">
        <f>VLOOKUP($B6,Belgique,4,FALSE)</f>
        <v>0.57377999999999996</v>
      </c>
      <c r="I6" s="152">
        <f>VLOOKUP($B6,Belgique,5,FALSE)</f>
        <v>358.56079999999997</v>
      </c>
      <c r="J6" s="847"/>
      <c r="K6" s="849"/>
      <c r="L6" s="849"/>
      <c r="M6" s="851"/>
    </row>
    <row r="7" spans="1:13" x14ac:dyDescent="0.25">
      <c r="A7" s="95" t="s">
        <v>19</v>
      </c>
      <c r="B7" s="96"/>
      <c r="C7" s="96"/>
      <c r="D7" s="198"/>
      <c r="E7" s="209"/>
      <c r="F7" s="150" t="s">
        <v>240</v>
      </c>
      <c r="G7" s="150" t="s">
        <v>240</v>
      </c>
      <c r="H7" s="150" t="s">
        <v>240</v>
      </c>
      <c r="I7" s="148"/>
      <c r="J7" s="150"/>
      <c r="K7" s="150"/>
      <c r="L7" s="150"/>
      <c r="M7" s="148"/>
    </row>
    <row r="8" spans="1:13" x14ac:dyDescent="0.25">
      <c r="A8" s="95" t="s">
        <v>21</v>
      </c>
      <c r="B8" s="96"/>
      <c r="C8" s="96"/>
      <c r="D8" s="198"/>
      <c r="E8" s="209"/>
      <c r="F8" s="150" t="s">
        <v>240</v>
      </c>
      <c r="G8" s="150" t="s">
        <v>240</v>
      </c>
      <c r="H8" s="150" t="s">
        <v>240</v>
      </c>
      <c r="I8" s="148"/>
      <c r="J8" s="150"/>
      <c r="K8" s="150"/>
      <c r="L8" s="150"/>
      <c r="M8" s="148"/>
    </row>
    <row r="9" spans="1:13" x14ac:dyDescent="0.25">
      <c r="A9" s="104" t="s">
        <v>22</v>
      </c>
      <c r="B9" s="105" t="s">
        <v>271</v>
      </c>
      <c r="C9" s="105">
        <v>6.9867908762822395E-2</v>
      </c>
      <c r="D9" s="199" t="s">
        <v>204</v>
      </c>
      <c r="E9" s="110">
        <f>C9/SUM($C$9:$C$12)%</f>
        <v>26.762002042900889</v>
      </c>
      <c r="F9" s="156">
        <f t="shared" ref="F9:F15" si="2">VLOOKUP($B9,Belgique,2,FALSE)</f>
        <v>0.55862100000000003</v>
      </c>
      <c r="G9" s="156">
        <f t="shared" ref="G9:G15" si="3">VLOOKUP($B9,Belgique,3,FALSE)</f>
        <v>9.953E-3</v>
      </c>
      <c r="H9" s="156">
        <f t="shared" ref="H9:H15" si="4">VLOOKUP($B9,Belgique,4,FALSE)</f>
        <v>9.9153950000000002</v>
      </c>
      <c r="I9" s="157">
        <f t="shared" ref="I9:I15" si="5">VLOOKUP($B9,Belgique,5,FALSE)</f>
        <v>350.38029999999998</v>
      </c>
      <c r="J9" s="873">
        <f>F9*E9%+F10*E10%+F11*E11%+F12*E12%</f>
        <v>0.48969532924753145</v>
      </c>
      <c r="K9" s="884">
        <f t="shared" ref="K9:M9" si="6">G9*F9%+G10*F10%+G11*F11%+G12*F12%</f>
        <v>1.8263707679000001E-4</v>
      </c>
      <c r="L9" s="884">
        <f t="shared" si="6"/>
        <v>3.1968124351500001E-3</v>
      </c>
      <c r="M9" s="887">
        <f t="shared" si="6"/>
        <v>128.52083524889801</v>
      </c>
    </row>
    <row r="10" spans="1:13" x14ac:dyDescent="0.25">
      <c r="A10" s="112"/>
      <c r="B10" s="113" t="s">
        <v>272</v>
      </c>
      <c r="C10" s="113">
        <v>3.0009422389731401E-2</v>
      </c>
      <c r="D10" s="200" t="s">
        <v>204</v>
      </c>
      <c r="E10" s="210">
        <f t="shared" ref="E10:E11" si="7">C10/SUM($C$9:$C$12)%</f>
        <v>11.494722505958467</v>
      </c>
      <c r="F10" s="162">
        <f t="shared" si="2"/>
        <v>0.42326000000000003</v>
      </c>
      <c r="G10" s="162">
        <f t="shared" si="3"/>
        <v>6.7559999999999999E-3</v>
      </c>
      <c r="H10" s="162">
        <f t="shared" si="4"/>
        <v>7.5219670000000001</v>
      </c>
      <c r="I10" s="163">
        <f t="shared" si="5"/>
        <v>260.30309999999997</v>
      </c>
      <c r="J10" s="874"/>
      <c r="K10" s="885"/>
      <c r="L10" s="885"/>
      <c r="M10" s="888"/>
    </row>
    <row r="11" spans="1:13" x14ac:dyDescent="0.25">
      <c r="A11" s="112"/>
      <c r="B11" s="113" t="s">
        <v>273</v>
      </c>
      <c r="C11" s="113">
        <v>3.0471652829383598E-2</v>
      </c>
      <c r="D11" s="200" t="s">
        <v>204</v>
      </c>
      <c r="E11" s="210">
        <f t="shared" si="7"/>
        <v>11.671773918964911</v>
      </c>
      <c r="F11" s="162">
        <f t="shared" si="2"/>
        <v>0.72436299999999998</v>
      </c>
      <c r="G11" s="162">
        <f t="shared" si="3"/>
        <v>9.8239999999999994E-3</v>
      </c>
      <c r="H11" s="162">
        <f t="shared" si="4"/>
        <v>12.387320000000001</v>
      </c>
      <c r="I11" s="163">
        <f t="shared" si="5"/>
        <v>448.2303</v>
      </c>
      <c r="J11" s="874"/>
      <c r="K11" s="885"/>
      <c r="L11" s="885"/>
      <c r="M11" s="888"/>
    </row>
    <row r="12" spans="1:13" x14ac:dyDescent="0.25">
      <c r="A12" s="107"/>
      <c r="B12" s="108" t="s">
        <v>274</v>
      </c>
      <c r="C12" s="108">
        <v>0.130722323952426</v>
      </c>
      <c r="D12" s="197" t="s">
        <v>204</v>
      </c>
      <c r="E12" s="111">
        <f>C12/SUM($C$9:$C$12)%</f>
        <v>50.071501532175738</v>
      </c>
      <c r="F12" s="158">
        <f t="shared" si="2"/>
        <v>0.413406</v>
      </c>
      <c r="G12" s="158">
        <f t="shared" si="3"/>
        <v>6.5989999999999998E-3</v>
      </c>
      <c r="H12" s="158">
        <f t="shared" si="4"/>
        <v>7.3468520000000002</v>
      </c>
      <c r="I12" s="159">
        <f t="shared" si="5"/>
        <v>254.19880000000001</v>
      </c>
      <c r="J12" s="875"/>
      <c r="K12" s="886"/>
      <c r="L12" s="886"/>
      <c r="M12" s="889"/>
    </row>
    <row r="13" spans="1:13" x14ac:dyDescent="0.25">
      <c r="A13" s="98" t="s">
        <v>27</v>
      </c>
      <c r="B13" s="99" t="s">
        <v>275</v>
      </c>
      <c r="C13" s="99">
        <v>3.7031769453679197E-2</v>
      </c>
      <c r="D13" s="201" t="s">
        <v>204</v>
      </c>
      <c r="E13" s="211">
        <v>100</v>
      </c>
      <c r="F13" s="155">
        <f t="shared" si="2"/>
        <v>1.1182000000000001</v>
      </c>
      <c r="G13" s="155">
        <f t="shared" si="3"/>
        <v>0.13561300000000001</v>
      </c>
      <c r="H13" s="155">
        <f t="shared" si="4"/>
        <v>12.66507</v>
      </c>
      <c r="I13" s="147">
        <f t="shared" si="5"/>
        <v>751.76490000000001</v>
      </c>
      <c r="J13" s="274">
        <f>F13*$E13%</f>
        <v>1.1182000000000001</v>
      </c>
      <c r="K13" s="217">
        <f t="shared" ref="K13:M13" si="8">G13*$E13%</f>
        <v>0.13561300000000001</v>
      </c>
      <c r="L13" s="217">
        <f t="shared" si="8"/>
        <v>12.66507</v>
      </c>
      <c r="M13" s="218">
        <f t="shared" si="8"/>
        <v>751.76490000000001</v>
      </c>
    </row>
    <row r="14" spans="1:13" x14ac:dyDescent="0.25">
      <c r="A14" s="104" t="s">
        <v>30</v>
      </c>
      <c r="B14" s="105" t="s">
        <v>276</v>
      </c>
      <c r="C14" s="105">
        <v>1.9555903216057199E-4</v>
      </c>
      <c r="D14" s="199" t="s">
        <v>204</v>
      </c>
      <c r="E14" s="288">
        <f>C14/(C14+C15)%</f>
        <v>91.6666666666667</v>
      </c>
      <c r="F14" s="156">
        <f t="shared" si="2"/>
        <v>0.91273199999999999</v>
      </c>
      <c r="G14" s="156">
        <f t="shared" si="3"/>
        <v>4.7513E-2</v>
      </c>
      <c r="H14" s="156">
        <f t="shared" si="4"/>
        <v>13.76055</v>
      </c>
      <c r="I14" s="151">
        <f t="shared" si="5"/>
        <v>842.72739999999999</v>
      </c>
      <c r="J14" s="882">
        <f>F14*$E14%+F15*$E15%</f>
        <v>0.90778933333333334</v>
      </c>
      <c r="K14" s="848">
        <f t="shared" ref="K14:L14" si="9">G14*$E14%+G15*$E15%</f>
        <v>4.7255749999999999E-2</v>
      </c>
      <c r="L14" s="848">
        <f t="shared" si="9"/>
        <v>13.6860325</v>
      </c>
      <c r="M14" s="851">
        <f>I14*$E14%+I15*$E15%</f>
        <v>843.95206666666672</v>
      </c>
    </row>
    <row r="15" spans="1:13" x14ac:dyDescent="0.25">
      <c r="A15" s="107"/>
      <c r="B15" s="108" t="s">
        <v>277</v>
      </c>
      <c r="C15" s="108">
        <v>1.7778093832779201E-5</v>
      </c>
      <c r="D15" s="197" t="s">
        <v>204</v>
      </c>
      <c r="E15" s="287">
        <f>C15/(C15+C14)%</f>
        <v>8.3333333333333037</v>
      </c>
      <c r="F15" s="158">
        <f t="shared" si="2"/>
        <v>0.85341999999999996</v>
      </c>
      <c r="G15" s="158">
        <f t="shared" si="3"/>
        <v>4.4426E-2</v>
      </c>
      <c r="H15" s="158">
        <f t="shared" si="4"/>
        <v>12.866339999999999</v>
      </c>
      <c r="I15" s="152">
        <f t="shared" si="5"/>
        <v>857.42340000000002</v>
      </c>
      <c r="J15" s="883"/>
      <c r="K15" s="849"/>
      <c r="L15" s="849"/>
      <c r="M15" s="851"/>
    </row>
    <row r="16" spans="1:13" x14ac:dyDescent="0.25">
      <c r="A16" s="95" t="s">
        <v>33</v>
      </c>
      <c r="B16" s="96"/>
      <c r="C16" s="96"/>
      <c r="D16" s="198"/>
      <c r="E16" s="209"/>
      <c r="F16" s="150" t="s">
        <v>240</v>
      </c>
      <c r="G16" s="150" t="s">
        <v>240</v>
      </c>
      <c r="H16" s="150" t="s">
        <v>240</v>
      </c>
      <c r="I16" s="148"/>
      <c r="J16" s="150"/>
      <c r="K16" s="150"/>
      <c r="L16" s="150"/>
      <c r="M16" s="148"/>
    </row>
    <row r="17" spans="1:13" x14ac:dyDescent="0.25">
      <c r="A17" s="95" t="s">
        <v>34</v>
      </c>
      <c r="B17" s="96"/>
      <c r="C17" s="96"/>
      <c r="D17" s="198"/>
      <c r="E17" s="209"/>
      <c r="F17" s="150"/>
      <c r="G17" s="150"/>
      <c r="H17" s="150"/>
      <c r="I17" s="148"/>
      <c r="J17" s="150"/>
      <c r="K17" s="150"/>
      <c r="L17" s="150"/>
      <c r="M17" s="148"/>
    </row>
    <row r="18" spans="1:13" x14ac:dyDescent="0.25">
      <c r="A18" s="95" t="s">
        <v>35</v>
      </c>
      <c r="B18" s="96"/>
      <c r="C18" s="96"/>
      <c r="D18" s="198"/>
      <c r="E18" s="209"/>
      <c r="F18" s="150" t="s">
        <v>240</v>
      </c>
      <c r="G18" s="150" t="s">
        <v>240</v>
      </c>
      <c r="H18" s="150" t="s">
        <v>240</v>
      </c>
      <c r="I18" s="148"/>
      <c r="J18" s="150"/>
      <c r="K18" s="150"/>
      <c r="L18" s="150"/>
      <c r="M18" s="148"/>
    </row>
    <row r="19" spans="1:13" x14ac:dyDescent="0.25">
      <c r="A19" s="98" t="s">
        <v>38</v>
      </c>
      <c r="B19" s="99" t="s">
        <v>278</v>
      </c>
      <c r="C19" s="99">
        <v>2.1920389695816798E-2</v>
      </c>
      <c r="D19" s="201" t="s">
        <v>204</v>
      </c>
      <c r="E19" s="211">
        <v>100</v>
      </c>
      <c r="F19" s="155">
        <f>VLOOKUP($B19,Belgique,2,FALSE)</f>
        <v>0.37779400000000002</v>
      </c>
      <c r="G19" s="155">
        <f>VLOOKUP($B19,Belgique,3,FALSE)</f>
        <v>1.1871769999999999</v>
      </c>
      <c r="H19" s="155">
        <f>VLOOKUP($B19,Belgique,4,FALSE)</f>
        <v>15.690390000000001</v>
      </c>
      <c r="I19" s="147">
        <f>VLOOKUP($B19,Belgique,5,FALSE)</f>
        <v>510.07339999999999</v>
      </c>
      <c r="J19" s="274">
        <f>F19*$E19%</f>
        <v>0.37779400000000002</v>
      </c>
      <c r="K19" s="217">
        <f t="shared" ref="K19:M20" si="10">G19*$E19%</f>
        <v>1.1871769999999999</v>
      </c>
      <c r="L19" s="217">
        <f t="shared" si="10"/>
        <v>15.690390000000001</v>
      </c>
      <c r="M19" s="218">
        <f t="shared" si="10"/>
        <v>510.07339999999999</v>
      </c>
    </row>
    <row r="20" spans="1:13" x14ac:dyDescent="0.25">
      <c r="A20" s="98" t="s">
        <v>40</v>
      </c>
      <c r="B20" s="99" t="s">
        <v>279</v>
      </c>
      <c r="C20" s="99">
        <v>4.8178634286831796E-3</v>
      </c>
      <c r="D20" s="201" t="s">
        <v>204</v>
      </c>
      <c r="E20" s="211">
        <v>100</v>
      </c>
      <c r="F20" s="155">
        <f>VLOOKUP($B20,Belgique,2,FALSE)</f>
        <v>4.3660000000000001E-3</v>
      </c>
      <c r="G20" s="155">
        <f>VLOOKUP($B20,Belgique,3,FALSE)</f>
        <v>3.7930769999999998</v>
      </c>
      <c r="H20" s="155">
        <f>VLOOKUP($B20,Belgique,4,FALSE)</f>
        <v>4.3333000000000003E-2</v>
      </c>
      <c r="I20" s="147">
        <f>VLOOKUP($B20,Belgique,5,FALSE)</f>
        <v>11.91413</v>
      </c>
      <c r="J20" s="274">
        <f>F20*$E20%</f>
        <v>4.3660000000000001E-3</v>
      </c>
      <c r="K20" s="217">
        <f t="shared" si="10"/>
        <v>3.7930769999999998</v>
      </c>
      <c r="L20" s="217">
        <f t="shared" si="10"/>
        <v>4.3333000000000003E-2</v>
      </c>
      <c r="M20" s="218">
        <f t="shared" si="10"/>
        <v>11.91413</v>
      </c>
    </row>
    <row r="21" spans="1:13" x14ac:dyDescent="0.25">
      <c r="A21" s="95" t="s">
        <v>42</v>
      </c>
      <c r="B21" s="96"/>
      <c r="C21" s="96"/>
      <c r="D21" s="198"/>
      <c r="E21" s="209"/>
      <c r="F21" s="150"/>
      <c r="G21" s="150"/>
      <c r="H21" s="150"/>
      <c r="I21" s="148"/>
      <c r="J21" s="150"/>
      <c r="K21" s="150"/>
      <c r="L21" s="150"/>
      <c r="M21" s="148"/>
    </row>
    <row r="22" spans="1:13" x14ac:dyDescent="0.25">
      <c r="A22" s="95" t="s">
        <v>44</v>
      </c>
      <c r="B22" s="96"/>
      <c r="C22" s="96"/>
      <c r="D22" s="198"/>
      <c r="E22" s="209"/>
      <c r="F22" s="150" t="s">
        <v>240</v>
      </c>
      <c r="G22" s="150" t="s">
        <v>240</v>
      </c>
      <c r="H22" s="150" t="s">
        <v>240</v>
      </c>
      <c r="I22" s="148"/>
      <c r="J22" s="150"/>
      <c r="K22" s="150"/>
      <c r="L22" s="150"/>
      <c r="M22" s="148"/>
    </row>
    <row r="23" spans="1:13" x14ac:dyDescent="0.25">
      <c r="A23" s="98" t="s">
        <v>45</v>
      </c>
      <c r="B23" s="99" t="s">
        <v>280</v>
      </c>
      <c r="C23" s="99">
        <v>0.56322779071627904</v>
      </c>
      <c r="D23" s="201" t="s">
        <v>204</v>
      </c>
      <c r="E23" s="211">
        <v>100</v>
      </c>
      <c r="F23" s="155">
        <f>VLOOKUP($B23,Belgique,2,FALSE)</f>
        <v>1.1944E-2</v>
      </c>
      <c r="G23" s="155">
        <f>VLOOKUP($B23,Belgique,3,FALSE)</f>
        <v>1.9973000000000001E-2</v>
      </c>
      <c r="H23" s="155">
        <f>VLOOKUP($B23,Belgique,4,FALSE)</f>
        <v>13.40075</v>
      </c>
      <c r="I23" s="147">
        <f>VLOOKUP($B23,Belgique,5,FALSE)</f>
        <v>313.51</v>
      </c>
      <c r="J23" s="274">
        <f>F23*$E23%</f>
        <v>1.1944E-2</v>
      </c>
      <c r="K23" s="217">
        <f t="shared" ref="K23:M24" si="11">G23*$E23%</f>
        <v>1.9973000000000001E-2</v>
      </c>
      <c r="L23" s="217">
        <f t="shared" si="11"/>
        <v>13.40075</v>
      </c>
      <c r="M23" s="218">
        <f t="shared" si="11"/>
        <v>313.51</v>
      </c>
    </row>
    <row r="24" spans="1:13" x14ac:dyDescent="0.25">
      <c r="A24" s="101" t="s">
        <v>46</v>
      </c>
      <c r="B24" s="214" t="str">
        <f>IF(B36=A37,B37,IF(B36=A38,B38,IF(B36=A39,B39,"")))</f>
        <v>Electricity, high voltage {BG}| electricity production, hard coal | Cut-off, U</v>
      </c>
      <c r="C24" s="214"/>
      <c r="D24" s="283"/>
      <c r="E24" s="284">
        <v>100</v>
      </c>
      <c r="F24" s="285">
        <f>VLOOKUP($B24,$B37:$G39,D35,FALSE)</f>
        <v>2.0395634643351501</v>
      </c>
      <c r="G24" s="230">
        <f t="shared" ref="G24:I24" si="12">VLOOKUP($B24,$B37:$G39,E35,FALSE)</f>
        <v>0.22238462025122496</v>
      </c>
      <c r="H24" s="230">
        <f t="shared" si="12"/>
        <v>19.099188159688769</v>
      </c>
      <c r="I24" s="231">
        <f t="shared" si="12"/>
        <v>1486.7509009157554</v>
      </c>
      <c r="J24" s="285">
        <f>F24*$E24%</f>
        <v>2.0395634643351501</v>
      </c>
      <c r="K24" s="230">
        <f t="shared" si="11"/>
        <v>0.22238462025122496</v>
      </c>
      <c r="L24" s="230">
        <f t="shared" si="11"/>
        <v>19.099188159688769</v>
      </c>
      <c r="M24" s="231">
        <f t="shared" si="11"/>
        <v>1486.7509009157554</v>
      </c>
    </row>
    <row r="25" spans="1:13" x14ac:dyDescent="0.25">
      <c r="A25" s="95" t="s">
        <v>47</v>
      </c>
      <c r="B25" s="96"/>
      <c r="C25" s="96"/>
      <c r="D25" s="198"/>
      <c r="E25" s="209"/>
      <c r="F25" s="150"/>
      <c r="G25" s="150"/>
      <c r="H25" s="150"/>
      <c r="I25" s="148"/>
      <c r="J25" s="150"/>
      <c r="K25" s="150"/>
      <c r="L25" s="150"/>
      <c r="M25" s="148"/>
    </row>
    <row r="26" spans="1:13" x14ac:dyDescent="0.25">
      <c r="A26" s="101" t="s">
        <v>48</v>
      </c>
      <c r="B26" s="102" t="s">
        <v>281</v>
      </c>
      <c r="C26" s="102"/>
      <c r="D26" s="202"/>
      <c r="E26" s="212">
        <v>100</v>
      </c>
      <c r="F26" s="160">
        <v>0</v>
      </c>
      <c r="G26" s="160">
        <v>0</v>
      </c>
      <c r="H26" s="160">
        <v>0</v>
      </c>
      <c r="I26" s="149">
        <v>0</v>
      </c>
      <c r="J26" s="285">
        <f>F26*$E26%</f>
        <v>0</v>
      </c>
      <c r="K26" s="230">
        <f t="shared" ref="K26:M26" si="13">G26*$E26%</f>
        <v>0</v>
      </c>
      <c r="L26" s="230">
        <f t="shared" si="13"/>
        <v>0</v>
      </c>
      <c r="M26" s="231">
        <f t="shared" si="13"/>
        <v>0</v>
      </c>
    </row>
    <row r="27" spans="1:13" x14ac:dyDescent="0.25">
      <c r="A27" s="98" t="s">
        <v>50</v>
      </c>
      <c r="B27" s="99" t="s">
        <v>282</v>
      </c>
      <c r="C27" s="99">
        <v>3.2053903180500998E-2</v>
      </c>
      <c r="D27" s="201" t="s">
        <v>204</v>
      </c>
      <c r="E27" s="211">
        <v>100</v>
      </c>
      <c r="F27" s="155">
        <f>VLOOKUP($B27,Belgique,2,FALSE)</f>
        <v>1.5521E-2</v>
      </c>
      <c r="G27" s="155">
        <f>VLOOKUP($B27,Belgique,3,FALSE)</f>
        <v>3.8848600000000002</v>
      </c>
      <c r="H27" s="155">
        <f>VLOOKUP($B27,Belgique,4,FALSE)</f>
        <v>0.19017200000000001</v>
      </c>
      <c r="I27" s="147">
        <f>VLOOKUP($B27,Belgique,5,FALSE)</f>
        <v>37.239910000000002</v>
      </c>
      <c r="J27" s="274">
        <f>F27*$E27%</f>
        <v>1.5521E-2</v>
      </c>
      <c r="K27" s="217">
        <f t="shared" ref="K27:M27" si="14">G27*$E27%</f>
        <v>3.8848600000000002</v>
      </c>
      <c r="L27" s="217">
        <f t="shared" si="14"/>
        <v>0.19017200000000001</v>
      </c>
      <c r="M27" s="218">
        <f t="shared" si="14"/>
        <v>37.239910000000002</v>
      </c>
    </row>
    <row r="28" spans="1:13" x14ac:dyDescent="0.25">
      <c r="A28" s="104" t="s">
        <v>51</v>
      </c>
      <c r="B28" s="105" t="s">
        <v>283</v>
      </c>
      <c r="C28" s="105">
        <v>1.15557609913065E-3</v>
      </c>
      <c r="D28" s="199" t="s">
        <v>204</v>
      </c>
      <c r="E28" s="110">
        <f>C28/SUM($C$28:$C$30)%</f>
        <v>2.374862988673728</v>
      </c>
      <c r="F28" s="156">
        <f>VLOOKUP($B28,Belgique,2,FALSE)</f>
        <v>1.4629E-2</v>
      </c>
      <c r="G28" s="156">
        <f>VLOOKUP($B28,Belgique,3,FALSE)</f>
        <v>3.8852000000000002</v>
      </c>
      <c r="H28" s="156">
        <f>VLOOKUP($B28,Belgique,4,FALSE)</f>
        <v>0.182862</v>
      </c>
      <c r="I28" s="157">
        <f>VLOOKUP($B28,Belgique,5,FALSE)</f>
        <v>34.76538</v>
      </c>
      <c r="J28" s="873">
        <f>(F28*$E28+F29*$E29+F30*$E30)%</f>
        <v>1.6287275484106686E-2</v>
      </c>
      <c r="K28" s="884">
        <f t="shared" ref="K28:L28" si="15">(G28*$E28+G29*$E29+G30*$E30)%</f>
        <v>3.8842550361709902</v>
      </c>
      <c r="L28" s="884">
        <f t="shared" si="15"/>
        <v>0.21690435732553895</v>
      </c>
      <c r="M28" s="887">
        <f>(I28*$E28+I29*$E29+I30*$E30)%</f>
        <v>40.522607694556093</v>
      </c>
    </row>
    <row r="29" spans="1:13" x14ac:dyDescent="0.25">
      <c r="A29" s="112"/>
      <c r="B29" s="113" t="s">
        <v>284</v>
      </c>
      <c r="C29" s="113">
        <v>5.0134224608437503E-3</v>
      </c>
      <c r="D29" s="200" t="s">
        <v>204</v>
      </c>
      <c r="E29" s="210">
        <f>C29/SUM($C$28:$C$30)%</f>
        <v>10.303251735476804</v>
      </c>
      <c r="F29" s="162">
        <f>VLOOKUP($B29,Belgique,2,FALSE)</f>
        <v>2.4469000000000001E-2</v>
      </c>
      <c r="G29" s="162">
        <f>VLOOKUP($B29,Belgique,3,FALSE)</f>
        <v>3.8896820000000001</v>
      </c>
      <c r="H29" s="162">
        <f>VLOOKUP($B29,Belgique,4,FALSE)</f>
        <v>0.29629299999999997</v>
      </c>
      <c r="I29" s="163">
        <f>VLOOKUP($B29,Belgique,5,FALSE)</f>
        <v>78.047430000000006</v>
      </c>
      <c r="J29" s="874"/>
      <c r="K29" s="885"/>
      <c r="L29" s="885"/>
      <c r="M29" s="888"/>
    </row>
    <row r="30" spans="1:13" x14ac:dyDescent="0.25">
      <c r="A30" s="107"/>
      <c r="B30" s="108" t="s">
        <v>285</v>
      </c>
      <c r="C30" s="108">
        <v>4.24896442603424E-2</v>
      </c>
      <c r="D30" s="197" t="s">
        <v>204</v>
      </c>
      <c r="E30" s="111">
        <f>C30/SUM($C$28:$C$30)%</f>
        <v>87.321885275849468</v>
      </c>
      <c r="F30" s="158">
        <f>VLOOKUP($B30,Belgique,2,FALSE)</f>
        <v>1.5367E-2</v>
      </c>
      <c r="G30" s="158">
        <f>VLOOKUP($B30,Belgique,3,FALSE)</f>
        <v>3.8835890000000002</v>
      </c>
      <c r="H30" s="158">
        <f>VLOOKUP($B30,Belgique,4,FALSE)</f>
        <v>0.20846300000000001</v>
      </c>
      <c r="I30" s="159">
        <f>VLOOKUP($B30,Belgique,5,FALSE)</f>
        <v>36.251570000000001</v>
      </c>
      <c r="J30" s="875"/>
      <c r="K30" s="886"/>
      <c r="L30" s="886"/>
      <c r="M30" s="889"/>
    </row>
    <row r="31" spans="1:13" s="289" customFormat="1" ht="26.4" x14ac:dyDescent="0.25">
      <c r="A31" s="890" t="s">
        <v>286</v>
      </c>
      <c r="B31" s="180" t="s">
        <v>287</v>
      </c>
      <c r="C31" s="181"/>
      <c r="D31" s="203"/>
      <c r="E31" s="419">
        <f>1/3%</f>
        <v>33.333333333333336</v>
      </c>
      <c r="F31" s="206">
        <v>0.11271178799999999</v>
      </c>
      <c r="G31" s="649">
        <v>4.0967184830000001</v>
      </c>
      <c r="H31" s="183">
        <v>1.4217147080000001</v>
      </c>
      <c r="I31" s="192">
        <v>208.02389289999999</v>
      </c>
      <c r="J31" s="893">
        <f>(F31*$E31+F32*$E32+F33*$E33)%</f>
        <v>0.11065582433333333</v>
      </c>
      <c r="K31" s="896">
        <f>(G31*$E31+G32*$E32+G33*$E33)%</f>
        <v>4.0744254423333333</v>
      </c>
      <c r="L31" s="896">
        <f t="shared" ref="L31:M31" si="16">(H31*$E31+H32*$E32+H33*$E33)%</f>
        <v>1.3820231583333333</v>
      </c>
      <c r="M31" s="899">
        <f t="shared" si="16"/>
        <v>194.59087203333331</v>
      </c>
    </row>
    <row r="32" spans="1:13" s="289" customFormat="1" ht="26.4" x14ac:dyDescent="0.25">
      <c r="A32" s="891"/>
      <c r="B32" s="184" t="s">
        <v>288</v>
      </c>
      <c r="C32" s="185"/>
      <c r="D32" s="204"/>
      <c r="E32" s="420">
        <f>1/3%</f>
        <v>33.333333333333336</v>
      </c>
      <c r="F32" s="207">
        <v>0.13323818700000001</v>
      </c>
      <c r="G32" s="650">
        <v>4.0971322089999997</v>
      </c>
      <c r="H32" s="187">
        <v>1.664717346</v>
      </c>
      <c r="I32" s="194">
        <v>225.52747780000001</v>
      </c>
      <c r="J32" s="894"/>
      <c r="K32" s="897"/>
      <c r="L32" s="897"/>
      <c r="M32" s="900"/>
    </row>
    <row r="33" spans="1:13" ht="27" thickBot="1" x14ac:dyDescent="0.3">
      <c r="A33" s="892" t="s">
        <v>55</v>
      </c>
      <c r="B33" s="188" t="s">
        <v>289</v>
      </c>
      <c r="C33" s="189"/>
      <c r="D33" s="205"/>
      <c r="E33" s="425">
        <f>1/3%</f>
        <v>33.333333333333336</v>
      </c>
      <c r="F33" s="208">
        <v>8.6017497999999998E-2</v>
      </c>
      <c r="G33" s="651">
        <v>4.029425635</v>
      </c>
      <c r="H33" s="191">
        <v>1.0596374209999999</v>
      </c>
      <c r="I33" s="195">
        <v>150.22124539999999</v>
      </c>
      <c r="J33" s="895"/>
      <c r="K33" s="898"/>
      <c r="L33" s="898"/>
      <c r="M33" s="901"/>
    </row>
    <row r="34" spans="1:13" ht="13.8" thickTop="1" x14ac:dyDescent="0.25">
      <c r="A34" s="90"/>
      <c r="B34" s="636"/>
      <c r="C34" s="636">
        <f>SUM(C2:C33)</f>
        <v>0.99999999999999978</v>
      </c>
      <c r="D34" s="636"/>
      <c r="E34" s="636"/>
      <c r="F34" s="636"/>
      <c r="G34" s="636"/>
      <c r="H34" s="636"/>
      <c r="I34" s="636"/>
      <c r="J34" s="636"/>
      <c r="K34" s="636"/>
      <c r="L34" s="636"/>
      <c r="M34" s="636"/>
    </row>
    <row r="35" spans="1:13" x14ac:dyDescent="0.25">
      <c r="A35" s="1" t="s">
        <v>58</v>
      </c>
      <c r="B35" s="1">
        <v>1</v>
      </c>
      <c r="C35" s="1">
        <v>2</v>
      </c>
      <c r="D35" s="638">
        <v>3</v>
      </c>
      <c r="E35" s="638">
        <v>4</v>
      </c>
      <c r="F35" s="638">
        <v>5</v>
      </c>
      <c r="G35" s="638">
        <v>6</v>
      </c>
      <c r="H35" s="636"/>
      <c r="I35" s="636"/>
      <c r="J35" s="636"/>
      <c r="K35" s="636"/>
      <c r="L35" s="636"/>
      <c r="M35" s="636"/>
    </row>
    <row r="36" spans="1:13" x14ac:dyDescent="0.25">
      <c r="A36" s="1" t="s">
        <v>59</v>
      </c>
      <c r="B36" s="402" t="s">
        <v>60</v>
      </c>
      <c r="C36" s="1"/>
      <c r="D36" s="638"/>
      <c r="E36" s="638"/>
      <c r="F36" s="638"/>
      <c r="G36" s="638"/>
      <c r="H36" s="636"/>
      <c r="I36" s="636"/>
      <c r="J36" s="636"/>
      <c r="K36" s="636"/>
      <c r="L36" s="636"/>
      <c r="M36" s="636"/>
    </row>
    <row r="37" spans="1:13" x14ac:dyDescent="0.25">
      <c r="A37" s="91" t="s">
        <v>60</v>
      </c>
      <c r="B37" s="68" t="s">
        <v>175</v>
      </c>
      <c r="C37" s="1"/>
      <c r="D37" s="22">
        <v>2.0395634643351501</v>
      </c>
      <c r="E37" s="22">
        <v>0.22238462025122496</v>
      </c>
      <c r="F37" s="22">
        <v>19.099188159688769</v>
      </c>
      <c r="G37" s="22">
        <v>1486.7509009157554</v>
      </c>
      <c r="H37" s="636"/>
      <c r="I37" s="636"/>
      <c r="J37" s="636"/>
      <c r="K37" s="636"/>
      <c r="L37" s="636"/>
      <c r="M37" s="636"/>
    </row>
    <row r="38" spans="1:13" x14ac:dyDescent="0.25">
      <c r="A38" s="91" t="s">
        <v>61</v>
      </c>
      <c r="B38" s="636" t="s">
        <v>274</v>
      </c>
      <c r="C38" s="636"/>
      <c r="D38" s="405">
        <v>0.41340585114674333</v>
      </c>
      <c r="E38" s="405">
        <v>6.5985584952716779E-3</v>
      </c>
      <c r="F38" s="405">
        <v>7.3468515921254101</v>
      </c>
      <c r="G38" s="405">
        <v>254.86217757114298</v>
      </c>
      <c r="H38" s="636"/>
      <c r="I38" s="636"/>
      <c r="J38" s="636"/>
      <c r="K38" s="636"/>
      <c r="L38" s="636"/>
      <c r="M38" s="636"/>
    </row>
    <row r="39" spans="1:13" x14ac:dyDescent="0.25">
      <c r="A39" s="91" t="s">
        <v>62</v>
      </c>
      <c r="B39" s="1" t="s">
        <v>290</v>
      </c>
      <c r="C39" s="636"/>
      <c r="D39" s="22">
        <f>AVERAGE(F9:F15)</f>
        <v>0.71485742857142853</v>
      </c>
      <c r="E39" s="22">
        <f t="shared" ref="E39:G39" si="17">AVERAGE(G9:G15)</f>
        <v>3.7240571428571435E-2</v>
      </c>
      <c r="F39" s="22">
        <f t="shared" si="17"/>
        <v>10.923356285714286</v>
      </c>
      <c r="G39" s="22">
        <f t="shared" si="17"/>
        <v>537.86117142857142</v>
      </c>
      <c r="H39" s="636"/>
      <c r="I39" s="636"/>
      <c r="J39" s="636"/>
      <c r="K39" s="636"/>
      <c r="L39" s="636"/>
      <c r="M39" s="636"/>
    </row>
    <row r="40" spans="1:13" x14ac:dyDescent="0.25">
      <c r="A40" s="91"/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</row>
    <row r="41" spans="1:13" x14ac:dyDescent="0.25">
      <c r="A41" s="91"/>
      <c r="B41" s="636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</row>
    <row r="42" spans="1:13" x14ac:dyDescent="0.25">
      <c r="A42" s="91"/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</row>
  </sheetData>
  <mergeCells count="26">
    <mergeCell ref="J28:J30"/>
    <mergeCell ref="K28:K30"/>
    <mergeCell ref="L28:L30"/>
    <mergeCell ref="M28:M30"/>
    <mergeCell ref="J31:J33"/>
    <mergeCell ref="K31:K33"/>
    <mergeCell ref="L31:L33"/>
    <mergeCell ref="M31:M33"/>
    <mergeCell ref="J9:J12"/>
    <mergeCell ref="K9:K12"/>
    <mergeCell ref="L9:L12"/>
    <mergeCell ref="M9:M12"/>
    <mergeCell ref="J14:J15"/>
    <mergeCell ref="K14:K15"/>
    <mergeCell ref="L14:L15"/>
    <mergeCell ref="M14:M15"/>
    <mergeCell ref="J1:M1"/>
    <mergeCell ref="J5:J6"/>
    <mergeCell ref="K5:K6"/>
    <mergeCell ref="L5:L6"/>
    <mergeCell ref="M5:M6"/>
    <mergeCell ref="F1:I1"/>
    <mergeCell ref="A1:A4"/>
    <mergeCell ref="B1:D4"/>
    <mergeCell ref="E1:E4"/>
    <mergeCell ref="A31:A3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8"/>
  <sheetViews>
    <sheetView topLeftCell="B1" zoomScaleNormal="100" workbookViewId="0">
      <selection activeCell="A20" activeCellId="1" sqref="A1:M4 A20:M20"/>
    </sheetView>
  </sheetViews>
  <sheetFormatPr defaultColWidth="11.44140625" defaultRowHeight="13.2" x14ac:dyDescent="0.25"/>
  <cols>
    <col min="1" max="1" width="32.88671875" style="88" customWidth="1"/>
    <col min="2" max="2" width="97.6640625" style="88" customWidth="1"/>
    <col min="3" max="5" width="11.44140625" style="88"/>
    <col min="6" max="6" width="15.109375" style="88" customWidth="1"/>
    <col min="7" max="16384" width="11.44140625" style="88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232" t="s">
        <v>16</v>
      </c>
      <c r="B5" s="136" t="s">
        <v>291</v>
      </c>
      <c r="C5" s="136">
        <v>7.1462897068590298E-2</v>
      </c>
      <c r="D5" s="293" t="s">
        <v>204</v>
      </c>
      <c r="E5" s="294">
        <v>100</v>
      </c>
      <c r="F5" s="224">
        <f>VLOOKUP($B5,GB,2,FALSE)</f>
        <v>4.8716600036111612E-2</v>
      </c>
      <c r="G5" s="224">
        <f>VLOOKUP($B5,GB,3,FALSE)</f>
        <v>16.805337598302678</v>
      </c>
      <c r="H5" s="224">
        <f>VLOOKUP($B5,GB,4,FALSE)</f>
        <v>0.57377959165197978</v>
      </c>
      <c r="I5" s="225">
        <f>VLOOKUP($B5,GB,5,FALSE)</f>
        <v>358.56083246345736</v>
      </c>
      <c r="J5" s="224">
        <f>F5*$E5%</f>
        <v>4.8716600036111612E-2</v>
      </c>
      <c r="K5" s="224">
        <f t="shared" ref="K5:M5" si="1">G5*$E5%</f>
        <v>16.805337598302678</v>
      </c>
      <c r="L5" s="224">
        <f t="shared" si="1"/>
        <v>0.57377959165197978</v>
      </c>
      <c r="M5" s="225">
        <f t="shared" si="1"/>
        <v>358.56083246345736</v>
      </c>
    </row>
    <row r="6" spans="1:13" x14ac:dyDescent="0.25">
      <c r="A6" s="234" t="s">
        <v>19</v>
      </c>
      <c r="B6" s="235"/>
      <c r="C6" s="235"/>
      <c r="D6" s="276"/>
      <c r="E6" s="277"/>
      <c r="F6" s="227"/>
      <c r="G6" s="227"/>
      <c r="H6" s="227"/>
      <c r="I6" s="228"/>
      <c r="J6" s="227"/>
      <c r="K6" s="227"/>
      <c r="L6" s="227"/>
      <c r="M6" s="228"/>
    </row>
    <row r="7" spans="1:13" x14ac:dyDescent="0.25">
      <c r="A7" s="234" t="s">
        <v>21</v>
      </c>
      <c r="B7" s="235"/>
      <c r="C7" s="235"/>
      <c r="D7" s="276"/>
      <c r="E7" s="277" t="s">
        <v>240</v>
      </c>
      <c r="F7" s="227" t="s">
        <v>240</v>
      </c>
      <c r="G7" s="227" t="s">
        <v>240</v>
      </c>
      <c r="H7" s="227"/>
      <c r="I7" s="228"/>
      <c r="J7" s="227"/>
      <c r="K7" s="227"/>
      <c r="L7" s="227"/>
      <c r="M7" s="228"/>
    </row>
    <row r="8" spans="1:13" x14ac:dyDescent="0.25">
      <c r="A8" s="246" t="s">
        <v>22</v>
      </c>
      <c r="B8" s="135" t="s">
        <v>292</v>
      </c>
      <c r="C8" s="135">
        <v>0.42292428226629403</v>
      </c>
      <c r="D8" s="295" t="s">
        <v>204</v>
      </c>
      <c r="E8" s="296">
        <v>100</v>
      </c>
      <c r="F8" s="407">
        <f>VLOOKUP($B8,GB,2,FALSE)</f>
        <v>0.52082265511755854</v>
      </c>
      <c r="G8" s="407">
        <f>VLOOKUP($B8,GB,3,FALSE)</f>
        <v>6.3841612962181873E-3</v>
      </c>
      <c r="H8" s="407">
        <f>VLOOKUP($B8,GB,4,FALSE)</f>
        <v>9.3830878059842941</v>
      </c>
      <c r="I8" s="408">
        <f>VLOOKUP($B8,GB,5,FALSE)</f>
        <v>348.15390133711873</v>
      </c>
      <c r="J8" s="407">
        <f>F8*$E8%</f>
        <v>0.52082265511755854</v>
      </c>
      <c r="K8" s="407">
        <f t="shared" ref="K8:M10" si="2">G8*$E8%</f>
        <v>6.3841612962181873E-3</v>
      </c>
      <c r="L8" s="407">
        <f t="shared" si="2"/>
        <v>9.3830878059842941</v>
      </c>
      <c r="M8" s="408">
        <f t="shared" si="2"/>
        <v>348.15390133711873</v>
      </c>
    </row>
    <row r="9" spans="1:13" x14ac:dyDescent="0.25">
      <c r="A9" s="246" t="s">
        <v>27</v>
      </c>
      <c r="B9" s="135" t="s">
        <v>293</v>
      </c>
      <c r="C9" s="135">
        <v>0.50295084799758105</v>
      </c>
      <c r="D9" s="295" t="s">
        <v>204</v>
      </c>
      <c r="E9" s="296">
        <v>100</v>
      </c>
      <c r="F9" s="407">
        <f>VLOOKUP($B9,GB,2,FALSE)</f>
        <v>1.1413752381481921</v>
      </c>
      <c r="G9" s="407">
        <f>VLOOKUP($B9,GB,3,FALSE)</f>
        <v>0.13165482653921345</v>
      </c>
      <c r="H9" s="407">
        <f>VLOOKUP($B9,GB,4,FALSE)</f>
        <v>11.208316123757175</v>
      </c>
      <c r="I9" s="408">
        <f>VLOOKUP($B9,GB,5,FALSE)</f>
        <v>849.26963012637009</v>
      </c>
      <c r="J9" s="407">
        <f>F9*$E9%</f>
        <v>1.1413752381481921</v>
      </c>
      <c r="K9" s="407">
        <f t="shared" si="2"/>
        <v>0.13165482653921345</v>
      </c>
      <c r="L9" s="407">
        <f t="shared" si="2"/>
        <v>11.208316123757175</v>
      </c>
      <c r="M9" s="408">
        <f t="shared" si="2"/>
        <v>849.26963012637009</v>
      </c>
    </row>
    <row r="10" spans="1:13" x14ac:dyDescent="0.25">
      <c r="A10" s="246" t="s">
        <v>30</v>
      </c>
      <c r="B10" s="135" t="s">
        <v>294</v>
      </c>
      <c r="C10" s="135">
        <v>2.6619726675341901E-3</v>
      </c>
      <c r="D10" s="295" t="s">
        <v>204</v>
      </c>
      <c r="E10" s="296">
        <v>100</v>
      </c>
      <c r="F10" s="407">
        <f>VLOOKUP($B10,GB,2,FALSE)</f>
        <v>1.3203440130443043</v>
      </c>
      <c r="G10" s="407">
        <f>VLOOKUP($B10,GB,3,FALSE)</f>
        <v>6.783258883500802E-2</v>
      </c>
      <c r="H10" s="407">
        <f>VLOOKUP($B10,GB,4,FALSE)</f>
        <v>19.648971210090572</v>
      </c>
      <c r="I10" s="408">
        <f>VLOOKUP($B10,GB,5,FALSE)</f>
        <v>1425.5860104771252</v>
      </c>
      <c r="J10" s="407">
        <f>F10*$E10%</f>
        <v>1.3203440130443043</v>
      </c>
      <c r="K10" s="407">
        <f t="shared" si="2"/>
        <v>6.783258883500802E-2</v>
      </c>
      <c r="L10" s="407">
        <f t="shared" si="2"/>
        <v>19.648971210090572</v>
      </c>
      <c r="M10" s="408">
        <f t="shared" si="2"/>
        <v>1425.5860104771252</v>
      </c>
    </row>
    <row r="11" spans="1:13" x14ac:dyDescent="0.25">
      <c r="A11" s="234" t="s">
        <v>33</v>
      </c>
      <c r="B11" s="235"/>
      <c r="C11" s="235"/>
      <c r="D11" s="276"/>
      <c r="E11" s="277"/>
      <c r="F11" s="227"/>
      <c r="G11" s="227"/>
      <c r="H11" s="227"/>
      <c r="I11" s="228"/>
      <c r="J11" s="227"/>
      <c r="K11" s="227"/>
      <c r="L11" s="227"/>
      <c r="M11" s="228"/>
    </row>
    <row r="12" spans="1:13" x14ac:dyDescent="0.25">
      <c r="A12" s="234" t="s">
        <v>34</v>
      </c>
      <c r="B12" s="235"/>
      <c r="C12" s="235"/>
      <c r="D12" s="276"/>
      <c r="E12" s="277"/>
      <c r="F12" s="227"/>
      <c r="G12" s="227"/>
      <c r="H12" s="227"/>
      <c r="I12" s="228"/>
      <c r="J12" s="227"/>
      <c r="K12" s="227"/>
      <c r="L12" s="227"/>
      <c r="M12" s="228"/>
    </row>
    <row r="13" spans="1:13" x14ac:dyDescent="0.25">
      <c r="A13" s="234" t="s">
        <v>35</v>
      </c>
      <c r="B13" s="235"/>
      <c r="C13" s="235"/>
      <c r="D13" s="276"/>
      <c r="E13" s="277"/>
      <c r="F13" s="227"/>
      <c r="G13" s="227"/>
      <c r="H13" s="227"/>
      <c r="I13" s="228"/>
      <c r="J13" s="227"/>
      <c r="K13" s="227"/>
      <c r="L13" s="227"/>
      <c r="M13" s="228"/>
    </row>
    <row r="14" spans="1:13" x14ac:dyDescent="0.25">
      <c r="A14" s="282" t="s">
        <v>38</v>
      </c>
      <c r="B14" s="214" t="s">
        <v>295</v>
      </c>
      <c r="C14" s="214"/>
      <c r="D14" s="283"/>
      <c r="E14" s="284">
        <v>100</v>
      </c>
      <c r="F14" s="230">
        <v>1.1463277439999999</v>
      </c>
      <c r="G14" s="230">
        <v>1.7979103439999999</v>
      </c>
      <c r="H14" s="230">
        <v>14.65224609</v>
      </c>
      <c r="I14" s="231">
        <v>884.60959500000001</v>
      </c>
      <c r="J14" s="230">
        <f>F14*$E14%</f>
        <v>1.1463277439999999</v>
      </c>
      <c r="K14" s="230">
        <f t="shared" ref="K14:M15" si="3">G14*$E14%</f>
        <v>1.7979103439999999</v>
      </c>
      <c r="L14" s="230">
        <f t="shared" si="3"/>
        <v>14.65224609</v>
      </c>
      <c r="M14" s="231">
        <f t="shared" si="3"/>
        <v>884.60959500000001</v>
      </c>
    </row>
    <row r="15" spans="1:13" x14ac:dyDescent="0.25">
      <c r="A15" s="282" t="s">
        <v>40</v>
      </c>
      <c r="B15" s="214" t="s">
        <v>296</v>
      </c>
      <c r="C15" s="214"/>
      <c r="D15" s="283"/>
      <c r="E15" s="284">
        <v>100</v>
      </c>
      <c r="F15" s="230">
        <v>4.3659809999999997E-3</v>
      </c>
      <c r="G15" s="230">
        <v>3.7930767919999999</v>
      </c>
      <c r="H15" s="230">
        <v>4.3332543000000001E-2</v>
      </c>
      <c r="I15" s="231">
        <v>11.914097180000001</v>
      </c>
      <c r="J15" s="230">
        <f>F15*$E15%</f>
        <v>4.3659809999999997E-3</v>
      </c>
      <c r="K15" s="230">
        <f t="shared" si="3"/>
        <v>3.7930767919999999</v>
      </c>
      <c r="L15" s="230">
        <f t="shared" si="3"/>
        <v>4.3332543000000001E-2</v>
      </c>
      <c r="M15" s="231">
        <f t="shared" si="3"/>
        <v>11.914097180000001</v>
      </c>
    </row>
    <row r="16" spans="1:13" x14ac:dyDescent="0.25">
      <c r="A16" s="234" t="s">
        <v>42</v>
      </c>
      <c r="B16" s="235"/>
      <c r="C16" s="235"/>
      <c r="D16" s="276"/>
      <c r="E16" s="277"/>
      <c r="F16" s="227"/>
      <c r="G16" s="227"/>
      <c r="H16" s="227"/>
      <c r="I16" s="228"/>
      <c r="J16" s="227"/>
      <c r="K16" s="227"/>
      <c r="L16" s="227"/>
      <c r="M16" s="228"/>
    </row>
    <row r="17" spans="1:13" x14ac:dyDescent="0.25">
      <c r="A17" s="234" t="s">
        <v>44</v>
      </c>
      <c r="B17" s="235"/>
      <c r="C17" s="235"/>
      <c r="D17" s="276"/>
      <c r="E17" s="277"/>
      <c r="F17" s="227"/>
      <c r="G17" s="227"/>
      <c r="H17" s="227"/>
      <c r="I17" s="228"/>
      <c r="J17" s="227"/>
      <c r="K17" s="227"/>
      <c r="L17" s="227"/>
      <c r="M17" s="228"/>
    </row>
    <row r="18" spans="1:13" x14ac:dyDescent="0.25">
      <c r="A18" s="890" t="s">
        <v>45</v>
      </c>
      <c r="B18" s="181" t="s">
        <v>297</v>
      </c>
      <c r="C18" s="181"/>
      <c r="D18" s="203"/>
      <c r="E18" s="213">
        <v>50</v>
      </c>
      <c r="F18" s="428">
        <v>1.2675245999999999E-2</v>
      </c>
      <c r="G18" s="428">
        <v>2.2377365E-2</v>
      </c>
      <c r="H18" s="428">
        <v>14.24422158</v>
      </c>
      <c r="I18" s="429">
        <v>338.37668409999998</v>
      </c>
      <c r="J18" s="852">
        <f>$E18%*F18+$E19%*F19</f>
        <v>1.2309842E-2</v>
      </c>
      <c r="K18" s="855">
        <f t="shared" ref="K18:L18" si="4">$E18%*G18+$E19%*G19</f>
        <v>2.11753675E-2</v>
      </c>
      <c r="L18" s="867">
        <f t="shared" si="4"/>
        <v>13.82248459</v>
      </c>
      <c r="M18" s="870">
        <f>$E18%*I18+$E19%*I19</f>
        <v>325.66794629999998</v>
      </c>
    </row>
    <row r="19" spans="1:13" s="290" customFormat="1" x14ac:dyDescent="0.25">
      <c r="A19" s="902"/>
      <c r="B19" s="297" t="s">
        <v>298</v>
      </c>
      <c r="C19" s="297"/>
      <c r="D19" s="298"/>
      <c r="E19" s="299">
        <v>50</v>
      </c>
      <c r="F19" s="430">
        <v>1.1944438E-2</v>
      </c>
      <c r="G19" s="430">
        <v>1.9973370000000001E-2</v>
      </c>
      <c r="H19" s="430">
        <v>13.400747600000001</v>
      </c>
      <c r="I19" s="431">
        <v>312.95920849999999</v>
      </c>
      <c r="J19" s="903"/>
      <c r="K19" s="904"/>
      <c r="L19" s="906"/>
      <c r="M19" s="907"/>
    </row>
    <row r="20" spans="1:13" x14ac:dyDescent="0.25">
      <c r="A20" s="282" t="s">
        <v>46</v>
      </c>
      <c r="B20" s="214" t="str">
        <f>IF(B32=A33,B33,IF(B32=A34,B34,IF(B32=A35,B35,"")))</f>
        <v>Electricity, high voltage {BG}| electricity production, hard coal | Cut-off, U</v>
      </c>
      <c r="C20" s="214"/>
      <c r="D20" s="283"/>
      <c r="E20" s="284">
        <v>100</v>
      </c>
      <c r="F20" s="285">
        <f>VLOOKUP($B20,$B33:$G35,D31,FALSE)</f>
        <v>2.0395634643351501</v>
      </c>
      <c r="G20" s="230">
        <f t="shared" ref="G20:I20" si="5">VLOOKUP($B20,$B33:$G35,E31,FALSE)</f>
        <v>0.22238462025122496</v>
      </c>
      <c r="H20" s="230">
        <f t="shared" si="5"/>
        <v>19.099188159688769</v>
      </c>
      <c r="I20" s="231">
        <f t="shared" si="5"/>
        <v>1486.7509009157554</v>
      </c>
      <c r="J20" s="285">
        <f>F20*$E20%</f>
        <v>2.0395634643351501</v>
      </c>
      <c r="K20" s="230">
        <f t="shared" ref="K20:M20" si="6">G20*$E20%</f>
        <v>0.22238462025122496</v>
      </c>
      <c r="L20" s="230">
        <f t="shared" si="6"/>
        <v>19.099188159688769</v>
      </c>
      <c r="M20" s="231">
        <f t="shared" si="6"/>
        <v>1486.7509009157554</v>
      </c>
    </row>
    <row r="21" spans="1:13" x14ac:dyDescent="0.25">
      <c r="A21" s="234" t="s">
        <v>47</v>
      </c>
      <c r="B21" s="235"/>
      <c r="C21" s="235"/>
      <c r="D21" s="276"/>
      <c r="E21" s="277"/>
      <c r="F21" s="227"/>
      <c r="G21" s="227"/>
      <c r="H21" s="227"/>
      <c r="I21" s="228"/>
      <c r="J21" s="227"/>
      <c r="K21" s="227"/>
      <c r="L21" s="227"/>
      <c r="M21" s="228"/>
    </row>
    <row r="22" spans="1:13" x14ac:dyDescent="0.25">
      <c r="A22" s="234" t="s">
        <v>48</v>
      </c>
      <c r="B22" s="235"/>
      <c r="C22" s="235"/>
      <c r="D22" s="276"/>
      <c r="E22" s="277"/>
      <c r="F22" s="227"/>
      <c r="G22" s="227"/>
      <c r="H22" s="227"/>
      <c r="I22" s="228"/>
      <c r="J22" s="227"/>
      <c r="K22" s="227"/>
      <c r="L22" s="227"/>
      <c r="M22" s="228"/>
    </row>
    <row r="23" spans="1:13" x14ac:dyDescent="0.25">
      <c r="A23" s="282" t="s">
        <v>50</v>
      </c>
      <c r="B23" s="214" t="s">
        <v>299</v>
      </c>
      <c r="C23" s="214"/>
      <c r="D23" s="283"/>
      <c r="E23" s="284">
        <v>100</v>
      </c>
      <c r="F23" s="230">
        <v>1.5520674999999999E-2</v>
      </c>
      <c r="G23" s="230">
        <v>3.884860142</v>
      </c>
      <c r="H23" s="230">
        <v>0.19017183900000001</v>
      </c>
      <c r="I23" s="231">
        <v>37.220556940000002</v>
      </c>
      <c r="J23" s="230">
        <f>F23*$E23%</f>
        <v>1.5520674999999999E-2</v>
      </c>
      <c r="K23" s="230">
        <f t="shared" ref="K23:M23" si="7">G23*$E23%</f>
        <v>3.884860142</v>
      </c>
      <c r="L23" s="230">
        <f t="shared" si="7"/>
        <v>0.19017183900000001</v>
      </c>
      <c r="M23" s="231">
        <f t="shared" si="7"/>
        <v>37.220556940000002</v>
      </c>
    </row>
    <row r="24" spans="1:13" x14ac:dyDescent="0.25">
      <c r="A24" s="890" t="s">
        <v>51</v>
      </c>
      <c r="B24" s="181" t="s">
        <v>300</v>
      </c>
      <c r="C24" s="181"/>
      <c r="D24" s="203"/>
      <c r="E24" s="419">
        <f t="shared" ref="E24:E29" si="8">1/3%</f>
        <v>33.333333333333336</v>
      </c>
      <c r="F24" s="428">
        <v>1.2616883000000001E-2</v>
      </c>
      <c r="G24" s="428">
        <v>3.8831086990000001</v>
      </c>
      <c r="H24" s="428">
        <v>0.157707186</v>
      </c>
      <c r="I24" s="429">
        <v>30.502895609999999</v>
      </c>
      <c r="J24" s="852">
        <f>(F24*$E24+F25*$E25+F26*$E26)%</f>
        <v>1.56577E-2</v>
      </c>
      <c r="K24" s="855">
        <f t="shared" ref="K24:L24" si="9">(G24*$E24+G25*$E25+G26*$E26)%</f>
        <v>3.8839342693333339</v>
      </c>
      <c r="L24" s="855">
        <f t="shared" si="9"/>
        <v>0.19767600066666666</v>
      </c>
      <c r="M24" s="858">
        <f>(I24*$E24+I25*$E25+I26*$E26)%</f>
        <v>43.362003460000004</v>
      </c>
    </row>
    <row r="25" spans="1:13" s="291" customFormat="1" x14ac:dyDescent="0.25">
      <c r="A25" s="891"/>
      <c r="B25" s="185" t="s">
        <v>301</v>
      </c>
      <c r="C25" s="185"/>
      <c r="D25" s="204"/>
      <c r="E25" s="420">
        <f t="shared" si="8"/>
        <v>33.333333333333336</v>
      </c>
      <c r="F25" s="432">
        <v>2.1102763E-2</v>
      </c>
      <c r="G25" s="432">
        <v>3.8869742619999998</v>
      </c>
      <c r="H25" s="432">
        <v>0.25553424699999999</v>
      </c>
      <c r="I25" s="433">
        <v>67.791654489999999</v>
      </c>
      <c r="J25" s="853"/>
      <c r="K25" s="856"/>
      <c r="L25" s="856"/>
      <c r="M25" s="859"/>
    </row>
    <row r="26" spans="1:13" s="291" customFormat="1" x14ac:dyDescent="0.25">
      <c r="A26" s="902"/>
      <c r="B26" s="297" t="s">
        <v>302</v>
      </c>
      <c r="C26" s="297"/>
      <c r="D26" s="298"/>
      <c r="E26" s="421">
        <f t="shared" si="8"/>
        <v>33.333333333333336</v>
      </c>
      <c r="F26" s="430">
        <v>1.3253454E-2</v>
      </c>
      <c r="G26" s="430">
        <v>3.8817198469999998</v>
      </c>
      <c r="H26" s="430">
        <v>0.17978656900000001</v>
      </c>
      <c r="I26" s="431">
        <v>31.791460279999999</v>
      </c>
      <c r="J26" s="903"/>
      <c r="K26" s="904"/>
      <c r="L26" s="904"/>
      <c r="M26" s="905"/>
    </row>
    <row r="27" spans="1:13" ht="26.4" x14ac:dyDescent="0.25">
      <c r="A27" s="890" t="s">
        <v>55</v>
      </c>
      <c r="B27" s="180" t="s">
        <v>303</v>
      </c>
      <c r="C27" s="181"/>
      <c r="D27" s="203"/>
      <c r="E27" s="422">
        <f t="shared" si="8"/>
        <v>33.333333333333336</v>
      </c>
      <c r="F27" s="206">
        <v>8.1791691999999999E-2</v>
      </c>
      <c r="G27" s="649">
        <v>4.0291187820000003</v>
      </c>
      <c r="H27" s="183">
        <v>1.0316973380000001</v>
      </c>
      <c r="I27" s="192">
        <v>152.01318409999999</v>
      </c>
      <c r="J27" s="864">
        <f>(F27*$E27+F28*$E28+F29*$E29)%</f>
        <v>0.10118597366666668</v>
      </c>
      <c r="K27" s="867">
        <f>(G27*$E27+G28*$E28+G29*$E29)%</f>
        <v>4.0534425233333335</v>
      </c>
      <c r="L27" s="867">
        <f t="shared" ref="L27:M27" si="10">(H27*$E27+H28*$E28+H29*$E29)%</f>
        <v>1.2624731963333335</v>
      </c>
      <c r="M27" s="870">
        <f t="shared" si="10"/>
        <v>177.31295516666665</v>
      </c>
    </row>
    <row r="28" spans="1:13" s="292" customFormat="1" ht="26.4" x14ac:dyDescent="0.25">
      <c r="A28" s="891"/>
      <c r="B28" s="184" t="s">
        <v>304</v>
      </c>
      <c r="C28" s="185"/>
      <c r="D28" s="204"/>
      <c r="E28" s="423">
        <f t="shared" si="8"/>
        <v>33.333333333333336</v>
      </c>
      <c r="F28" s="207">
        <v>0.13574873100000001</v>
      </c>
      <c r="G28" s="650">
        <v>4.1017831530000004</v>
      </c>
      <c r="H28" s="187">
        <v>1.6960848310000001</v>
      </c>
      <c r="I28" s="194">
        <v>229.70443599999999</v>
      </c>
      <c r="J28" s="865"/>
      <c r="K28" s="868"/>
      <c r="L28" s="868"/>
      <c r="M28" s="871"/>
    </row>
    <row r="29" spans="1:13" s="292" customFormat="1" ht="27" thickBot="1" x14ac:dyDescent="0.3">
      <c r="A29" s="892"/>
      <c r="B29" s="188" t="s">
        <v>305</v>
      </c>
      <c r="C29" s="189"/>
      <c r="D29" s="205"/>
      <c r="E29" s="424">
        <f t="shared" si="8"/>
        <v>33.333333333333336</v>
      </c>
      <c r="F29" s="208">
        <v>8.6017497999999998E-2</v>
      </c>
      <c r="G29" s="651">
        <v>4.029425635</v>
      </c>
      <c r="H29" s="191">
        <v>1.0596374200000001</v>
      </c>
      <c r="I29" s="195">
        <v>150.22124539999999</v>
      </c>
      <c r="J29" s="866"/>
      <c r="K29" s="869"/>
      <c r="L29" s="869"/>
      <c r="M29" s="872"/>
    </row>
    <row r="30" spans="1:13" ht="13.8" thickTop="1" x14ac:dyDescent="0.25">
      <c r="A30" s="636"/>
      <c r="B30" s="636"/>
      <c r="C30" s="636">
        <f>SUM(C2:C27)</f>
        <v>0.99999999999999956</v>
      </c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5">
      <c r="A31" s="1" t="s">
        <v>58</v>
      </c>
      <c r="B31" s="1">
        <v>1</v>
      </c>
      <c r="C31" s="1">
        <v>2</v>
      </c>
      <c r="D31" s="638">
        <v>3</v>
      </c>
      <c r="E31" s="638">
        <v>4</v>
      </c>
      <c r="F31" s="638">
        <v>5</v>
      </c>
      <c r="G31" s="638">
        <v>6</v>
      </c>
      <c r="H31" s="636"/>
      <c r="I31" s="636"/>
      <c r="J31" s="636"/>
      <c r="K31" s="636"/>
      <c r="L31" s="636"/>
      <c r="M31" s="636"/>
    </row>
    <row r="32" spans="1:13" x14ac:dyDescent="0.25">
      <c r="A32" s="1" t="s">
        <v>59</v>
      </c>
      <c r="B32" s="402" t="s">
        <v>60</v>
      </c>
      <c r="C32" s="1"/>
      <c r="D32" s="638"/>
      <c r="E32" s="638"/>
      <c r="F32" s="638"/>
      <c r="G32" s="638"/>
      <c r="H32" s="636"/>
      <c r="I32" s="636"/>
      <c r="J32" s="636"/>
      <c r="K32" s="636"/>
      <c r="L32" s="636"/>
      <c r="M32" s="636"/>
    </row>
    <row r="33" spans="1:7" x14ac:dyDescent="0.25">
      <c r="A33" s="91" t="s">
        <v>60</v>
      </c>
      <c r="B33" s="68" t="s">
        <v>175</v>
      </c>
      <c r="C33" s="1"/>
      <c r="D33" s="22">
        <v>2.0395634643351501</v>
      </c>
      <c r="E33" s="22">
        <v>0.22238462025122496</v>
      </c>
      <c r="F33" s="22">
        <v>19.099188159688769</v>
      </c>
      <c r="G33" s="22">
        <v>1486.7509009157554</v>
      </c>
    </row>
    <row r="34" spans="1:7" x14ac:dyDescent="0.25">
      <c r="A34" s="91" t="s">
        <v>61</v>
      </c>
      <c r="B34" s="636" t="s">
        <v>292</v>
      </c>
      <c r="C34" s="636"/>
      <c r="D34" s="405">
        <v>0.52082265511755854</v>
      </c>
      <c r="E34" s="405">
        <v>6.3841612962181873E-3</v>
      </c>
      <c r="F34" s="405">
        <v>9.3830878059842941</v>
      </c>
      <c r="G34" s="405">
        <v>347.98467394828947</v>
      </c>
    </row>
    <row r="35" spans="1:7" x14ac:dyDescent="0.25">
      <c r="A35" s="91" t="s">
        <v>62</v>
      </c>
      <c r="B35" s="1" t="s">
        <v>306</v>
      </c>
      <c r="C35" s="636"/>
      <c r="D35" s="22">
        <f>AVERAGE(F8:F10)</f>
        <v>0.994180635436685</v>
      </c>
      <c r="E35" s="22">
        <f t="shared" ref="E35:G35" si="11">AVERAGE(G8:G10)</f>
        <v>6.862385889014655E-2</v>
      </c>
      <c r="F35" s="22">
        <f t="shared" si="11"/>
        <v>13.413458379944013</v>
      </c>
      <c r="G35" s="22">
        <f t="shared" si="11"/>
        <v>874.33651398020481</v>
      </c>
    </row>
    <row r="36" spans="1:7" x14ac:dyDescent="0.25">
      <c r="A36" s="91"/>
      <c r="B36" s="636"/>
      <c r="C36" s="636"/>
      <c r="D36" s="636"/>
      <c r="E36" s="636"/>
      <c r="F36" s="636"/>
      <c r="G36" s="636"/>
    </row>
    <row r="37" spans="1:7" x14ac:dyDescent="0.25">
      <c r="A37" s="91"/>
      <c r="B37" s="636"/>
      <c r="C37" s="636"/>
      <c r="D37" s="636"/>
      <c r="E37" s="636"/>
      <c r="F37" s="636"/>
      <c r="G37" s="636"/>
    </row>
    <row r="38" spans="1:7" x14ac:dyDescent="0.25">
      <c r="A38" s="91"/>
      <c r="B38" s="636"/>
      <c r="C38" s="636"/>
      <c r="D38" s="636"/>
      <c r="E38" s="636"/>
      <c r="F38" s="636"/>
      <c r="G38" s="636"/>
    </row>
  </sheetData>
  <mergeCells count="20">
    <mergeCell ref="J27:J29"/>
    <mergeCell ref="K27:K29"/>
    <mergeCell ref="L27:L29"/>
    <mergeCell ref="M27:M29"/>
    <mergeCell ref="J18:J19"/>
    <mergeCell ref="K18:K19"/>
    <mergeCell ref="L18:L19"/>
    <mergeCell ref="M18:M19"/>
    <mergeCell ref="J1:M1"/>
    <mergeCell ref="J24:J26"/>
    <mergeCell ref="K24:K26"/>
    <mergeCell ref="L24:L26"/>
    <mergeCell ref="M24:M26"/>
    <mergeCell ref="A24:A26"/>
    <mergeCell ref="A27:A29"/>
    <mergeCell ref="F1:I1"/>
    <mergeCell ref="A1:A4"/>
    <mergeCell ref="B1:D4"/>
    <mergeCell ref="E1:E4"/>
    <mergeCell ref="A18:A1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6"/>
  <sheetViews>
    <sheetView zoomScale="85" zoomScaleNormal="85" workbookViewId="0">
      <selection sqref="A1:A4"/>
    </sheetView>
  </sheetViews>
  <sheetFormatPr defaultColWidth="11.44140625" defaultRowHeight="13.2" x14ac:dyDescent="0.25"/>
  <cols>
    <col min="1" max="1" width="25.6640625" style="88" customWidth="1"/>
    <col min="2" max="2" width="109.5546875" style="88" customWidth="1"/>
    <col min="3" max="16384" width="11.44140625" style="88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92" t="s">
        <v>16</v>
      </c>
      <c r="B5" s="93" t="s">
        <v>307</v>
      </c>
      <c r="C5" s="93">
        <v>5.75664494852582E-2</v>
      </c>
      <c r="D5" s="93" t="s">
        <v>204</v>
      </c>
      <c r="E5" s="94">
        <v>100</v>
      </c>
      <c r="F5" s="153">
        <f>VLOOKUP($B5,Pologne,2,FALSE)</f>
        <v>4.8716600034749973E-2</v>
      </c>
      <c r="G5" s="153">
        <f>VLOOKUP($B5,Pologne,3,FALSE)</f>
        <v>16.805337597840772</v>
      </c>
      <c r="H5" s="153">
        <f>VLOOKUP($B5,Pologne,4,FALSE)</f>
        <v>0.57377959163548864</v>
      </c>
      <c r="I5" s="154">
        <f>VLOOKUP($B5,Pologne,5,FALSE)</f>
        <v>358.56083245356848</v>
      </c>
      <c r="J5" s="136">
        <f>F5*$E5%</f>
        <v>4.8716600034749973E-2</v>
      </c>
      <c r="K5" s="136">
        <f t="shared" ref="K5:M5" si="1">G5*$E5%</f>
        <v>16.805337597840772</v>
      </c>
      <c r="L5" s="136">
        <f t="shared" si="1"/>
        <v>0.57377959163548864</v>
      </c>
      <c r="M5" s="233">
        <f t="shared" si="1"/>
        <v>358.56083245356848</v>
      </c>
    </row>
    <row r="6" spans="1:13" x14ac:dyDescent="0.25">
      <c r="A6" s="98" t="s">
        <v>19</v>
      </c>
      <c r="B6" s="99" t="s">
        <v>308</v>
      </c>
      <c r="C6" s="99">
        <v>0.35431456526021599</v>
      </c>
      <c r="D6" s="99" t="s">
        <v>204</v>
      </c>
      <c r="E6" s="100">
        <v>100</v>
      </c>
      <c r="F6" s="155">
        <f>VLOOKUP($B6,Pologne,2,FALSE)</f>
        <v>1.1544811395180163</v>
      </c>
      <c r="G6" s="155">
        <f>VLOOKUP($B6,Pologne,3,FALSE)</f>
        <v>4.6842365756915125E-2</v>
      </c>
      <c r="H6" s="155">
        <f>VLOOKUP($B6,Pologne,4,FALSE)</f>
        <v>13.027857364313594</v>
      </c>
      <c r="I6" s="147">
        <f>VLOOKUP($B6,Pologne,5,FALSE)</f>
        <v>882.94612372047868</v>
      </c>
      <c r="J6" s="135">
        <f>F6*$E6%</f>
        <v>1.1544811395180163</v>
      </c>
      <c r="K6" s="135">
        <f t="shared" ref="K6:M6" si="2">G6*$E6%</f>
        <v>4.6842365756915125E-2</v>
      </c>
      <c r="L6" s="135">
        <f t="shared" si="2"/>
        <v>13.027857364313594</v>
      </c>
      <c r="M6" s="247">
        <f t="shared" si="2"/>
        <v>882.94612372047868</v>
      </c>
    </row>
    <row r="7" spans="1:13" x14ac:dyDescent="0.25">
      <c r="A7" s="101" t="s">
        <v>21</v>
      </c>
      <c r="B7" s="171" t="s">
        <v>309</v>
      </c>
      <c r="C7" s="171"/>
      <c r="D7" s="171"/>
      <c r="E7" s="172">
        <v>100</v>
      </c>
      <c r="F7" s="173">
        <v>1.4205124490000001</v>
      </c>
      <c r="G7" s="173">
        <v>0.33915440899999999</v>
      </c>
      <c r="H7" s="173">
        <v>27.78470445</v>
      </c>
      <c r="I7" s="174">
        <v>2778.0369390000001</v>
      </c>
      <c r="J7" s="173">
        <f>F7*$E$7%</f>
        <v>1.4205124490000001</v>
      </c>
      <c r="K7" s="173">
        <f>G7*$E$7%</f>
        <v>0.33915440899999999</v>
      </c>
      <c r="L7" s="173">
        <f>H7*$E$7%</f>
        <v>27.78470445</v>
      </c>
      <c r="M7" s="174">
        <f>I7*$E$7%</f>
        <v>2778.0369390000001</v>
      </c>
    </row>
    <row r="8" spans="1:13" x14ac:dyDescent="0.25">
      <c r="A8" s="129" t="s">
        <v>22</v>
      </c>
      <c r="B8" s="105" t="s">
        <v>310</v>
      </c>
      <c r="C8" s="105">
        <v>1.9305554542204499E-2</v>
      </c>
      <c r="D8" s="105" t="s">
        <v>204</v>
      </c>
      <c r="E8" s="117">
        <f>C8/(C8+C9)%</f>
        <v>75.02126453076275</v>
      </c>
      <c r="F8" s="156">
        <f>VLOOKUP($B8,Pologne,2,FALSE)</f>
        <v>0.49199241998720195</v>
      </c>
      <c r="G8" s="156">
        <f>VLOOKUP($B8,Pologne,3,FALSE)</f>
        <v>8.8022662892050171E-3</v>
      </c>
      <c r="H8" s="156">
        <f>VLOOKUP($B8,Pologne,4,FALSE)</f>
        <v>9.1602277090318847</v>
      </c>
      <c r="I8" s="151">
        <f>VLOOKUP($B8,Pologne,5,FALSE)</f>
        <v>306.76853259495965</v>
      </c>
      <c r="J8" s="882">
        <f>F8*$E8%+F9*$E9%</f>
        <v>0.54211080808766277</v>
      </c>
      <c r="K8" s="848">
        <f t="shared" ref="K8:L8" si="3">G8*$E8%+G9*$E9%</f>
        <v>1.0029904606134666E-2</v>
      </c>
      <c r="L8" s="848">
        <f t="shared" si="3"/>
        <v>10.089012835987763</v>
      </c>
      <c r="M8" s="851">
        <f>I8*$E8%+I9*$E9%</f>
        <v>340.21348680708672</v>
      </c>
    </row>
    <row r="9" spans="1:13" x14ac:dyDescent="0.25">
      <c r="A9" s="130"/>
      <c r="B9" s="108" t="s">
        <v>311</v>
      </c>
      <c r="C9" s="108">
        <v>6.4278887194565799E-3</v>
      </c>
      <c r="D9" s="108" t="s">
        <v>204</v>
      </c>
      <c r="E9" s="118">
        <f>C9/(C9+C8)%</f>
        <v>24.978735469237254</v>
      </c>
      <c r="F9" s="158">
        <f>VLOOKUP($B9,Pologne,2,FALSE)</f>
        <v>0.69263663659370089</v>
      </c>
      <c r="G9" s="158">
        <f>VLOOKUP($B9,Pologne,3,FALSE)</f>
        <v>1.3716999937117478E-2</v>
      </c>
      <c r="H9" s="158">
        <f>VLOOKUP($B9,Pologne,4,FALSE)</f>
        <v>12.878530935789417</v>
      </c>
      <c r="I9" s="152">
        <f>VLOOKUP($B9,Pologne,5,FALSE)</f>
        <v>440.66223691524624</v>
      </c>
      <c r="J9" s="883"/>
      <c r="K9" s="849"/>
      <c r="L9" s="849"/>
      <c r="M9" s="851"/>
    </row>
    <row r="10" spans="1:13" x14ac:dyDescent="0.25">
      <c r="A10" s="98" t="s">
        <v>27</v>
      </c>
      <c r="B10" s="99" t="s">
        <v>312</v>
      </c>
      <c r="C10" s="99">
        <v>0.48411268139998098</v>
      </c>
      <c r="D10" s="99" t="s">
        <v>204</v>
      </c>
      <c r="E10" s="100">
        <v>100</v>
      </c>
      <c r="F10" s="155">
        <f>VLOOKUP($B10,Pologne,2,FALSE)</f>
        <v>1.1688068836405345</v>
      </c>
      <c r="G10" s="155">
        <f>VLOOKUP($B10,Pologne,3,FALSE)</f>
        <v>0.18389655412152248</v>
      </c>
      <c r="H10" s="155">
        <f>VLOOKUP($B10,Pologne,4,FALSE)</f>
        <v>13.522053676115394</v>
      </c>
      <c r="I10" s="147">
        <f>VLOOKUP($B10,Pologne,5,FALSE)</f>
        <v>891.54076687049042</v>
      </c>
      <c r="J10" s="135">
        <f>F10*$E10%</f>
        <v>1.1688068836405345</v>
      </c>
      <c r="K10" s="135">
        <f t="shared" ref="K10:M11" si="4">G10*$E10%</f>
        <v>0.18389655412152248</v>
      </c>
      <c r="L10" s="135">
        <f t="shared" si="4"/>
        <v>13.522053676115394</v>
      </c>
      <c r="M10" s="247">
        <f t="shared" si="4"/>
        <v>891.54076687049042</v>
      </c>
    </row>
    <row r="11" spans="1:13" x14ac:dyDescent="0.25">
      <c r="A11" s="98" t="s">
        <v>30</v>
      </c>
      <c r="B11" s="99" t="s">
        <v>313</v>
      </c>
      <c r="C11" s="99">
        <v>3.0643737368578499E-3</v>
      </c>
      <c r="D11" s="99" t="s">
        <v>204</v>
      </c>
      <c r="E11" s="100">
        <v>100</v>
      </c>
      <c r="F11" s="155">
        <f>VLOOKUP($B11,Pologne,2,FALSE)</f>
        <v>0.87964775533526807</v>
      </c>
      <c r="G11" s="155">
        <f>VLOOKUP($B11,Pologne,3,FALSE)</f>
        <v>4.5236228887499785E-2</v>
      </c>
      <c r="H11" s="155">
        <f>VLOOKUP($B11,Pologne,4,FALSE)</f>
        <v>13.101098329175448</v>
      </c>
      <c r="I11" s="147">
        <f>VLOOKUP($B11,Pologne,5,FALSE)</f>
        <v>812.24377001608309</v>
      </c>
      <c r="J11" s="135">
        <f>F11*$E11%</f>
        <v>0.87964775533526807</v>
      </c>
      <c r="K11" s="135">
        <f t="shared" si="4"/>
        <v>4.5236228887499785E-2</v>
      </c>
      <c r="L11" s="135">
        <f t="shared" si="4"/>
        <v>13.101098329175448</v>
      </c>
      <c r="M11" s="247">
        <f t="shared" si="4"/>
        <v>812.24377001608309</v>
      </c>
    </row>
    <row r="12" spans="1:13" x14ac:dyDescent="0.25">
      <c r="A12" s="95" t="s">
        <v>33</v>
      </c>
      <c r="B12" s="125"/>
      <c r="C12" s="125"/>
      <c r="D12" s="125"/>
      <c r="E12" s="126"/>
      <c r="F12" s="167"/>
      <c r="G12" s="167"/>
      <c r="H12" s="167"/>
      <c r="I12" s="168"/>
      <c r="J12" s="167"/>
      <c r="K12" s="167"/>
      <c r="L12" s="167"/>
      <c r="M12" s="168"/>
    </row>
    <row r="13" spans="1:13" x14ac:dyDescent="0.25">
      <c r="A13" s="95" t="s">
        <v>34</v>
      </c>
      <c r="B13" s="125"/>
      <c r="C13" s="125"/>
      <c r="D13" s="125"/>
      <c r="E13" s="126"/>
      <c r="F13" s="167"/>
      <c r="G13" s="167"/>
      <c r="H13" s="167"/>
      <c r="I13" s="168"/>
      <c r="J13" s="167"/>
      <c r="K13" s="167"/>
      <c r="L13" s="167"/>
      <c r="M13" s="168"/>
    </row>
    <row r="14" spans="1:13" x14ac:dyDescent="0.25">
      <c r="A14" s="95" t="s">
        <v>35</v>
      </c>
      <c r="B14" s="125"/>
      <c r="C14" s="125"/>
      <c r="D14" s="125"/>
      <c r="E14" s="126"/>
      <c r="F14" s="167"/>
      <c r="G14" s="167"/>
      <c r="H14" s="167"/>
      <c r="I14" s="168"/>
      <c r="J14" s="167"/>
      <c r="K14" s="167"/>
      <c r="L14" s="167"/>
      <c r="M14" s="168"/>
    </row>
    <row r="15" spans="1:13" x14ac:dyDescent="0.25">
      <c r="A15" s="98" t="s">
        <v>38</v>
      </c>
      <c r="B15" s="99" t="s">
        <v>314</v>
      </c>
      <c r="C15" s="99">
        <v>4.0201664976396998E-3</v>
      </c>
      <c r="D15" s="99" t="s">
        <v>204</v>
      </c>
      <c r="E15" s="100">
        <v>100</v>
      </c>
      <c r="F15" s="155">
        <f>VLOOKUP($B15,Pologne,2,FALSE)</f>
        <v>1.4165619438046293</v>
      </c>
      <c r="G15" s="155">
        <f>VLOOKUP($B15,Pologne,3,FALSE)</f>
        <v>1.9924170371796042</v>
      </c>
      <c r="H15" s="155">
        <f>VLOOKUP($B15,Pologne,4,FALSE)</f>
        <v>16.773831151644014</v>
      </c>
      <c r="I15" s="147">
        <f>VLOOKUP($B15,Pologne,5,FALSE)</f>
        <v>1117.6959584970243</v>
      </c>
      <c r="J15" s="135">
        <f>F15*$E15%</f>
        <v>1.4165619438046293</v>
      </c>
      <c r="K15" s="135">
        <f t="shared" ref="K15:M16" si="5">G15*$E15%</f>
        <v>1.9924170371796042</v>
      </c>
      <c r="L15" s="135">
        <f t="shared" si="5"/>
        <v>16.773831151644014</v>
      </c>
      <c r="M15" s="247">
        <f t="shared" si="5"/>
        <v>1117.6959584970243</v>
      </c>
    </row>
    <row r="16" spans="1:13" x14ac:dyDescent="0.25">
      <c r="A16" s="98" t="s">
        <v>40</v>
      </c>
      <c r="B16" s="99" t="s">
        <v>315</v>
      </c>
      <c r="C16" s="99">
        <v>1.5745044105093399E-2</v>
      </c>
      <c r="D16" s="99" t="s">
        <v>204</v>
      </c>
      <c r="E16" s="100">
        <v>100</v>
      </c>
      <c r="F16" s="155">
        <f>VLOOKUP($B16,Pologne,2,FALSE)</f>
        <v>4.3659807308283477E-3</v>
      </c>
      <c r="G16" s="155">
        <f>VLOOKUP($B16,Pologne,3,FALSE)</f>
        <v>3.7930767849294789</v>
      </c>
      <c r="H16" s="155">
        <f>VLOOKUP($B16,Pologne,4,FALSE)</f>
        <v>4.3332543136062378E-2</v>
      </c>
      <c r="I16" s="147">
        <f>VLOOKUP($B16,Pologne,5,FALSE)</f>
        <v>11.914127873995213</v>
      </c>
      <c r="J16" s="135">
        <f>F16*$E16%</f>
        <v>4.3659807308283477E-3</v>
      </c>
      <c r="K16" s="135">
        <f t="shared" si="5"/>
        <v>3.7930767849294789</v>
      </c>
      <c r="L16" s="135">
        <f t="shared" si="5"/>
        <v>4.3332543136062378E-2</v>
      </c>
      <c r="M16" s="247">
        <f t="shared" si="5"/>
        <v>11.914127873995213</v>
      </c>
    </row>
    <row r="17" spans="1:13" x14ac:dyDescent="0.25">
      <c r="A17" s="175" t="s">
        <v>42</v>
      </c>
      <c r="B17" s="176" t="str">
        <f>IF(B32=A33,B33,IF(B32=A34,B34,IF(B32=A35,B35,"")))</f>
        <v>Electricity, low voltage {CH}| electricity production, photovoltaic, 3kWp facade installation, single-Si, panel, mounted | Cut-off, U</v>
      </c>
      <c r="C17" s="176"/>
      <c r="D17" s="176"/>
      <c r="E17" s="177">
        <v>100</v>
      </c>
      <c r="F17" s="178">
        <f>VLOOKUP($B17,$B$33:$F$35,2,FALSE)</f>
        <v>0.1356</v>
      </c>
      <c r="G17" s="178">
        <f>VLOOKUP($B17,$B$33:$F$35,3,FALSE)</f>
        <v>4.122755626</v>
      </c>
      <c r="H17" s="178">
        <f>VLOOKUP($B17,$B$33:$F$35,4,FALSE)</f>
        <v>1.8555277997859998</v>
      </c>
      <c r="I17" s="179">
        <f>VLOOKUP($B17,$B$33:$F$35,5,FALSE)</f>
        <v>252.0720348641037</v>
      </c>
      <c r="J17" s="569">
        <f>F17*$E17%</f>
        <v>0.1356</v>
      </c>
      <c r="K17" s="569">
        <f t="shared" ref="K17" si="6">G17*$E17%</f>
        <v>4.122755626</v>
      </c>
      <c r="L17" s="569">
        <f t="shared" ref="L17" si="7">H17*$E17%</f>
        <v>1.8555277997859998</v>
      </c>
      <c r="M17" s="665">
        <f t="shared" ref="M17" si="8">I17*$E17%</f>
        <v>252.0720348641037</v>
      </c>
    </row>
    <row r="18" spans="1:13" x14ac:dyDescent="0.25">
      <c r="A18" s="95" t="s">
        <v>44</v>
      </c>
      <c r="B18" s="125"/>
      <c r="C18" s="125"/>
      <c r="D18" s="125"/>
      <c r="E18" s="126"/>
      <c r="F18" s="167"/>
      <c r="G18" s="167"/>
      <c r="H18" s="167"/>
      <c r="I18" s="168"/>
      <c r="J18" s="167"/>
      <c r="K18" s="167"/>
      <c r="L18" s="167"/>
      <c r="M18" s="168"/>
    </row>
    <row r="19" spans="1:13" x14ac:dyDescent="0.25">
      <c r="A19" s="95" t="s">
        <v>45</v>
      </c>
      <c r="B19" s="125"/>
      <c r="C19" s="125"/>
      <c r="D19" s="125"/>
      <c r="E19" s="126"/>
      <c r="F19" s="167"/>
      <c r="G19" s="167"/>
      <c r="H19" s="167"/>
      <c r="I19" s="168"/>
      <c r="J19" s="167"/>
      <c r="K19" s="167"/>
      <c r="L19" s="167"/>
      <c r="M19" s="168"/>
    </row>
    <row r="20" spans="1:13" x14ac:dyDescent="0.25">
      <c r="A20" s="95" t="s">
        <v>46</v>
      </c>
      <c r="B20" s="125"/>
      <c r="C20" s="125"/>
      <c r="D20" s="125"/>
      <c r="E20" s="126"/>
      <c r="F20" s="167"/>
      <c r="G20" s="167"/>
      <c r="H20" s="167"/>
      <c r="I20" s="168"/>
      <c r="J20" s="167"/>
      <c r="K20" s="167"/>
      <c r="L20" s="167"/>
      <c r="M20" s="168"/>
    </row>
    <row r="21" spans="1:13" x14ac:dyDescent="0.25">
      <c r="A21" s="95" t="s">
        <v>47</v>
      </c>
      <c r="B21" s="125"/>
      <c r="C21" s="125"/>
      <c r="D21" s="125"/>
      <c r="E21" s="126"/>
      <c r="F21" s="167"/>
      <c r="G21" s="167"/>
      <c r="H21" s="167"/>
      <c r="I21" s="168"/>
      <c r="J21" s="167"/>
      <c r="K21" s="167"/>
      <c r="L21" s="167"/>
      <c r="M21" s="168"/>
    </row>
    <row r="22" spans="1:13" x14ac:dyDescent="0.25">
      <c r="A22" s="95" t="s">
        <v>48</v>
      </c>
      <c r="B22" s="125"/>
      <c r="C22" s="125"/>
      <c r="D22" s="125"/>
      <c r="E22" s="126"/>
      <c r="F22" s="167"/>
      <c r="G22" s="167"/>
      <c r="H22" s="167"/>
      <c r="I22" s="168"/>
      <c r="J22" s="167"/>
      <c r="K22" s="167"/>
      <c r="L22" s="167"/>
      <c r="M22" s="168"/>
    </row>
    <row r="23" spans="1:13" x14ac:dyDescent="0.25">
      <c r="A23" s="95" t="s">
        <v>50</v>
      </c>
      <c r="B23" s="125"/>
      <c r="C23" s="125"/>
      <c r="D23" s="125"/>
      <c r="E23" s="126"/>
      <c r="F23" s="167"/>
      <c r="G23" s="167"/>
      <c r="H23" s="167"/>
      <c r="I23" s="168"/>
      <c r="J23" s="167"/>
      <c r="K23" s="167"/>
      <c r="L23" s="167"/>
      <c r="M23" s="168"/>
    </row>
    <row r="24" spans="1:13" x14ac:dyDescent="0.25">
      <c r="A24" s="131" t="s">
        <v>51</v>
      </c>
      <c r="B24" s="105" t="s">
        <v>316</v>
      </c>
      <c r="C24" s="105">
        <v>2.0502119525167999E-3</v>
      </c>
      <c r="D24" s="105" t="s">
        <v>204</v>
      </c>
      <c r="E24" s="119">
        <f>C24/SUM($C$24:$C$26)%</f>
        <v>3.6978549809185441</v>
      </c>
      <c r="F24" s="156">
        <f>VLOOKUP($B24,Pologne,2,FALSE)</f>
        <v>1.5390514518120247E-2</v>
      </c>
      <c r="G24" s="156">
        <f>VLOOKUP($B24,Pologne,3,FALSE)</f>
        <v>3.8859904104034046</v>
      </c>
      <c r="H24" s="156">
        <f>VLOOKUP($B24,Pologne,4,FALSE)</f>
        <v>0.19237673100628958</v>
      </c>
      <c r="I24" s="157">
        <f>VLOOKUP($B24,Pologne,5,FALSE)</f>
        <v>36.372956564924174</v>
      </c>
      <c r="J24" s="873">
        <f>(F24*$E24+F25*$E25+F26*$E26)%</f>
        <v>1.6260533475573401E-2</v>
      </c>
      <c r="K24" s="884">
        <f t="shared" ref="K24:L24" si="9">(G24*$E24+G25*$E25+G26*$E26)%</f>
        <v>3.8844407110319947</v>
      </c>
      <c r="L24" s="884">
        <f t="shared" si="9"/>
        <v>0.21949344747688926</v>
      </c>
      <c r="M24" s="887">
        <f>(I24*$E24+I25*$E25+I26*$E26)%</f>
        <v>38.439937657072399</v>
      </c>
    </row>
    <row r="25" spans="1:13" x14ac:dyDescent="0.25">
      <c r="A25" s="132"/>
      <c r="B25" s="113" t="s">
        <v>317</v>
      </c>
      <c r="C25" s="113">
        <v>5.2685339890120302E-2</v>
      </c>
      <c r="D25" s="113" t="s">
        <v>204</v>
      </c>
      <c r="E25" s="120">
        <f t="shared" ref="E25:E26" si="10">C25/SUM($C$24:$C$26)%</f>
        <v>95.025661271219903</v>
      </c>
      <c r="F25" s="162">
        <f>VLOOKUP($B25,Pologne,2,FALSE)</f>
        <v>1.6167026218048011E-2</v>
      </c>
      <c r="G25" s="162">
        <f>VLOOKUP($B25,Pologne,3,FALSE)</f>
        <v>3.8842962464789932</v>
      </c>
      <c r="H25" s="162">
        <f>VLOOKUP($B25,Pologne,4,FALSE)</f>
        <v>0.21930993149666347</v>
      </c>
      <c r="I25" s="163">
        <f>VLOOKUP($B25,Pologne,5,FALSE)</f>
        <v>37.936476530432152</v>
      </c>
      <c r="J25" s="874"/>
      <c r="K25" s="885"/>
      <c r="L25" s="885"/>
      <c r="M25" s="888"/>
    </row>
    <row r="26" spans="1:13" x14ac:dyDescent="0.25">
      <c r="A26" s="133"/>
      <c r="B26" s="108" t="s">
        <v>318</v>
      </c>
      <c r="C26" s="108">
        <v>7.0772441065526496E-4</v>
      </c>
      <c r="D26" s="108" t="s">
        <v>204</v>
      </c>
      <c r="E26" s="121">
        <f t="shared" si="10"/>
        <v>1.2764837478615605</v>
      </c>
      <c r="F26" s="158">
        <f>VLOOKUP($B26,Pologne,2,FALSE)</f>
        <v>2.5741886399647255E-2</v>
      </c>
      <c r="G26" s="158">
        <f>VLOOKUP($B26,Pologne,3,FALSE)</f>
        <v>3.8907057936490581</v>
      </c>
      <c r="H26" s="158">
        <f>VLOOKUP($B26,Pologne,4,FALSE)</f>
        <v>0.31170959408976262</v>
      </c>
      <c r="I26" s="159">
        <f>VLOOKUP($B26,Pologne,5,FALSE)</f>
        <v>81.907097269060529</v>
      </c>
      <c r="J26" s="875"/>
      <c r="K26" s="886"/>
      <c r="L26" s="886"/>
      <c r="M26" s="889"/>
    </row>
    <row r="27" spans="1:13" ht="13.8" thickBot="1" x14ac:dyDescent="0.3">
      <c r="A27" s="116" t="s">
        <v>55</v>
      </c>
      <c r="B27" s="127"/>
      <c r="C27" s="127"/>
      <c r="D27" s="127"/>
      <c r="E27" s="128"/>
      <c r="F27" s="169"/>
      <c r="G27" s="169"/>
      <c r="H27" s="169"/>
      <c r="I27" s="170"/>
      <c r="J27" s="169"/>
      <c r="K27" s="169"/>
      <c r="L27" s="169"/>
      <c r="M27" s="170"/>
    </row>
    <row r="28" spans="1:13" ht="13.8" thickTop="1" x14ac:dyDescent="0.25">
      <c r="A28" s="636"/>
      <c r="B28" s="636"/>
      <c r="C28" s="636">
        <f>SUM(C5:C27)</f>
        <v>0.99999999999999944</v>
      </c>
      <c r="D28" s="636"/>
      <c r="E28" s="636"/>
      <c r="F28" s="636"/>
      <c r="G28" s="636"/>
      <c r="H28" s="636"/>
      <c r="I28" s="636"/>
      <c r="J28" s="636"/>
      <c r="K28" s="636"/>
      <c r="L28" s="636"/>
      <c r="M28" s="636"/>
    </row>
    <row r="29" spans="1:13" x14ac:dyDescent="0.25">
      <c r="A29" s="1"/>
      <c r="B29" s="636"/>
      <c r="D29" s="636"/>
      <c r="E29" s="636"/>
      <c r="F29" s="636"/>
      <c r="G29" s="636"/>
      <c r="H29" s="636"/>
      <c r="I29" s="636"/>
      <c r="J29" s="636"/>
      <c r="K29" s="636"/>
      <c r="L29" s="636"/>
      <c r="M29" s="636"/>
    </row>
    <row r="30" spans="1:13" x14ac:dyDescent="0.25">
      <c r="A30" s="91"/>
      <c r="B30" s="636"/>
      <c r="C30" s="636"/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5">
      <c r="A31" s="1" t="s">
        <v>433</v>
      </c>
      <c r="B31" s="1"/>
      <c r="C31" s="664">
        <v>2</v>
      </c>
      <c r="D31" s="664">
        <v>3</v>
      </c>
      <c r="E31" s="664">
        <v>4</v>
      </c>
      <c r="F31" s="664">
        <v>5</v>
      </c>
      <c r="H31" s="636"/>
      <c r="I31" s="636"/>
      <c r="J31" s="636"/>
      <c r="K31" s="636"/>
      <c r="L31" s="636"/>
      <c r="M31" s="636"/>
    </row>
    <row r="32" spans="1:13" x14ac:dyDescent="0.25">
      <c r="A32" s="1" t="s">
        <v>59</v>
      </c>
      <c r="B32" s="402" t="s">
        <v>60</v>
      </c>
      <c r="C32" s="664"/>
      <c r="D32" s="664"/>
      <c r="E32" s="664"/>
      <c r="F32" s="664"/>
      <c r="H32" s="636"/>
      <c r="I32" s="636"/>
      <c r="J32" s="636"/>
      <c r="K32" s="636"/>
      <c r="L32" s="636"/>
      <c r="M32" s="636"/>
    </row>
    <row r="33" spans="1:8" x14ac:dyDescent="0.25">
      <c r="A33" s="91" t="s">
        <v>60</v>
      </c>
      <c r="B33" s="1" t="str">
        <f>CH!B31</f>
        <v>Electricity, low voltage {CH}| electricity production, photovoltaic, 3kWp facade installation, single-Si, panel, mounted | Cut-off, U</v>
      </c>
      <c r="C33" s="1">
        <f>CH!D31</f>
        <v>0.1356</v>
      </c>
      <c r="D33" s="1">
        <f>CH!E31</f>
        <v>4.122755626</v>
      </c>
      <c r="E33" s="1">
        <f>CH!F31</f>
        <v>1.8555277997859998</v>
      </c>
      <c r="F33" s="1">
        <f>CH!G31</f>
        <v>252.0720348641037</v>
      </c>
    </row>
    <row r="34" spans="1:8" x14ac:dyDescent="0.25">
      <c r="A34" s="91" t="s">
        <v>61</v>
      </c>
      <c r="B34" s="1" t="str">
        <f>B$16</f>
        <v>Electricity, high voltage {PL}| electricity production, hydro, run-of-river | Cut-off, U</v>
      </c>
      <c r="C34" s="1">
        <f>F$16</f>
        <v>4.3659807308283477E-3</v>
      </c>
      <c r="D34" s="1">
        <f>G$16</f>
        <v>3.7930767849294789</v>
      </c>
      <c r="E34" s="1">
        <f>H$16</f>
        <v>4.3332543136062378E-2</v>
      </c>
      <c r="F34" s="1">
        <f>I$16</f>
        <v>11.914127873995213</v>
      </c>
      <c r="H34" s="1"/>
    </row>
    <row r="35" spans="1:8" x14ac:dyDescent="0.25">
      <c r="A35" s="91" t="s">
        <v>62</v>
      </c>
      <c r="B35" s="1" t="s">
        <v>432</v>
      </c>
      <c r="C35" s="22">
        <f>AVERAGE(F24:F26,F16)</f>
        <v>1.5416351966660965E-2</v>
      </c>
      <c r="D35" s="22">
        <f>AVERAGE(G24:G26,G16)</f>
        <v>3.8635173088652337</v>
      </c>
      <c r="E35" s="22">
        <f>AVERAGE(H24:H26,H16)</f>
        <v>0.19168219993219451</v>
      </c>
      <c r="F35" s="22">
        <f>AVERAGE(I24:I26,I16)</f>
        <v>42.03266455960302</v>
      </c>
    </row>
    <row r="36" spans="1:8" x14ac:dyDescent="0.25">
      <c r="A36" s="91"/>
    </row>
  </sheetData>
  <mergeCells count="13">
    <mergeCell ref="J24:J26"/>
    <mergeCell ref="K24:K26"/>
    <mergeCell ref="L24:L26"/>
    <mergeCell ref="M24:M26"/>
    <mergeCell ref="J8:J9"/>
    <mergeCell ref="K8:K9"/>
    <mergeCell ref="L8:L9"/>
    <mergeCell ref="M8:M9"/>
    <mergeCell ref="A1:A4"/>
    <mergeCell ref="B1:D4"/>
    <mergeCell ref="E1:E4"/>
    <mergeCell ref="F1:I1"/>
    <mergeCell ref="J1:M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zoomScale="85" zoomScaleNormal="85" workbookViewId="0">
      <selection activeCell="A22" sqref="A22"/>
    </sheetView>
  </sheetViews>
  <sheetFormatPr defaultColWidth="11.44140625" defaultRowHeight="13.2" x14ac:dyDescent="0.25"/>
  <cols>
    <col min="1" max="1" width="30.5546875" style="88" customWidth="1"/>
    <col min="2" max="2" width="112.44140625" style="88" customWidth="1"/>
    <col min="3" max="5" width="11.44140625" style="88"/>
    <col min="6" max="6" width="13" style="88" customWidth="1"/>
    <col min="7" max="8" width="14.6640625" style="88" bestFit="1" customWidth="1"/>
    <col min="9" max="9" width="11" style="88" customWidth="1"/>
    <col min="10" max="16384" width="11.44140625" style="88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10</v>
      </c>
      <c r="G3" s="638" t="s">
        <v>11</v>
      </c>
      <c r="H3" s="638" t="s">
        <v>11</v>
      </c>
      <c r="I3" s="638" t="s">
        <v>12</v>
      </c>
      <c r="J3" s="638" t="s">
        <v>10</v>
      </c>
      <c r="K3" s="638" t="s">
        <v>11</v>
      </c>
      <c r="L3" s="638" t="s">
        <v>11</v>
      </c>
      <c r="M3" s="638" t="s">
        <v>12</v>
      </c>
    </row>
    <row r="4" spans="1:13" ht="24" customHeight="1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134" t="s">
        <v>16</v>
      </c>
      <c r="B5" s="115" t="s">
        <v>319</v>
      </c>
      <c r="C5" s="115">
        <v>6.4638256613878801E-4</v>
      </c>
      <c r="D5" s="115" t="s">
        <v>204</v>
      </c>
      <c r="E5" s="117">
        <f>C5/(C5+C6)%</f>
        <v>55.999999999999993</v>
      </c>
      <c r="F5" s="161">
        <f>VLOOKUP($B5,Bulgarie,2,FALSE)</f>
        <v>0.165854</v>
      </c>
      <c r="G5" s="161">
        <f>VLOOKUP($B5,Bulgarie,3,FALSE)</f>
        <v>6.4902000000000001E-2</v>
      </c>
      <c r="H5" s="161">
        <f>VLOOKUP($B5,Bulgarie,4,FALSE)</f>
        <v>0.49018499999999998</v>
      </c>
      <c r="I5" s="164">
        <f>VLOOKUP($B5,Bulgarie,5,FALSE)</f>
        <v>784.79459999999995</v>
      </c>
      <c r="J5" s="861">
        <f>F5*$E5%+F6*$E6%</f>
        <v>0.11390803999999999</v>
      </c>
      <c r="K5" s="862">
        <f t="shared" ref="K5:L5" si="0">G5*$E5%+G6*$E6%</f>
        <v>7.4305451200000006</v>
      </c>
      <c r="L5" s="862">
        <f t="shared" si="0"/>
        <v>0.51889587999999998</v>
      </c>
      <c r="M5" s="863">
        <f>I5*$E5%+I6*$E6%</f>
        <v>627.7723719999999</v>
      </c>
    </row>
    <row r="6" spans="1:13" x14ac:dyDescent="0.25">
      <c r="A6" s="133"/>
      <c r="B6" s="108" t="s">
        <v>320</v>
      </c>
      <c r="C6" s="108">
        <v>5.0787201625190502E-4</v>
      </c>
      <c r="D6" s="108" t="s">
        <v>204</v>
      </c>
      <c r="E6" s="118">
        <f>C6/(C6+C5)%</f>
        <v>44.000000000000007</v>
      </c>
      <c r="F6" s="158">
        <f>VLOOKUP($B6,Bulgarie,2,FALSE)</f>
        <v>4.7794999999999997E-2</v>
      </c>
      <c r="G6" s="158">
        <f>VLOOKUP($B6,Bulgarie,3,FALSE)</f>
        <v>16.805</v>
      </c>
      <c r="H6" s="158">
        <f>VLOOKUP($B6,Bulgarie,4,FALSE)</f>
        <v>0.55543699999999996</v>
      </c>
      <c r="I6" s="152">
        <f>VLOOKUP($B6,Bulgarie,5,FALSE)</f>
        <v>427.92590000000001</v>
      </c>
      <c r="J6" s="847"/>
      <c r="K6" s="849"/>
      <c r="L6" s="849"/>
      <c r="M6" s="851"/>
    </row>
    <row r="7" spans="1:13" x14ac:dyDescent="0.25">
      <c r="A7" s="131" t="s">
        <v>19</v>
      </c>
      <c r="B7" s="105" t="s">
        <v>321</v>
      </c>
      <c r="C7" s="105">
        <v>0.38081167182233699</v>
      </c>
      <c r="D7" s="105" t="s">
        <v>204</v>
      </c>
      <c r="E7" s="117">
        <f>C7/(C7+C8)%</f>
        <v>93.429995468962375</v>
      </c>
      <c r="F7" s="156">
        <f>VLOOKUP($B7,Bulgarie,2,FALSE)</f>
        <v>1.137689</v>
      </c>
      <c r="G7" s="156">
        <f>VLOOKUP($B7,Bulgarie,3,FALSE)</f>
        <v>4.6224000000000001E-2</v>
      </c>
      <c r="H7" s="156">
        <f>VLOOKUP($B7,Bulgarie,4,FALSE)</f>
        <v>12.838369999999999</v>
      </c>
      <c r="I7" s="151">
        <f>VLOOKUP($B7,Bulgarie,5,FALSE)</f>
        <v>865.17039999999997</v>
      </c>
      <c r="J7" s="882">
        <f>F7*$E7%+F8*$E8%</f>
        <v>1.144122151336656</v>
      </c>
      <c r="K7" s="848">
        <f t="shared" ref="K7:L7" si="1">G7*$E7%+G8*$E8%</f>
        <v>4.6140035342093336E-2</v>
      </c>
      <c r="L7" s="848">
        <f t="shared" si="1"/>
        <v>12.798202306298142</v>
      </c>
      <c r="M7" s="851">
        <f>I7*$E7%+I8*$E8%</f>
        <v>950.17893964657912</v>
      </c>
    </row>
    <row r="8" spans="1:13" x14ac:dyDescent="0.25">
      <c r="A8" s="133"/>
      <c r="B8" s="108" t="s">
        <v>322</v>
      </c>
      <c r="C8" s="108">
        <v>2.67787063114641E-2</v>
      </c>
      <c r="D8" s="108" t="s">
        <v>204</v>
      </c>
      <c r="E8" s="118">
        <f>C8/(C8+C7)%</f>
        <v>6.5700045310376192</v>
      </c>
      <c r="F8" s="158">
        <f>VLOOKUP($B8,Bulgarie,2,FALSE)</f>
        <v>1.235606</v>
      </c>
      <c r="G8" s="158">
        <f>VLOOKUP($B8,Bulgarie,3,FALSE)</f>
        <v>4.4946E-2</v>
      </c>
      <c r="H8" s="158">
        <f>VLOOKUP($B8,Bulgarie,4,FALSE)</f>
        <v>12.226990000000001</v>
      </c>
      <c r="I8" s="152">
        <f>VLOOKUP($B8,Bulgarie,5,FALSE)</f>
        <v>2159.0590000000002</v>
      </c>
      <c r="J8" s="883"/>
      <c r="K8" s="849"/>
      <c r="L8" s="849"/>
      <c r="M8" s="851"/>
    </row>
    <row r="9" spans="1:13" x14ac:dyDescent="0.25">
      <c r="A9" s="95" t="s">
        <v>21</v>
      </c>
      <c r="B9" s="125"/>
      <c r="C9" s="125"/>
      <c r="D9" s="125"/>
      <c r="E9" s="126"/>
      <c r="F9" s="167" t="s">
        <v>240</v>
      </c>
      <c r="G9" s="167" t="s">
        <v>240</v>
      </c>
      <c r="H9" s="167" t="s">
        <v>240</v>
      </c>
      <c r="I9" s="168"/>
      <c r="J9" s="167"/>
      <c r="K9" s="167"/>
      <c r="L9" s="167"/>
      <c r="M9" s="168"/>
    </row>
    <row r="10" spans="1:13" x14ac:dyDescent="0.25">
      <c r="A10" s="131" t="s">
        <v>22</v>
      </c>
      <c r="B10" s="105" t="s">
        <v>323</v>
      </c>
      <c r="C10" s="105">
        <v>1.3851054988688299E-4</v>
      </c>
      <c r="D10" s="105" t="s">
        <v>204</v>
      </c>
      <c r="E10" s="119">
        <f>C10/SUM($C$10:$C$12)%</f>
        <v>0.31430068098480846</v>
      </c>
      <c r="F10" s="156">
        <f t="shared" ref="F10:F16" si="2">VLOOKUP($B10,Bulgarie,2,FALSE)</f>
        <v>0.74538000000000004</v>
      </c>
      <c r="G10" s="156">
        <f t="shared" ref="G10:G16" si="3">VLOOKUP($B10,Bulgarie,3,FALSE)</f>
        <v>1.1435000000000001E-2</v>
      </c>
      <c r="H10" s="156">
        <f t="shared" ref="H10:H16" si="4">VLOOKUP($B10,Bulgarie,4,FALSE)</f>
        <v>13.338089999999999</v>
      </c>
      <c r="I10" s="157">
        <f t="shared" ref="I10:I16" si="5">VLOOKUP($B10,Bulgarie,5,FALSE)</f>
        <v>467.1026</v>
      </c>
      <c r="J10" s="873">
        <f>(F10*$E10+F11*$E11+F12*$E12)%</f>
        <v>0.94642847878470393</v>
      </c>
      <c r="K10" s="884">
        <f t="shared" ref="K10" si="6">(G10*$E10+G11*$E11+G12*$E12)%</f>
        <v>1.8664118910424306E-2</v>
      </c>
      <c r="L10" s="884">
        <f t="shared" ref="L10" si="7">(H10*$E10+H11*$E11+H12*$E12)%</f>
        <v>17.596654882137244</v>
      </c>
      <c r="M10" s="887">
        <f>(I10*$E10+I11*$E11+I12*$E12)%</f>
        <v>600.88104206390778</v>
      </c>
    </row>
    <row r="11" spans="1:13" x14ac:dyDescent="0.25">
      <c r="A11" s="132"/>
      <c r="B11" s="113" t="s">
        <v>324</v>
      </c>
      <c r="C11" s="113">
        <v>4.1322314049586799E-2</v>
      </c>
      <c r="D11" s="113" t="s">
        <v>204</v>
      </c>
      <c r="E11" s="120">
        <f t="shared" ref="E11:E12" si="8">C11/SUM($C$10:$C$12)%</f>
        <v>93.766369827134611</v>
      </c>
      <c r="F11" s="162">
        <f>VLOOKUP($B11,Bulgarie,2,FALSE)</f>
        <v>0.96880699999999997</v>
      </c>
      <c r="G11" s="162">
        <f t="shared" si="3"/>
        <v>1.9186000000000002E-2</v>
      </c>
      <c r="H11" s="162">
        <f t="shared" si="4"/>
        <v>18.013490000000001</v>
      </c>
      <c r="I11" s="163">
        <f t="shared" si="5"/>
        <v>615.57169999999996</v>
      </c>
      <c r="J11" s="874"/>
      <c r="K11" s="885"/>
      <c r="L11" s="885"/>
      <c r="M11" s="888"/>
    </row>
    <row r="12" spans="1:13" x14ac:dyDescent="0.25">
      <c r="A12" s="133"/>
      <c r="B12" s="108" t="s">
        <v>325</v>
      </c>
      <c r="C12" s="108">
        <v>2.6086153562029698E-3</v>
      </c>
      <c r="D12" s="108" t="s">
        <v>204</v>
      </c>
      <c r="E12" s="121">
        <f t="shared" si="8"/>
        <v>5.9193294918805748</v>
      </c>
      <c r="F12" s="158">
        <f>VLOOKUP($B12,Bulgarie,2,FALSE)</f>
        <v>0.60261200000000004</v>
      </c>
      <c r="G12" s="158">
        <f t="shared" si="3"/>
        <v>1.0781000000000001E-2</v>
      </c>
      <c r="H12" s="158">
        <f t="shared" si="4"/>
        <v>11.219810000000001</v>
      </c>
      <c r="I12" s="159">
        <f t="shared" si="5"/>
        <v>375.27390000000003</v>
      </c>
      <c r="J12" s="875"/>
      <c r="K12" s="886"/>
      <c r="L12" s="886"/>
      <c r="M12" s="889"/>
    </row>
    <row r="13" spans="1:13" x14ac:dyDescent="0.25">
      <c r="A13" s="131" t="s">
        <v>27</v>
      </c>
      <c r="B13" s="105" t="s">
        <v>175</v>
      </c>
      <c r="C13" s="105">
        <v>2.0799667574680301E-2</v>
      </c>
      <c r="D13" s="105" t="s">
        <v>204</v>
      </c>
      <c r="E13" s="117">
        <f>C13/(C13+C14)%</f>
        <v>41.770978210477537</v>
      </c>
      <c r="F13" s="156">
        <f t="shared" si="2"/>
        <v>2.0395629999999998</v>
      </c>
      <c r="G13" s="156">
        <f t="shared" si="3"/>
        <v>0.222385</v>
      </c>
      <c r="H13" s="156">
        <f t="shared" si="4"/>
        <v>19.09919</v>
      </c>
      <c r="I13" s="151">
        <f t="shared" si="5"/>
        <v>1486.056</v>
      </c>
      <c r="J13" s="882">
        <f>F13*$E13%+F14*$E14%</f>
        <v>1.5852898687992583</v>
      </c>
      <c r="K13" s="848">
        <f t="shared" ref="K13" si="9">G13*$E13%+G14*$E14%</f>
        <v>0.17303648632359758</v>
      </c>
      <c r="L13" s="848">
        <f t="shared" ref="L13" si="10">H13*$E13%+H14*$E14%</f>
        <v>14.844733106165972</v>
      </c>
      <c r="M13" s="851">
        <f>I13*$E13%+I14*$E14%</f>
        <v>1218.3690347705146</v>
      </c>
    </row>
    <row r="14" spans="1:13" x14ac:dyDescent="0.25">
      <c r="A14" s="133"/>
      <c r="B14" s="108" t="s">
        <v>326</v>
      </c>
      <c r="C14" s="108">
        <v>2.8994875109654199E-2</v>
      </c>
      <c r="D14" s="108" t="s">
        <v>204</v>
      </c>
      <c r="E14" s="118">
        <f>C14/(C14+C13)%</f>
        <v>58.229021789522456</v>
      </c>
      <c r="F14" s="158">
        <f t="shared" si="2"/>
        <v>1.259414</v>
      </c>
      <c r="G14" s="158">
        <f t="shared" si="3"/>
        <v>0.13763600000000001</v>
      </c>
      <c r="H14" s="158">
        <f t="shared" si="4"/>
        <v>11.792770000000001</v>
      </c>
      <c r="I14" s="152">
        <f t="shared" si="5"/>
        <v>1026.3420000000001</v>
      </c>
      <c r="J14" s="883"/>
      <c r="K14" s="849"/>
      <c r="L14" s="849"/>
      <c r="M14" s="851"/>
    </row>
    <row r="15" spans="1:13" x14ac:dyDescent="0.25">
      <c r="A15" s="131" t="s">
        <v>30</v>
      </c>
      <c r="B15" s="105" t="s">
        <v>327</v>
      </c>
      <c r="C15" s="105">
        <v>3.6936146636502198E-4</v>
      </c>
      <c r="D15" s="105" t="s">
        <v>204</v>
      </c>
      <c r="E15" s="117">
        <f>C15/(C15+C16)%</f>
        <v>8.1632653061224616</v>
      </c>
      <c r="F15" s="156">
        <f t="shared" si="2"/>
        <v>1.6658809999999999</v>
      </c>
      <c r="G15" s="156">
        <f t="shared" si="3"/>
        <v>8.5690000000000002E-2</v>
      </c>
      <c r="H15" s="156">
        <f t="shared" si="4"/>
        <v>24.811050000000002</v>
      </c>
      <c r="I15" s="151">
        <f t="shared" si="5"/>
        <v>2598.4670000000001</v>
      </c>
      <c r="J15" s="882">
        <f>F15*$E15%+F16*$E16%</f>
        <v>1.0202935510204083</v>
      </c>
      <c r="K15" s="848">
        <f t="shared" ref="K15" si="11">G15*$E15%+G16*$E16%</f>
        <v>5.2481836734693886E-2</v>
      </c>
      <c r="L15" s="848">
        <f t="shared" ref="L15" si="12">H15*$E15%+H16*$E16%</f>
        <v>15.195900000000002</v>
      </c>
      <c r="M15" s="851">
        <f>I15*$E15%+I16*$E16%</f>
        <v>1642.9140408163269</v>
      </c>
    </row>
    <row r="16" spans="1:13" x14ac:dyDescent="0.25">
      <c r="A16" s="133"/>
      <c r="B16" s="108" t="s">
        <v>328</v>
      </c>
      <c r="C16" s="108">
        <v>4.1553164966064903E-3</v>
      </c>
      <c r="D16" s="108" t="s">
        <v>204</v>
      </c>
      <c r="E16" s="118">
        <f>C16/(C16+C15)%</f>
        <v>91.836734693877546</v>
      </c>
      <c r="F16" s="158">
        <f t="shared" si="2"/>
        <v>0.96290799999999999</v>
      </c>
      <c r="G16" s="158">
        <f t="shared" si="3"/>
        <v>4.9529999999999998E-2</v>
      </c>
      <c r="H16" s="158">
        <f t="shared" si="4"/>
        <v>14.34122</v>
      </c>
      <c r="I16" s="152">
        <f t="shared" si="5"/>
        <v>1557.9760000000001</v>
      </c>
      <c r="J16" s="883"/>
      <c r="K16" s="849"/>
      <c r="L16" s="849"/>
      <c r="M16" s="851"/>
    </row>
    <row r="17" spans="1:13" x14ac:dyDescent="0.25">
      <c r="A17" s="95" t="s">
        <v>33</v>
      </c>
      <c r="B17" s="125"/>
      <c r="C17" s="125"/>
      <c r="D17" s="125"/>
      <c r="E17" s="126"/>
      <c r="F17" s="167"/>
      <c r="G17" s="167"/>
      <c r="H17" s="167"/>
      <c r="I17" s="168"/>
      <c r="J17" s="167"/>
      <c r="K17" s="167"/>
      <c r="L17" s="167"/>
      <c r="M17" s="168"/>
    </row>
    <row r="18" spans="1:13" x14ac:dyDescent="0.25">
      <c r="A18" s="95" t="s">
        <v>34</v>
      </c>
      <c r="B18" s="125"/>
      <c r="C18" s="125"/>
      <c r="D18" s="125"/>
      <c r="E18" s="126"/>
      <c r="F18" s="167" t="s">
        <v>240</v>
      </c>
      <c r="G18" s="167" t="s">
        <v>240</v>
      </c>
      <c r="H18" s="167" t="s">
        <v>240</v>
      </c>
      <c r="I18" s="168"/>
      <c r="J18" s="167"/>
      <c r="K18" s="167"/>
      <c r="L18" s="167"/>
      <c r="M18" s="168"/>
    </row>
    <row r="19" spans="1:13" x14ac:dyDescent="0.25">
      <c r="A19" s="95" t="s">
        <v>35</v>
      </c>
      <c r="B19" s="125"/>
      <c r="C19" s="125"/>
      <c r="D19" s="125"/>
      <c r="E19" s="126"/>
      <c r="F19" s="167"/>
      <c r="G19" s="167"/>
      <c r="H19" s="167"/>
      <c r="I19" s="168"/>
      <c r="J19" s="167"/>
      <c r="K19" s="167"/>
      <c r="L19" s="167"/>
      <c r="M19" s="168"/>
    </row>
    <row r="20" spans="1:13" x14ac:dyDescent="0.25">
      <c r="A20" s="98" t="s">
        <v>38</v>
      </c>
      <c r="B20" s="99" t="s">
        <v>329</v>
      </c>
      <c r="C20" s="99">
        <v>1.28814811394801E-2</v>
      </c>
      <c r="D20" s="99" t="s">
        <v>204</v>
      </c>
      <c r="E20" s="100">
        <v>100</v>
      </c>
      <c r="F20" s="155">
        <f>VLOOKUP($B20,Bulgarie,2,FALSE)</f>
        <v>0.90037900000000004</v>
      </c>
      <c r="G20" s="155">
        <f>VLOOKUP($B20,Bulgarie,3,FALSE)</f>
        <v>1.027849</v>
      </c>
      <c r="H20" s="155">
        <f>VLOOKUP($B20,Bulgarie,4,FALSE)</f>
        <v>17.148209999999999</v>
      </c>
      <c r="I20" s="147">
        <f>VLOOKUP($B20,Bulgarie,5,FALSE)</f>
        <v>961.88689999999997</v>
      </c>
      <c r="J20" s="407">
        <f>F20*$E20%</f>
        <v>0.90037900000000004</v>
      </c>
      <c r="K20" s="407">
        <f t="shared" ref="K20:M21" si="13">G20*$E20%</f>
        <v>1.027849</v>
      </c>
      <c r="L20" s="407">
        <f t="shared" si="13"/>
        <v>17.148209999999999</v>
      </c>
      <c r="M20" s="408">
        <f t="shared" si="13"/>
        <v>961.88689999999997</v>
      </c>
    </row>
    <row r="21" spans="1:13" x14ac:dyDescent="0.25">
      <c r="A21" s="98" t="s">
        <v>40</v>
      </c>
      <c r="B21" s="99" t="s">
        <v>330</v>
      </c>
      <c r="C21" s="99">
        <v>0.10524493282238299</v>
      </c>
      <c r="D21" s="99" t="s">
        <v>204</v>
      </c>
      <c r="E21" s="100">
        <v>100</v>
      </c>
      <c r="F21" s="155">
        <f>VLOOKUP($B21,Bulgarie,2,FALSE)</f>
        <v>4.3660000000000001E-3</v>
      </c>
      <c r="G21" s="155">
        <f>VLOOKUP($B21,Bulgarie,3,FALSE)</f>
        <v>3.7930769999999998</v>
      </c>
      <c r="H21" s="155">
        <f>VLOOKUP($B21,Bulgarie,4,FALSE)</f>
        <v>4.3333000000000003E-2</v>
      </c>
      <c r="I21" s="147">
        <f>VLOOKUP($B21,Bulgarie,5,FALSE)</f>
        <v>11.91413</v>
      </c>
      <c r="J21" s="407">
        <f>F21*$E21%</f>
        <v>4.3660000000000001E-3</v>
      </c>
      <c r="K21" s="407">
        <f t="shared" si="13"/>
        <v>3.7930769999999998</v>
      </c>
      <c r="L21" s="407">
        <f t="shared" si="13"/>
        <v>4.3333000000000003E-2</v>
      </c>
      <c r="M21" s="408">
        <f t="shared" si="13"/>
        <v>11.91413</v>
      </c>
    </row>
    <row r="22" spans="1:13" x14ac:dyDescent="0.25">
      <c r="A22" s="175" t="s">
        <v>42</v>
      </c>
      <c r="B22" s="176" t="str">
        <f>IF(B38=A39,B39,IF(B38=A40,B40,IF(B38=A41,B41,"")))</f>
        <v>Electricity, low voltage {CH}| electricity production, photovoltaic, 3kWp slanted-roof installation, CIS, panel, mounted | Cut-off, U</v>
      </c>
      <c r="C22" s="176"/>
      <c r="D22" s="176"/>
      <c r="E22" s="177">
        <v>100</v>
      </c>
      <c r="F22" s="178">
        <f>VLOOKUP($B22,$B$39:$F$41,2,FALSE)</f>
        <v>6.7900000000000002E-2</v>
      </c>
      <c r="G22" s="178">
        <f>VLOOKUP($B22,$B$39:$F$41,3,FALSE)</f>
        <v>3.9451020589999999</v>
      </c>
      <c r="H22" s="178">
        <f>VLOOKUP($B22,$B$39:$F$41,4,FALSE)</f>
        <v>0.94507117939699992</v>
      </c>
      <c r="I22" s="179">
        <f>VLOOKUP($B22,$B$39:$F$41,5,FALSE)</f>
        <v>270.13027692643135</v>
      </c>
      <c r="J22" s="572">
        <f>F22*$E22%</f>
        <v>6.7900000000000002E-2</v>
      </c>
      <c r="K22" s="572">
        <f t="shared" ref="K22" si="14">G22*$E22%</f>
        <v>3.9451020589999999</v>
      </c>
      <c r="L22" s="572">
        <f t="shared" ref="L22" si="15">H22*$E22%</f>
        <v>0.94507117939699992</v>
      </c>
      <c r="M22" s="666">
        <f t="shared" ref="M22" si="16">I22*$E22%</f>
        <v>270.13027692643135</v>
      </c>
    </row>
    <row r="23" spans="1:13" x14ac:dyDescent="0.25">
      <c r="A23" s="95" t="s">
        <v>44</v>
      </c>
      <c r="B23" s="125"/>
      <c r="C23" s="125"/>
      <c r="D23" s="125"/>
      <c r="E23" s="126"/>
      <c r="F23" s="167"/>
      <c r="G23" s="167"/>
      <c r="H23" s="167"/>
      <c r="I23" s="168"/>
      <c r="J23" s="167"/>
      <c r="K23" s="167"/>
      <c r="L23" s="167"/>
      <c r="M23" s="168"/>
    </row>
    <row r="24" spans="1:13" x14ac:dyDescent="0.25">
      <c r="A24" s="98" t="s">
        <v>45</v>
      </c>
      <c r="B24" s="99" t="s">
        <v>331</v>
      </c>
      <c r="C24" s="99">
        <v>0.34431414192714399</v>
      </c>
      <c r="D24" s="99" t="s">
        <v>204</v>
      </c>
      <c r="E24" s="100">
        <v>100</v>
      </c>
      <c r="F24" s="155">
        <f>VLOOKUP($B24,Bulgarie,2,FALSE)</f>
        <v>1.1944E-2</v>
      </c>
      <c r="G24" s="155">
        <f>VLOOKUP($B24,Bulgarie,3,FALSE)</f>
        <v>1.9973000000000001E-2</v>
      </c>
      <c r="H24" s="155">
        <f>VLOOKUP($B24,Bulgarie,4,FALSE)</f>
        <v>13.40075</v>
      </c>
      <c r="I24" s="147">
        <f>VLOOKUP($B24,Bulgarie,5,FALSE)</f>
        <v>313.4853</v>
      </c>
      <c r="J24" s="407">
        <f>F24*$E24%</f>
        <v>1.1944E-2</v>
      </c>
      <c r="K24" s="407">
        <f t="shared" ref="K24:M24" si="17">G24*$E24%</f>
        <v>1.9973000000000001E-2</v>
      </c>
      <c r="L24" s="407">
        <f t="shared" si="17"/>
        <v>13.40075</v>
      </c>
      <c r="M24" s="408">
        <f t="shared" si="17"/>
        <v>313.4853</v>
      </c>
    </row>
    <row r="25" spans="1:13" x14ac:dyDescent="0.25">
      <c r="A25" s="95" t="s">
        <v>46</v>
      </c>
      <c r="B25" s="125"/>
      <c r="C25" s="125"/>
      <c r="D25" s="125"/>
      <c r="E25" s="126"/>
      <c r="F25" s="167"/>
      <c r="G25" s="167"/>
      <c r="H25" s="167"/>
      <c r="I25" s="168"/>
      <c r="J25" s="167"/>
      <c r="K25" s="167"/>
      <c r="L25" s="167"/>
      <c r="M25" s="168"/>
    </row>
    <row r="26" spans="1:13" x14ac:dyDescent="0.25">
      <c r="A26" s="95" t="s">
        <v>47</v>
      </c>
      <c r="B26" s="125"/>
      <c r="C26" s="125"/>
      <c r="D26" s="125"/>
      <c r="E26" s="126"/>
      <c r="F26" s="167" t="s">
        <v>240</v>
      </c>
      <c r="G26" s="167" t="s">
        <v>240</v>
      </c>
      <c r="H26" s="167" t="s">
        <v>240</v>
      </c>
      <c r="I26" s="168"/>
      <c r="J26" s="167"/>
      <c r="K26" s="167"/>
      <c r="L26" s="167"/>
      <c r="M26" s="168"/>
    </row>
    <row r="27" spans="1:13" x14ac:dyDescent="0.25">
      <c r="A27" s="122" t="s">
        <v>48</v>
      </c>
      <c r="B27" s="123" t="s">
        <v>332</v>
      </c>
      <c r="C27" s="123"/>
      <c r="D27" s="123"/>
      <c r="E27" s="124">
        <v>100</v>
      </c>
      <c r="F27" s="165">
        <v>0</v>
      </c>
      <c r="G27" s="165">
        <v>0</v>
      </c>
      <c r="H27" s="165">
        <v>0</v>
      </c>
      <c r="I27" s="166">
        <v>0</v>
      </c>
      <c r="J27" s="436">
        <f>F27*$E27%</f>
        <v>0</v>
      </c>
      <c r="K27" s="437">
        <f t="shared" ref="K27:M27" si="18">G27*$E27%</f>
        <v>0</v>
      </c>
      <c r="L27" s="437">
        <f t="shared" si="18"/>
        <v>0</v>
      </c>
      <c r="M27" s="438">
        <f t="shared" si="18"/>
        <v>0</v>
      </c>
    </row>
    <row r="28" spans="1:13" x14ac:dyDescent="0.25">
      <c r="A28" s="95" t="s">
        <v>50</v>
      </c>
      <c r="B28" s="125"/>
      <c r="C28" s="125"/>
      <c r="D28" s="125"/>
      <c r="E28" s="126"/>
      <c r="F28" s="167" t="s">
        <v>240</v>
      </c>
      <c r="G28" s="167" t="s">
        <v>240</v>
      </c>
      <c r="H28" s="167" t="s">
        <v>240</v>
      </c>
      <c r="I28" s="168"/>
      <c r="J28" s="167"/>
      <c r="K28" s="167"/>
      <c r="L28" s="167"/>
      <c r="M28" s="168"/>
    </row>
    <row r="29" spans="1:13" x14ac:dyDescent="0.25">
      <c r="A29" s="131" t="s">
        <v>51</v>
      </c>
      <c r="B29" s="105" t="s">
        <v>333</v>
      </c>
      <c r="C29" s="105">
        <v>5.0325499792234201E-3</v>
      </c>
      <c r="D29" s="105" t="s">
        <v>204</v>
      </c>
      <c r="E29" s="119">
        <f>C29/SUM($C$29:$C$31)%</f>
        <v>16.540212443095601</v>
      </c>
      <c r="F29" s="156">
        <f>VLOOKUP($B29,Bulgarie,2,FALSE)</f>
        <v>1.6390999999999999E-2</v>
      </c>
      <c r="G29" s="156">
        <f>VLOOKUP($B29,Bulgarie,3,FALSE)</f>
        <v>3.8870290000000001</v>
      </c>
      <c r="H29" s="156">
        <f>VLOOKUP($B29,Bulgarie,4,FALSE)</f>
        <v>0.204877</v>
      </c>
      <c r="I29" s="157">
        <f>VLOOKUP($B29,Bulgarie,5,FALSE)</f>
        <v>38.484969999999997</v>
      </c>
      <c r="J29" s="873">
        <f>(F29*$E29+F30*$E30+F31*$E31)%</f>
        <v>1.9224284522003036E-2</v>
      </c>
      <c r="K29" s="884">
        <f t="shared" ref="K29:L29" si="19">(G29*$E29+G30*$E30+G31*$E31)%</f>
        <v>3.8869579848254934</v>
      </c>
      <c r="L29" s="884">
        <f t="shared" si="19"/>
        <v>0.24949766084977243</v>
      </c>
      <c r="M29" s="887">
        <f>(I29*$E29+I30*$E30+I31*$E31)%</f>
        <v>49.716330091047048</v>
      </c>
    </row>
    <row r="30" spans="1:13" x14ac:dyDescent="0.25">
      <c r="A30" s="132"/>
      <c r="B30" s="113" t="s">
        <v>334</v>
      </c>
      <c r="C30" s="113">
        <v>1.8999030426150799E-2</v>
      </c>
      <c r="D30" s="113" t="s">
        <v>204</v>
      </c>
      <c r="E30" s="120">
        <f t="shared" ref="E30:E31" si="20">C30/SUM($C$29:$C$31)%</f>
        <v>62.443095599393011</v>
      </c>
      <c r="F30" s="162">
        <f>VLOOKUP($B30,Bulgarie,2,FALSE)</f>
        <v>1.7218000000000001E-2</v>
      </c>
      <c r="G30" s="162">
        <f>VLOOKUP($B30,Bulgarie,3,FALSE)</f>
        <v>3.8852250000000002</v>
      </c>
      <c r="H30" s="162">
        <f>VLOOKUP($B30,Bulgarie,4,FALSE)</f>
        <v>0.23356099999999999</v>
      </c>
      <c r="I30" s="163">
        <f>VLOOKUP($B30,Bulgarie,5,FALSE)</f>
        <v>40.150089999999999</v>
      </c>
      <c r="J30" s="874"/>
      <c r="K30" s="885"/>
      <c r="L30" s="885"/>
      <c r="M30" s="888"/>
    </row>
    <row r="31" spans="1:13" x14ac:dyDescent="0.25">
      <c r="A31" s="133"/>
      <c r="B31" s="108" t="s">
        <v>335</v>
      </c>
      <c r="C31" s="108">
        <v>6.3945703864444403E-3</v>
      </c>
      <c r="D31" s="108" t="s">
        <v>204</v>
      </c>
      <c r="E31" s="121">
        <f t="shared" si="20"/>
        <v>21.016691957511391</v>
      </c>
      <c r="F31" s="158">
        <f>VLOOKUP($B31,Bulgarie,2,FALSE)</f>
        <v>2.7414999999999998E-2</v>
      </c>
      <c r="G31" s="158">
        <f>VLOOKUP($B31,Bulgarie,3,FALSE)</f>
        <v>3.8920509999999999</v>
      </c>
      <c r="H31" s="158">
        <f>VLOOKUP($B31,Bulgarie,4,FALSE)</f>
        <v>0.33196399999999998</v>
      </c>
      <c r="I31" s="159">
        <f>VLOOKUP($B31,Bulgarie,5,FALSE)</f>
        <v>86.977890000000002</v>
      </c>
      <c r="J31" s="875"/>
      <c r="K31" s="886"/>
      <c r="L31" s="886"/>
      <c r="M31" s="889"/>
    </row>
    <row r="32" spans="1:13" s="300" customFormat="1" ht="14.25" customHeight="1" x14ac:dyDescent="0.25">
      <c r="A32" s="908" t="s">
        <v>55</v>
      </c>
      <c r="B32" s="413" t="s">
        <v>336</v>
      </c>
      <c r="C32" s="413"/>
      <c r="D32" s="413"/>
      <c r="E32" s="426">
        <v>0.5</v>
      </c>
      <c r="F32" s="414">
        <v>7.1688011999999995E-2</v>
      </c>
      <c r="G32" s="414">
        <v>4.0070293819999998</v>
      </c>
      <c r="H32" s="414">
        <v>0.90425236600000003</v>
      </c>
      <c r="I32" s="415">
        <v>133.7107096</v>
      </c>
      <c r="J32" s="910">
        <f>F32*$E32+F33*$E33</f>
        <v>7.8222706499999989E-2</v>
      </c>
      <c r="K32" s="912">
        <f t="shared" ref="K32:M32" si="21">G32*$E32+G33*$E33</f>
        <v>4.0071739224999998</v>
      </c>
      <c r="L32" s="912">
        <f t="shared" si="21"/>
        <v>0.98161821150000006</v>
      </c>
      <c r="M32" s="914">
        <f t="shared" si="21"/>
        <v>139.28874980000001</v>
      </c>
    </row>
    <row r="33" spans="1:13" ht="15" customHeight="1" thickBot="1" x14ac:dyDescent="0.3">
      <c r="A33" s="909"/>
      <c r="B33" s="416" t="s">
        <v>337</v>
      </c>
      <c r="C33" s="416"/>
      <c r="D33" s="416"/>
      <c r="E33" s="427">
        <v>0.5</v>
      </c>
      <c r="F33" s="417">
        <v>8.4757400999999996E-2</v>
      </c>
      <c r="G33" s="417">
        <v>4.0073184629999998</v>
      </c>
      <c r="H33" s="417">
        <v>1.058984057</v>
      </c>
      <c r="I33" s="418">
        <v>144.86679000000001</v>
      </c>
      <c r="J33" s="911"/>
      <c r="K33" s="913"/>
      <c r="L33" s="913"/>
      <c r="M33" s="915"/>
    </row>
    <row r="34" spans="1:13" ht="13.8" thickTop="1" x14ac:dyDescent="0.25">
      <c r="A34" s="636"/>
      <c r="B34" s="636"/>
      <c r="C34" s="636">
        <f>SUM(C1:C33)</f>
        <v>1.0000000000000002</v>
      </c>
      <c r="D34" s="636"/>
      <c r="E34" s="636"/>
      <c r="F34" s="636"/>
      <c r="G34" s="636"/>
      <c r="H34" s="636"/>
      <c r="I34" s="636"/>
      <c r="J34" s="636"/>
      <c r="K34" s="636"/>
      <c r="L34" s="636"/>
      <c r="M34" s="636"/>
    </row>
    <row r="35" spans="1:13" x14ac:dyDescent="0.25">
      <c r="A35" s="1"/>
      <c r="B35" s="636"/>
      <c r="C35" s="636"/>
      <c r="D35" s="636"/>
      <c r="E35" s="636"/>
      <c r="F35" s="636"/>
      <c r="G35" s="636"/>
      <c r="H35" s="636"/>
      <c r="I35" s="636"/>
      <c r="J35" s="636"/>
      <c r="K35" s="636"/>
      <c r="L35" s="636"/>
      <c r="M35" s="636"/>
    </row>
    <row r="36" spans="1:13" x14ac:dyDescent="0.25">
      <c r="A36" s="91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</row>
    <row r="37" spans="1:13" x14ac:dyDescent="0.25">
      <c r="A37" s="1" t="s">
        <v>433</v>
      </c>
      <c r="B37" s="1"/>
      <c r="C37" s="664">
        <v>2</v>
      </c>
      <c r="D37" s="664">
        <v>3</v>
      </c>
      <c r="E37" s="664">
        <v>4</v>
      </c>
      <c r="F37" s="664">
        <v>5</v>
      </c>
      <c r="G37" s="636"/>
      <c r="H37" s="636"/>
      <c r="I37" s="636"/>
      <c r="J37" s="636"/>
      <c r="K37" s="636"/>
      <c r="L37" s="636"/>
      <c r="M37" s="636"/>
    </row>
    <row r="38" spans="1:13" x14ac:dyDescent="0.25">
      <c r="A38" s="1" t="s">
        <v>59</v>
      </c>
      <c r="B38" s="402" t="s">
        <v>60</v>
      </c>
      <c r="C38" s="664"/>
      <c r="D38" s="664"/>
      <c r="E38" s="664"/>
      <c r="F38" s="664"/>
      <c r="G38" s="636"/>
      <c r="H38" s="636"/>
      <c r="I38" s="636"/>
      <c r="J38" s="636"/>
      <c r="K38" s="636"/>
      <c r="L38" s="636"/>
      <c r="M38" s="636"/>
    </row>
    <row r="39" spans="1:13" x14ac:dyDescent="0.25">
      <c r="A39" s="91" t="s">
        <v>60</v>
      </c>
      <c r="B39" s="1" t="str">
        <f>CH!B37</f>
        <v>Electricity, low voltage {CH}| electricity production, photovoltaic, 3kWp slanted-roof installation, CIS, panel, mounted | Cut-off, U</v>
      </c>
      <c r="C39" s="1">
        <f>CH!D37</f>
        <v>6.7900000000000002E-2</v>
      </c>
      <c r="D39" s="1">
        <f>CH!E37</f>
        <v>3.9451020589999999</v>
      </c>
      <c r="E39" s="1">
        <f>CH!F37</f>
        <v>0.94507117939699992</v>
      </c>
      <c r="F39" s="1">
        <f>CH!G37</f>
        <v>270.13027692643135</v>
      </c>
      <c r="G39" s="636"/>
      <c r="H39" s="636"/>
      <c r="I39" s="636"/>
      <c r="J39" s="636"/>
      <c r="K39" s="636"/>
      <c r="L39" s="636"/>
      <c r="M39" s="636"/>
    </row>
    <row r="40" spans="1:13" x14ac:dyDescent="0.25">
      <c r="A40" s="91" t="s">
        <v>61</v>
      </c>
      <c r="B40" s="1" t="str">
        <f>B$21</f>
        <v>Electricity, high voltage {BG}| electricity production, hydro, run-of-river | Cut-off, U</v>
      </c>
      <c r="C40" s="31">
        <f>F$21</f>
        <v>4.3660000000000001E-3</v>
      </c>
      <c r="D40" s="1">
        <f>G$21</f>
        <v>3.7930769999999998</v>
      </c>
      <c r="E40" s="1">
        <f>H$21</f>
        <v>4.3333000000000003E-2</v>
      </c>
      <c r="F40" s="1">
        <f>I$21</f>
        <v>11.91413</v>
      </c>
      <c r="J40" s="1"/>
      <c r="K40" s="636"/>
      <c r="L40" s="636"/>
      <c r="M40" s="636"/>
    </row>
    <row r="41" spans="1:13" x14ac:dyDescent="0.25">
      <c r="A41" s="91" t="s">
        <v>62</v>
      </c>
      <c r="B41" s="1" t="s">
        <v>434</v>
      </c>
      <c r="C41" s="22">
        <f>AVERAGE(F29:F33,F21)</f>
        <v>3.6972568833333337E-2</v>
      </c>
      <c r="D41" s="22">
        <f t="shared" ref="D41:F41" si="22">AVERAGE(G29:G33,G21)</f>
        <v>3.911954974166667</v>
      </c>
      <c r="E41" s="22">
        <f t="shared" si="22"/>
        <v>0.46282857049999998</v>
      </c>
      <c r="F41" s="22">
        <f t="shared" si="22"/>
        <v>76.017429933333347</v>
      </c>
      <c r="G41" s="636"/>
      <c r="H41" s="636"/>
      <c r="I41" s="636"/>
      <c r="J41" s="636"/>
      <c r="K41" s="636"/>
      <c r="L41" s="636"/>
      <c r="M41" s="636"/>
    </row>
    <row r="42" spans="1:13" x14ac:dyDescent="0.25">
      <c r="A42" s="91"/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</row>
  </sheetData>
  <mergeCells count="34">
    <mergeCell ref="J32:J33"/>
    <mergeCell ref="K32:K33"/>
    <mergeCell ref="L32:L33"/>
    <mergeCell ref="M32:M33"/>
    <mergeCell ref="J15:J16"/>
    <mergeCell ref="K15:K16"/>
    <mergeCell ref="L15:L16"/>
    <mergeCell ref="M15:M16"/>
    <mergeCell ref="J29:J31"/>
    <mergeCell ref="K29:K31"/>
    <mergeCell ref="L29:L31"/>
    <mergeCell ref="M29:M31"/>
    <mergeCell ref="J7:J8"/>
    <mergeCell ref="K7:K8"/>
    <mergeCell ref="L7:L8"/>
    <mergeCell ref="M7:M8"/>
    <mergeCell ref="J13:J14"/>
    <mergeCell ref="K13:K14"/>
    <mergeCell ref="L13:L14"/>
    <mergeCell ref="M13:M14"/>
    <mergeCell ref="J10:J12"/>
    <mergeCell ref="K10:K12"/>
    <mergeCell ref="L10:L12"/>
    <mergeCell ref="M10:M12"/>
    <mergeCell ref="J1:M1"/>
    <mergeCell ref="J5:J6"/>
    <mergeCell ref="K5:K6"/>
    <mergeCell ref="L5:L6"/>
    <mergeCell ref="M5:M6"/>
    <mergeCell ref="A1:A4"/>
    <mergeCell ref="B1:D4"/>
    <mergeCell ref="E1:E4"/>
    <mergeCell ref="F1:I1"/>
    <mergeCell ref="A32:A33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9"/>
  <sheetViews>
    <sheetView zoomScale="85" zoomScaleNormal="85" workbookViewId="0">
      <selection activeCell="A5" sqref="A5"/>
    </sheetView>
  </sheetViews>
  <sheetFormatPr defaultColWidth="11.44140625" defaultRowHeight="13.2" x14ac:dyDescent="0.25"/>
  <cols>
    <col min="1" max="1" width="29" style="300" bestFit="1" customWidth="1"/>
    <col min="2" max="2" width="31.88671875" style="300" customWidth="1"/>
    <col min="3" max="3" width="12.44140625" style="300" bestFit="1" customWidth="1"/>
    <col min="4" max="4" width="11.44140625" style="300"/>
    <col min="5" max="5" width="11.5546875" style="300" bestFit="1" customWidth="1"/>
    <col min="6" max="6" width="13" style="300" customWidth="1"/>
    <col min="7" max="8" width="14.88671875" style="300" bestFit="1" customWidth="1"/>
    <col min="9" max="9" width="11" style="300" customWidth="1"/>
    <col min="10" max="13" width="11.5546875" style="300" bestFit="1" customWidth="1"/>
    <col min="14" max="16384" width="11.44140625" style="300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24" customHeight="1" thickBot="1" x14ac:dyDescent="0.3">
      <c r="A4" s="928"/>
      <c r="B4" s="928"/>
      <c r="C4" s="928"/>
      <c r="D4" s="928"/>
      <c r="E4" s="839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x14ac:dyDescent="0.25">
      <c r="A5" s="618" t="s">
        <v>16</v>
      </c>
      <c r="B5" s="523" t="s">
        <v>338</v>
      </c>
      <c r="C5" s="472">
        <v>9.6033803898972395E-5</v>
      </c>
      <c r="D5" s="472" t="s">
        <v>204</v>
      </c>
      <c r="E5" s="552">
        <f>C5/SUM($C$5:$C$5)%</f>
        <v>100</v>
      </c>
      <c r="F5" s="524">
        <f>VLOOKUP($B5,Norvege,2,FALSE)</f>
        <v>0.16585439065832325</v>
      </c>
      <c r="G5" s="475">
        <f>VLOOKUP($B5,Norvege,3,FALSE)</f>
        <v>6.4902168917297165E-2</v>
      </c>
      <c r="H5" s="475">
        <f>VLOOKUP($B5,Norvege,4,FALSE)</f>
        <v>0.49018474582320098</v>
      </c>
      <c r="I5" s="525">
        <f>VLOOKUP($B5,Norvege,5,FALSE)</f>
        <v>784.79459834016245</v>
      </c>
      <c r="J5" s="619">
        <f>F5*$E5%</f>
        <v>0.16585439065832325</v>
      </c>
      <c r="K5" s="620">
        <f>G5*$E5%</f>
        <v>6.4902168917297165E-2</v>
      </c>
      <c r="L5" s="620">
        <f>H5*$E5%</f>
        <v>0.49018474582320098</v>
      </c>
      <c r="M5" s="621">
        <f>I5*$E5%</f>
        <v>784.79459834016245</v>
      </c>
    </row>
    <row r="6" spans="1:13" x14ac:dyDescent="0.25">
      <c r="A6" s="553" t="s">
        <v>19</v>
      </c>
      <c r="B6" s="449"/>
      <c r="C6" s="526"/>
      <c r="D6" s="526"/>
      <c r="E6" s="554"/>
      <c r="F6" s="450"/>
      <c r="G6" s="451"/>
      <c r="H6" s="451"/>
      <c r="I6" s="493"/>
      <c r="J6" s="527"/>
      <c r="K6" s="528"/>
      <c r="L6" s="528"/>
      <c r="M6" s="529"/>
    </row>
    <row r="7" spans="1:13" x14ac:dyDescent="0.25">
      <c r="A7" s="555" t="s">
        <v>21</v>
      </c>
      <c r="B7" s="530"/>
      <c r="C7" s="489"/>
      <c r="D7" s="489"/>
      <c r="E7" s="490"/>
      <c r="F7" s="450"/>
      <c r="G7" s="451"/>
      <c r="H7" s="451"/>
      <c r="I7" s="493"/>
      <c r="J7" s="450"/>
      <c r="K7" s="451"/>
      <c r="L7" s="451"/>
      <c r="M7" s="493"/>
    </row>
    <row r="8" spans="1:13" x14ac:dyDescent="0.25">
      <c r="A8" s="556" t="s">
        <v>22</v>
      </c>
      <c r="B8" s="531" t="s">
        <v>339</v>
      </c>
      <c r="C8" s="263">
        <v>6.3086821945940296E-3</v>
      </c>
      <c r="D8" s="264" t="s">
        <v>204</v>
      </c>
      <c r="E8" s="532">
        <f>C8/SUM($C$8:$C$11)%</f>
        <v>34.201041249499397</v>
      </c>
      <c r="F8" s="266">
        <f>VLOOKUP($B8,Norvege,2,FALSE)</f>
        <v>0.34710453325782403</v>
      </c>
      <c r="G8" s="219">
        <f>VLOOKUP($B8,Norvege,3,FALSE)</f>
        <v>6.3347802642804282E-3</v>
      </c>
      <c r="H8" s="219">
        <f>VLOOKUP($B8,Norvege,4,FALSE)</f>
        <v>6.9039277623238977</v>
      </c>
      <c r="I8" s="481">
        <f>VLOOKUP($B8,Norvege,5,FALSE)</f>
        <v>219.56015961280775</v>
      </c>
      <c r="J8" s="922">
        <f>(F8*$E8+F9*$E9+F11*$E11)%</f>
        <v>0.34769055537913252</v>
      </c>
      <c r="K8" s="884">
        <f>(G8*$E8+G9*$E9+G11*$E11)%</f>
        <v>6.1912946144831397E-3</v>
      </c>
      <c r="L8" s="884">
        <f>(H8*$E8+H9*$E9+H11*$E11)%</f>
        <v>6.8027231722871377</v>
      </c>
      <c r="M8" s="925">
        <f>(I8*$E8+I9*$E9+I11*$E11)%</f>
        <v>221.83496467844947</v>
      </c>
    </row>
    <row r="9" spans="1:13" x14ac:dyDescent="0.25">
      <c r="A9" s="557"/>
      <c r="B9" s="533" t="s">
        <v>340</v>
      </c>
      <c r="C9" s="267">
        <v>4.9420472929548103E-3</v>
      </c>
      <c r="D9" s="268" t="s">
        <v>204</v>
      </c>
      <c r="E9" s="534">
        <f t="shared" ref="E9:E11" si="1">C9/SUM($C$8:$C$11)%</f>
        <v>26.792150580696848</v>
      </c>
      <c r="F9" s="270">
        <f>VLOOKUP($B9,Norvege,2,FALSE)</f>
        <v>0.48278057380148753</v>
      </c>
      <c r="G9" s="221">
        <f>VLOOKUP($B9,Norvege,3,FALSE)</f>
        <v>7.4521453936776724E-3</v>
      </c>
      <c r="H9" s="221">
        <f>VLOOKUP($B9,Norvege,4,FALSE)</f>
        <v>9.1932288843574117</v>
      </c>
      <c r="I9" s="500">
        <f>VLOOKUP($B9,Norvege,5,FALSE)</f>
        <v>307.28754454282296</v>
      </c>
      <c r="J9" s="923"/>
      <c r="K9" s="885"/>
      <c r="L9" s="885"/>
      <c r="M9" s="926"/>
    </row>
    <row r="10" spans="1:13" x14ac:dyDescent="0.25">
      <c r="A10" s="557"/>
      <c r="B10" s="533" t="s">
        <v>341</v>
      </c>
      <c r="C10" s="267">
        <v>3.9078370971197202E-3</v>
      </c>
      <c r="D10" s="268" t="s">
        <v>204</v>
      </c>
      <c r="E10" s="534">
        <f t="shared" si="1"/>
        <v>21.185422507008404</v>
      </c>
      <c r="F10" s="270">
        <f>VLOOKUP($B10,Norvege,2,FALSE)</f>
        <v>0.49980871651904646</v>
      </c>
      <c r="G10" s="221">
        <f>VLOOKUP($B10,Norvege,3,FALSE)</f>
        <v>9.1216855279602459E-3</v>
      </c>
      <c r="H10" s="221">
        <f>VLOOKUP($B10,Norvege,4,FALSE)</f>
        <v>9.9412222351863857</v>
      </c>
      <c r="I10" s="500">
        <f>VLOOKUP($B10,Norvege,5,FALSE)</f>
        <v>316.1529386992321</v>
      </c>
      <c r="J10" s="923"/>
      <c r="K10" s="885"/>
      <c r="L10" s="885"/>
      <c r="M10" s="926"/>
    </row>
    <row r="11" spans="1:13" x14ac:dyDescent="0.25">
      <c r="A11" s="558"/>
      <c r="B11" s="535" t="s">
        <v>342</v>
      </c>
      <c r="C11" s="259">
        <v>3.2873109796186699E-3</v>
      </c>
      <c r="D11" s="260" t="s">
        <v>204</v>
      </c>
      <c r="E11" s="536">
        <f t="shared" si="1"/>
        <v>17.821385662795361</v>
      </c>
      <c r="F11" s="262">
        <f>VLOOKUP($B11,Norvege,2,FALSE)</f>
        <v>0.55904683484565576</v>
      </c>
      <c r="G11" s="216">
        <f>VLOOKUP($B11,Norvege,3,FALSE)</f>
        <v>1.1380393344491115E-2</v>
      </c>
      <c r="H11" s="216">
        <f>VLOOKUP($B11,Norvege,4,FALSE)</f>
        <v>11.101517592227555</v>
      </c>
      <c r="I11" s="484">
        <f>VLOOKUP($B11,Norvege,5,FALSE)</f>
        <v>361.44306335640863</v>
      </c>
      <c r="J11" s="924"/>
      <c r="K11" s="886"/>
      <c r="L11" s="886"/>
      <c r="M11" s="927"/>
    </row>
    <row r="12" spans="1:13" x14ac:dyDescent="0.25">
      <c r="A12" s="556" t="s">
        <v>27</v>
      </c>
      <c r="B12" s="531" t="s">
        <v>343</v>
      </c>
      <c r="C12" s="263">
        <v>2.6593976464330801E-4</v>
      </c>
      <c r="D12" s="263" t="s">
        <v>204</v>
      </c>
      <c r="E12" s="559">
        <f>C12/SUM(C12:C12)%</f>
        <v>100</v>
      </c>
      <c r="F12" s="274">
        <f>VLOOKUP($B12,Norvege,2,FALSE)</f>
        <v>1.4909980625750272</v>
      </c>
      <c r="G12" s="217">
        <f>VLOOKUP($B12,Norvege,3,FALSE)</f>
        <v>0.16255029344295288</v>
      </c>
      <c r="H12" s="217">
        <f>VLOOKUP($B12,Norvege,4,FALSE)</f>
        <v>13.851737087200046</v>
      </c>
      <c r="I12" s="488">
        <f>VLOOKUP($B12,Norvege,5,FALSE)</f>
        <v>885.06368988268173</v>
      </c>
      <c r="J12" s="653">
        <f>F12*$E12%</f>
        <v>1.4909980625750272</v>
      </c>
      <c r="K12" s="653">
        <f t="shared" ref="K12:M13" si="2">G12*$E12%</f>
        <v>0.16255029344295288</v>
      </c>
      <c r="L12" s="653">
        <f t="shared" si="2"/>
        <v>13.851737087200046</v>
      </c>
      <c r="M12" s="537">
        <f t="shared" si="2"/>
        <v>885.06368988268173</v>
      </c>
    </row>
    <row r="13" spans="1:13" x14ac:dyDescent="0.25">
      <c r="A13" s="553" t="s">
        <v>30</v>
      </c>
      <c r="B13" s="508" t="s">
        <v>344</v>
      </c>
      <c r="C13" s="588"/>
      <c r="D13" s="588"/>
      <c r="E13" s="554">
        <v>100</v>
      </c>
      <c r="F13" s="278">
        <f>VLOOKUP($B13,Autre_Source,2,FALSE)</f>
        <v>0.48508029061443786</v>
      </c>
      <c r="G13" s="227">
        <f>VLOOKUP($B13,Autre_Source,3,FALSE)</f>
        <v>2.5427220091687637E-2</v>
      </c>
      <c r="H13" s="227">
        <f>VLOOKUP($B13,Autre_Source,4,FALSE)</f>
        <v>7.3641087811571913</v>
      </c>
      <c r="I13" s="448">
        <f>VLOOKUP($B13,Autre_Source,5,FALSE)</f>
        <v>456.91688304096778</v>
      </c>
      <c r="J13" s="622">
        <f>F13*$E13%</f>
        <v>0.48508029061443786</v>
      </c>
      <c r="K13" s="622">
        <f t="shared" si="2"/>
        <v>2.5427220091687637E-2</v>
      </c>
      <c r="L13" s="622">
        <f t="shared" si="2"/>
        <v>7.3641087811571913</v>
      </c>
      <c r="M13" s="623">
        <f t="shared" si="2"/>
        <v>456.91688304096778</v>
      </c>
    </row>
    <row r="14" spans="1:13" x14ac:dyDescent="0.25">
      <c r="A14" s="555" t="s">
        <v>33</v>
      </c>
      <c r="B14" s="530"/>
      <c r="C14" s="489"/>
      <c r="D14" s="489"/>
      <c r="E14" s="490"/>
      <c r="F14" s="450"/>
      <c r="G14" s="451"/>
      <c r="H14" s="451"/>
      <c r="I14" s="493"/>
      <c r="J14" s="450"/>
      <c r="K14" s="451"/>
      <c r="L14" s="451"/>
      <c r="M14" s="493"/>
    </row>
    <row r="15" spans="1:13" x14ac:dyDescent="0.25">
      <c r="A15" s="555" t="s">
        <v>34</v>
      </c>
      <c r="B15" s="530"/>
      <c r="C15" s="489"/>
      <c r="D15" s="489"/>
      <c r="E15" s="490"/>
      <c r="F15" s="450"/>
      <c r="G15" s="451"/>
      <c r="H15" s="451"/>
      <c r="I15" s="493"/>
      <c r="J15" s="450"/>
      <c r="K15" s="451"/>
      <c r="L15" s="451"/>
      <c r="M15" s="493"/>
    </row>
    <row r="16" spans="1:13" x14ac:dyDescent="0.25">
      <c r="A16" s="555" t="s">
        <v>35</v>
      </c>
      <c r="B16" s="530"/>
      <c r="C16" s="489"/>
      <c r="D16" s="489"/>
      <c r="E16" s="490"/>
      <c r="F16" s="450"/>
      <c r="G16" s="451"/>
      <c r="H16" s="451"/>
      <c r="I16" s="493"/>
      <c r="J16" s="450"/>
      <c r="K16" s="451"/>
      <c r="L16" s="451"/>
      <c r="M16" s="493"/>
    </row>
    <row r="17" spans="1:13" x14ac:dyDescent="0.25">
      <c r="A17" s="560" t="s">
        <v>38</v>
      </c>
      <c r="B17" s="538" t="s">
        <v>345</v>
      </c>
      <c r="C17" s="271">
        <v>5.4813140379259603E-3</v>
      </c>
      <c r="D17" s="271" t="s">
        <v>204</v>
      </c>
      <c r="E17" s="559">
        <f>C17/SUM(C17:C17)%</f>
        <v>100</v>
      </c>
      <c r="F17" s="274">
        <f>VLOOKUP($B17,Norvege,2,FALSE)</f>
        <v>4.1531045555856801E-2</v>
      </c>
      <c r="G17" s="217">
        <f>VLOOKUP($B17,Norvege,3,FALSE)</f>
        <v>5.4248333450146324</v>
      </c>
      <c r="H17" s="217">
        <f>VLOOKUP($B17,Norvege,4,FALSE)</f>
        <v>0.78002142316046752</v>
      </c>
      <c r="I17" s="488">
        <f>VLOOKUP($B17,Norvege,5,FALSE)</f>
        <v>53.92750095247645</v>
      </c>
      <c r="J17" s="567">
        <f>F17*$E17%</f>
        <v>4.1531045555856801E-2</v>
      </c>
      <c r="K17" s="407">
        <f t="shared" ref="K17:M19" si="3">G17*$E17%</f>
        <v>5.4248333450146324</v>
      </c>
      <c r="L17" s="407">
        <f t="shared" si="3"/>
        <v>0.78002142316046752</v>
      </c>
      <c r="M17" s="566">
        <f t="shared" si="3"/>
        <v>53.92750095247645</v>
      </c>
    </row>
    <row r="18" spans="1:13" x14ac:dyDescent="0.25">
      <c r="A18" s="673" t="s">
        <v>40</v>
      </c>
      <c r="B18" s="667" t="s">
        <v>346</v>
      </c>
      <c r="C18" s="668"/>
      <c r="D18" s="668"/>
      <c r="E18" s="669">
        <v>100</v>
      </c>
      <c r="F18" s="670">
        <f>VLOOKUP($B18,Norvege,2,FALSE)</f>
        <v>4.3659806824747011E-3</v>
      </c>
      <c r="G18" s="671">
        <f>VLOOKUP($B18,Norvege,3,FALSE)</f>
        <v>3.793076762998798</v>
      </c>
      <c r="H18" s="671">
        <f>VLOOKUP($B18,Norvege,4,FALSE)</f>
        <v>4.3332542813485392E-2</v>
      </c>
      <c r="I18" s="672">
        <f>VLOOKUP($B18,Norvege,5,FALSE)</f>
        <v>11.914127774188925</v>
      </c>
      <c r="J18" s="670">
        <f>F18*$E18%</f>
        <v>4.3659806824747011E-3</v>
      </c>
      <c r="K18" s="671">
        <f t="shared" si="3"/>
        <v>3.793076762998798</v>
      </c>
      <c r="L18" s="671">
        <f t="shared" si="3"/>
        <v>4.3332542813485392E-2</v>
      </c>
      <c r="M18" s="672">
        <f t="shared" si="3"/>
        <v>11.914127774188925</v>
      </c>
    </row>
    <row r="19" spans="1:13" x14ac:dyDescent="0.25">
      <c r="A19" s="560" t="s">
        <v>42</v>
      </c>
      <c r="B19" s="538" t="s">
        <v>347</v>
      </c>
      <c r="C19" s="271">
        <v>0.95950328361737203</v>
      </c>
      <c r="D19" s="271" t="s">
        <v>204</v>
      </c>
      <c r="E19" s="559">
        <f>C19/SUM(C19:C19)%</f>
        <v>100</v>
      </c>
      <c r="F19" s="274">
        <f>VLOOKUP($B19,Norvege,2,FALSE)</f>
        <v>6.9176600356061829E-3</v>
      </c>
      <c r="G19" s="217">
        <f>VLOOKUP($B19,Norvege,3,FALSE)</f>
        <v>3.7941946105365716</v>
      </c>
      <c r="H19" s="217">
        <f>VLOOKUP($B19,Norvege,4,FALSE)</f>
        <v>5.8189760143450696E-2</v>
      </c>
      <c r="I19" s="488">
        <f>VLOOKUP($B19,Norvege,5,FALSE)</f>
        <v>13.506953400087978</v>
      </c>
      <c r="J19" s="274">
        <f>F19*$E19%</f>
        <v>6.9176600356061829E-3</v>
      </c>
      <c r="K19" s="274">
        <f t="shared" si="3"/>
        <v>3.7941946105365716</v>
      </c>
      <c r="L19" s="274">
        <f t="shared" si="3"/>
        <v>5.8189760143450696E-2</v>
      </c>
      <c r="M19" s="539">
        <f t="shared" si="3"/>
        <v>13.506953400087978</v>
      </c>
    </row>
    <row r="20" spans="1:13" x14ac:dyDescent="0.25">
      <c r="A20" s="555" t="s">
        <v>44</v>
      </c>
      <c r="B20" s="530"/>
      <c r="C20" s="489"/>
      <c r="D20" s="489"/>
      <c r="E20" s="490"/>
      <c r="F20" s="450"/>
      <c r="G20" s="451"/>
      <c r="H20" s="451"/>
      <c r="I20" s="493"/>
      <c r="J20" s="450"/>
      <c r="K20" s="451"/>
      <c r="L20" s="451"/>
      <c r="M20" s="493"/>
    </row>
    <row r="21" spans="1:13" x14ac:dyDescent="0.25">
      <c r="A21" s="555" t="s">
        <v>45</v>
      </c>
      <c r="B21" s="530"/>
      <c r="C21" s="489"/>
      <c r="D21" s="489"/>
      <c r="E21" s="490"/>
      <c r="F21" s="450"/>
      <c r="G21" s="451"/>
      <c r="H21" s="451"/>
      <c r="I21" s="493"/>
      <c r="J21" s="278">
        <f>F21*$E21%</f>
        <v>0</v>
      </c>
      <c r="K21" s="227">
        <f t="shared" ref="K21:M21" si="4">G21*$E21%</f>
        <v>0</v>
      </c>
      <c r="L21" s="227">
        <f t="shared" si="4"/>
        <v>0</v>
      </c>
      <c r="M21" s="448">
        <f t="shared" si="4"/>
        <v>0</v>
      </c>
    </row>
    <row r="22" spans="1:13" x14ac:dyDescent="0.25">
      <c r="A22" s="635" t="s">
        <v>46</v>
      </c>
      <c r="B22" s="321" t="str">
        <f>IF(B34=A35,B35,IF(B34=A36,B36,IF(B34=A37,B37,"")))</f>
        <v>Electricity, high voltage {BG}| electricity production, hard coal | Cut-off, U</v>
      </c>
      <c r="C22" s="569"/>
      <c r="D22" s="569"/>
      <c r="E22" s="570">
        <v>100</v>
      </c>
      <c r="F22" s="574">
        <f>VLOOKUP($B22,$B$35:$F$37,2,FALSE)</f>
        <v>2.0395629999999998</v>
      </c>
      <c r="G22" s="572">
        <f>VLOOKUP($B22,$B$35:$F$37,3,FALSE)</f>
        <v>0.222385</v>
      </c>
      <c r="H22" s="572">
        <f>VLOOKUP($B22,$B$35:$F$37,4,FALSE)</f>
        <v>19.09919</v>
      </c>
      <c r="I22" s="573">
        <f>VLOOKUP($B22,$B$35:$F$37,5,FALSE)</f>
        <v>1486.056</v>
      </c>
      <c r="J22" s="574">
        <f>F22*$E$22%</f>
        <v>2.0395629999999998</v>
      </c>
      <c r="K22" s="572">
        <f>G22*$E$22%</f>
        <v>0.222385</v>
      </c>
      <c r="L22" s="572">
        <f>H22*$E$22%</f>
        <v>19.09919</v>
      </c>
      <c r="M22" s="573">
        <f>I22*$E$22%</f>
        <v>1486.056</v>
      </c>
    </row>
    <row r="23" spans="1:13" x14ac:dyDescent="0.25">
      <c r="A23" s="561" t="s">
        <v>47</v>
      </c>
      <c r="B23" s="540"/>
      <c r="C23" s="526"/>
      <c r="D23" s="526"/>
      <c r="E23" s="541"/>
      <c r="F23" s="450"/>
      <c r="G23" s="451"/>
      <c r="H23" s="451"/>
      <c r="I23" s="493"/>
      <c r="J23" s="450"/>
      <c r="K23" s="451"/>
      <c r="L23" s="451"/>
      <c r="M23" s="493"/>
    </row>
    <row r="24" spans="1:13" x14ac:dyDescent="0.25">
      <c r="A24" s="561" t="s">
        <v>48</v>
      </c>
      <c r="B24" s="624" t="s">
        <v>348</v>
      </c>
      <c r="C24" s="526"/>
      <c r="D24" s="526"/>
      <c r="E24" s="554">
        <v>50</v>
      </c>
      <c r="F24" s="625">
        <f>VLOOKUP($B24,Autre_Source,2,FALSE)</f>
        <v>0</v>
      </c>
      <c r="G24" s="626">
        <f>VLOOKUP($B24,Autre_Source,3,FALSE)</f>
        <v>0</v>
      </c>
      <c r="H24" s="626">
        <f>VLOOKUP($B24,Autre_Source,4,FALSE)</f>
        <v>0</v>
      </c>
      <c r="I24" s="627">
        <f>VLOOKUP($B24,Autre_Source,5,FALSE)</f>
        <v>0</v>
      </c>
      <c r="J24" s="916">
        <f>F24*$E24% + F25*$E$25%</f>
        <v>1.1052920965075204</v>
      </c>
      <c r="K24" s="918">
        <f>G24*$E24% + G25*$E25%</f>
        <v>1.3855202292746862E-3</v>
      </c>
      <c r="L24" s="918">
        <f>H24*$E24% + H25*$E25%</f>
        <v>2.0162858899557275E-2</v>
      </c>
      <c r="M24" s="920">
        <f>I24*$E24% + I25*$E25%</f>
        <v>530.45936826698278</v>
      </c>
    </row>
    <row r="25" spans="1:13" x14ac:dyDescent="0.25">
      <c r="A25" s="628"/>
      <c r="B25" s="629" t="s">
        <v>349</v>
      </c>
      <c r="C25" s="630"/>
      <c r="D25" s="630"/>
      <c r="E25" s="631">
        <v>50</v>
      </c>
      <c r="F25" s="632">
        <f>VLOOKUP($B25,Autre_Source,2,FALSE)</f>
        <v>2.2105841930150407</v>
      </c>
      <c r="G25" s="633">
        <f>VLOOKUP($B25,Autre_Source,3,FALSE)</f>
        <v>2.7710404585493723E-3</v>
      </c>
      <c r="H25" s="633">
        <f>VLOOKUP($B25,Autre_Source,4,FALSE)</f>
        <v>4.0325717799114549E-2</v>
      </c>
      <c r="I25" s="634">
        <f>VLOOKUP($B25,Autre_Source,5,FALSE)</f>
        <v>1060.9187365339656</v>
      </c>
      <c r="J25" s="917"/>
      <c r="K25" s="919"/>
      <c r="L25" s="919"/>
      <c r="M25" s="921"/>
    </row>
    <row r="26" spans="1:13" x14ac:dyDescent="0.25">
      <c r="A26" s="562" t="s">
        <v>50</v>
      </c>
      <c r="B26" s="535" t="s">
        <v>350</v>
      </c>
      <c r="C26" s="542">
        <v>3.6936078422681699E-5</v>
      </c>
      <c r="D26" s="259" t="s">
        <v>204</v>
      </c>
      <c r="E26" s="559">
        <f>C26/SUM(C26:C26)%</f>
        <v>100</v>
      </c>
      <c r="F26" s="274">
        <f>VLOOKUP($B26,Norvege,2,FALSE)</f>
        <v>1.552067532142697E-2</v>
      </c>
      <c r="G26" s="217">
        <f>VLOOKUP($B26,Norvege,3,FALSE)</f>
        <v>3.8848601344099869</v>
      </c>
      <c r="H26" s="217">
        <f>VLOOKUP($B26,Norvege,4,FALSE)</f>
        <v>0.19017183856918582</v>
      </c>
      <c r="I26" s="488">
        <f>VLOOKUP($B26,Norvege,5,FALSE)</f>
        <v>37.239906019061834</v>
      </c>
      <c r="J26" s="274"/>
      <c r="K26" s="217"/>
      <c r="L26" s="217"/>
      <c r="M26" s="488"/>
    </row>
    <row r="27" spans="1:13" x14ac:dyDescent="0.25">
      <c r="A27" s="556" t="s">
        <v>51</v>
      </c>
      <c r="B27" s="531" t="s">
        <v>351</v>
      </c>
      <c r="C27" s="263">
        <v>3.2503749011959901E-4</v>
      </c>
      <c r="D27" s="263" t="s">
        <v>204</v>
      </c>
      <c r="E27" s="532">
        <f>C27/SUM($C$27:$C$29)%</f>
        <v>2.0100502512562857</v>
      </c>
      <c r="F27" s="266">
        <f>VLOOKUP($B27,Norvege,2,FALSE)</f>
        <v>1.3219029216604335E-2</v>
      </c>
      <c r="G27" s="219">
        <f>VLOOKUP($B27,Norvege,3,FALSE)</f>
        <v>3.8837342952278417</v>
      </c>
      <c r="H27" s="219">
        <f>VLOOKUP($B27,Norvege,4,FALSE)</f>
        <v>0.16523382793764685</v>
      </c>
      <c r="I27" s="481">
        <f>VLOOKUP($B27,Norvege,5,FALSE)</f>
        <v>31.787035010212644</v>
      </c>
      <c r="J27" s="922">
        <f>(F27*$E27+F28*$E28+F29*$E29)%</f>
        <v>1.41430737911107E-2</v>
      </c>
      <c r="K27" s="884">
        <f t="shared" ref="K27:L27" si="5">(G27*$E27+G28*$E28+G29*$E29)%</f>
        <v>3.8824894683396405</v>
      </c>
      <c r="L27" s="884">
        <f t="shared" si="5"/>
        <v>0.19051234742310622</v>
      </c>
      <c r="M27" s="925">
        <f>(I27*$E27+I28*$E28+I29*$E29)%</f>
        <v>34.345172668716856</v>
      </c>
    </row>
    <row r="28" spans="1:13" x14ac:dyDescent="0.25">
      <c r="A28" s="557"/>
      <c r="B28" s="533" t="s">
        <v>352</v>
      </c>
      <c r="C28" s="267">
        <v>5.3187952928661602E-4</v>
      </c>
      <c r="D28" s="267" t="s">
        <v>204</v>
      </c>
      <c r="E28" s="534">
        <f t="shared" ref="E28:E29" si="6">C28/SUM($C$27:$C$29)%</f>
        <v>3.2891731384193736</v>
      </c>
      <c r="F28" s="270">
        <f>VLOOKUP($B28,Norvege,2,FALSE)</f>
        <v>2.2109900603862278E-2</v>
      </c>
      <c r="G28" s="221">
        <f>VLOOKUP($B28,Norvege,3,FALSE)</f>
        <v>3.887784353472485</v>
      </c>
      <c r="H28" s="221">
        <f>VLOOKUP($B28,Norvege,4,FALSE)</f>
        <v>0.2677297240612157</v>
      </c>
      <c r="I28" s="500">
        <f>VLOOKUP($B28,Norvege,5,FALSE)</f>
        <v>70.896652088125649</v>
      </c>
      <c r="J28" s="923"/>
      <c r="K28" s="885"/>
      <c r="L28" s="885"/>
      <c r="M28" s="926"/>
    </row>
    <row r="29" spans="1:13" x14ac:dyDescent="0.25">
      <c r="A29" s="558"/>
      <c r="B29" s="535" t="s">
        <v>353</v>
      </c>
      <c r="C29" s="259">
        <v>1.5313698114043799E-2</v>
      </c>
      <c r="D29" s="259" t="s">
        <v>204</v>
      </c>
      <c r="E29" s="536">
        <f t="shared" si="6"/>
        <v>94.70077661032434</v>
      </c>
      <c r="F29" s="262">
        <f>VLOOKUP($B29,Norvege,2,FALSE)</f>
        <v>1.3885980897121394E-2</v>
      </c>
      <c r="G29" s="216">
        <f>VLOOKUP($B29,Norvege,3,FALSE)</f>
        <v>3.8822791431526431</v>
      </c>
      <c r="H29" s="216">
        <f>VLOOKUP($B29,Norvege,4,FALSE)</f>
        <v>0.18836695607694914</v>
      </c>
      <c r="I29" s="484">
        <f>VLOOKUP($B29,Norvege,5,FALSE)</f>
        <v>33.12995392234771</v>
      </c>
      <c r="J29" s="924"/>
      <c r="K29" s="886"/>
      <c r="L29" s="886"/>
      <c r="M29" s="927"/>
    </row>
    <row r="30" spans="1:13" ht="14.25" customHeight="1" thickBot="1" x14ac:dyDescent="0.3">
      <c r="A30" s="563" t="s">
        <v>55</v>
      </c>
      <c r="B30" s="543"/>
      <c r="C30" s="544"/>
      <c r="D30" s="544"/>
      <c r="E30" s="545"/>
      <c r="F30" s="546"/>
      <c r="G30" s="547"/>
      <c r="H30" s="547"/>
      <c r="I30" s="548"/>
      <c r="J30" s="549"/>
      <c r="K30" s="550"/>
      <c r="L30" s="550"/>
      <c r="M30" s="551"/>
    </row>
    <row r="31" spans="1:13" x14ac:dyDescent="0.25">
      <c r="A31" s="636"/>
      <c r="B31" s="636"/>
      <c r="C31" s="636">
        <f>SUM(C1:C30)</f>
        <v>1.0000000000000002</v>
      </c>
      <c r="D31" s="636"/>
      <c r="E31" s="636"/>
      <c r="F31" s="636"/>
      <c r="G31" s="636"/>
      <c r="H31" s="636"/>
      <c r="I31" s="636"/>
      <c r="J31" s="636"/>
      <c r="K31" s="636"/>
      <c r="L31" s="636"/>
      <c r="M31" s="636"/>
    </row>
    <row r="32" spans="1:13" x14ac:dyDescent="0.25">
      <c r="A32" s="1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</row>
    <row r="33" spans="1:6" x14ac:dyDescent="0.25">
      <c r="A33" s="1" t="s">
        <v>58</v>
      </c>
      <c r="B33" s="636"/>
      <c r="C33" s="636">
        <v>2</v>
      </c>
      <c r="D33" s="636">
        <v>3</v>
      </c>
      <c r="E33" s="636">
        <v>4</v>
      </c>
      <c r="F33" s="636">
        <v>5</v>
      </c>
    </row>
    <row r="34" spans="1:6" x14ac:dyDescent="0.25">
      <c r="A34" s="1" t="s">
        <v>59</v>
      </c>
      <c r="B34" s="402" t="s">
        <v>60</v>
      </c>
      <c r="C34" s="638" t="s">
        <v>5</v>
      </c>
      <c r="D34" s="638" t="s">
        <v>6</v>
      </c>
      <c r="E34" s="638" t="s">
        <v>7</v>
      </c>
      <c r="F34" s="638" t="s">
        <v>8</v>
      </c>
    </row>
    <row r="35" spans="1:6" x14ac:dyDescent="0.25">
      <c r="A35" s="91" t="s">
        <v>60</v>
      </c>
      <c r="B35" s="68" t="s">
        <v>175</v>
      </c>
      <c r="C35" s="616">
        <f>VLOOKUP($B35,Bulgarie,C$33,FALSE)</f>
        <v>2.0395629999999998</v>
      </c>
      <c r="D35" s="616">
        <f>VLOOKUP($B35,Bulgarie,D33,FALSE)</f>
        <v>0.222385</v>
      </c>
      <c r="E35" s="616">
        <f>VLOOKUP($B35,Bulgarie,E33,FALSE)</f>
        <v>19.09919</v>
      </c>
      <c r="F35" s="616">
        <f>VLOOKUP($B35,Bulgarie,F33,FALSE)</f>
        <v>1486.056</v>
      </c>
    </row>
    <row r="36" spans="1:6" x14ac:dyDescent="0.25">
      <c r="A36" s="91" t="s">
        <v>61</v>
      </c>
      <c r="B36" s="441" t="str">
        <f>B8</f>
        <v>Electricity, high voltage {NO}| electricity production, natural gas, combined cycle power plant | Cut-off, U</v>
      </c>
      <c r="C36" s="616">
        <f>VLOOKUP($B36,Norvege,C$33,FALSE)</f>
        <v>0.34710453325782403</v>
      </c>
      <c r="D36" s="616">
        <f>VLOOKUP($B36,Norvege,D$33,FALSE)</f>
        <v>6.3347802642804282E-3</v>
      </c>
      <c r="E36" s="616">
        <f>VLOOKUP($B36,Norvege,E$33,FALSE)</f>
        <v>6.9039277623238977</v>
      </c>
      <c r="F36" s="616">
        <f>VLOOKUP($B36,Norvege,F$33,FALSE)</f>
        <v>219.56015961280775</v>
      </c>
    </row>
    <row r="37" spans="1:6" x14ac:dyDescent="0.25">
      <c r="A37" s="91" t="s">
        <v>62</v>
      </c>
      <c r="B37" s="68" t="s">
        <v>354</v>
      </c>
      <c r="C37" s="617">
        <f>AVERAGE(F8:F13)</f>
        <v>0.64413650193557981</v>
      </c>
      <c r="D37" s="617">
        <f t="shared" ref="D37:F37" si="7">AVERAGE(G8:G13)</f>
        <v>3.7044419677508329E-2</v>
      </c>
      <c r="E37" s="617">
        <f t="shared" si="7"/>
        <v>9.7259570570754157</v>
      </c>
      <c r="F37" s="617">
        <f t="shared" si="7"/>
        <v>424.40404652248685</v>
      </c>
    </row>
    <row r="38" spans="1:6" x14ac:dyDescent="0.25">
      <c r="A38" s="91"/>
      <c r="B38" s="636"/>
      <c r="C38" s="636"/>
      <c r="D38" s="636"/>
      <c r="E38" s="636"/>
      <c r="F38" s="636"/>
    </row>
    <row r="39" spans="1:6" x14ac:dyDescent="0.25">
      <c r="A39" s="91"/>
      <c r="B39" s="636"/>
      <c r="C39" s="636"/>
      <c r="D39" s="636"/>
      <c r="E39" s="636"/>
      <c r="F39" s="636"/>
    </row>
  </sheetData>
  <mergeCells count="17">
    <mergeCell ref="J8:J11"/>
    <mergeCell ref="K8:K11"/>
    <mergeCell ref="L8:L11"/>
    <mergeCell ref="M8:M11"/>
    <mergeCell ref="A1:A4"/>
    <mergeCell ref="B1:D4"/>
    <mergeCell ref="E1:E4"/>
    <mergeCell ref="F1:I1"/>
    <mergeCell ref="J1:M1"/>
    <mergeCell ref="J24:J25"/>
    <mergeCell ref="K24:K25"/>
    <mergeCell ref="L24:L25"/>
    <mergeCell ref="M24:M25"/>
    <mergeCell ref="J27:J29"/>
    <mergeCell ref="K27:K29"/>
    <mergeCell ref="L27:L29"/>
    <mergeCell ref="M27:M29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6"/>
  <sheetViews>
    <sheetView zoomScale="85" zoomScaleNormal="85" workbookViewId="0">
      <selection activeCell="A6" sqref="A6"/>
    </sheetView>
  </sheetViews>
  <sheetFormatPr defaultColWidth="11.44140625" defaultRowHeight="13.2" x14ac:dyDescent="0.25"/>
  <cols>
    <col min="1" max="1" width="24" style="446" customWidth="1"/>
    <col min="2" max="2" width="39.44140625" style="446" customWidth="1"/>
    <col min="3" max="16384" width="11.44140625" style="446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928"/>
      <c r="B4" s="928"/>
      <c r="C4" s="928"/>
      <c r="D4" s="928"/>
      <c r="E4" s="839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x14ac:dyDescent="0.25">
      <c r="A5" s="502" t="s">
        <v>16</v>
      </c>
      <c r="B5" s="590" t="s">
        <v>355</v>
      </c>
      <c r="C5" s="590">
        <v>3.7871750532348199E-4</v>
      </c>
      <c r="D5" s="591" t="s">
        <v>204</v>
      </c>
      <c r="E5" s="599">
        <f>C5/(C5+C6)%</f>
        <v>1.4386536373507064</v>
      </c>
      <c r="F5" s="579">
        <f>VLOOKUP($B5,Suède,2,FALSE)</f>
        <v>0.165854</v>
      </c>
      <c r="G5" s="580">
        <f>VLOOKUP($B5,Suède,3,FALSE)</f>
        <v>6.4902000000000001E-2</v>
      </c>
      <c r="H5" s="580">
        <f>VLOOKUP($B5,Suède,4,FALSE)</f>
        <v>0.49018499999999998</v>
      </c>
      <c r="I5" s="504">
        <f>VLOOKUP($B5,Suède,5,FALSE)</f>
        <v>784.79459999999995</v>
      </c>
      <c r="J5" s="932">
        <f>F5*$E5%+F6*$E6%</f>
        <v>5.0402195711183498E-2</v>
      </c>
      <c r="K5" s="933">
        <f t="shared" ref="K5:L5" si="1">G5*$E5%+G6*$E6%</f>
        <v>16.56450307980456</v>
      </c>
      <c r="L5" s="933">
        <f t="shared" si="1"/>
        <v>0.57257735749185668</v>
      </c>
      <c r="M5" s="934">
        <f>I5*$E5%+I6*$E6%</f>
        <v>364.69282806731815</v>
      </c>
    </row>
    <row r="6" spans="1:13" x14ac:dyDescent="0.25">
      <c r="A6" s="505"/>
      <c r="B6" s="242" t="s">
        <v>356</v>
      </c>
      <c r="C6" s="242">
        <v>2.59457219213125E-2</v>
      </c>
      <c r="D6" s="592" t="s">
        <v>204</v>
      </c>
      <c r="E6" s="600">
        <f>C6/(C6+C5)%</f>
        <v>98.561346362649289</v>
      </c>
      <c r="F6" s="581">
        <f>VLOOKUP($B6,Suède,2,FALSE)</f>
        <v>4.8717000000000003E-2</v>
      </c>
      <c r="G6" s="245">
        <f>VLOOKUP($B6,Suède,3,FALSE)</f>
        <v>16.805340000000001</v>
      </c>
      <c r="H6" s="245">
        <f>VLOOKUP($B6,Suède,4,FALSE)</f>
        <v>0.57377999999999996</v>
      </c>
      <c r="I6" s="507">
        <f>VLOOKUP($B6,Suède,5,FALSE)</f>
        <v>358.56079999999997</v>
      </c>
      <c r="J6" s="929"/>
      <c r="K6" s="930"/>
      <c r="L6" s="930"/>
      <c r="M6" s="931"/>
    </row>
    <row r="7" spans="1:13" x14ac:dyDescent="0.25">
      <c r="A7" s="508" t="s">
        <v>19</v>
      </c>
      <c r="B7" s="235"/>
      <c r="C7" s="235"/>
      <c r="D7" s="453"/>
      <c r="E7" s="601"/>
      <c r="F7" s="455" t="s">
        <v>240</v>
      </c>
      <c r="G7" s="227" t="s">
        <v>240</v>
      </c>
      <c r="H7" s="227" t="s">
        <v>240</v>
      </c>
      <c r="I7" s="448"/>
      <c r="J7" s="455"/>
      <c r="K7" s="227"/>
      <c r="L7" s="227"/>
      <c r="M7" s="448"/>
    </row>
    <row r="8" spans="1:13" x14ac:dyDescent="0.25">
      <c r="A8" s="508" t="s">
        <v>21</v>
      </c>
      <c r="B8" s="235"/>
      <c r="C8" s="235"/>
      <c r="D8" s="453"/>
      <c r="E8" s="601"/>
      <c r="F8" s="455" t="s">
        <v>240</v>
      </c>
      <c r="G8" s="227" t="s">
        <v>240</v>
      </c>
      <c r="H8" s="227" t="s">
        <v>240</v>
      </c>
      <c r="I8" s="448"/>
      <c r="J8" s="455"/>
      <c r="K8" s="227"/>
      <c r="L8" s="227"/>
      <c r="M8" s="448"/>
    </row>
    <row r="9" spans="1:13" x14ac:dyDescent="0.25">
      <c r="A9" s="511" t="s">
        <v>22</v>
      </c>
      <c r="B9" s="135" t="s">
        <v>357</v>
      </c>
      <c r="C9" s="135">
        <v>2.46523659125663E-3</v>
      </c>
      <c r="D9" s="593" t="s">
        <v>204</v>
      </c>
      <c r="E9" s="602">
        <f>C9/SUM($C$9:$C$9)%</f>
        <v>100</v>
      </c>
      <c r="F9" s="565">
        <f>VLOOKUP($B9,Suède,2,FALSE)</f>
        <v>0.61321099999999995</v>
      </c>
      <c r="G9" s="407">
        <f>VLOOKUP($B9,Suède,3,FALSE)</f>
        <v>1.1806000000000001E-2</v>
      </c>
      <c r="H9" s="407">
        <f>VLOOKUP($B9,Suède,4,FALSE)</f>
        <v>11.90448</v>
      </c>
      <c r="I9" s="566">
        <f>VLOOKUP($B9,Suède,5,FALSE)</f>
        <v>397.60219999999998</v>
      </c>
      <c r="J9" s="654">
        <f>F9*E9%</f>
        <v>0.61321099999999995</v>
      </c>
      <c r="K9" s="655">
        <f>G9*F9%</f>
        <v>7.2395690660000003E-5</v>
      </c>
      <c r="L9" s="655">
        <f>H9*G9%</f>
        <v>1.4054429087999999E-3</v>
      </c>
      <c r="M9" s="656">
        <f>I9*H9%</f>
        <v>47.332474378559994</v>
      </c>
    </row>
    <row r="10" spans="1:13" x14ac:dyDescent="0.25">
      <c r="A10" s="511" t="s">
        <v>27</v>
      </c>
      <c r="B10" s="135" t="s">
        <v>358</v>
      </c>
      <c r="C10" s="135">
        <v>2.5724207908764799E-3</v>
      </c>
      <c r="D10" s="593" t="s">
        <v>204</v>
      </c>
      <c r="E10" s="603">
        <f>C10/SUM(C10:C10)%</f>
        <v>100</v>
      </c>
      <c r="F10" s="565">
        <f>VLOOKUP($B10,Suède,2,FALSE)</f>
        <v>1.3685750000000001</v>
      </c>
      <c r="G10" s="407">
        <f>VLOOKUP($B10,Suède,3,FALSE)</f>
        <v>0.14913899999999999</v>
      </c>
      <c r="H10" s="407">
        <f>VLOOKUP($B10,Suède,4,FALSE)</f>
        <v>12.714180000000001</v>
      </c>
      <c r="I10" s="566">
        <f>VLOOKUP($B10,Suède,5,FALSE)</f>
        <v>812.30050000000006</v>
      </c>
      <c r="J10" s="565">
        <f>F10*$E10%</f>
        <v>1.3685750000000001</v>
      </c>
      <c r="K10" s="407">
        <f t="shared" ref="K10:M10" si="2">G10*$E10%</f>
        <v>0.14913899999999999</v>
      </c>
      <c r="L10" s="407">
        <f t="shared" si="2"/>
        <v>12.714180000000001</v>
      </c>
      <c r="M10" s="566">
        <f t="shared" si="2"/>
        <v>812.30050000000006</v>
      </c>
    </row>
    <row r="11" spans="1:13" x14ac:dyDescent="0.25">
      <c r="A11" s="509" t="s">
        <v>30</v>
      </c>
      <c r="B11" s="137" t="s">
        <v>359</v>
      </c>
      <c r="C11" s="137">
        <v>1.0718419961985301E-4</v>
      </c>
      <c r="D11" s="594" t="s">
        <v>204</v>
      </c>
      <c r="E11" s="604">
        <f>C11/(C11+C12)%</f>
        <v>10.94890510948901</v>
      </c>
      <c r="F11" s="582">
        <f>VLOOKUP($B11,Suède,2,FALSE)</f>
        <v>0.85368999999999995</v>
      </c>
      <c r="G11" s="240">
        <f>VLOOKUP($B11,Suède,3,FALSE)</f>
        <v>4.4655E-2</v>
      </c>
      <c r="H11" s="240">
        <f>VLOOKUP($B11,Suède,4,FALSE)</f>
        <v>12.93282</v>
      </c>
      <c r="I11" s="583">
        <f>VLOOKUP($B11,Suède,5,FALSE)</f>
        <v>730.94510000000002</v>
      </c>
      <c r="J11" s="929">
        <f>F11*$E11%+F12*$E12%</f>
        <v>0.83828594160583936</v>
      </c>
      <c r="K11" s="930">
        <f t="shared" ref="K11:L11" si="3">G11*$E11%+G12*$E12%</f>
        <v>4.3849087591240871E-2</v>
      </c>
      <c r="L11" s="930">
        <f t="shared" si="3"/>
        <v>12.699452700729926</v>
      </c>
      <c r="M11" s="931">
        <f>I11*$E11%+I12*$E12%</f>
        <v>717.87836569343062</v>
      </c>
    </row>
    <row r="12" spans="1:13" x14ac:dyDescent="0.25">
      <c r="A12" s="505"/>
      <c r="B12" s="242" t="s">
        <v>360</v>
      </c>
      <c r="C12" s="242">
        <v>8.7176482357480798E-4</v>
      </c>
      <c r="D12" s="592" t="s">
        <v>204</v>
      </c>
      <c r="E12" s="600">
        <f>C12/(C12+C11)%</f>
        <v>89.051094890510981</v>
      </c>
      <c r="F12" s="581">
        <f>VLOOKUP($B12,Suède,2,FALSE)</f>
        <v>0.83639200000000002</v>
      </c>
      <c r="G12" s="245">
        <f>VLOOKUP($B12,Suède,3,FALSE)</f>
        <v>4.3749999999999997E-2</v>
      </c>
      <c r="H12" s="245">
        <f>VLOOKUP($B12,Suède,4,FALSE)</f>
        <v>12.67076</v>
      </c>
      <c r="I12" s="507">
        <f>VLOOKUP($B12,Suède,5,FALSE)</f>
        <v>716.27179999999998</v>
      </c>
      <c r="J12" s="929"/>
      <c r="K12" s="930"/>
      <c r="L12" s="930"/>
      <c r="M12" s="931"/>
    </row>
    <row r="13" spans="1:13" x14ac:dyDescent="0.25">
      <c r="A13" s="508" t="s">
        <v>33</v>
      </c>
      <c r="B13" s="235"/>
      <c r="C13" s="235"/>
      <c r="D13" s="453"/>
      <c r="E13" s="601"/>
      <c r="F13" s="455" t="s">
        <v>240</v>
      </c>
      <c r="G13" s="227" t="s">
        <v>240</v>
      </c>
      <c r="H13" s="227" t="s">
        <v>240</v>
      </c>
      <c r="I13" s="448"/>
      <c r="J13" s="455"/>
      <c r="K13" s="227"/>
      <c r="L13" s="227"/>
      <c r="M13" s="448"/>
    </row>
    <row r="14" spans="1:13" x14ac:dyDescent="0.25">
      <c r="A14" s="511" t="s">
        <v>34</v>
      </c>
      <c r="B14" s="135" t="s">
        <v>361</v>
      </c>
      <c r="C14" s="135">
        <v>1.4291226615980499E-3</v>
      </c>
      <c r="D14" s="593" t="s">
        <v>204</v>
      </c>
      <c r="E14" s="603">
        <f>C14/SUM(C14:C14)%</f>
        <v>100</v>
      </c>
      <c r="F14" s="565">
        <f>VLOOKUP(B14,Suède,2,FALSE)</f>
        <v>1.1758690000000001</v>
      </c>
      <c r="G14" s="407">
        <f>VLOOKUP(B14,Suède,3,FALSE)</f>
        <v>3.1885999999999998E-2</v>
      </c>
      <c r="H14" s="407">
        <f>VLOOKUP(B14,Suède,4,FALSE)</f>
        <v>11.42572</v>
      </c>
      <c r="I14" s="566">
        <f>VLOOKUP(B14,Suède,5,FALSE)</f>
        <v>713.74090000000001</v>
      </c>
      <c r="J14" s="565">
        <f>F14*$E14%</f>
        <v>1.1758690000000001</v>
      </c>
      <c r="K14" s="407">
        <f t="shared" ref="K14" si="4">G14*$E14%</f>
        <v>3.1885999999999998E-2</v>
      </c>
      <c r="L14" s="407">
        <f t="shared" ref="L14" si="5">H14*$E14%</f>
        <v>11.42572</v>
      </c>
      <c r="M14" s="566">
        <f t="shared" ref="M14" si="6">I14*$E14%</f>
        <v>713.74090000000001</v>
      </c>
    </row>
    <row r="15" spans="1:13" x14ac:dyDescent="0.25">
      <c r="A15" s="508" t="s">
        <v>35</v>
      </c>
      <c r="B15" s="235"/>
      <c r="C15" s="235"/>
      <c r="D15" s="453"/>
      <c r="E15" s="601"/>
      <c r="F15" s="455" t="s">
        <v>240</v>
      </c>
      <c r="G15" s="227" t="s">
        <v>240</v>
      </c>
      <c r="H15" s="227" t="s">
        <v>240</v>
      </c>
      <c r="I15" s="448"/>
      <c r="J15" s="455"/>
      <c r="K15" s="227"/>
      <c r="L15" s="227"/>
      <c r="M15" s="448"/>
    </row>
    <row r="16" spans="1:13" x14ac:dyDescent="0.25">
      <c r="A16" s="508" t="s">
        <v>38</v>
      </c>
      <c r="B16" s="235"/>
      <c r="C16" s="235"/>
      <c r="D16" s="453"/>
      <c r="E16" s="601"/>
      <c r="F16" s="455"/>
      <c r="G16" s="227"/>
      <c r="H16" s="227"/>
      <c r="I16" s="448"/>
      <c r="J16" s="455"/>
      <c r="K16" s="227"/>
      <c r="L16" s="227"/>
      <c r="M16" s="448"/>
    </row>
    <row r="17" spans="1:13" x14ac:dyDescent="0.25">
      <c r="A17" s="511" t="s">
        <v>40</v>
      </c>
      <c r="B17" s="135" t="s">
        <v>346</v>
      </c>
      <c r="C17" s="135">
        <v>0.36078916153373503</v>
      </c>
      <c r="D17" s="593" t="s">
        <v>204</v>
      </c>
      <c r="E17" s="603">
        <f>C17/SUM(C17:C17)%</f>
        <v>100</v>
      </c>
      <c r="F17" s="565">
        <f>VLOOKUP($B17,Suède,2,FALSE)</f>
        <v>4.3660000000000001E-3</v>
      </c>
      <c r="G17" s="407">
        <f>VLOOKUP($B17,Suède,3,FALSE)</f>
        <v>3.7930769999999998</v>
      </c>
      <c r="H17" s="407">
        <f>VLOOKUP($B17,Suède,4,FALSE)</f>
        <v>4.3333000000000003E-2</v>
      </c>
      <c r="I17" s="566">
        <f>VLOOKUP($B17,Suède,5,FALSE)</f>
        <v>11.91413</v>
      </c>
      <c r="J17" s="565">
        <f>F17*$E17%</f>
        <v>4.3660000000000001E-3</v>
      </c>
      <c r="K17" s="407">
        <f t="shared" ref="K17:M17" si="7">G17*$E17%</f>
        <v>3.7930769999999998</v>
      </c>
      <c r="L17" s="407">
        <f t="shared" si="7"/>
        <v>4.3333000000000003E-2</v>
      </c>
      <c r="M17" s="566">
        <f t="shared" si="7"/>
        <v>11.91413</v>
      </c>
    </row>
    <row r="18" spans="1:13" x14ac:dyDescent="0.25">
      <c r="A18" s="576" t="s">
        <v>42</v>
      </c>
      <c r="B18" s="135" t="s">
        <v>362</v>
      </c>
      <c r="C18" s="135">
        <v>9.0199076786760604E-2</v>
      </c>
      <c r="D18" s="593" t="s">
        <v>204</v>
      </c>
      <c r="E18" s="603">
        <f>C18/SUM(C18:C18)%</f>
        <v>100</v>
      </c>
      <c r="F18" s="565">
        <f>VLOOKUP($B18,Suède,2,FALSE)</f>
        <v>5.1216999999999999E-2</v>
      </c>
      <c r="G18" s="407">
        <f>VLOOKUP($B18,Suède,3,FALSE)</f>
        <v>3.7941950000000002</v>
      </c>
      <c r="H18" s="407">
        <f>VLOOKUP($B18,Suède,4,FALSE)</f>
        <v>5.8189999999999999E-2</v>
      </c>
      <c r="I18" s="566">
        <f>VLOOKUP($B18,Suède,5,FALSE)</f>
        <v>33.763800000000003</v>
      </c>
      <c r="J18" s="565">
        <f>F18*$E18%</f>
        <v>5.1216999999999999E-2</v>
      </c>
      <c r="K18" s="407">
        <f t="shared" ref="K18" si="8">G18*$E18%</f>
        <v>3.7941950000000002</v>
      </c>
      <c r="L18" s="407">
        <f t="shared" ref="L18" si="9">H18*$E18%</f>
        <v>5.8189999999999999E-2</v>
      </c>
      <c r="M18" s="566">
        <f t="shared" ref="M18" si="10">I18*$E18%</f>
        <v>33.763800000000003</v>
      </c>
    </row>
    <row r="19" spans="1:13" x14ac:dyDescent="0.25">
      <c r="A19" s="508" t="s">
        <v>44</v>
      </c>
      <c r="B19" s="235"/>
      <c r="C19" s="235"/>
      <c r="D19" s="453"/>
      <c r="E19" s="601"/>
      <c r="F19" s="455" t="s">
        <v>240</v>
      </c>
      <c r="G19" s="227" t="s">
        <v>240</v>
      </c>
      <c r="H19" s="227" t="s">
        <v>240</v>
      </c>
      <c r="I19" s="448"/>
      <c r="J19" s="455"/>
      <c r="K19" s="227"/>
      <c r="L19" s="227"/>
      <c r="M19" s="448"/>
    </row>
    <row r="20" spans="1:13" x14ac:dyDescent="0.25">
      <c r="A20" s="575" t="s">
        <v>45</v>
      </c>
      <c r="B20" s="137" t="s">
        <v>363</v>
      </c>
      <c r="C20" s="137">
        <v>0.129164106155231</v>
      </c>
      <c r="D20" s="594" t="s">
        <v>204</v>
      </c>
      <c r="E20" s="605">
        <f>C20/SUM($C$20:$C$21)%</f>
        <v>29.640561458743196</v>
      </c>
      <c r="F20" s="582">
        <f>VLOOKUP($B20,Suède,2,FALSE)</f>
        <v>1.2675000000000001E-2</v>
      </c>
      <c r="G20" s="240">
        <f>VLOOKUP($B20,Suède,3,FALSE)</f>
        <v>2.2377000000000001E-2</v>
      </c>
      <c r="H20" s="240">
        <f>VLOOKUP($B20,Suède,4,FALSE)</f>
        <v>14.24422</v>
      </c>
      <c r="I20" s="583">
        <f>VLOOKUP($B20,Suède,5,FALSE)</f>
        <v>338.90370000000001</v>
      </c>
      <c r="J20" s="929">
        <f>F20*$E20%+F21*$E21%</f>
        <v>1.2160672504263411E-2</v>
      </c>
      <c r="K20" s="930">
        <f t="shared" ref="K20" si="11">G20*$E20%+G21*$E21%</f>
        <v>2.0685559097468185E-2</v>
      </c>
      <c r="L20" s="930">
        <f t="shared" ref="L20" si="12">H20*$E20%+H21*$E21%</f>
        <v>13.65075924373606</v>
      </c>
      <c r="M20" s="931">
        <f>I20*$E20%+I21*$E21%</f>
        <v>320.97548182474088</v>
      </c>
    </row>
    <row r="21" spans="1:13" s="564" customFormat="1" x14ac:dyDescent="0.25">
      <c r="A21" s="568"/>
      <c r="B21" s="242" t="s">
        <v>364</v>
      </c>
      <c r="C21" s="242">
        <v>0.30660397581924498</v>
      </c>
      <c r="D21" s="592" t="s">
        <v>204</v>
      </c>
      <c r="E21" s="606">
        <f>C21/SUM($C$20:$C$21)%</f>
        <v>70.359438541256793</v>
      </c>
      <c r="F21" s="581">
        <f>VLOOKUP($B21,Suède,2,FALSE)</f>
        <v>1.1944E-2</v>
      </c>
      <c r="G21" s="245">
        <f>VLOOKUP($B21,Suède,3,FALSE)</f>
        <v>1.9973000000000001E-2</v>
      </c>
      <c r="H21" s="245">
        <f>VLOOKUP($B21,Suède,4,FALSE)</f>
        <v>13.40075</v>
      </c>
      <c r="I21" s="507">
        <f>VLOOKUP($B21,Suède,5,FALSE)</f>
        <v>313.4228</v>
      </c>
      <c r="J21" s="929"/>
      <c r="K21" s="930"/>
      <c r="L21" s="930"/>
      <c r="M21" s="931"/>
    </row>
    <row r="22" spans="1:13" x14ac:dyDescent="0.25">
      <c r="A22" s="577" t="s">
        <v>46</v>
      </c>
      <c r="B22" s="321" t="str">
        <f>IF(B33=A34,B34,IF(B33=A35,B35,IF(B33=A36,B36,"")))</f>
        <v>Electricity, high voltage {BG}| electricity production, hard coal | Cut-off, U</v>
      </c>
      <c r="C22" s="569"/>
      <c r="D22" s="570"/>
      <c r="E22" s="607">
        <v>100</v>
      </c>
      <c r="F22" s="571">
        <f>VLOOKUP($B22,$B$34:$F$36,2,FALSE)</f>
        <v>2.0395629999999998</v>
      </c>
      <c r="G22" s="572">
        <f>VLOOKUP($B22,$B$34:$F$36,3,FALSE)</f>
        <v>0.222385</v>
      </c>
      <c r="H22" s="572">
        <f>VLOOKUP($B22,$B$34:$F$36,4,FALSE)</f>
        <v>19.09919</v>
      </c>
      <c r="I22" s="573">
        <f>VLOOKUP($B22,$B$34:$F$36,5,FALSE)</f>
        <v>1486.056</v>
      </c>
      <c r="J22" s="571">
        <f>F22*$E$22%</f>
        <v>2.0395629999999998</v>
      </c>
      <c r="K22" s="572">
        <f>G22*$E$22%</f>
        <v>0.222385</v>
      </c>
      <c r="L22" s="572">
        <f>H22*$E$22%</f>
        <v>19.09919</v>
      </c>
      <c r="M22" s="573">
        <f>I22*$E$22%</f>
        <v>1486.056</v>
      </c>
    </row>
    <row r="23" spans="1:13" x14ac:dyDescent="0.25">
      <c r="A23" s="508" t="s">
        <v>47</v>
      </c>
      <c r="B23" s="235"/>
      <c r="C23" s="235"/>
      <c r="D23" s="453"/>
      <c r="E23" s="601"/>
      <c r="F23" s="455"/>
      <c r="G23" s="227"/>
      <c r="H23" s="227"/>
      <c r="I23" s="448"/>
      <c r="J23" s="455"/>
      <c r="K23" s="227"/>
      <c r="L23" s="227"/>
      <c r="M23" s="448"/>
    </row>
    <row r="24" spans="1:13" x14ac:dyDescent="0.25">
      <c r="A24" s="508" t="s">
        <v>48</v>
      </c>
      <c r="B24" s="235"/>
      <c r="C24" s="235"/>
      <c r="D24" s="453"/>
      <c r="E24" s="601"/>
      <c r="F24" s="455"/>
      <c r="G24" s="227"/>
      <c r="H24" s="227"/>
      <c r="I24" s="448"/>
      <c r="J24" s="455"/>
      <c r="K24" s="227"/>
      <c r="L24" s="227"/>
      <c r="M24" s="448"/>
    </row>
    <row r="25" spans="1:13" x14ac:dyDescent="0.25">
      <c r="A25" s="576" t="s">
        <v>50</v>
      </c>
      <c r="B25" s="135" t="s">
        <v>365</v>
      </c>
      <c r="C25" s="135">
        <v>3.2012347619796199E-3</v>
      </c>
      <c r="D25" s="593" t="s">
        <v>204</v>
      </c>
      <c r="E25" s="603">
        <f>C25/SUM(C25:C25)%</f>
        <v>100</v>
      </c>
      <c r="F25" s="565">
        <f>VLOOKUP($B25,Suède,2,FALSE)</f>
        <v>1.5521E-2</v>
      </c>
      <c r="G25" s="407">
        <f>VLOOKUP($B25,Suède,3,FALSE)</f>
        <v>3.8848600000000002</v>
      </c>
      <c r="H25" s="407">
        <f>VLOOKUP($B25,Suède,4,FALSE)</f>
        <v>0.19017200000000001</v>
      </c>
      <c r="I25" s="566">
        <f>VLOOKUP($B25,Suède,5,FALSE)</f>
        <v>37.239910000000002</v>
      </c>
      <c r="J25" s="565">
        <f>F25*$E25%</f>
        <v>1.5521E-2</v>
      </c>
      <c r="K25" s="407">
        <f t="shared" ref="K25:M25" si="13">G25*$E25%</f>
        <v>3.8848600000000002</v>
      </c>
      <c r="L25" s="407">
        <f t="shared" si="13"/>
        <v>0.19017200000000001</v>
      </c>
      <c r="M25" s="566">
        <f t="shared" si="13"/>
        <v>37.239910000000002</v>
      </c>
    </row>
    <row r="26" spans="1:13" x14ac:dyDescent="0.25">
      <c r="A26" s="578" t="s">
        <v>51</v>
      </c>
      <c r="B26" s="137" t="s">
        <v>366</v>
      </c>
      <c r="C26" s="137">
        <v>1.11685936003887E-2</v>
      </c>
      <c r="D26" s="594" t="s">
        <v>204</v>
      </c>
      <c r="E26" s="604">
        <f>C26/SUM($C$26:$C$28)%</f>
        <v>14.643057897695298</v>
      </c>
      <c r="F26" s="582">
        <f>VLOOKUP($B26,Suède,2,FALSE)</f>
        <v>1.5292999999999999E-2</v>
      </c>
      <c r="G26" s="240">
        <f>VLOOKUP($B26,Suède,3,FALSE)</f>
        <v>3.8858890000000001</v>
      </c>
      <c r="H26" s="240">
        <f>VLOOKUP($B26,Suède,4,FALSE)</f>
        <v>0.19115599999999999</v>
      </c>
      <c r="I26" s="583">
        <f>VLOOKUP($B26,Suède,5,FALSE)</f>
        <v>36.166780000000003</v>
      </c>
      <c r="J26" s="929">
        <f>(F26*$E26+F27*$E27+F28*$E28)%</f>
        <v>1.5997455780400974E-2</v>
      </c>
      <c r="K26" s="930">
        <f t="shared" ref="K26:L26" si="14">(G26*$E26+G27*$E27+G28*$E28)%</f>
        <v>3.8844834653363312</v>
      </c>
      <c r="L26" s="930">
        <f t="shared" si="14"/>
        <v>0.21444735928424211</v>
      </c>
      <c r="M26" s="931">
        <f>(I26*$E26+I27*$E27+I28*$E28)%</f>
        <v>37.705736155143342</v>
      </c>
    </row>
    <row r="27" spans="1:13" x14ac:dyDescent="0.25">
      <c r="A27" s="510"/>
      <c r="B27" s="138" t="s">
        <v>367</v>
      </c>
      <c r="C27" s="138">
        <v>3.7157189201549203E-4</v>
      </c>
      <c r="D27" s="584" t="s">
        <v>204</v>
      </c>
      <c r="E27" s="608">
        <f>C27/SUM($C$26:$C$28)%</f>
        <v>0.48716507401161718</v>
      </c>
      <c r="F27" s="585">
        <f>VLOOKUP($B27,Suède,2,FALSE)</f>
        <v>2.5579000000000001E-2</v>
      </c>
      <c r="G27" s="586">
        <f>VLOOKUP($B27,Suède,3,FALSE)</f>
        <v>3.890574</v>
      </c>
      <c r="H27" s="586">
        <f>VLOOKUP($B27,Suède,4,FALSE)</f>
        <v>0.30973200000000001</v>
      </c>
      <c r="I27" s="587">
        <f>VLOOKUP($B27,Suède,5,FALSE)</f>
        <v>81.412080000000003</v>
      </c>
      <c r="J27" s="929"/>
      <c r="K27" s="930"/>
      <c r="L27" s="930"/>
      <c r="M27" s="931"/>
    </row>
    <row r="28" spans="1:13" x14ac:dyDescent="0.25">
      <c r="A28" s="505"/>
      <c r="B28" s="242" t="s">
        <v>368</v>
      </c>
      <c r="C28" s="242">
        <v>6.4732110957083505E-2</v>
      </c>
      <c r="D28" s="592" t="s">
        <v>204</v>
      </c>
      <c r="E28" s="600">
        <f>C28/SUM($C$26:$C$28)%</f>
        <v>84.869777028293086</v>
      </c>
      <c r="F28" s="581">
        <f>VLOOKUP($B28,Suède,2,FALSE)</f>
        <v>1.6063999999999998E-2</v>
      </c>
      <c r="G28" s="245">
        <f>VLOOKUP($B28,Suède,3,FALSE)</f>
        <v>3.8842059999999998</v>
      </c>
      <c r="H28" s="245">
        <f>VLOOKUP($B28,Suède,4,FALSE)</f>
        <v>0.217919</v>
      </c>
      <c r="I28" s="507">
        <f>VLOOKUP($B28,Suède,5,FALSE)</f>
        <v>37.720379999999999</v>
      </c>
      <c r="J28" s="929"/>
      <c r="K28" s="930"/>
      <c r="L28" s="930"/>
      <c r="M28" s="931"/>
    </row>
    <row r="29" spans="1:13" ht="13.8" thickBot="1" x14ac:dyDescent="0.3">
      <c r="A29" s="595" t="s">
        <v>286</v>
      </c>
      <c r="B29" s="596"/>
      <c r="C29" s="597"/>
      <c r="D29" s="598"/>
      <c r="E29" s="609"/>
      <c r="F29" s="610"/>
      <c r="G29" s="611"/>
      <c r="H29" s="611"/>
      <c r="I29" s="612"/>
      <c r="J29" s="613"/>
      <c r="K29" s="614"/>
      <c r="L29" s="614"/>
      <c r="M29" s="615"/>
    </row>
    <row r="30" spans="1:13" x14ac:dyDescent="0.25">
      <c r="A30" s="90"/>
      <c r="B30" s="636"/>
      <c r="C30" s="636">
        <f>SUM(C2:C29)</f>
        <v>1.0000000000000007</v>
      </c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5">
      <c r="A31" s="68"/>
      <c r="B31" s="439"/>
      <c r="C31" s="68"/>
      <c r="D31" s="70"/>
      <c r="E31" s="70"/>
      <c r="F31" s="70"/>
      <c r="G31" s="70"/>
      <c r="H31" s="636"/>
      <c r="I31" s="636"/>
      <c r="J31" s="636"/>
      <c r="K31" s="636"/>
      <c r="L31" s="636"/>
      <c r="M31" s="636"/>
    </row>
    <row r="32" spans="1:13" x14ac:dyDescent="0.25">
      <c r="A32" s="1" t="s">
        <v>58</v>
      </c>
      <c r="B32" s="636"/>
      <c r="C32" s="636">
        <v>2</v>
      </c>
      <c r="D32" s="636">
        <v>3</v>
      </c>
      <c r="E32" s="636">
        <v>4</v>
      </c>
      <c r="F32" s="636">
        <v>5</v>
      </c>
      <c r="G32" s="70"/>
    </row>
    <row r="33" spans="1:7" x14ac:dyDescent="0.25">
      <c r="A33" s="1" t="s">
        <v>59</v>
      </c>
      <c r="B33" s="402" t="s">
        <v>60</v>
      </c>
      <c r="C33" s="638" t="s">
        <v>5</v>
      </c>
      <c r="D33" s="638" t="s">
        <v>6</v>
      </c>
      <c r="E33" s="638" t="s">
        <v>7</v>
      </c>
      <c r="F33" s="638" t="s">
        <v>8</v>
      </c>
      <c r="G33" s="76"/>
    </row>
    <row r="34" spans="1:7" x14ac:dyDescent="0.25">
      <c r="A34" s="91" t="s">
        <v>60</v>
      </c>
      <c r="B34" s="68" t="s">
        <v>175</v>
      </c>
      <c r="C34" s="616">
        <f>VLOOKUP($B34,Bulgarie,C$32,FALSE)</f>
        <v>2.0395629999999998</v>
      </c>
      <c r="D34" s="616">
        <f>VLOOKUP($B34,Bulgarie,D32,FALSE)</f>
        <v>0.222385</v>
      </c>
      <c r="E34" s="616">
        <f>VLOOKUP($B34,Bulgarie,E32,FALSE)</f>
        <v>19.09919</v>
      </c>
      <c r="F34" s="616">
        <f>VLOOKUP($B34,Bulgarie,F32,FALSE)</f>
        <v>1486.056</v>
      </c>
      <c r="G34" s="442"/>
    </row>
    <row r="35" spans="1:7" x14ac:dyDescent="0.25">
      <c r="A35" s="91" t="s">
        <v>61</v>
      </c>
      <c r="B35" s="441" t="str">
        <f>B9</f>
        <v>Electricity, high voltage {SE}| heat and power co-generation, natural gas, conventional power plant, 100MW electrical | Cut-off, U</v>
      </c>
      <c r="C35" s="616">
        <f>VLOOKUP($B35,Suède,C$32,FALSE)</f>
        <v>0.61321099999999995</v>
      </c>
      <c r="D35" s="616">
        <f>VLOOKUP($B35,Suède,D$32,FALSE)</f>
        <v>1.1806000000000001E-2</v>
      </c>
      <c r="E35" s="616">
        <f>VLOOKUP($B35,Suède,E$32,FALSE)</f>
        <v>11.90448</v>
      </c>
      <c r="F35" s="616">
        <f>VLOOKUP($B35,Suède,F$32,FALSE)</f>
        <v>397.60219999999998</v>
      </c>
      <c r="G35" s="76"/>
    </row>
    <row r="36" spans="1:7" x14ac:dyDescent="0.25">
      <c r="A36" s="91" t="s">
        <v>62</v>
      </c>
      <c r="B36" s="68" t="s">
        <v>369</v>
      </c>
      <c r="C36" s="617">
        <f>AVERAGE(F9:F12,F14)</f>
        <v>0.96954740000000006</v>
      </c>
      <c r="D36" s="617">
        <f t="shared" ref="D36:F36" si="15">AVERAGE(G9:G12,G14)</f>
        <v>5.6247200000000011E-2</v>
      </c>
      <c r="E36" s="617">
        <f t="shared" si="15"/>
        <v>12.329592</v>
      </c>
      <c r="F36" s="617">
        <f t="shared" si="15"/>
        <v>674.1721</v>
      </c>
      <c r="G36" s="636"/>
    </row>
  </sheetData>
  <mergeCells count="21">
    <mergeCell ref="J5:J6"/>
    <mergeCell ref="K5:K6"/>
    <mergeCell ref="L5:L6"/>
    <mergeCell ref="M5:M6"/>
    <mergeCell ref="A1:A4"/>
    <mergeCell ref="B1:D4"/>
    <mergeCell ref="E1:E4"/>
    <mergeCell ref="F1:I1"/>
    <mergeCell ref="J1:M1"/>
    <mergeCell ref="J26:J28"/>
    <mergeCell ref="K26:K28"/>
    <mergeCell ref="L26:L28"/>
    <mergeCell ref="M26:M28"/>
    <mergeCell ref="J11:J12"/>
    <mergeCell ref="K11:K12"/>
    <mergeCell ref="L11:L12"/>
    <mergeCell ref="M11:M12"/>
    <mergeCell ref="J20:J21"/>
    <mergeCell ref="K20:K21"/>
    <mergeCell ref="L20:L21"/>
    <mergeCell ref="M20:M21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9"/>
  <sheetViews>
    <sheetView zoomScale="85" zoomScaleNormal="85" workbookViewId="0">
      <selection sqref="A1:A4"/>
    </sheetView>
  </sheetViews>
  <sheetFormatPr defaultColWidth="11.44140625" defaultRowHeight="13.2" x14ac:dyDescent="0.25"/>
  <cols>
    <col min="1" max="1" width="24" style="300" customWidth="1"/>
    <col min="2" max="2" width="88" style="300" customWidth="1"/>
    <col min="3" max="16384" width="11.44140625" style="300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928"/>
      <c r="B4" s="928"/>
      <c r="C4" s="928"/>
      <c r="D4" s="928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502" t="s">
        <v>16</v>
      </c>
      <c r="B5" s="472" t="s">
        <v>370</v>
      </c>
      <c r="C5" s="472">
        <v>1.10214384754862E-2</v>
      </c>
      <c r="D5" s="473" t="s">
        <v>204</v>
      </c>
      <c r="E5" s="503">
        <f>C5/(C5+C6)%</f>
        <v>9.7607052896725381</v>
      </c>
      <c r="F5" s="474">
        <f>VLOOKUP($B5,Denmark,2,FALSE)</f>
        <v>0.165854</v>
      </c>
      <c r="G5" s="475">
        <f>VLOOKUP($B5,Denmark,3,FALSE)</f>
        <v>6.4902000000000001E-2</v>
      </c>
      <c r="H5" s="475">
        <f>VLOOKUP($B5,Denmark,4,FALSE)</f>
        <v>0.49018499999999998</v>
      </c>
      <c r="I5" s="504">
        <f>VLOOKUP($B5,Denmark,5,FALSE)</f>
        <v>784.82569999999998</v>
      </c>
      <c r="J5" s="935">
        <f>F5*$E5%+F6*$E6%</f>
        <v>6.0150397355163719E-2</v>
      </c>
      <c r="K5" s="936">
        <f t="shared" ref="K5:L5" si="1">G5*$E5%+G6*$E6%</f>
        <v>15.171355182619649</v>
      </c>
      <c r="L5" s="936">
        <f t="shared" si="1"/>
        <v>0.56562053841309812</v>
      </c>
      <c r="M5" s="937">
        <f>I5*$E5%+I6*$E6%</f>
        <v>400.16157556675063</v>
      </c>
    </row>
    <row r="6" spans="1:13" x14ac:dyDescent="0.25">
      <c r="A6" s="505"/>
      <c r="B6" s="259" t="s">
        <v>371</v>
      </c>
      <c r="C6" s="259">
        <v>0.101894976357237</v>
      </c>
      <c r="D6" s="476" t="s">
        <v>204</v>
      </c>
      <c r="E6" s="506">
        <f>C6/(C6+C5)%</f>
        <v>90.239294710327457</v>
      </c>
      <c r="F6" s="477">
        <f>VLOOKUP($B6,Denmark,2,FALSE)</f>
        <v>4.8717000000000003E-2</v>
      </c>
      <c r="G6" s="216">
        <f>VLOOKUP($B6,Denmark,3,FALSE)</f>
        <v>16.805340000000001</v>
      </c>
      <c r="H6" s="216">
        <f>VLOOKUP($B6,Denmark,4,FALSE)</f>
        <v>0.57377999999999996</v>
      </c>
      <c r="I6" s="507">
        <f>VLOOKUP($B6,Denmark,5,FALSE)</f>
        <v>358.55450000000002</v>
      </c>
      <c r="J6" s="924"/>
      <c r="K6" s="886"/>
      <c r="L6" s="886"/>
      <c r="M6" s="889"/>
    </row>
    <row r="7" spans="1:13" x14ac:dyDescent="0.25">
      <c r="A7" s="508" t="s">
        <v>19</v>
      </c>
      <c r="B7" s="235"/>
      <c r="C7" s="235"/>
      <c r="D7" s="453"/>
      <c r="E7" s="454"/>
      <c r="F7" s="455" t="s">
        <v>240</v>
      </c>
      <c r="G7" s="227" t="s">
        <v>240</v>
      </c>
      <c r="H7" s="227" t="s">
        <v>240</v>
      </c>
      <c r="I7" s="448"/>
      <c r="J7" s="278"/>
      <c r="K7" s="227"/>
      <c r="L7" s="227"/>
      <c r="M7" s="228"/>
    </row>
    <row r="8" spans="1:13" x14ac:dyDescent="0.25">
      <c r="A8" s="508" t="s">
        <v>21</v>
      </c>
      <c r="B8" s="235"/>
      <c r="C8" s="235"/>
      <c r="D8" s="453"/>
      <c r="E8" s="454"/>
      <c r="F8" s="455" t="s">
        <v>240</v>
      </c>
      <c r="G8" s="227" t="s">
        <v>240</v>
      </c>
      <c r="H8" s="227" t="s">
        <v>240</v>
      </c>
      <c r="I8" s="448"/>
      <c r="J8" s="278"/>
      <c r="K8" s="227"/>
      <c r="L8" s="227"/>
      <c r="M8" s="228"/>
    </row>
    <row r="9" spans="1:13" x14ac:dyDescent="0.25">
      <c r="A9" s="509" t="s">
        <v>22</v>
      </c>
      <c r="B9" s="263" t="s">
        <v>372</v>
      </c>
      <c r="C9" s="263">
        <v>2.55981796850002E-3</v>
      </c>
      <c r="D9" s="478" t="s">
        <v>204</v>
      </c>
      <c r="E9" s="479">
        <f>C9/SUM($C$9:$C$10)%</f>
        <v>4.5056320400500631</v>
      </c>
      <c r="F9" s="480">
        <f>VLOOKUP($B9,Denmark,2,FALSE)</f>
        <v>0.448961</v>
      </c>
      <c r="G9" s="219">
        <f>VLOOKUP($B9,Denmark,3,FALSE)</f>
        <v>8.0339999999999995E-3</v>
      </c>
      <c r="H9" s="219">
        <f>VLOOKUP($B9,Denmark,4,FALSE)</f>
        <v>8.8465109999999996</v>
      </c>
      <c r="I9" s="481">
        <f>VLOOKUP($B9,Denmark,5,FALSE)</f>
        <v>283.42009999999999</v>
      </c>
      <c r="J9" s="922">
        <f>F9*E9%+F10*E10%</f>
        <v>0.50963430162703383</v>
      </c>
      <c r="K9" s="884">
        <f>G9*F9%+G10*F10%</f>
        <v>8.8533844629999989E-5</v>
      </c>
      <c r="L9" s="884">
        <f>H9*G9%+H10*G10%</f>
        <v>1.7428793372399999E-3</v>
      </c>
      <c r="M9" s="887">
        <f>I9*H9%+I10*H10%</f>
        <v>58.406103924710997</v>
      </c>
    </row>
    <row r="10" spans="1:13" x14ac:dyDescent="0.25">
      <c r="A10" s="510"/>
      <c r="B10" s="267" t="s">
        <v>373</v>
      </c>
      <c r="C10" s="267">
        <v>5.4253919721264303E-2</v>
      </c>
      <c r="D10" s="482" t="s">
        <v>204</v>
      </c>
      <c r="E10" s="483">
        <f>C10/SUM($C$9:$C$10)%</f>
        <v>95.49436795994994</v>
      </c>
      <c r="F10" s="477">
        <f>VLOOKUP($B10,Denmark,2,FALSE)</f>
        <v>0.51249699999999998</v>
      </c>
      <c r="G10" s="216">
        <f>VLOOKUP($B10,Denmark,3,FALSE)</f>
        <v>1.0237E-2</v>
      </c>
      <c r="H10" s="216">
        <f>VLOOKUP($B10,Denmark,4,FALSE)</f>
        <v>10.082549999999999</v>
      </c>
      <c r="I10" s="484">
        <f>VLOOKUP($B10,Denmark,5,FALSE)</f>
        <v>330.60399999999998</v>
      </c>
      <c r="J10" s="923"/>
      <c r="K10" s="885"/>
      <c r="L10" s="885"/>
      <c r="M10" s="888"/>
    </row>
    <row r="11" spans="1:13" x14ac:dyDescent="0.25">
      <c r="A11" s="511" t="s">
        <v>27</v>
      </c>
      <c r="B11" s="271" t="s">
        <v>374</v>
      </c>
      <c r="C11" s="271">
        <v>0.36576954527678002</v>
      </c>
      <c r="D11" s="485" t="s">
        <v>204</v>
      </c>
      <c r="E11" s="486"/>
      <c r="F11" s="487">
        <f>VLOOKUP($B11,Denmark,2,FALSE)</f>
        <v>1.0552360000000001</v>
      </c>
      <c r="G11" s="217">
        <f>VLOOKUP($B11,Denmark,3,FALSE)</f>
        <v>0.114776</v>
      </c>
      <c r="H11" s="217">
        <f>VLOOKUP($B11,Denmark,4,FALSE)</f>
        <v>9.8007580000000001</v>
      </c>
      <c r="I11" s="488">
        <f>VLOOKUP($B11,Denmark,5,FALSE)</f>
        <v>623.00609999999995</v>
      </c>
      <c r="J11" s="274">
        <f>F11*$E11%</f>
        <v>0</v>
      </c>
      <c r="K11" s="217">
        <f t="shared" ref="K11:M11" si="2">G11*$E11%</f>
        <v>0</v>
      </c>
      <c r="L11" s="217">
        <f t="shared" si="2"/>
        <v>0</v>
      </c>
      <c r="M11" s="218">
        <f t="shared" si="2"/>
        <v>0</v>
      </c>
    </row>
    <row r="12" spans="1:13" x14ac:dyDescent="0.25">
      <c r="A12" s="509" t="s">
        <v>30</v>
      </c>
      <c r="B12" s="263" t="s">
        <v>375</v>
      </c>
      <c r="C12" s="263">
        <v>7.4661357414583897E-4</v>
      </c>
      <c r="D12" s="478" t="s">
        <v>204</v>
      </c>
      <c r="E12" s="512">
        <f>C12/(C12+C13)%</f>
        <v>20.588235294117656</v>
      </c>
      <c r="F12" s="480">
        <f>VLOOKUP($B12,Denmark,2,FALSE)</f>
        <v>1.2399089999999999</v>
      </c>
      <c r="G12" s="219">
        <f>VLOOKUP($B12,Denmark,3,FALSE)</f>
        <v>6.3057000000000002E-2</v>
      </c>
      <c r="H12" s="219">
        <f>VLOOKUP($B12,Denmark,4,FALSE)</f>
        <v>18.262139999999999</v>
      </c>
      <c r="I12" s="481">
        <f>VLOOKUP($B12,Denmark,5,FALSE)</f>
        <v>1304.6990000000001</v>
      </c>
      <c r="J12" s="922">
        <f>F12*$E12%+F13*$E13%</f>
        <v>1.0212582352941175</v>
      </c>
      <c r="K12" s="884">
        <f t="shared" ref="K12:L12" si="3">G12*$E12%+G13*$E13%</f>
        <v>5.1936970588235293E-2</v>
      </c>
      <c r="L12" s="884">
        <f t="shared" si="3"/>
        <v>15.041714999999998</v>
      </c>
      <c r="M12" s="889">
        <f>I12*$E12%+I13*$E13%</f>
        <v>1074.6232647058823</v>
      </c>
    </row>
    <row r="13" spans="1:13" x14ac:dyDescent="0.25">
      <c r="A13" s="505"/>
      <c r="B13" s="259" t="s">
        <v>376</v>
      </c>
      <c r="C13" s="259">
        <v>2.8797952145625202E-3</v>
      </c>
      <c r="D13" s="476" t="s">
        <v>204</v>
      </c>
      <c r="E13" s="506">
        <f>C13/(C13+C12)%</f>
        <v>79.411764705882334</v>
      </c>
      <c r="F13" s="477">
        <f>VLOOKUP($B13,Denmark,2,FALSE)</f>
        <v>0.96457099999999996</v>
      </c>
      <c r="G13" s="216">
        <f>VLOOKUP($B13,Denmark,3,FALSE)</f>
        <v>4.9054E-2</v>
      </c>
      <c r="H13" s="216">
        <f>VLOOKUP($B13,Denmark,4,FALSE)</f>
        <v>14.20679</v>
      </c>
      <c r="I13" s="484">
        <f>VLOOKUP($B13,Denmark,5,FALSE)</f>
        <v>1014.974</v>
      </c>
      <c r="J13" s="924"/>
      <c r="K13" s="886"/>
      <c r="L13" s="886"/>
      <c r="M13" s="889"/>
    </row>
    <row r="14" spans="1:13" x14ac:dyDescent="0.25">
      <c r="A14" s="508" t="s">
        <v>33</v>
      </c>
      <c r="B14" s="235"/>
      <c r="C14" s="235"/>
      <c r="D14" s="453"/>
      <c r="E14" s="454"/>
      <c r="F14" s="455" t="s">
        <v>240</v>
      </c>
      <c r="G14" s="227" t="s">
        <v>240</v>
      </c>
      <c r="H14" s="227" t="s">
        <v>240</v>
      </c>
      <c r="I14" s="448"/>
      <c r="J14" s="278"/>
      <c r="K14" s="227"/>
      <c r="L14" s="227"/>
      <c r="M14" s="228"/>
    </row>
    <row r="15" spans="1:13" x14ac:dyDescent="0.25">
      <c r="A15" s="508" t="s">
        <v>34</v>
      </c>
      <c r="B15" s="235"/>
      <c r="C15" s="235"/>
      <c r="D15" s="453"/>
      <c r="E15" s="454"/>
      <c r="F15" s="455"/>
      <c r="G15" s="227"/>
      <c r="H15" s="227"/>
      <c r="I15" s="448"/>
      <c r="J15" s="278"/>
      <c r="K15" s="227"/>
      <c r="L15" s="227"/>
      <c r="M15" s="228"/>
    </row>
    <row r="16" spans="1:13" x14ac:dyDescent="0.25">
      <c r="A16" s="508" t="s">
        <v>35</v>
      </c>
      <c r="B16" s="235"/>
      <c r="C16" s="235"/>
      <c r="D16" s="453"/>
      <c r="E16" s="454"/>
      <c r="F16" s="455" t="s">
        <v>240</v>
      </c>
      <c r="G16" s="227" t="s">
        <v>240</v>
      </c>
      <c r="H16" s="227" t="s">
        <v>240</v>
      </c>
      <c r="I16" s="448"/>
      <c r="J16" s="278"/>
      <c r="K16" s="227"/>
      <c r="L16" s="227"/>
      <c r="M16" s="228"/>
    </row>
    <row r="17" spans="1:13" x14ac:dyDescent="0.25">
      <c r="A17" s="508" t="s">
        <v>38</v>
      </c>
      <c r="B17" s="489"/>
      <c r="C17" s="489"/>
      <c r="D17" s="490"/>
      <c r="E17" s="491"/>
      <c r="F17" s="492"/>
      <c r="G17" s="451"/>
      <c r="H17" s="451"/>
      <c r="I17" s="493"/>
      <c r="J17" s="450"/>
      <c r="K17" s="451"/>
      <c r="L17" s="451"/>
      <c r="M17" s="452"/>
    </row>
    <row r="18" spans="1:13" x14ac:dyDescent="0.25">
      <c r="A18" s="513" t="s">
        <v>40</v>
      </c>
      <c r="B18" s="494" t="s">
        <v>377</v>
      </c>
      <c r="C18" s="494">
        <v>5.3329541010416995E-4</v>
      </c>
      <c r="D18" s="495" t="s">
        <v>204</v>
      </c>
      <c r="E18" s="496">
        <f>C18/SUM(C18:C18)%</f>
        <v>100</v>
      </c>
      <c r="F18" s="497">
        <f>VLOOKUP($B18,Denmark,2,FALSE)</f>
        <v>4.3660000000000001E-3</v>
      </c>
      <c r="G18" s="444">
        <f>VLOOKUP($B18,Denmark,3,FALSE)</f>
        <v>3.7930769999999998</v>
      </c>
      <c r="H18" s="444">
        <f>VLOOKUP($B18,Denmark,4,FALSE)</f>
        <v>4.3333000000000003E-2</v>
      </c>
      <c r="I18" s="498">
        <f>VLOOKUP($B18,Denmark,5,FALSE)</f>
        <v>11.91427</v>
      </c>
      <c r="J18" s="443">
        <f>F18*$E18%</f>
        <v>4.3660000000000001E-3</v>
      </c>
      <c r="K18" s="444">
        <f t="shared" ref="K18:M18" si="4">G18*$E18%</f>
        <v>3.7930769999999998</v>
      </c>
      <c r="L18" s="444">
        <f t="shared" si="4"/>
        <v>4.3333000000000003E-2</v>
      </c>
      <c r="M18" s="445">
        <f t="shared" si="4"/>
        <v>11.91427</v>
      </c>
    </row>
    <row r="19" spans="1:13" x14ac:dyDescent="0.25">
      <c r="A19" s="508" t="s">
        <v>42</v>
      </c>
      <c r="B19" s="235"/>
      <c r="C19" s="235"/>
      <c r="D19" s="453"/>
      <c r="E19" s="454"/>
      <c r="F19" s="455"/>
      <c r="G19" s="227"/>
      <c r="H19" s="227"/>
      <c r="I19" s="448"/>
      <c r="J19" s="278"/>
      <c r="K19" s="227"/>
      <c r="L19" s="227"/>
      <c r="M19" s="228"/>
    </row>
    <row r="20" spans="1:13" x14ac:dyDescent="0.25">
      <c r="A20" s="508" t="s">
        <v>44</v>
      </c>
      <c r="B20" s="235"/>
      <c r="C20" s="235"/>
      <c r="D20" s="453"/>
      <c r="E20" s="454"/>
      <c r="F20" s="455" t="s">
        <v>240</v>
      </c>
      <c r="G20" s="227" t="s">
        <v>240</v>
      </c>
      <c r="H20" s="227" t="s">
        <v>240</v>
      </c>
      <c r="I20" s="448"/>
      <c r="J20" s="278"/>
      <c r="K20" s="227"/>
      <c r="L20" s="227"/>
      <c r="M20" s="228"/>
    </row>
    <row r="21" spans="1:13" x14ac:dyDescent="0.25">
      <c r="A21" s="508" t="s">
        <v>45</v>
      </c>
      <c r="B21" s="489"/>
      <c r="C21" s="489"/>
      <c r="D21" s="490"/>
      <c r="E21" s="491"/>
      <c r="F21" s="492"/>
      <c r="G21" s="451"/>
      <c r="H21" s="451"/>
      <c r="I21" s="493"/>
      <c r="J21" s="450"/>
      <c r="K21" s="451"/>
      <c r="L21" s="451"/>
      <c r="M21" s="452"/>
    </row>
    <row r="22" spans="1:13" x14ac:dyDescent="0.25">
      <c r="A22" s="508" t="s">
        <v>46</v>
      </c>
      <c r="B22" s="235"/>
      <c r="C22" s="235"/>
      <c r="D22" s="453"/>
      <c r="E22" s="454"/>
      <c r="F22" s="455"/>
      <c r="G22" s="227"/>
      <c r="H22" s="227"/>
      <c r="I22" s="448"/>
      <c r="J22" s="278"/>
      <c r="K22" s="227"/>
      <c r="L22" s="227"/>
      <c r="M22" s="228"/>
    </row>
    <row r="23" spans="1:13" x14ac:dyDescent="0.25">
      <c r="A23" s="508" t="s">
        <v>47</v>
      </c>
      <c r="B23" s="235"/>
      <c r="C23" s="235"/>
      <c r="D23" s="453"/>
      <c r="E23" s="454"/>
      <c r="F23" s="455"/>
      <c r="G23" s="227"/>
      <c r="H23" s="227"/>
      <c r="I23" s="448"/>
      <c r="J23" s="278"/>
      <c r="K23" s="227"/>
      <c r="L23" s="227"/>
      <c r="M23" s="228"/>
    </row>
    <row r="24" spans="1:13" x14ac:dyDescent="0.25">
      <c r="A24" s="456" t="s">
        <v>48</v>
      </c>
      <c r="B24" s="460" t="s">
        <v>378</v>
      </c>
      <c r="C24" s="460"/>
      <c r="D24" s="461"/>
      <c r="E24" s="514">
        <v>100</v>
      </c>
      <c r="F24" s="515">
        <f>VLOOKUP($B24,Autre_Source,2,FALSE)</f>
        <v>0</v>
      </c>
      <c r="G24" s="515">
        <f>VLOOKUP($B24,Autre_Source,3,FALSE)</f>
        <v>0</v>
      </c>
      <c r="H24" s="515">
        <f>VLOOKUP($B24,Autre_Source,4,FALSE)</f>
        <v>0</v>
      </c>
      <c r="I24" s="516">
        <f>VLOOKUP($B24,Autre_Source,5,FALSE)</f>
        <v>0</v>
      </c>
      <c r="J24" s="458">
        <f>F24*$E24%</f>
        <v>0</v>
      </c>
      <c r="K24" s="459">
        <f t="shared" ref="K24:M25" si="5">G24*$E24%</f>
        <v>0</v>
      </c>
      <c r="L24" s="459">
        <f t="shared" si="5"/>
        <v>0</v>
      </c>
      <c r="M24" s="462">
        <f t="shared" si="5"/>
        <v>0</v>
      </c>
    </row>
    <row r="25" spans="1:13" x14ac:dyDescent="0.25">
      <c r="A25" s="511" t="s">
        <v>50</v>
      </c>
      <c r="B25" s="271" t="s">
        <v>379</v>
      </c>
      <c r="C25" s="271">
        <v>0.102001635439258</v>
      </c>
      <c r="D25" s="485" t="s">
        <v>204</v>
      </c>
      <c r="E25" s="486">
        <f>C25/SUM(C25:C25)%</f>
        <v>99.999999999999986</v>
      </c>
      <c r="F25" s="487">
        <f>VLOOKUP($B25,Denmark,2,FALSE)</f>
        <v>1.5521E-2</v>
      </c>
      <c r="G25" s="217">
        <f>VLOOKUP($B25,Denmark,3,FALSE)</f>
        <v>3.8848600000000002</v>
      </c>
      <c r="H25" s="217">
        <f>VLOOKUP($B25,Denmark,4,FALSE)</f>
        <v>0.19017200000000001</v>
      </c>
      <c r="I25" s="488">
        <f>VLOOKUP($B25,Denmark,5,FALSE)</f>
        <v>37.234900000000003</v>
      </c>
      <c r="J25" s="274">
        <f>F25*$E25%</f>
        <v>1.5520999999999998E-2</v>
      </c>
      <c r="K25" s="217">
        <f t="shared" si="5"/>
        <v>3.8848599999999998</v>
      </c>
      <c r="L25" s="217">
        <f t="shared" si="5"/>
        <v>0.19017199999999998</v>
      </c>
      <c r="M25" s="218">
        <f t="shared" si="5"/>
        <v>37.234899999999996</v>
      </c>
    </row>
    <row r="26" spans="1:13" x14ac:dyDescent="0.25">
      <c r="A26" s="509" t="s">
        <v>51</v>
      </c>
      <c r="B26" s="263" t="s">
        <v>380</v>
      </c>
      <c r="C26" s="263">
        <v>0.18615565115369601</v>
      </c>
      <c r="D26" s="478" t="s">
        <v>204</v>
      </c>
      <c r="E26" s="479">
        <f>C26/SUM($C$26:$C$28)%</f>
        <v>51.949598174422114</v>
      </c>
      <c r="F26" s="480">
        <f>VLOOKUP($B26,Denmark,2,FALSE)</f>
        <v>1.1856999999999999E-2</v>
      </c>
      <c r="G26" s="219">
        <f>VLOOKUP($B26,Denmark,3,FALSE)</f>
        <v>3.8823189999999999</v>
      </c>
      <c r="H26" s="219">
        <f>VLOOKUP($B26,Denmark,4,FALSE)</f>
        <v>0.14821300000000001</v>
      </c>
      <c r="I26" s="481">
        <f>VLOOKUP($B26,Denmark,5,FALSE)</f>
        <v>28.910219999999999</v>
      </c>
      <c r="J26" s="922">
        <f>(F26*$E26+F27*$E27+F28*$E28)%</f>
        <v>1.3069840658795516E-2</v>
      </c>
      <c r="K26" s="884">
        <f t="shared" ref="K26:L26" si="6">(G26*$E26+G27*$E27+G28*$E28)%</f>
        <v>3.8823112132155972</v>
      </c>
      <c r="L26" s="884">
        <f t="shared" si="6"/>
        <v>0.16711096785395377</v>
      </c>
      <c r="M26" s="887">
        <f>(I26*$E26+I27*$E27+I28*$E28)%</f>
        <v>33.735392608393688</v>
      </c>
    </row>
    <row r="27" spans="1:13" x14ac:dyDescent="0.25">
      <c r="A27" s="510"/>
      <c r="B27" s="267" t="s">
        <v>381</v>
      </c>
      <c r="C27" s="267">
        <v>4.4939026558111397E-2</v>
      </c>
      <c r="D27" s="482" t="s">
        <v>204</v>
      </c>
      <c r="E27" s="483">
        <f>C27/SUM($C$26:$C$28)%</f>
        <v>12.540926679234037</v>
      </c>
      <c r="F27" s="499">
        <f>VLOOKUP($B27,Denmark,2,FALSE)</f>
        <v>1.9831999999999999E-2</v>
      </c>
      <c r="G27" s="221">
        <f>VLOOKUP($B27,Denmark,3,FALSE)</f>
        <v>3.8859520000000001</v>
      </c>
      <c r="H27" s="221">
        <f>VLOOKUP($B27,Denmark,4,FALSE)</f>
        <v>0.24015</v>
      </c>
      <c r="I27" s="500">
        <f>VLOOKUP($B27,Denmark,5,FALSE)</f>
        <v>63.971080000000001</v>
      </c>
      <c r="J27" s="923"/>
      <c r="K27" s="885"/>
      <c r="L27" s="885"/>
      <c r="M27" s="888"/>
    </row>
    <row r="28" spans="1:13" x14ac:dyDescent="0.25">
      <c r="A28" s="505"/>
      <c r="B28" s="259" t="s">
        <v>382</v>
      </c>
      <c r="C28" s="259">
        <v>0.12724428485085501</v>
      </c>
      <c r="D28" s="476" t="s">
        <v>204</v>
      </c>
      <c r="E28" s="501">
        <f>C28/SUM($C$26:$C$28)%</f>
        <v>35.509475146343853</v>
      </c>
      <c r="F28" s="477">
        <f>VLOOKUP($B28,Denmark,2,FALSE)</f>
        <v>1.2456E-2</v>
      </c>
      <c r="G28" s="216">
        <f>VLOOKUP($B28,Denmark,3,FALSE)</f>
        <v>3.881014</v>
      </c>
      <c r="H28" s="216">
        <f>VLOOKUP($B28,Denmark,4,FALSE)</f>
        <v>0.168963</v>
      </c>
      <c r="I28" s="484">
        <f>VLOOKUP($B28,Denmark,5,FALSE)</f>
        <v>30.116140000000001</v>
      </c>
      <c r="J28" s="924"/>
      <c r="K28" s="886"/>
      <c r="L28" s="886"/>
      <c r="M28" s="889"/>
    </row>
    <row r="29" spans="1:13" ht="26.4" x14ac:dyDescent="0.25">
      <c r="A29" s="463" t="s">
        <v>286</v>
      </c>
      <c r="B29" s="464" t="s">
        <v>383</v>
      </c>
      <c r="C29" s="457"/>
      <c r="D29" s="465"/>
      <c r="E29" s="466">
        <v>50</v>
      </c>
      <c r="F29" s="517">
        <f>VLOOKUP($B29,Autre_Source,2,FALSE)</f>
        <v>8.1791692105140326E-2</v>
      </c>
      <c r="G29" s="518">
        <f>VLOOKUP($B29,Autre_Source,3,FALSE)</f>
        <v>4.0291187818755247</v>
      </c>
      <c r="H29" s="518">
        <f>VLOOKUP($B29,Autre_Source,4,FALSE)</f>
        <v>1.03169733799177</v>
      </c>
      <c r="I29" s="519">
        <f>VLOOKUP($B29,Autre_Source,5,FALSE)</f>
        <v>152.39498896952992</v>
      </c>
      <c r="J29" s="938">
        <f>(F29*$E29+F30*$E30)%</f>
        <v>0.10239664309283512</v>
      </c>
      <c r="K29" s="940">
        <f>(G29*$E29+G30*$E30)%</f>
        <v>4.0536435266026585</v>
      </c>
      <c r="L29" s="940">
        <f>(H29*$E29+H30*$E30)%</f>
        <v>1.2842578332546497</v>
      </c>
      <c r="M29" s="942">
        <f>(I29*$E29+I30*$E30)%</f>
        <v>180.61488499274478</v>
      </c>
    </row>
    <row r="30" spans="1:13" ht="27" thickBot="1" x14ac:dyDescent="0.3">
      <c r="A30" s="467"/>
      <c r="B30" s="468" t="s">
        <v>384</v>
      </c>
      <c r="C30" s="469"/>
      <c r="D30" s="470"/>
      <c r="E30" s="471">
        <v>50</v>
      </c>
      <c r="F30" s="520">
        <f>VLOOKUP($B30,Autre_Source,2,FALSE)</f>
        <v>0.12300159408052991</v>
      </c>
      <c r="G30" s="521">
        <f>VLOOKUP($B30,Autre_Source,3,FALSE)</f>
        <v>4.0781682713297922</v>
      </c>
      <c r="H30" s="521">
        <f>VLOOKUP($B30,Autre_Source,4,FALSE)</f>
        <v>1.5368183285175296</v>
      </c>
      <c r="I30" s="522">
        <f>VLOOKUP($B30,Autre_Source,5,FALSE)</f>
        <v>208.83478101595963</v>
      </c>
      <c r="J30" s="939"/>
      <c r="K30" s="941"/>
      <c r="L30" s="941"/>
      <c r="M30" s="943"/>
    </row>
    <row r="31" spans="1:13" x14ac:dyDescent="0.25">
      <c r="A31" s="90"/>
      <c r="B31" s="636"/>
      <c r="C31" s="636">
        <f>SUM(C2:C30)</f>
        <v>1.0000000000000004</v>
      </c>
      <c r="D31" s="636"/>
      <c r="E31" s="636"/>
      <c r="F31" s="636"/>
      <c r="G31" s="636"/>
      <c r="H31" s="636"/>
      <c r="I31" s="636"/>
      <c r="J31" s="636"/>
      <c r="K31" s="636"/>
      <c r="L31" s="636"/>
      <c r="M31" s="636"/>
    </row>
    <row r="32" spans="1:13" x14ac:dyDescent="0.25">
      <c r="A32" s="68"/>
      <c r="B32" s="68"/>
      <c r="C32" s="68"/>
      <c r="D32" s="70"/>
      <c r="E32" s="70"/>
      <c r="F32" s="70"/>
      <c r="G32" s="70"/>
      <c r="H32" s="636"/>
      <c r="I32" s="636"/>
      <c r="J32" s="636"/>
      <c r="K32" s="636"/>
      <c r="L32" s="636"/>
      <c r="M32" s="636"/>
    </row>
    <row r="33" spans="1:7" x14ac:dyDescent="0.25">
      <c r="A33" s="68"/>
      <c r="B33" s="439"/>
      <c r="C33" s="68"/>
      <c r="D33" s="70"/>
      <c r="E33" s="70"/>
      <c r="F33" s="70"/>
      <c r="G33" s="70"/>
    </row>
    <row r="34" spans="1:7" x14ac:dyDescent="0.25">
      <c r="A34" s="440"/>
      <c r="B34" s="68"/>
      <c r="C34" s="68"/>
      <c r="D34" s="76"/>
      <c r="E34" s="76"/>
      <c r="F34" s="76"/>
      <c r="G34" s="76"/>
    </row>
    <row r="35" spans="1:7" x14ac:dyDescent="0.25">
      <c r="A35" s="440"/>
      <c r="B35" s="441"/>
      <c r="C35" s="441"/>
      <c r="D35" s="442"/>
      <c r="E35" s="442"/>
      <c r="F35" s="442"/>
      <c r="G35" s="442"/>
    </row>
    <row r="36" spans="1:7" x14ac:dyDescent="0.25">
      <c r="A36" s="440"/>
      <c r="B36" s="68"/>
      <c r="C36" s="441"/>
      <c r="D36" s="76"/>
      <c r="E36" s="76"/>
      <c r="F36" s="76"/>
      <c r="G36" s="76"/>
    </row>
    <row r="37" spans="1:7" x14ac:dyDescent="0.25">
      <c r="A37" s="91"/>
      <c r="B37" s="636"/>
      <c r="C37" s="636"/>
      <c r="D37" s="636"/>
      <c r="E37" s="636"/>
      <c r="F37" s="636"/>
      <c r="G37" s="636"/>
    </row>
    <row r="38" spans="1:7" x14ac:dyDescent="0.25">
      <c r="A38" s="91"/>
      <c r="B38" s="636"/>
      <c r="C38" s="636"/>
      <c r="D38" s="636"/>
      <c r="E38" s="636"/>
      <c r="F38" s="636"/>
      <c r="G38" s="636"/>
    </row>
    <row r="39" spans="1:7" x14ac:dyDescent="0.25">
      <c r="A39" s="91"/>
      <c r="B39" s="636"/>
      <c r="C39" s="636"/>
      <c r="D39" s="636"/>
      <c r="E39" s="636"/>
      <c r="F39" s="636"/>
      <c r="G39" s="636"/>
    </row>
  </sheetData>
  <mergeCells count="25">
    <mergeCell ref="J29:J30"/>
    <mergeCell ref="K29:K30"/>
    <mergeCell ref="L29:L30"/>
    <mergeCell ref="M29:M30"/>
    <mergeCell ref="J26:J28"/>
    <mergeCell ref="K26:K28"/>
    <mergeCell ref="L26:L28"/>
    <mergeCell ref="M26:M28"/>
    <mergeCell ref="J9:J10"/>
    <mergeCell ref="K9:K10"/>
    <mergeCell ref="L9:L10"/>
    <mergeCell ref="M9:M10"/>
    <mergeCell ref="J12:J13"/>
    <mergeCell ref="K12:K13"/>
    <mergeCell ref="L12:L13"/>
    <mergeCell ref="M12:M13"/>
    <mergeCell ref="J5:J6"/>
    <mergeCell ref="K5:K6"/>
    <mergeCell ref="L5:L6"/>
    <mergeCell ref="M5:M6"/>
    <mergeCell ref="A1:A4"/>
    <mergeCell ref="B1:D4"/>
    <mergeCell ref="E1:E4"/>
    <mergeCell ref="F1:I1"/>
    <mergeCell ref="J1:M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workbookViewId="0">
      <selection sqref="A1:A4"/>
    </sheetView>
  </sheetViews>
  <sheetFormatPr defaultColWidth="11.5546875" defaultRowHeight="15" x14ac:dyDescent="0.35"/>
  <cols>
    <col min="1" max="1" width="18.88671875" bestFit="1" customWidth="1"/>
    <col min="2" max="2" width="35.5546875" customWidth="1"/>
    <col min="8" max="8" width="15.6640625" bestFit="1" customWidth="1"/>
  </cols>
  <sheetData>
    <row r="1" spans="1:13" ht="14.25" customHeight="1" x14ac:dyDescent="0.35">
      <c r="A1" s="952" t="s">
        <v>2</v>
      </c>
      <c r="B1" s="954" t="s">
        <v>3</v>
      </c>
      <c r="C1" s="954"/>
      <c r="D1" s="955"/>
      <c r="E1" s="957" t="s">
        <v>200</v>
      </c>
      <c r="F1" s="945" t="s">
        <v>0</v>
      </c>
      <c r="G1" s="945"/>
      <c r="H1" s="945"/>
      <c r="I1" s="946"/>
      <c r="J1" s="944" t="s">
        <v>1</v>
      </c>
      <c r="K1" s="945"/>
      <c r="L1" s="945"/>
      <c r="M1" s="946"/>
    </row>
    <row r="2" spans="1:13" x14ac:dyDescent="0.35">
      <c r="A2" s="953"/>
      <c r="B2" s="928"/>
      <c r="C2" s="928"/>
      <c r="D2" s="956"/>
      <c r="E2" s="958"/>
      <c r="F2" s="677" t="s">
        <v>5</v>
      </c>
      <c r="G2" s="677" t="s">
        <v>6</v>
      </c>
      <c r="H2" s="677" t="s">
        <v>7</v>
      </c>
      <c r="I2" s="678" t="s">
        <v>8</v>
      </c>
      <c r="J2" s="676" t="s">
        <v>5</v>
      </c>
      <c r="K2" s="677" t="s">
        <v>6</v>
      </c>
      <c r="L2" s="677" t="s">
        <v>7</v>
      </c>
      <c r="M2" s="678" t="s">
        <v>8</v>
      </c>
    </row>
    <row r="3" spans="1:13" x14ac:dyDescent="0.35">
      <c r="A3" s="953"/>
      <c r="B3" s="928"/>
      <c r="C3" s="928"/>
      <c r="D3" s="956"/>
      <c r="E3" s="958"/>
      <c r="F3" s="677" t="s">
        <v>201</v>
      </c>
      <c r="G3" s="677" t="s">
        <v>202</v>
      </c>
      <c r="H3" s="677" t="s">
        <v>202</v>
      </c>
      <c r="I3" s="678" t="s">
        <v>12</v>
      </c>
      <c r="J3" s="676" t="s">
        <v>201</v>
      </c>
      <c r="K3" s="677" t="s">
        <v>202</v>
      </c>
      <c r="L3" s="677" t="s">
        <v>202</v>
      </c>
      <c r="M3" s="678" t="s">
        <v>12</v>
      </c>
    </row>
    <row r="4" spans="1:13" ht="15.6" thickBot="1" x14ac:dyDescent="0.4">
      <c r="A4" s="953"/>
      <c r="B4" s="928"/>
      <c r="C4" s="928"/>
      <c r="D4" s="956"/>
      <c r="E4" s="958"/>
      <c r="F4" s="677" t="s">
        <v>13</v>
      </c>
      <c r="G4" s="677" t="s">
        <v>14</v>
      </c>
      <c r="H4" s="677" t="s">
        <v>14</v>
      </c>
      <c r="I4" s="678" t="s">
        <v>15</v>
      </c>
      <c r="J4" s="676" t="s">
        <v>13</v>
      </c>
      <c r="K4" s="677" t="s">
        <v>14</v>
      </c>
      <c r="L4" s="677" t="s">
        <v>14</v>
      </c>
      <c r="M4" s="678" t="s">
        <v>15</v>
      </c>
    </row>
    <row r="5" spans="1:13" x14ac:dyDescent="0.35">
      <c r="A5" s="680" t="s">
        <v>441</v>
      </c>
      <c r="B5" s="681" t="str">
        <f>B12</f>
        <v>Electricity, high voltage {CH}| electricity production, hydro, run-of-river | Cut-off, U</v>
      </c>
      <c r="C5" s="681"/>
      <c r="D5" s="682"/>
      <c r="E5" s="690">
        <v>100</v>
      </c>
      <c r="F5" s="773">
        <f>VLOOKUP($B5,$B$10:$F$13,C$8,FALSE)</f>
        <v>3.287E-3</v>
      </c>
      <c r="G5" s="686">
        <f t="shared" ref="G5:I5" si="0">VLOOKUP($B5,$B$10:$F$13,D$8,FALSE)</f>
        <v>3.7930434521199996</v>
      </c>
      <c r="H5" s="686">
        <f t="shared" si="0"/>
        <v>4.3335246012190007E-2</v>
      </c>
      <c r="I5" s="687">
        <f t="shared" si="0"/>
        <v>11.914536742744552</v>
      </c>
      <c r="J5" s="775">
        <f>F5*$E5%</f>
        <v>3.287E-3</v>
      </c>
      <c r="K5" s="686">
        <f t="shared" ref="K5:M5" si="1">G5*$E5%</f>
        <v>3.7930434521199996</v>
      </c>
      <c r="L5" s="686">
        <f t="shared" si="1"/>
        <v>4.3335246012190007E-2</v>
      </c>
      <c r="M5" s="687">
        <f t="shared" si="1"/>
        <v>11.914536742744552</v>
      </c>
    </row>
    <row r="6" spans="1:13" ht="15.6" thickBot="1" x14ac:dyDescent="0.4">
      <c r="A6" s="683" t="s">
        <v>442</v>
      </c>
      <c r="B6" s="684" t="str">
        <f>IF(B9=A10,B10,IF(B9=A11,B11,IF(B9=A12,B12,IF(B9=A13,B13,""))))</f>
        <v>Mean(CH;Wind,PV,Cogeneration)</v>
      </c>
      <c r="C6" s="684"/>
      <c r="D6" s="685"/>
      <c r="E6" s="691">
        <v>100</v>
      </c>
      <c r="F6" s="774">
        <f>VLOOKUP($B6,$B$10:$F$13,C$8,FALSE)</f>
        <v>0.12174770378480013</v>
      </c>
      <c r="G6" s="688">
        <f t="shared" ref="G6" si="2">VLOOKUP($B6,$B$10:$F$13,D$8,FALSE)</f>
        <v>3.3201197629406005</v>
      </c>
      <c r="H6" s="688">
        <f t="shared" ref="H6" si="3">VLOOKUP($B6,$B$10:$F$13,E$8,FALSE)</f>
        <v>0.74764080555701218</v>
      </c>
      <c r="I6" s="689">
        <f t="shared" ref="I6" si="4">VLOOKUP($B6,$B$10:$F$13,F$8,FALSE)</f>
        <v>497.47146903528073</v>
      </c>
      <c r="J6" s="776">
        <f>F6*$E6%</f>
        <v>0.12174770378480013</v>
      </c>
      <c r="K6" s="688">
        <f t="shared" ref="K6" si="5">G6*$E6%</f>
        <v>3.3201197629406005</v>
      </c>
      <c r="L6" s="688">
        <f t="shared" ref="L6" si="6">H6*$E6%</f>
        <v>0.74764080555701218</v>
      </c>
      <c r="M6" s="689">
        <f t="shared" ref="M6" si="7">I6*$E6%</f>
        <v>497.47146903528073</v>
      </c>
    </row>
    <row r="8" spans="1:13" ht="15.6" thickBot="1" x14ac:dyDescent="0.4">
      <c r="A8" s="1" t="s">
        <v>439</v>
      </c>
      <c r="B8" s="636"/>
      <c r="C8" s="636">
        <v>2</v>
      </c>
      <c r="D8" s="636">
        <v>3</v>
      </c>
      <c r="E8" s="636">
        <v>4</v>
      </c>
      <c r="F8" s="636">
        <v>5</v>
      </c>
    </row>
    <row r="9" spans="1:13" ht="15.6" thickBot="1" x14ac:dyDescent="0.4">
      <c r="A9" s="1" t="s">
        <v>440</v>
      </c>
      <c r="B9" s="723" t="s">
        <v>436</v>
      </c>
      <c r="C9" s="734" t="s">
        <v>5</v>
      </c>
      <c r="D9" s="735" t="s">
        <v>6</v>
      </c>
      <c r="E9" s="735" t="s">
        <v>7</v>
      </c>
      <c r="F9" s="736" t="s">
        <v>8</v>
      </c>
    </row>
    <row r="10" spans="1:13" x14ac:dyDescent="0.35">
      <c r="A10" s="718" t="s">
        <v>60</v>
      </c>
      <c r="B10" s="719" t="s">
        <v>175</v>
      </c>
      <c r="C10" s="724">
        <f>VLOOKUP($B10,Bulgarie,C8,FALSE)</f>
        <v>2.0395629999999998</v>
      </c>
      <c r="D10" s="725">
        <f>VLOOKUP($B10,Bulgarie,D8,FALSE)</f>
        <v>0.222385</v>
      </c>
      <c r="E10" s="725">
        <f>VLOOKUP($B10,Bulgarie,E8,FALSE)</f>
        <v>19.09919</v>
      </c>
      <c r="F10" s="726">
        <f>VLOOKUP($B10,Bulgarie,F8,FALSE)</f>
        <v>1486.056</v>
      </c>
    </row>
    <row r="11" spans="1:13" x14ac:dyDescent="0.35">
      <c r="A11" s="720" t="s">
        <v>436</v>
      </c>
      <c r="B11" s="143" t="s">
        <v>449</v>
      </c>
      <c r="C11" s="727">
        <f>SUM(I17:I38)</f>
        <v>0.12174770378480013</v>
      </c>
      <c r="D11" s="716">
        <f t="shared" ref="D11:F11" si="8">SUM(J17:J38)</f>
        <v>3.3201197629406005</v>
      </c>
      <c r="E11" s="716">
        <f t="shared" si="8"/>
        <v>0.74764080555701218</v>
      </c>
      <c r="F11" s="728">
        <f t="shared" si="8"/>
        <v>497.47146903528073</v>
      </c>
    </row>
    <row r="12" spans="1:13" x14ac:dyDescent="0.35">
      <c r="A12" s="720" t="s">
        <v>435</v>
      </c>
      <c r="B12" s="143" t="str">
        <f>CH!B16</f>
        <v>Electricity, high voltage {CH}| electricity production, hydro, run-of-river | Cut-off, U</v>
      </c>
      <c r="C12" s="729">
        <f>CH!D16</f>
        <v>3.287E-3</v>
      </c>
      <c r="D12" s="717">
        <f>CH!E16</f>
        <v>3.7930434521199996</v>
      </c>
      <c r="E12" s="717">
        <f>CH!F16</f>
        <v>4.3335246012190007E-2</v>
      </c>
      <c r="F12" s="730">
        <f>CH!G16</f>
        <v>11.914536742744552</v>
      </c>
    </row>
    <row r="13" spans="1:13" ht="15.6" thickBot="1" x14ac:dyDescent="0.4">
      <c r="A13" s="721" t="s">
        <v>437</v>
      </c>
      <c r="B13" s="722" t="s">
        <v>438</v>
      </c>
      <c r="C13" s="731">
        <f>CH!I28</f>
        <v>8.5576267823930588E-2</v>
      </c>
      <c r="D13" s="732">
        <f>CH!J28</f>
        <v>4.0298610721196537</v>
      </c>
      <c r="E13" s="732">
        <f>CH!K28</f>
        <v>1.1666623530229809</v>
      </c>
      <c r="F13" s="733">
        <f>CH!L28</f>
        <v>169.40322205459341</v>
      </c>
    </row>
    <row r="14" spans="1:13" x14ac:dyDescent="0.35">
      <c r="B14" s="675"/>
    </row>
    <row r="15" spans="1:13" ht="15.6" thickBot="1" x14ac:dyDescent="0.4">
      <c r="D15" s="636"/>
      <c r="E15" s="636"/>
      <c r="F15" s="636"/>
      <c r="G15" s="636"/>
      <c r="I15" t="s">
        <v>450</v>
      </c>
    </row>
    <row r="16" spans="1:13" ht="15.6" thickBot="1" x14ac:dyDescent="0.4">
      <c r="A16" s="737" t="s">
        <v>436</v>
      </c>
      <c r="B16" s="738" t="s">
        <v>444</v>
      </c>
      <c r="C16" s="738" t="s">
        <v>443</v>
      </c>
      <c r="D16" s="694" t="s">
        <v>5</v>
      </c>
      <c r="E16" s="692" t="s">
        <v>6</v>
      </c>
      <c r="F16" s="692" t="s">
        <v>7</v>
      </c>
      <c r="G16" s="693" t="s">
        <v>8</v>
      </c>
      <c r="H16" s="739" t="s">
        <v>448</v>
      </c>
      <c r="I16" s="694" t="s">
        <v>5</v>
      </c>
      <c r="J16" s="692" t="s">
        <v>6</v>
      </c>
      <c r="K16" s="692" t="s">
        <v>7</v>
      </c>
      <c r="L16" s="693" t="s">
        <v>8</v>
      </c>
    </row>
    <row r="17" spans="1:12" x14ac:dyDescent="0.35">
      <c r="A17" s="947" t="s">
        <v>445</v>
      </c>
      <c r="B17" s="743" t="s">
        <v>75</v>
      </c>
      <c r="C17" s="754">
        <v>2.1299999999999999E-2</v>
      </c>
      <c r="D17" s="707">
        <v>0.16200000000000001</v>
      </c>
      <c r="E17" s="696">
        <v>6.4537227400000008E-2</v>
      </c>
      <c r="F17" s="697">
        <v>0.49021267275519997</v>
      </c>
      <c r="G17" s="698">
        <v>784.85087624104858</v>
      </c>
      <c r="H17" s="713">
        <f>C17/SUM($C$17:$C$38)</f>
        <v>0.50966726494315118</v>
      </c>
      <c r="I17" s="755">
        <f>$H17*D17</f>
        <v>8.2566096920790491E-2</v>
      </c>
      <c r="J17" s="761">
        <f t="shared" ref="J17:L17" si="9">$H17*E17</f>
        <v>3.2892512175972201E-2</v>
      </c>
      <c r="K17" s="761">
        <f t="shared" si="9"/>
        <v>0.24984535216361478</v>
      </c>
      <c r="L17" s="767">
        <f t="shared" si="9"/>
        <v>400.01279948201085</v>
      </c>
    </row>
    <row r="18" spans="1:12" x14ac:dyDescent="0.35">
      <c r="A18" s="948"/>
      <c r="B18" s="744" t="s">
        <v>76</v>
      </c>
      <c r="C18" s="749">
        <v>5.1999999999999998E-3</v>
      </c>
      <c r="D18" s="708">
        <v>4.36E-2</v>
      </c>
      <c r="E18" s="333">
        <v>14.665457120599999</v>
      </c>
      <c r="F18" s="334">
        <v>0.5305534046</v>
      </c>
      <c r="G18" s="699">
        <v>297.95861184770058</v>
      </c>
      <c r="H18" s="741">
        <f t="shared" ref="H18:H38" si="10">C18/SUM($C$17:$C$38)</f>
        <v>0.12442581115983034</v>
      </c>
      <c r="I18" s="756">
        <f t="shared" ref="I18:I38" si="11">$H18*D18</f>
        <v>5.4249653665686031E-3</v>
      </c>
      <c r="J18" s="762">
        <f t="shared" ref="J18:J38" si="12">$H18*E18</f>
        <v>1.8247613982603648</v>
      </c>
      <c r="K18" s="762">
        <f t="shared" ref="K18:K38" si="13">$H18*F18</f>
        <v>6.6014537730964662E-2</v>
      </c>
      <c r="L18" s="768">
        <f t="shared" ref="L18:L38" si="14">$H18*G18</f>
        <v>37.073741971207177</v>
      </c>
    </row>
    <row r="19" spans="1:12" x14ac:dyDescent="0.35">
      <c r="A19" s="745" t="s">
        <v>446</v>
      </c>
      <c r="B19" s="143" t="s">
        <v>77</v>
      </c>
      <c r="C19" s="750">
        <v>1E-4</v>
      </c>
      <c r="D19" s="709">
        <v>0.61599999999999999</v>
      </c>
      <c r="E19" s="315">
        <v>1.4619776499999999E-2</v>
      </c>
      <c r="F19" s="46">
        <v>9.7945255043730004</v>
      </c>
      <c r="G19" s="700">
        <v>382.38529142419191</v>
      </c>
      <c r="H19" s="742">
        <f t="shared" si="10"/>
        <v>2.3928040607659683E-3</v>
      </c>
      <c r="I19" s="757">
        <f t="shared" si="11"/>
        <v>1.4739673014318364E-3</v>
      </c>
      <c r="J19" s="763">
        <f t="shared" si="12"/>
        <v>3.4982260576690872E-5</v>
      </c>
      <c r="K19" s="763">
        <f t="shared" si="13"/>
        <v>2.343638040013956E-2</v>
      </c>
      <c r="L19" s="769">
        <f t="shared" si="14"/>
        <v>0.91497307809698458</v>
      </c>
    </row>
    <row r="20" spans="1:12" x14ac:dyDescent="0.35">
      <c r="A20" s="949" t="s">
        <v>447</v>
      </c>
      <c r="B20" s="365" t="s">
        <v>83</v>
      </c>
      <c r="C20" s="751">
        <v>3.98522483941389E-5</v>
      </c>
      <c r="D20" s="710">
        <v>1.7000000000000001E-2</v>
      </c>
      <c r="E20" s="341">
        <v>3.8876933140999999</v>
      </c>
      <c r="F20" s="353">
        <v>0.21469851520530001</v>
      </c>
      <c r="G20" s="701">
        <v>40.153870447605499</v>
      </c>
      <c r="H20" s="740">
        <f t="shared" si="10"/>
        <v>9.5358621788149591E-4</v>
      </c>
      <c r="I20" s="758">
        <f t="shared" si="11"/>
        <v>1.6210965703985432E-5</v>
      </c>
      <c r="J20" s="764">
        <f t="shared" si="12"/>
        <v>3.7072507636757976E-3</v>
      </c>
      <c r="K20" s="764">
        <f t="shared" si="13"/>
        <v>2.0473354509939487E-4</v>
      </c>
      <c r="L20" s="770">
        <f t="shared" si="14"/>
        <v>3.82901774534357E-2</v>
      </c>
    </row>
    <row r="21" spans="1:12" x14ac:dyDescent="0.35">
      <c r="A21" s="950"/>
      <c r="B21" s="746" t="s">
        <v>84</v>
      </c>
      <c r="C21" s="752">
        <v>6.9741434689743004E-5</v>
      </c>
      <c r="D21" s="711">
        <v>3.3500000000000002E-2</v>
      </c>
      <c r="E21" s="351">
        <v>3.8968936650999999</v>
      </c>
      <c r="F21" s="356">
        <v>0.40970618165</v>
      </c>
      <c r="G21" s="702">
        <v>106.4496655954178</v>
      </c>
      <c r="H21" s="714">
        <f t="shared" si="10"/>
        <v>1.6687758812926163E-3</v>
      </c>
      <c r="I21" s="759">
        <f t="shared" si="11"/>
        <v>5.5903992023302652E-5</v>
      </c>
      <c r="J21" s="765">
        <f t="shared" si="12"/>
        <v>6.5030421602808655E-3</v>
      </c>
      <c r="K21" s="765">
        <f t="shared" si="13"/>
        <v>6.8370779435401147E-4</v>
      </c>
      <c r="L21" s="771">
        <f t="shared" si="14"/>
        <v>0.17764063451729764</v>
      </c>
    </row>
    <row r="22" spans="1:12" x14ac:dyDescent="0.35">
      <c r="A22" s="948"/>
      <c r="B22" s="744" t="s">
        <v>85</v>
      </c>
      <c r="C22" s="749">
        <v>6.1770985010915205E-4</v>
      </c>
      <c r="D22" s="708">
        <v>1.7899999999999999E-2</v>
      </c>
      <c r="E22" s="357">
        <v>3.8857795337999996</v>
      </c>
      <c r="F22" s="334">
        <v>0.24475651197849999</v>
      </c>
      <c r="G22" s="703">
        <v>41.898719485112522</v>
      </c>
      <c r="H22" s="741">
        <f t="shared" si="10"/>
        <v>1.4780586377163165E-2</v>
      </c>
      <c r="I22" s="756">
        <f t="shared" si="11"/>
        <v>2.6457249615122067E-4</v>
      </c>
      <c r="J22" s="762">
        <f t="shared" si="12"/>
        <v>5.7434100041943707E-2</v>
      </c>
      <c r="K22" s="762">
        <f t="shared" si="13"/>
        <v>3.6176447666713902E-3</v>
      </c>
      <c r="L22" s="768">
        <f t="shared" si="14"/>
        <v>0.619287642442235</v>
      </c>
    </row>
    <row r="23" spans="1:12" x14ac:dyDescent="0.35">
      <c r="A23" s="949" t="s">
        <v>286</v>
      </c>
      <c r="B23" s="365" t="s">
        <v>86</v>
      </c>
      <c r="C23" s="748">
        <v>5.4036044334874501E-4</v>
      </c>
      <c r="D23" s="710">
        <v>0.121</v>
      </c>
      <c r="E23" s="341">
        <v>4.1179289500000005</v>
      </c>
      <c r="F23" s="341">
        <v>1.536152607462</v>
      </c>
      <c r="G23" s="704">
        <v>220.700762536105</v>
      </c>
      <c r="H23" s="740">
        <f t="shared" si="10"/>
        <v>1.2929766631221759E-2</v>
      </c>
      <c r="I23" s="758">
        <f t="shared" si="11"/>
        <v>1.5645017623778328E-3</v>
      </c>
      <c r="J23" s="764">
        <f t="shared" si="12"/>
        <v>5.3243860327452062E-2</v>
      </c>
      <c r="K23" s="764">
        <f t="shared" si="13"/>
        <v>1.9862094724426467E-2</v>
      </c>
      <c r="L23" s="770">
        <f t="shared" si="14"/>
        <v>2.8536093549245281</v>
      </c>
    </row>
    <row r="24" spans="1:12" x14ac:dyDescent="0.35">
      <c r="A24" s="950"/>
      <c r="B24" s="746" t="s">
        <v>87</v>
      </c>
      <c r="C24" s="752">
        <v>5.4036044334874501E-4</v>
      </c>
      <c r="D24" s="711">
        <v>0.125</v>
      </c>
      <c r="E24" s="351">
        <v>4.1227718479999993</v>
      </c>
      <c r="F24" s="351">
        <v>1.581388709671</v>
      </c>
      <c r="G24" s="702">
        <v>232.47241874934181</v>
      </c>
      <c r="H24" s="714">
        <f t="shared" si="10"/>
        <v>1.2929766631221759E-2</v>
      </c>
      <c r="I24" s="759">
        <f t="shared" si="11"/>
        <v>1.6162208289027199E-3</v>
      </c>
      <c r="J24" s="765">
        <f t="shared" si="12"/>
        <v>5.3306477868410855E-2</v>
      </c>
      <c r="K24" s="765">
        <f t="shared" si="13"/>
        <v>2.0446986969294929E-2</v>
      </c>
      <c r="L24" s="771">
        <f t="shared" si="14"/>
        <v>3.0058141226246513</v>
      </c>
    </row>
    <row r="25" spans="1:12" x14ac:dyDescent="0.35">
      <c r="A25" s="950"/>
      <c r="B25" s="746" t="s">
        <v>88</v>
      </c>
      <c r="C25" s="752">
        <v>3.58505141873701E-4</v>
      </c>
      <c r="D25" s="711">
        <v>0.14399999999999999</v>
      </c>
      <c r="E25" s="351">
        <v>4.1182018649999996</v>
      </c>
      <c r="F25" s="351">
        <v>1.8129927704159998</v>
      </c>
      <c r="G25" s="702">
        <v>241.0033325089168</v>
      </c>
      <c r="H25" s="714">
        <f t="shared" si="10"/>
        <v>8.5783255928087131E-3</v>
      </c>
      <c r="I25" s="759">
        <f t="shared" si="11"/>
        <v>1.2352788853644545E-3</v>
      </c>
      <c r="J25" s="765">
        <f t="shared" si="12"/>
        <v>3.5327276454882067E-2</v>
      </c>
      <c r="K25" s="765">
        <f t="shared" si="13"/>
        <v>1.5552442282036743E-2</v>
      </c>
      <c r="L25" s="771">
        <f t="shared" si="14"/>
        <v>2.0674050552134289</v>
      </c>
    </row>
    <row r="26" spans="1:12" x14ac:dyDescent="0.35">
      <c r="A26" s="950"/>
      <c r="B26" s="746" t="s">
        <v>89</v>
      </c>
      <c r="C26" s="752">
        <v>3.58505141873701E-4</v>
      </c>
      <c r="D26" s="711">
        <v>0.14799999999999999</v>
      </c>
      <c r="E26" s="351">
        <v>4.122755626</v>
      </c>
      <c r="F26" s="351">
        <v>1.8555277997859998</v>
      </c>
      <c r="G26" s="702">
        <v>252.0720348641037</v>
      </c>
      <c r="H26" s="714">
        <f t="shared" si="10"/>
        <v>8.5783255928087131E-3</v>
      </c>
      <c r="I26" s="759">
        <f t="shared" si="11"/>
        <v>1.2695921877356896E-3</v>
      </c>
      <c r="J26" s="765">
        <f t="shared" si="12"/>
        <v>3.5366340099411905E-2</v>
      </c>
      <c r="K26" s="765">
        <f t="shared" si="13"/>
        <v>1.5917321613072282E-2</v>
      </c>
      <c r="L26" s="771">
        <f t="shared" si="14"/>
        <v>2.1623559879061109</v>
      </c>
    </row>
    <row r="27" spans="1:12" x14ac:dyDescent="0.35">
      <c r="A27" s="950"/>
      <c r="B27" s="746" t="s">
        <v>90</v>
      </c>
      <c r="C27" s="752">
        <v>1.6419031743517801E-3</v>
      </c>
      <c r="D27" s="711">
        <v>8.3599999999999994E-2</v>
      </c>
      <c r="E27" s="351">
        <v>4.0323111620000001</v>
      </c>
      <c r="F27" s="351">
        <v>1.087817922468</v>
      </c>
      <c r="G27" s="702">
        <v>156.72194682902656</v>
      </c>
      <c r="H27" s="714">
        <f t="shared" si="10"/>
        <v>3.9287525829734729E-2</v>
      </c>
      <c r="I27" s="759">
        <f t="shared" si="11"/>
        <v>3.2844371593658229E-3</v>
      </c>
      <c r="J27" s="765">
        <f t="shared" si="12"/>
        <v>0.15841952893060265</v>
      </c>
      <c r="K27" s="765">
        <f t="shared" si="13"/>
        <v>4.2737674727009921E-2</v>
      </c>
      <c r="L27" s="771">
        <f t="shared" si="14"/>
        <v>6.1572175341316937</v>
      </c>
    </row>
    <row r="28" spans="1:12" x14ac:dyDescent="0.35">
      <c r="A28" s="950"/>
      <c r="B28" s="746" t="s">
        <v>91</v>
      </c>
      <c r="C28" s="752">
        <v>1.08072088669749E-3</v>
      </c>
      <c r="D28" s="711">
        <v>9.9299999999999999E-2</v>
      </c>
      <c r="E28" s="351">
        <v>4.0323735319999994</v>
      </c>
      <c r="F28" s="351">
        <v>1.2707130986289998</v>
      </c>
      <c r="G28" s="702">
        <v>169.95401922825718</v>
      </c>
      <c r="H28" s="714">
        <f t="shared" si="10"/>
        <v>2.5859533262443519E-2</v>
      </c>
      <c r="I28" s="759">
        <f t="shared" si="11"/>
        <v>2.5678516529606412E-3</v>
      </c>
      <c r="J28" s="765">
        <f t="shared" si="12"/>
        <v>0.10427529747735084</v>
      </c>
      <c r="K28" s="765">
        <f t="shared" si="13"/>
        <v>3.2860047641019297E-2</v>
      </c>
      <c r="L28" s="771">
        <f t="shared" si="14"/>
        <v>4.3949316133190823</v>
      </c>
    </row>
    <row r="29" spans="1:12" x14ac:dyDescent="0.35">
      <c r="A29" s="950"/>
      <c r="B29" s="746" t="s">
        <v>92</v>
      </c>
      <c r="C29" s="752">
        <v>6.22976148173973E-5</v>
      </c>
      <c r="D29" s="711">
        <v>6.6400000000000001E-2</v>
      </c>
      <c r="E29" s="351">
        <v>3.9341306919999997</v>
      </c>
      <c r="F29" s="356">
        <v>0.85293148128099994</v>
      </c>
      <c r="G29" s="702">
        <v>124.97464432051578</v>
      </c>
      <c r="H29" s="714">
        <f t="shared" si="10"/>
        <v>1.4906598571110242E-3</v>
      </c>
      <c r="I29" s="759">
        <f t="shared" si="11"/>
        <v>9.8979814512171999E-5</v>
      </c>
      <c r="J29" s="765">
        <f t="shared" si="12"/>
        <v>5.8644506951928141E-3</v>
      </c>
      <c r="K29" s="765">
        <f t="shared" si="13"/>
        <v>1.2714307200118295E-3</v>
      </c>
      <c r="L29" s="771">
        <f t="shared" si="14"/>
        <v>0.18629468544532113</v>
      </c>
    </row>
    <row r="30" spans="1:12" x14ac:dyDescent="0.35">
      <c r="A30" s="950"/>
      <c r="B30" s="746" t="s">
        <v>93</v>
      </c>
      <c r="C30" s="752">
        <v>9.1448196845160599E-4</v>
      </c>
      <c r="D30" s="711">
        <v>8.8499999999999995E-2</v>
      </c>
      <c r="E30" s="351">
        <v>3.9621964759999999</v>
      </c>
      <c r="F30" s="351">
        <v>1.046666202076</v>
      </c>
      <c r="G30" s="702">
        <v>160.95716645803637</v>
      </c>
      <c r="H30" s="714">
        <f t="shared" si="10"/>
        <v>2.1881761676082589E-2</v>
      </c>
      <c r="I30" s="759">
        <f t="shared" si="11"/>
        <v>1.936535908333309E-3</v>
      </c>
      <c r="J30" s="765">
        <f t="shared" si="12"/>
        <v>8.6699839001646281E-2</v>
      </c>
      <c r="K30" s="765">
        <f t="shared" si="13"/>
        <v>2.2902900388237533E-2</v>
      </c>
      <c r="L30" s="771">
        <f t="shared" si="14"/>
        <v>3.5220263564923062</v>
      </c>
    </row>
    <row r="31" spans="1:12" x14ac:dyDescent="0.35">
      <c r="A31" s="950"/>
      <c r="B31" s="746" t="s">
        <v>94</v>
      </c>
      <c r="C31" s="752">
        <v>9.976014275745479E-4</v>
      </c>
      <c r="D31" s="711">
        <v>5.0099999999999999E-2</v>
      </c>
      <c r="E31" s="351">
        <v>3.9106610220000002</v>
      </c>
      <c r="F31" s="356">
        <v>0.66277370625400001</v>
      </c>
      <c r="G31" s="702">
        <v>117.84188815629372</v>
      </c>
      <c r="H31" s="714">
        <f t="shared" si="10"/>
        <v>2.387064746926305E-2</v>
      </c>
      <c r="I31" s="759">
        <f t="shared" si="11"/>
        <v>1.1959194382100788E-3</v>
      </c>
      <c r="J31" s="765">
        <f t="shared" si="12"/>
        <v>9.3350010627949953E-2</v>
      </c>
      <c r="K31" s="765">
        <f t="shared" si="13"/>
        <v>1.5820837493886138E-2</v>
      </c>
      <c r="L31" s="771">
        <f t="shared" si="14"/>
        <v>2.8129621692912119</v>
      </c>
    </row>
    <row r="32" spans="1:12" x14ac:dyDescent="0.35">
      <c r="A32" s="950"/>
      <c r="B32" s="746" t="s">
        <v>95</v>
      </c>
      <c r="C32" s="752">
        <v>1.24763147734033E-4</v>
      </c>
      <c r="D32" s="711">
        <v>7.5899999999999995E-2</v>
      </c>
      <c r="E32" s="351">
        <v>3.9451020589999999</v>
      </c>
      <c r="F32" s="356">
        <v>0.94507117939699992</v>
      </c>
      <c r="G32" s="702">
        <v>270.13027692643135</v>
      </c>
      <c r="H32" s="714">
        <f t="shared" si="10"/>
        <v>2.9853376653193858E-3</v>
      </c>
      <c r="I32" s="759">
        <f t="shared" si="11"/>
        <v>2.2658712879774137E-4</v>
      </c>
      <c r="J32" s="765">
        <f t="shared" si="12"/>
        <v>1.1777461770261762E-2</v>
      </c>
      <c r="K32" s="765">
        <f t="shared" si="13"/>
        <v>2.8213565882616782E-3</v>
      </c>
      <c r="L32" s="771">
        <f t="shared" si="14"/>
        <v>0.8064300902516317</v>
      </c>
    </row>
    <row r="33" spans="1:12" x14ac:dyDescent="0.35">
      <c r="A33" s="950"/>
      <c r="B33" s="746" t="s">
        <v>96</v>
      </c>
      <c r="C33" s="752">
        <v>5.4036044334874501E-4</v>
      </c>
      <c r="D33" s="711">
        <v>7.6999999999999999E-2</v>
      </c>
      <c r="E33" s="351">
        <v>4.0244569219999997</v>
      </c>
      <c r="F33" s="351">
        <v>1.0107864617510001</v>
      </c>
      <c r="G33" s="702">
        <v>146.50586536765474</v>
      </c>
      <c r="H33" s="714">
        <f t="shared" si="10"/>
        <v>1.2929766631221759E-2</v>
      </c>
      <c r="I33" s="759">
        <f t="shared" si="11"/>
        <v>9.9559203060407549E-4</v>
      </c>
      <c r="J33" s="765">
        <f t="shared" si="12"/>
        <v>5.203528881886503E-2</v>
      </c>
      <c r="K33" s="765">
        <f t="shared" si="13"/>
        <v>1.3069233064438791E-2</v>
      </c>
      <c r="L33" s="771">
        <f t="shared" si="14"/>
        <v>1.8942866493089698</v>
      </c>
    </row>
    <row r="34" spans="1:12" x14ac:dyDescent="0.35">
      <c r="A34" s="950"/>
      <c r="B34" s="746" t="s">
        <v>97</v>
      </c>
      <c r="C34" s="752">
        <v>4.1891146862599402E-3</v>
      </c>
      <c r="D34" s="711">
        <v>8.1600000000000006E-2</v>
      </c>
      <c r="E34" s="351">
        <v>4.0278194480000007</v>
      </c>
      <c r="F34" s="351">
        <v>1.0318245240719999</v>
      </c>
      <c r="G34" s="702">
        <v>152.40604513000531</v>
      </c>
      <c r="H34" s="714">
        <f t="shared" si="10"/>
        <v>0.1002373063229714</v>
      </c>
      <c r="I34" s="759">
        <f t="shared" si="11"/>
        <v>8.1793641959544659E-3</v>
      </c>
      <c r="J34" s="765">
        <f t="shared" si="12"/>
        <v>0.40373777182279763</v>
      </c>
      <c r="K34" s="765">
        <f t="shared" si="13"/>
        <v>0.10342731089095923</v>
      </c>
      <c r="L34" s="771">
        <f t="shared" si="14"/>
        <v>15.276771431168946</v>
      </c>
    </row>
    <row r="35" spans="1:12" x14ac:dyDescent="0.35">
      <c r="A35" s="950"/>
      <c r="B35" s="746" t="s">
        <v>98</v>
      </c>
      <c r="C35" s="752">
        <v>4.1643688611090398E-5</v>
      </c>
      <c r="D35" s="711">
        <v>7.2700000000000001E-2</v>
      </c>
      <c r="E35" s="351">
        <v>3.989565093</v>
      </c>
      <c r="F35" s="356">
        <v>0.92129633386599996</v>
      </c>
      <c r="G35" s="702">
        <v>141.74065683096381</v>
      </c>
      <c r="H35" s="714">
        <f t="shared" si="10"/>
        <v>9.9645187213890599E-4</v>
      </c>
      <c r="I35" s="759">
        <f t="shared" si="11"/>
        <v>7.2442051104498463E-5</v>
      </c>
      <c r="J35" s="765">
        <f t="shared" si="12"/>
        <v>3.9754096059398782E-3</v>
      </c>
      <c r="K35" s="765">
        <f t="shared" si="13"/>
        <v>9.1802745667548624E-4</v>
      </c>
      <c r="L35" s="771">
        <f t="shared" si="14"/>
        <v>0.14123774285741211</v>
      </c>
    </row>
    <row r="36" spans="1:12" x14ac:dyDescent="0.35">
      <c r="A36" s="950"/>
      <c r="B36" s="746" t="s">
        <v>99</v>
      </c>
      <c r="C36" s="752">
        <v>5.8200413195983597E-4</v>
      </c>
      <c r="D36" s="711">
        <v>8.14E-2</v>
      </c>
      <c r="E36" s="351">
        <v>4.0011853900000007</v>
      </c>
      <c r="F36" s="356">
        <v>0.9904772875179999</v>
      </c>
      <c r="G36" s="702">
        <v>154.85105818826483</v>
      </c>
      <c r="H36" s="714">
        <f t="shared" si="10"/>
        <v>1.392621850336068E-2</v>
      </c>
      <c r="I36" s="759">
        <f t="shared" si="11"/>
        <v>1.1335941861735593E-3</v>
      </c>
      <c r="J36" s="765">
        <f t="shared" si="12"/>
        <v>5.5721382013594431E-2</v>
      </c>
      <c r="K36" s="765">
        <f t="shared" si="13"/>
        <v>1.3793603128591667E-2</v>
      </c>
      <c r="L36" s="771">
        <f t="shared" si="14"/>
        <v>2.1564896718063951</v>
      </c>
    </row>
    <row r="37" spans="1:12" x14ac:dyDescent="0.35">
      <c r="A37" s="950"/>
      <c r="B37" s="746" t="s">
        <v>100</v>
      </c>
      <c r="C37" s="752">
        <v>3.5329968079731501E-4</v>
      </c>
      <c r="D37" s="711">
        <v>9.2999999999999999E-2</v>
      </c>
      <c r="E37" s="351">
        <v>4.0249875450000001</v>
      </c>
      <c r="F37" s="351">
        <v>1.1982748670079999</v>
      </c>
      <c r="G37" s="702">
        <v>160.34750786037986</v>
      </c>
      <c r="H37" s="714">
        <f t="shared" si="10"/>
        <v>8.4537691087913577E-3</v>
      </c>
      <c r="I37" s="759">
        <f t="shared" si="11"/>
        <v>7.8620052711759624E-4</v>
      </c>
      <c r="J37" s="765">
        <f t="shared" si="12"/>
        <v>3.4026315371190968E-2</v>
      </c>
      <c r="K37" s="765">
        <f t="shared" si="13"/>
        <v>1.0129939054553302E-2</v>
      </c>
      <c r="L37" s="771">
        <f t="shared" si="14"/>
        <v>1.3555408086217586</v>
      </c>
    </row>
    <row r="38" spans="1:12" ht="15.6" thickBot="1" x14ac:dyDescent="0.4">
      <c r="A38" s="951"/>
      <c r="B38" s="747" t="s">
        <v>101</v>
      </c>
      <c r="C38" s="753">
        <v>2.13874631661373E-3</v>
      </c>
      <c r="D38" s="712">
        <v>0.113</v>
      </c>
      <c r="E38" s="705">
        <v>4.0577561950000005</v>
      </c>
      <c r="F38" s="705">
        <v>1.4129128908549999</v>
      </c>
      <c r="G38" s="706">
        <v>192.30422660158237</v>
      </c>
      <c r="H38" s="715">
        <f t="shared" si="10"/>
        <v>5.1176008713415905E-2</v>
      </c>
      <c r="I38" s="760">
        <f t="shared" si="11"/>
        <v>5.7828889846159972E-3</v>
      </c>
      <c r="J38" s="766">
        <f t="shared" si="12"/>
        <v>0.2076597663922374</v>
      </c>
      <c r="K38" s="766">
        <f t="shared" si="13"/>
        <v>7.2307242413693129E-2</v>
      </c>
      <c r="L38" s="772">
        <f t="shared" si="14"/>
        <v>9.8413627761892855</v>
      </c>
    </row>
  </sheetData>
  <mergeCells count="8">
    <mergeCell ref="J1:M1"/>
    <mergeCell ref="A17:A18"/>
    <mergeCell ref="A20:A22"/>
    <mergeCell ref="A23:A38"/>
    <mergeCell ref="A1:A4"/>
    <mergeCell ref="B1:D4"/>
    <mergeCell ref="E1:E4"/>
    <mergeCell ref="F1:I1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"/>
  <sheetViews>
    <sheetView workbookViewId="0">
      <selection activeCell="G10" sqref="G10"/>
    </sheetView>
  </sheetViews>
  <sheetFormatPr defaultColWidth="8.88671875" defaultRowHeight="11.4" x14ac:dyDescent="0.25"/>
  <cols>
    <col min="1" max="3" width="8.88671875" style="1"/>
    <col min="4" max="4" width="13.88671875" style="1" bestFit="1" customWidth="1"/>
    <col min="5" max="5" width="12.33203125" style="1" bestFit="1" customWidth="1"/>
    <col min="6" max="6" width="13.6640625" style="1" bestFit="1" customWidth="1"/>
    <col min="7" max="7" width="7.5546875" style="1" bestFit="1" customWidth="1"/>
    <col min="8" max="16384" width="8.88671875" style="1"/>
  </cols>
  <sheetData>
    <row r="1" spans="3:12" ht="22.5" customHeight="1" x14ac:dyDescent="0.25">
      <c r="D1" s="779" t="s">
        <v>0</v>
      </c>
      <c r="E1" s="779"/>
      <c r="F1" s="779"/>
      <c r="G1" s="779"/>
      <c r="I1" s="663"/>
      <c r="J1" s="663"/>
      <c r="K1" s="663"/>
      <c r="L1" s="663"/>
    </row>
    <row r="2" spans="3:12" x14ac:dyDescent="0.25">
      <c r="D2" s="638" t="s">
        <v>5</v>
      </c>
      <c r="E2" s="638" t="s">
        <v>6</v>
      </c>
      <c r="F2" s="638" t="s">
        <v>7</v>
      </c>
      <c r="G2" s="638" t="s">
        <v>8</v>
      </c>
      <c r="I2" s="662"/>
      <c r="J2" s="662"/>
      <c r="K2" s="662"/>
      <c r="L2" s="662"/>
    </row>
    <row r="3" spans="3:12" x14ac:dyDescent="0.25">
      <c r="D3" s="638" t="s">
        <v>10</v>
      </c>
      <c r="E3" s="638" t="s">
        <v>11</v>
      </c>
      <c r="F3" s="638" t="s">
        <v>11</v>
      </c>
      <c r="G3" s="638" t="s">
        <v>12</v>
      </c>
      <c r="I3" s="662"/>
      <c r="J3" s="662"/>
      <c r="K3" s="662"/>
      <c r="L3" s="662"/>
    </row>
    <row r="4" spans="3:12" x14ac:dyDescent="0.25">
      <c r="D4" s="638" t="s">
        <v>13</v>
      </c>
      <c r="E4" s="638" t="s">
        <v>14</v>
      </c>
      <c r="F4" s="638" t="s">
        <v>14</v>
      </c>
      <c r="G4" s="638" t="s">
        <v>15</v>
      </c>
      <c r="I4" s="662"/>
      <c r="J4" s="662"/>
      <c r="K4" s="662"/>
      <c r="L4" s="662"/>
    </row>
    <row r="5" spans="3:12" ht="13.2" x14ac:dyDescent="0.25">
      <c r="C5" s="12" t="s">
        <v>385</v>
      </c>
      <c r="D5" s="29">
        <v>0.42579470805528191</v>
      </c>
      <c r="E5" s="648">
        <v>1.4900302194371551</v>
      </c>
      <c r="F5" s="648">
        <v>9.073542966772969</v>
      </c>
      <c r="G5" s="647">
        <v>442.20291365178451</v>
      </c>
      <c r="I5" s="636"/>
      <c r="J5" s="636"/>
      <c r="K5" s="636"/>
      <c r="L5" s="636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5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I6"/>
    </sheetView>
  </sheetViews>
  <sheetFormatPr defaultColWidth="8.88671875" defaultRowHeight="11.4" x14ac:dyDescent="0.25"/>
  <cols>
    <col min="1" max="1" width="23.33203125" style="1" bestFit="1" customWidth="1"/>
    <col min="2" max="2" width="92.5546875" style="1" bestFit="1" customWidth="1"/>
    <col min="3" max="3" width="13.33203125" style="2" customWidth="1"/>
    <col min="4" max="4" width="13.88671875" style="2" bestFit="1" customWidth="1"/>
    <col min="5" max="5" width="12.33203125" style="2" bestFit="1" customWidth="1"/>
    <col min="6" max="6" width="13.6640625" style="2" bestFit="1" customWidth="1"/>
    <col min="7" max="7" width="8.88671875" style="2" bestFit="1" customWidth="1"/>
    <col min="8" max="8" width="11.44140625" style="2" customWidth="1"/>
    <col min="9" max="9" width="13.88671875" style="2" customWidth="1"/>
    <col min="10" max="10" width="12.33203125" style="2" customWidth="1"/>
    <col min="11" max="11" width="13.6640625" style="2" customWidth="1"/>
    <col min="12" max="12" width="8.88671875" style="2" customWidth="1"/>
    <col min="13" max="13" width="7.5546875" style="1" customWidth="1"/>
    <col min="14" max="14" width="8.88671875" style="1"/>
    <col min="15" max="15" width="9.109375" style="1" customWidth="1"/>
    <col min="16" max="16" width="8.88671875" style="1"/>
    <col min="17" max="17" width="9.88671875" style="1" customWidth="1"/>
    <col min="18" max="18" width="8.88671875" style="1"/>
    <col min="19" max="19" width="9.6640625" style="1" customWidth="1"/>
    <col min="20" max="16384" width="8.88671875" style="1"/>
  </cols>
  <sheetData>
    <row r="1" spans="1:20" ht="12" thickTop="1" x14ac:dyDescent="0.25">
      <c r="C1" s="638"/>
      <c r="D1" s="779" t="s">
        <v>0</v>
      </c>
      <c r="E1" s="779"/>
      <c r="F1" s="779"/>
      <c r="G1" s="779"/>
      <c r="H1" s="638"/>
      <c r="I1" s="779" t="s">
        <v>1</v>
      </c>
      <c r="J1" s="779"/>
      <c r="K1" s="779"/>
      <c r="L1" s="779"/>
      <c r="M1" s="822" t="s">
        <v>64</v>
      </c>
      <c r="N1" s="823"/>
      <c r="O1" s="823"/>
      <c r="P1" s="823"/>
      <c r="Q1" s="823"/>
      <c r="R1" s="823"/>
      <c r="S1" s="823"/>
      <c r="T1" s="824"/>
    </row>
    <row r="2" spans="1:20" ht="47.25" customHeight="1" x14ac:dyDescent="0.25">
      <c r="A2" s="779" t="s">
        <v>2</v>
      </c>
      <c r="B2" s="779" t="s">
        <v>452</v>
      </c>
      <c r="C2" s="780" t="s">
        <v>451</v>
      </c>
      <c r="D2" s="638" t="s">
        <v>5</v>
      </c>
      <c r="E2" s="638" t="s">
        <v>6</v>
      </c>
      <c r="F2" s="638" t="s">
        <v>7</v>
      </c>
      <c r="G2" s="638" t="s">
        <v>8</v>
      </c>
      <c r="H2" s="780" t="s">
        <v>9</v>
      </c>
      <c r="I2" s="638" t="s">
        <v>5</v>
      </c>
      <c r="J2" s="638" t="s">
        <v>6</v>
      </c>
      <c r="K2" s="638" t="s">
        <v>7</v>
      </c>
      <c r="L2" s="638" t="s">
        <v>8</v>
      </c>
      <c r="M2" s="141" t="s">
        <v>65</v>
      </c>
      <c r="N2" s="142" t="s">
        <v>66</v>
      </c>
      <c r="O2" s="144" t="s">
        <v>67</v>
      </c>
      <c r="P2" s="142" t="s">
        <v>66</v>
      </c>
      <c r="Q2" s="144" t="s">
        <v>68</v>
      </c>
      <c r="R2" s="142" t="s">
        <v>66</v>
      </c>
      <c r="S2" s="144" t="s">
        <v>69</v>
      </c>
      <c r="T2" s="145" t="s">
        <v>66</v>
      </c>
    </row>
    <row r="3" spans="1:20" ht="15" customHeight="1" x14ac:dyDescent="0.25">
      <c r="A3" s="779"/>
      <c r="B3" s="779"/>
      <c r="C3" s="780"/>
      <c r="D3" s="638" t="s">
        <v>10</v>
      </c>
      <c r="E3" s="638" t="s">
        <v>11</v>
      </c>
      <c r="F3" s="638" t="s">
        <v>11</v>
      </c>
      <c r="G3" s="638" t="s">
        <v>12</v>
      </c>
      <c r="H3" s="780"/>
      <c r="I3" s="638" t="s">
        <v>10</v>
      </c>
      <c r="J3" s="638" t="s">
        <v>11</v>
      </c>
      <c r="K3" s="638" t="s">
        <v>11</v>
      </c>
      <c r="L3" s="638" t="s">
        <v>12</v>
      </c>
      <c r="M3" s="139" t="s">
        <v>12</v>
      </c>
      <c r="N3" s="143"/>
      <c r="O3" s="54" t="s">
        <v>70</v>
      </c>
      <c r="P3" s="143"/>
      <c r="Q3" s="54" t="s">
        <v>70</v>
      </c>
      <c r="R3" s="143"/>
      <c r="S3" s="54" t="s">
        <v>71</v>
      </c>
      <c r="T3" s="140"/>
    </row>
    <row r="4" spans="1:20" ht="12" thickBot="1" x14ac:dyDescent="0.3">
      <c r="A4" s="779"/>
      <c r="B4" s="779"/>
      <c r="C4" s="780"/>
      <c r="D4" s="638" t="s">
        <v>13</v>
      </c>
      <c r="E4" s="638" t="s">
        <v>14</v>
      </c>
      <c r="F4" s="638" t="s">
        <v>14</v>
      </c>
      <c r="G4" s="638" t="s">
        <v>15</v>
      </c>
      <c r="H4" s="780"/>
      <c r="I4" s="638" t="s">
        <v>13</v>
      </c>
      <c r="J4" s="638" t="s">
        <v>14</v>
      </c>
      <c r="K4" s="638" t="s">
        <v>14</v>
      </c>
      <c r="L4" s="638" t="s">
        <v>15</v>
      </c>
      <c r="M4" s="364" t="s">
        <v>72</v>
      </c>
      <c r="N4" s="365" t="s">
        <v>73</v>
      </c>
      <c r="O4" s="366" t="s">
        <v>74</v>
      </c>
      <c r="P4" s="365" t="s">
        <v>73</v>
      </c>
      <c r="Q4" s="366" t="s">
        <v>74</v>
      </c>
      <c r="R4" s="365" t="s">
        <v>73</v>
      </c>
      <c r="S4" s="366" t="s">
        <v>13</v>
      </c>
      <c r="T4" s="367" t="s">
        <v>73</v>
      </c>
    </row>
    <row r="5" spans="1:20" ht="15.6" thickTop="1" x14ac:dyDescent="0.25">
      <c r="A5" s="825" t="s">
        <v>16</v>
      </c>
      <c r="B5" s="323" t="s">
        <v>75</v>
      </c>
      <c r="C5" s="373">
        <v>3.8300000000000001E-3</v>
      </c>
      <c r="D5" s="325">
        <v>0.16700000000000001</v>
      </c>
      <c r="E5" s="326">
        <v>6.4537227400000008E-2</v>
      </c>
      <c r="F5" s="327">
        <v>0.49021267275519997</v>
      </c>
      <c r="G5" s="328">
        <v>784.85087624104858</v>
      </c>
      <c r="H5" s="329">
        <f>C5/(C5+C6)</f>
        <v>0.18040508714083844</v>
      </c>
      <c r="I5" s="814">
        <f>D5*$H5+D6*$H6</f>
        <v>7.6942910975035333E-2</v>
      </c>
      <c r="J5" s="819">
        <f>E5*$H5+E6*$H6</f>
        <v>12.031376894930851</v>
      </c>
      <c r="K5" s="820">
        <f>F5*$H5+F6*$H6</f>
        <v>0.52327573135621364</v>
      </c>
      <c r="L5" s="821">
        <f>G5*$H5+G6*$H6</f>
        <v>385.7964532337827</v>
      </c>
      <c r="M5" s="374">
        <v>784.86691289264502</v>
      </c>
      <c r="N5" s="375">
        <f>(G5-M5)/G5%</f>
        <v>-2.0432737073879099E-3</v>
      </c>
      <c r="O5" s="375">
        <v>6.4902600237056629E-2</v>
      </c>
      <c r="P5" s="375">
        <f>(E5-O5)/E5%</f>
        <v>-0.56614275477322584</v>
      </c>
      <c r="Q5" s="375">
        <v>0.49018244352200546</v>
      </c>
      <c r="R5" s="375">
        <f>(F5-Q5)/G5%</f>
        <v>3.8515894050206533E-6</v>
      </c>
      <c r="S5" s="375">
        <v>0.1659312815946605</v>
      </c>
      <c r="T5" s="376">
        <f>(S5-D5)/D5%</f>
        <v>-0.63995114092186123</v>
      </c>
    </row>
    <row r="6" spans="1:20" ht="15" x14ac:dyDescent="0.25">
      <c r="A6" s="826"/>
      <c r="B6" s="330" t="s">
        <v>76</v>
      </c>
      <c r="C6" s="377">
        <v>1.7399999999999999E-2</v>
      </c>
      <c r="D6" s="332">
        <v>5.7119999999999997E-2</v>
      </c>
      <c r="E6" s="333">
        <v>14.665457120599999</v>
      </c>
      <c r="F6" s="334">
        <v>0.5305534046</v>
      </c>
      <c r="G6" s="335">
        <v>297.95861184770058</v>
      </c>
      <c r="H6" s="336">
        <f>C6/(C5+C6)</f>
        <v>0.81959491285916153</v>
      </c>
      <c r="I6" s="798"/>
      <c r="J6" s="806"/>
      <c r="K6" s="795"/>
      <c r="L6" s="816"/>
      <c r="M6" s="378">
        <v>297.48682615740313</v>
      </c>
      <c r="N6" s="379">
        <f t="shared" ref="N6:N43" si="0">(G6-M6)/G6%</f>
        <v>0.15833933692059274</v>
      </c>
      <c r="O6" s="379">
        <v>14.66556490026489</v>
      </c>
      <c r="P6" s="379">
        <f>(E6-O6)/E6%</f>
        <v>-7.3492195984354398E-4</v>
      </c>
      <c r="Q6" s="379">
        <v>0.53054366611522197</v>
      </c>
      <c r="R6" s="379">
        <f>(F6-Q6)/G6%</f>
        <v>3.2684018487138627E-6</v>
      </c>
      <c r="S6" s="379">
        <v>4.46921523360371E-2</v>
      </c>
      <c r="T6" s="380">
        <f t="shared" ref="T6:T43" si="1">(S6-D6)/D6%</f>
        <v>-21.757436386489665</v>
      </c>
    </row>
    <row r="7" spans="1:20" x14ac:dyDescent="0.25">
      <c r="A7" s="310" t="s">
        <v>19</v>
      </c>
      <c r="B7" s="311" t="s">
        <v>20</v>
      </c>
      <c r="C7" s="313" t="s">
        <v>20</v>
      </c>
      <c r="D7" s="313" t="s">
        <v>20</v>
      </c>
      <c r="E7" s="313" t="s">
        <v>20</v>
      </c>
      <c r="F7" s="313" t="s">
        <v>20</v>
      </c>
      <c r="G7" s="313" t="s">
        <v>20</v>
      </c>
      <c r="H7" s="313" t="s">
        <v>20</v>
      </c>
      <c r="I7" s="313" t="s">
        <v>20</v>
      </c>
      <c r="J7" s="313" t="s">
        <v>20</v>
      </c>
      <c r="K7" s="313" t="s">
        <v>20</v>
      </c>
      <c r="L7" s="313" t="s">
        <v>20</v>
      </c>
      <c r="M7" s="368"/>
      <c r="N7" s="368"/>
      <c r="O7" s="368"/>
      <c r="P7" s="368"/>
      <c r="Q7" s="368"/>
      <c r="R7" s="368"/>
      <c r="S7" s="368"/>
      <c r="T7" s="146"/>
    </row>
    <row r="8" spans="1:20" x14ac:dyDescent="0.25">
      <c r="A8" s="310" t="s">
        <v>21</v>
      </c>
      <c r="B8" s="311" t="s">
        <v>20</v>
      </c>
      <c r="C8" s="313" t="s">
        <v>20</v>
      </c>
      <c r="D8" s="313" t="s">
        <v>20</v>
      </c>
      <c r="E8" s="313" t="s">
        <v>20</v>
      </c>
      <c r="F8" s="313" t="s">
        <v>20</v>
      </c>
      <c r="G8" s="313" t="s">
        <v>20</v>
      </c>
      <c r="H8" s="313" t="s">
        <v>20</v>
      </c>
      <c r="I8" s="313" t="s">
        <v>20</v>
      </c>
      <c r="J8" s="313" t="s">
        <v>20</v>
      </c>
      <c r="K8" s="313" t="s">
        <v>20</v>
      </c>
      <c r="L8" s="313" t="s">
        <v>20</v>
      </c>
      <c r="M8" s="368"/>
      <c r="N8" s="368"/>
      <c r="O8" s="368"/>
      <c r="P8" s="368"/>
      <c r="Q8" s="368"/>
      <c r="R8" s="368"/>
      <c r="S8" s="368"/>
      <c r="T8" s="146"/>
    </row>
    <row r="9" spans="1:20" ht="15" x14ac:dyDescent="0.35">
      <c r="A9" s="302" t="s">
        <v>22</v>
      </c>
      <c r="B9" s="303" t="s">
        <v>77</v>
      </c>
      <c r="C9" s="316">
        <v>3.5500000000000002E-3</v>
      </c>
      <c r="D9" s="305">
        <v>0.61319999999999997</v>
      </c>
      <c r="E9" s="315">
        <v>1.4619776499999999E-2</v>
      </c>
      <c r="F9" s="46">
        <v>9.7945255043730004</v>
      </c>
      <c r="G9" s="308">
        <v>382.38529142419191</v>
      </c>
      <c r="H9" s="319">
        <v>1</v>
      </c>
      <c r="I9" s="44">
        <f>D9*$H9</f>
        <v>0.61319999999999997</v>
      </c>
      <c r="J9" s="640">
        <f>E9*$H9</f>
        <v>1.4619776499999999E-2</v>
      </c>
      <c r="K9" s="43">
        <f>F9*$H9</f>
        <v>9.7945255043730004</v>
      </c>
      <c r="L9" s="369">
        <f>G9*$H9</f>
        <v>382.38529142419191</v>
      </c>
      <c r="M9" s="370">
        <v>382.38264694445826</v>
      </c>
      <c r="N9" s="368">
        <f t="shared" si="0"/>
        <v>6.915746481244941E-4</v>
      </c>
      <c r="O9" s="368">
        <v>1.4777453941099687E-2</v>
      </c>
      <c r="P9" s="368">
        <f>(E9-O9)/E9%</f>
        <v>-1.0785215567398598</v>
      </c>
      <c r="Q9" s="368">
        <v>9.7945087891394618</v>
      </c>
      <c r="R9" s="368">
        <f>(F9-Q9)/G9%</f>
        <v>4.3713066149530913E-6</v>
      </c>
      <c r="S9" s="368">
        <v>0.61679347181307653</v>
      </c>
      <c r="T9" s="146">
        <f t="shared" si="1"/>
        <v>0.58601953898835057</v>
      </c>
    </row>
    <row r="10" spans="1:20" x14ac:dyDescent="0.25">
      <c r="A10" s="310" t="s">
        <v>27</v>
      </c>
      <c r="B10" s="311" t="s">
        <v>20</v>
      </c>
      <c r="C10" s="313" t="s">
        <v>20</v>
      </c>
      <c r="D10" s="313" t="s">
        <v>20</v>
      </c>
      <c r="E10" s="313" t="s">
        <v>20</v>
      </c>
      <c r="F10" s="313" t="s">
        <v>20</v>
      </c>
      <c r="G10" s="313" t="s">
        <v>20</v>
      </c>
      <c r="H10" s="313" t="s">
        <v>20</v>
      </c>
      <c r="I10" s="313" t="s">
        <v>20</v>
      </c>
      <c r="J10" s="313" t="s">
        <v>20</v>
      </c>
      <c r="K10" s="313" t="s">
        <v>20</v>
      </c>
      <c r="L10" s="313" t="s">
        <v>20</v>
      </c>
      <c r="M10" s="368"/>
      <c r="N10" s="368"/>
      <c r="O10" s="368"/>
      <c r="P10" s="368"/>
      <c r="Q10" s="368"/>
      <c r="R10" s="368"/>
      <c r="S10" s="368"/>
      <c r="T10" s="146"/>
    </row>
    <row r="11" spans="1:20" x14ac:dyDescent="0.25">
      <c r="A11" s="310" t="s">
        <v>30</v>
      </c>
      <c r="B11" s="311" t="s">
        <v>20</v>
      </c>
      <c r="C11" s="313" t="s">
        <v>20</v>
      </c>
      <c r="D11" s="313" t="s">
        <v>20</v>
      </c>
      <c r="E11" s="313" t="s">
        <v>20</v>
      </c>
      <c r="F11" s="313" t="s">
        <v>20</v>
      </c>
      <c r="G11" s="313" t="s">
        <v>20</v>
      </c>
      <c r="H11" s="313" t="s">
        <v>20</v>
      </c>
      <c r="I11" s="313" t="s">
        <v>20</v>
      </c>
      <c r="J11" s="313" t="s">
        <v>20</v>
      </c>
      <c r="K11" s="313" t="s">
        <v>20</v>
      </c>
      <c r="L11" s="313" t="s">
        <v>20</v>
      </c>
      <c r="M11" s="368"/>
      <c r="N11" s="368"/>
      <c r="O11" s="368"/>
      <c r="P11" s="368"/>
      <c r="Q11" s="368"/>
      <c r="R11" s="368"/>
      <c r="S11" s="368"/>
      <c r="T11" s="146"/>
    </row>
    <row r="12" spans="1:20" x14ac:dyDescent="0.25">
      <c r="A12" s="310" t="s">
        <v>33</v>
      </c>
      <c r="B12" s="311" t="s">
        <v>20</v>
      </c>
      <c r="C12" s="313" t="s">
        <v>20</v>
      </c>
      <c r="D12" s="313" t="s">
        <v>20</v>
      </c>
      <c r="E12" s="313" t="s">
        <v>20</v>
      </c>
      <c r="F12" s="313" t="s">
        <v>20</v>
      </c>
      <c r="G12" s="313" t="s">
        <v>20</v>
      </c>
      <c r="H12" s="313" t="s">
        <v>20</v>
      </c>
      <c r="I12" s="313" t="s">
        <v>20</v>
      </c>
      <c r="J12" s="313" t="s">
        <v>20</v>
      </c>
      <c r="K12" s="313" t="s">
        <v>20</v>
      </c>
      <c r="L12" s="313" t="s">
        <v>20</v>
      </c>
      <c r="M12" s="368"/>
      <c r="N12" s="368"/>
      <c r="O12" s="368"/>
      <c r="P12" s="368"/>
      <c r="Q12" s="368"/>
      <c r="R12" s="368"/>
      <c r="S12" s="368"/>
      <c r="T12" s="146"/>
    </row>
    <row r="13" spans="1:20" x14ac:dyDescent="0.25">
      <c r="A13" s="310" t="s">
        <v>34</v>
      </c>
      <c r="B13" s="311" t="s">
        <v>20</v>
      </c>
      <c r="C13" s="313" t="s">
        <v>20</v>
      </c>
      <c r="D13" s="313" t="s">
        <v>20</v>
      </c>
      <c r="E13" s="313" t="s">
        <v>20</v>
      </c>
      <c r="F13" s="313" t="s">
        <v>20</v>
      </c>
      <c r="G13" s="313" t="s">
        <v>20</v>
      </c>
      <c r="H13" s="313" t="s">
        <v>20</v>
      </c>
      <c r="I13" s="313" t="s">
        <v>20</v>
      </c>
      <c r="J13" s="313" t="s">
        <v>20</v>
      </c>
      <c r="K13" s="313" t="s">
        <v>20</v>
      </c>
      <c r="L13" s="313" t="s">
        <v>20</v>
      </c>
      <c r="M13" s="368"/>
      <c r="N13" s="368"/>
      <c r="O13" s="368"/>
      <c r="P13" s="368"/>
      <c r="Q13" s="368"/>
      <c r="R13" s="368"/>
      <c r="S13" s="368"/>
      <c r="T13" s="146"/>
    </row>
    <row r="14" spans="1:20" x14ac:dyDescent="0.25">
      <c r="A14" s="310" t="s">
        <v>35</v>
      </c>
      <c r="B14" s="311" t="s">
        <v>20</v>
      </c>
      <c r="C14" s="313" t="s">
        <v>20</v>
      </c>
      <c r="D14" s="313" t="s">
        <v>20</v>
      </c>
      <c r="E14" s="313" t="s">
        <v>20</v>
      </c>
      <c r="F14" s="313" t="s">
        <v>20</v>
      </c>
      <c r="G14" s="313" t="s">
        <v>20</v>
      </c>
      <c r="H14" s="313" t="s">
        <v>20</v>
      </c>
      <c r="I14" s="313" t="s">
        <v>20</v>
      </c>
      <c r="J14" s="313" t="s">
        <v>20</v>
      </c>
      <c r="K14" s="313" t="s">
        <v>20</v>
      </c>
      <c r="L14" s="313" t="s">
        <v>20</v>
      </c>
      <c r="M14" s="368"/>
      <c r="N14" s="368"/>
      <c r="O14" s="368"/>
      <c r="P14" s="368"/>
      <c r="Q14" s="368"/>
      <c r="R14" s="368"/>
      <c r="S14" s="368"/>
      <c r="T14" s="146"/>
    </row>
    <row r="15" spans="1:20" ht="15" x14ac:dyDescent="0.35">
      <c r="A15" s="302" t="s">
        <v>38</v>
      </c>
      <c r="B15" s="317" t="s">
        <v>78</v>
      </c>
      <c r="C15" s="371">
        <v>1</v>
      </c>
      <c r="D15" s="305">
        <v>0.16239999999999999</v>
      </c>
      <c r="E15" s="46">
        <v>3.0260027599999999</v>
      </c>
      <c r="F15" s="46">
        <v>9.5632888722599994</v>
      </c>
      <c r="G15" s="308">
        <v>338.27150294234394</v>
      </c>
      <c r="H15" s="319">
        <v>1</v>
      </c>
      <c r="I15" s="44">
        <f t="shared" ref="I15:L17" si="2">D15*$H15</f>
        <v>0.16239999999999999</v>
      </c>
      <c r="J15" s="43">
        <f t="shared" si="2"/>
        <v>3.0260027599999999</v>
      </c>
      <c r="K15" s="43">
        <f t="shared" si="2"/>
        <v>9.5632888722599994</v>
      </c>
      <c r="L15" s="369">
        <f t="shared" si="2"/>
        <v>338.27150294234394</v>
      </c>
      <c r="M15" s="370">
        <v>337.47095057333155</v>
      </c>
      <c r="N15" s="368">
        <f t="shared" si="0"/>
        <v>0.23665971329214874</v>
      </c>
      <c r="O15" s="368">
        <v>3.0286279592705991</v>
      </c>
      <c r="P15" s="368">
        <f>(E15-O15)/E15%</f>
        <v>-8.6754688571375665E-2</v>
      </c>
      <c r="Q15" s="368">
        <v>9.5632536504347261</v>
      </c>
      <c r="R15" s="368">
        <f>(F15-Q15)/G15%</f>
        <v>1.041229455242396E-5</v>
      </c>
      <c r="S15" s="368">
        <v>0.1961488720363459</v>
      </c>
      <c r="T15" s="146">
        <f t="shared" si="1"/>
        <v>20.781325145533199</v>
      </c>
    </row>
    <row r="16" spans="1:20" ht="15" x14ac:dyDescent="0.35">
      <c r="A16" s="302" t="s">
        <v>40</v>
      </c>
      <c r="B16" s="303" t="s">
        <v>79</v>
      </c>
      <c r="C16" s="316">
        <v>0.19500000000000001</v>
      </c>
      <c r="D16" s="305">
        <v>3.287E-3</v>
      </c>
      <c r="E16" s="46">
        <v>3.7930434521199996</v>
      </c>
      <c r="F16" s="315">
        <v>4.3335246012190007E-2</v>
      </c>
      <c r="G16" s="306">
        <v>11.914536742744552</v>
      </c>
      <c r="H16" s="319">
        <v>1</v>
      </c>
      <c r="I16" s="44">
        <f t="shared" si="2"/>
        <v>3.287E-3</v>
      </c>
      <c r="J16" s="43">
        <f t="shared" si="2"/>
        <v>3.7930434521199996</v>
      </c>
      <c r="K16" s="640">
        <f t="shared" si="2"/>
        <v>4.3335246012190007E-2</v>
      </c>
      <c r="L16" s="641">
        <f t="shared" si="2"/>
        <v>11.914536742744552</v>
      </c>
      <c r="M16" s="370">
        <v>11.915638529310733</v>
      </c>
      <c r="N16" s="368">
        <f t="shared" si="0"/>
        <v>-9.2474142299511456E-3</v>
      </c>
      <c r="O16" s="368">
        <v>3.7930767743955478</v>
      </c>
      <c r="P16" s="368">
        <f>(E16-O16)/E16%</f>
        <v>-8.7851025090612258E-4</v>
      </c>
      <c r="Q16" s="368">
        <v>4.3332469085426963E-2</v>
      </c>
      <c r="R16" s="368">
        <f>(F16-Q16)/G16%</f>
        <v>2.3307047709893398E-5</v>
      </c>
      <c r="S16" s="368">
        <v>4.3684562756625784E-3</v>
      </c>
      <c r="T16" s="146">
        <f t="shared" si="1"/>
        <v>32.901012341423133</v>
      </c>
    </row>
    <row r="17" spans="1:20" ht="15" x14ac:dyDescent="0.35">
      <c r="A17" s="302" t="s">
        <v>42</v>
      </c>
      <c r="B17" s="303" t="s">
        <v>80</v>
      </c>
      <c r="C17" s="316">
        <v>0.221</v>
      </c>
      <c r="D17" s="305">
        <v>5.9950000000000003E-3</v>
      </c>
      <c r="E17" s="46">
        <v>3.7941413281699998</v>
      </c>
      <c r="F17" s="315">
        <v>5.8195800772079996E-2</v>
      </c>
      <c r="G17" s="306">
        <v>14.164569348296638</v>
      </c>
      <c r="H17" s="319">
        <v>1</v>
      </c>
      <c r="I17" s="44">
        <f t="shared" si="2"/>
        <v>5.9950000000000003E-3</v>
      </c>
      <c r="J17" s="43">
        <f t="shared" si="2"/>
        <v>3.7941413281699998</v>
      </c>
      <c r="K17" s="640">
        <f t="shared" si="2"/>
        <v>5.8195800772079996E-2</v>
      </c>
      <c r="L17" s="641">
        <f t="shared" si="2"/>
        <v>14.164569348296638</v>
      </c>
      <c r="M17" s="370">
        <v>13.492407702295198</v>
      </c>
      <c r="N17" s="372">
        <f t="shared" si="0"/>
        <v>4.7453729758629812</v>
      </c>
      <c r="O17" s="368">
        <v>3.7941945968892901</v>
      </c>
      <c r="P17" s="368">
        <f>(E17-O17)/E17%</f>
        <v>-1.4039729857908694E-3</v>
      </c>
      <c r="Q17" s="368">
        <v>5.8189685583375728E-2</v>
      </c>
      <c r="R17" s="368">
        <f>(F17-Q17)/G17%</f>
        <v>4.3172429418080778E-5</v>
      </c>
      <c r="S17" s="368">
        <v>6.9201355344465148E-3</v>
      </c>
      <c r="T17" s="146">
        <f t="shared" si="1"/>
        <v>15.431785395271302</v>
      </c>
    </row>
    <row r="18" spans="1:20" x14ac:dyDescent="0.25">
      <c r="A18" s="310" t="s">
        <v>44</v>
      </c>
      <c r="B18" s="311" t="s">
        <v>20</v>
      </c>
      <c r="C18" s="313" t="s">
        <v>20</v>
      </c>
      <c r="D18" s="313" t="s">
        <v>20</v>
      </c>
      <c r="E18" s="313" t="s">
        <v>20</v>
      </c>
      <c r="F18" s="313" t="s">
        <v>20</v>
      </c>
      <c r="G18" s="313" t="s">
        <v>20</v>
      </c>
      <c r="H18" s="313" t="s">
        <v>20</v>
      </c>
      <c r="I18" s="313" t="s">
        <v>20</v>
      </c>
      <c r="J18" s="313" t="s">
        <v>20</v>
      </c>
      <c r="K18" s="313" t="s">
        <v>20</v>
      </c>
      <c r="L18" s="313" t="s">
        <v>20</v>
      </c>
      <c r="M18" s="368"/>
      <c r="N18" s="368"/>
      <c r="O18" s="368"/>
      <c r="P18" s="368"/>
      <c r="Q18" s="368"/>
      <c r="R18" s="368"/>
      <c r="S18" s="368"/>
      <c r="T18" s="146"/>
    </row>
    <row r="19" spans="1:20" ht="15" x14ac:dyDescent="0.35">
      <c r="A19" s="777" t="s">
        <v>45</v>
      </c>
      <c r="B19" s="337" t="s">
        <v>81</v>
      </c>
      <c r="C19" s="355">
        <v>7.9200000000000007E-2</v>
      </c>
      <c r="D19" s="339">
        <v>6.0150000000000004E-3</v>
      </c>
      <c r="E19" s="340">
        <v>2.2131819599999998E-2</v>
      </c>
      <c r="F19" s="354">
        <v>14.2442107609209</v>
      </c>
      <c r="G19" s="342">
        <v>338.89326024824101</v>
      </c>
      <c r="H19" s="343">
        <f>C19/(C19+C20)</f>
        <v>0.44295302013422821</v>
      </c>
      <c r="I19" s="793">
        <f>D19*$H19+D20*$H20</f>
        <v>5.7453892617449669E-3</v>
      </c>
      <c r="J19" s="796">
        <f>E19*$H19+E20*$H20</f>
        <v>2.0800034410067114E-2</v>
      </c>
      <c r="K19" s="799">
        <f>F19*$H19+F20*$H20</f>
        <v>13.774365347436952</v>
      </c>
      <c r="L19" s="815">
        <f>G19*$H19+G20*$H20</f>
        <v>324.70516588644483</v>
      </c>
      <c r="M19" s="381">
        <v>338.37230119627139</v>
      </c>
      <c r="N19" s="382">
        <f t="shared" si="0"/>
        <v>0.15372363899713054</v>
      </c>
      <c r="O19" s="382">
        <v>2.2388255973599822E-2</v>
      </c>
      <c r="P19" s="382">
        <f>(E19-O19)/E19%</f>
        <v>-1.1586773172497009</v>
      </c>
      <c r="Q19" s="382">
        <v>14.244201631803822</v>
      </c>
      <c r="R19" s="382">
        <f>(F19-Q19)/G19%</f>
        <v>2.6938030787632054E-6</v>
      </c>
      <c r="S19" s="382">
        <v>1.2671269649366622E-2</v>
      </c>
      <c r="T19" s="383">
        <f t="shared" si="1"/>
        <v>110.66117455306103</v>
      </c>
    </row>
    <row r="20" spans="1:20" ht="15" x14ac:dyDescent="0.35">
      <c r="A20" s="782"/>
      <c r="B20" s="330" t="s">
        <v>82</v>
      </c>
      <c r="C20" s="377">
        <v>9.9599999999999994E-2</v>
      </c>
      <c r="D20" s="332">
        <v>5.5310000000000003E-3</v>
      </c>
      <c r="E20" s="352">
        <v>1.9741024499999999E-2</v>
      </c>
      <c r="F20" s="333">
        <v>13.400753331895499</v>
      </c>
      <c r="G20" s="335">
        <v>313.42306675537799</v>
      </c>
      <c r="H20" s="336">
        <f>C20/(C19+C20)</f>
        <v>0.55704697986577179</v>
      </c>
      <c r="I20" s="795"/>
      <c r="J20" s="798"/>
      <c r="K20" s="801"/>
      <c r="L20" s="816"/>
      <c r="M20" s="384">
        <v>312.95681988138068</v>
      </c>
      <c r="N20" s="379">
        <f t="shared" si="0"/>
        <v>0.14875959157186258</v>
      </c>
      <c r="O20" s="379">
        <v>1.9983518597423391E-2</v>
      </c>
      <c r="P20" s="379">
        <f>(E20-O20)/E20%</f>
        <v>-1.2283764574801659</v>
      </c>
      <c r="Q20" s="379">
        <v>13.40074408243451</v>
      </c>
      <c r="R20" s="379">
        <f>(F20-Q20)/G20%</f>
        <v>2.95111048617994E-6</v>
      </c>
      <c r="S20" s="379">
        <v>1.1942230017494447E-2</v>
      </c>
      <c r="T20" s="385">
        <f t="shared" si="1"/>
        <v>115.91448232678441</v>
      </c>
    </row>
    <row r="21" spans="1:20" x14ac:dyDescent="0.25">
      <c r="A21" s="310" t="s">
        <v>46</v>
      </c>
      <c r="B21" s="311" t="s">
        <v>20</v>
      </c>
      <c r="C21" s="313" t="s">
        <v>20</v>
      </c>
      <c r="D21" s="313" t="s">
        <v>20</v>
      </c>
      <c r="E21" s="313" t="s">
        <v>20</v>
      </c>
      <c r="F21" s="313" t="s">
        <v>20</v>
      </c>
      <c r="G21" s="313" t="s">
        <v>20</v>
      </c>
      <c r="H21" s="313" t="s">
        <v>20</v>
      </c>
      <c r="I21" s="313" t="s">
        <v>20</v>
      </c>
      <c r="J21" s="313" t="s">
        <v>20</v>
      </c>
      <c r="K21" s="313" t="s">
        <v>20</v>
      </c>
      <c r="L21" s="313" t="s">
        <v>20</v>
      </c>
      <c r="M21" s="368"/>
      <c r="N21" s="368"/>
      <c r="O21" s="368"/>
      <c r="P21" s="368"/>
      <c r="Q21" s="368"/>
      <c r="R21" s="368"/>
      <c r="S21" s="368"/>
      <c r="T21" s="146"/>
    </row>
    <row r="22" spans="1:20" x14ac:dyDescent="0.25">
      <c r="A22" s="310" t="s">
        <v>47</v>
      </c>
      <c r="B22" s="311" t="s">
        <v>20</v>
      </c>
      <c r="C22" s="313" t="s">
        <v>20</v>
      </c>
      <c r="D22" s="313" t="s">
        <v>20</v>
      </c>
      <c r="E22" s="313" t="s">
        <v>20</v>
      </c>
      <c r="F22" s="313" t="s">
        <v>20</v>
      </c>
      <c r="G22" s="313" t="s">
        <v>20</v>
      </c>
      <c r="H22" s="313" t="s">
        <v>20</v>
      </c>
      <c r="I22" s="313" t="s">
        <v>20</v>
      </c>
      <c r="J22" s="313" t="s">
        <v>20</v>
      </c>
      <c r="K22" s="313" t="s">
        <v>20</v>
      </c>
      <c r="L22" s="313" t="s">
        <v>20</v>
      </c>
      <c r="M22" s="368"/>
      <c r="N22" s="368"/>
      <c r="O22" s="368"/>
      <c r="P22" s="368"/>
      <c r="Q22" s="368"/>
      <c r="R22" s="368"/>
      <c r="S22" s="368"/>
      <c r="T22" s="146"/>
    </row>
    <row r="23" spans="1:20" x14ac:dyDescent="0.25">
      <c r="A23" s="310" t="s">
        <v>48</v>
      </c>
      <c r="B23" s="311" t="s">
        <v>20</v>
      </c>
      <c r="C23" s="965">
        <v>1.0500000000000001E-2</v>
      </c>
      <c r="D23" s="313">
        <v>3.8440000000000002E-3</v>
      </c>
      <c r="E23" s="313" t="s">
        <v>20</v>
      </c>
      <c r="F23" s="313" t="s">
        <v>20</v>
      </c>
      <c r="G23" s="313" t="s">
        <v>20</v>
      </c>
      <c r="H23" s="313" t="s">
        <v>20</v>
      </c>
      <c r="I23" s="313">
        <f>D23</f>
        <v>3.8440000000000002E-3</v>
      </c>
      <c r="J23" s="313" t="s">
        <v>20</v>
      </c>
      <c r="K23" s="313" t="s">
        <v>20</v>
      </c>
      <c r="L23" s="313" t="s">
        <v>20</v>
      </c>
      <c r="M23" s="368"/>
      <c r="N23" s="368"/>
      <c r="O23" s="368"/>
      <c r="P23" s="368"/>
      <c r="Q23" s="368"/>
      <c r="R23" s="368"/>
      <c r="S23" s="368"/>
      <c r="T23" s="146"/>
    </row>
    <row r="24" spans="1:20" x14ac:dyDescent="0.25">
      <c r="A24" s="310" t="s">
        <v>50</v>
      </c>
      <c r="B24" s="311" t="s">
        <v>20</v>
      </c>
      <c r="C24" s="313" t="s">
        <v>20</v>
      </c>
      <c r="D24" s="313" t="s">
        <v>20</v>
      </c>
      <c r="E24" s="313" t="s">
        <v>20</v>
      </c>
      <c r="F24" s="313" t="s">
        <v>20</v>
      </c>
      <c r="G24" s="313" t="s">
        <v>20</v>
      </c>
      <c r="H24" s="313" t="s">
        <v>20</v>
      </c>
      <c r="I24" s="313" t="s">
        <v>20</v>
      </c>
      <c r="J24" s="313" t="s">
        <v>20</v>
      </c>
      <c r="K24" s="313" t="s">
        <v>20</v>
      </c>
      <c r="L24" s="313" t="s">
        <v>20</v>
      </c>
      <c r="M24" s="368"/>
      <c r="N24" s="368"/>
      <c r="O24" s="368"/>
      <c r="P24" s="368"/>
      <c r="Q24" s="368"/>
      <c r="R24" s="368"/>
      <c r="S24" s="368"/>
      <c r="T24" s="146"/>
    </row>
    <row r="25" spans="1:20" ht="15" x14ac:dyDescent="0.25">
      <c r="A25" s="777" t="s">
        <v>51</v>
      </c>
      <c r="B25" s="337" t="s">
        <v>83</v>
      </c>
      <c r="C25" s="386">
        <v>3.98522483941389E-5</v>
      </c>
      <c r="D25" s="339">
        <v>1.54E-2</v>
      </c>
      <c r="E25" s="341">
        <v>3.8876933140999999</v>
      </c>
      <c r="F25" s="353">
        <v>0.21469851520530001</v>
      </c>
      <c r="G25" s="354">
        <v>40.153870447605499</v>
      </c>
      <c r="H25" s="343">
        <f>C25/(C25+C26+C27)</f>
        <v>5.4603172740543049E-2</v>
      </c>
      <c r="I25" s="796">
        <f>D25*$H25+D26*$H26+D27*$H27</f>
        <v>1.7835972491571865E-2</v>
      </c>
      <c r="J25" s="805">
        <f>E25*$H25+E26*$H26+E27*$H27</f>
        <v>3.886949986642704</v>
      </c>
      <c r="K25" s="793">
        <f>F25*$H25+F26*$H26+F27*$H27</f>
        <v>0.25893554361968318</v>
      </c>
      <c r="L25" s="799">
        <f>G25*$H25+G26*$H26+G27*$H27</f>
        <v>47.994515011203404</v>
      </c>
      <c r="M25" s="387">
        <v>40.140170744104481</v>
      </c>
      <c r="N25" s="382">
        <f t="shared" si="0"/>
        <v>3.4118014896955443E-2</v>
      </c>
      <c r="O25" s="382">
        <v>3.8884547471907354</v>
      </c>
      <c r="P25" s="382">
        <f t="shared" ref="P25:P43" si="3">(E25-O25)/E25%</f>
        <v>-1.9585729357146572E-2</v>
      </c>
      <c r="Q25" s="382">
        <v>0.21158182774042872</v>
      </c>
      <c r="R25" s="382">
        <f t="shared" ref="R25:R43" si="4">(F25-Q25)/G25%</f>
        <v>7.7618606379130381E-3</v>
      </c>
      <c r="S25" s="382">
        <v>1.8128403714804422E-2</v>
      </c>
      <c r="T25" s="388">
        <f t="shared" si="1"/>
        <v>17.716907238989748</v>
      </c>
    </row>
    <row r="26" spans="1:20" ht="15" x14ac:dyDescent="0.25">
      <c r="A26" s="784"/>
      <c r="B26" s="344" t="s">
        <v>84</v>
      </c>
      <c r="C26" s="350">
        <v>6.9999999999999994E-5</v>
      </c>
      <c r="D26" s="346">
        <v>3.3890000000000003E-2</v>
      </c>
      <c r="E26" s="351">
        <v>3.8968936650999999</v>
      </c>
      <c r="F26" s="356">
        <v>0.40970618165</v>
      </c>
      <c r="G26" s="349">
        <v>106.4496655954178</v>
      </c>
      <c r="H26" s="350">
        <f>C26/(C25+C26+C27)</f>
        <v>9.5909823055307208E-2</v>
      </c>
      <c r="I26" s="797"/>
      <c r="J26" s="812"/>
      <c r="K26" s="794"/>
      <c r="L26" s="800"/>
      <c r="M26" s="389">
        <v>106.36187671120543</v>
      </c>
      <c r="N26" s="390">
        <f t="shared" si="0"/>
        <v>8.2469854387359709E-2</v>
      </c>
      <c r="O26" s="390">
        <v>3.8972136264339747</v>
      </c>
      <c r="P26" s="390">
        <f t="shared" si="3"/>
        <v>-8.2106765406599006E-3</v>
      </c>
      <c r="Q26" s="390">
        <v>0.40967783405642449</v>
      </c>
      <c r="R26" s="390">
        <f t="shared" si="4"/>
        <v>2.6630044741752994E-5</v>
      </c>
      <c r="S26" s="390">
        <v>3.3850441202851925E-2</v>
      </c>
      <c r="T26" s="391">
        <f t="shared" si="1"/>
        <v>-0.11672704971401222</v>
      </c>
    </row>
    <row r="27" spans="1:20" ht="15" x14ac:dyDescent="0.25">
      <c r="A27" s="782"/>
      <c r="B27" s="330" t="s">
        <v>85</v>
      </c>
      <c r="C27" s="377">
        <v>6.2E-4</v>
      </c>
      <c r="D27" s="332">
        <v>1.618E-2</v>
      </c>
      <c r="E27" s="357">
        <v>3.8857795337999996</v>
      </c>
      <c r="F27" s="334">
        <v>0.24475651197849999</v>
      </c>
      <c r="G27" s="333">
        <v>41.898719485112522</v>
      </c>
      <c r="H27" s="336">
        <f>C27/(C25+C26+C27)</f>
        <v>0.84948700420414969</v>
      </c>
      <c r="I27" s="798"/>
      <c r="J27" s="806"/>
      <c r="K27" s="795"/>
      <c r="L27" s="801"/>
      <c r="M27" s="378">
        <v>41.888620382441815</v>
      </c>
      <c r="N27" s="379">
        <f t="shared" si="0"/>
        <v>2.4103606971320954E-2</v>
      </c>
      <c r="O27" s="379">
        <v>3.8859541362669048</v>
      </c>
      <c r="P27" s="379">
        <f t="shared" si="3"/>
        <v>-4.4933703877533503E-3</v>
      </c>
      <c r="Q27" s="379">
        <v>0.24474052761465043</v>
      </c>
      <c r="R27" s="379">
        <f t="shared" si="4"/>
        <v>3.8150005646921575E-5</v>
      </c>
      <c r="S27" s="379">
        <v>1.8057035518324705E-2</v>
      </c>
      <c r="T27" s="385">
        <f t="shared" si="1"/>
        <v>11.600961176296076</v>
      </c>
    </row>
    <row r="28" spans="1:20" ht="15" x14ac:dyDescent="0.25">
      <c r="A28" s="777" t="s">
        <v>55</v>
      </c>
      <c r="B28" s="337" t="s">
        <v>86</v>
      </c>
      <c r="C28" s="355">
        <v>5.9999999999999995E-4</v>
      </c>
      <c r="D28" s="339">
        <v>0.1108</v>
      </c>
      <c r="E28" s="341">
        <v>4.1179289500000005</v>
      </c>
      <c r="F28" s="341">
        <v>1.536152607462</v>
      </c>
      <c r="G28" s="342">
        <v>220.700762536105</v>
      </c>
      <c r="H28" s="343">
        <f>C28/SUM(C$28:C$43)</f>
        <v>3.7197768133911964E-2</v>
      </c>
      <c r="I28" s="793">
        <f>D28*$H28+D29*$H29+D30*$H30+D31*$H31+D32*$H32+D33*$H33+D34*$H34+D35*$H35+D36*$H36+D37*$H37+D38*$H38+D39*$H39+D40*$H40+D41*$H41+D42*$H42+D43*$H43</f>
        <v>8.5576267823930588E-2</v>
      </c>
      <c r="J28" s="805">
        <f>E28*$H28+E29*$H29+E30*$H30+E31*$H31+E32*$H32+E33*$H33+E34*$H34+E35*$H35+E36*$H36+E37*$H37+E38*$H38+E39*$H39+E40*$H40+E41*$H41+E42*$H42+E43*$H43</f>
        <v>4.0298610721196537</v>
      </c>
      <c r="K28" s="805">
        <f>F28*$H28+F29*$H29+F30*$H30+F31*$H31+F32*$H32+F33*$H33+F34*$H34+F35*$H35+F36*$H36+F37*$H37+F38*$H38+F39*$H39+F40*$H40+F41*$H41+F42*$H42+F43*$H43</f>
        <v>1.1666623530229809</v>
      </c>
      <c r="L28" s="815">
        <f>G28*$H28+G29*$H29+G30*$H30+G31*$H31+G32*$H32+G33*$H33+G34*$H34+G35*$H35+G36*$H36+G37*$H37+G38*$H38+G39*$H39+G40*$H40+G41*$H41+G42*$H42+G43*$H43</f>
        <v>169.40322205459341</v>
      </c>
      <c r="M28" s="387">
        <v>220.09167967856578</v>
      </c>
      <c r="N28" s="382">
        <f t="shared" si="0"/>
        <v>0.27597677984441921</v>
      </c>
      <c r="O28" s="382">
        <v>4.1199175270489778</v>
      </c>
      <c r="P28" s="382">
        <f t="shared" si="3"/>
        <v>-4.8290708099210135E-2</v>
      </c>
      <c r="Q28" s="382">
        <v>1.5359469274053124</v>
      </c>
      <c r="R28" s="382">
        <f t="shared" si="4"/>
        <v>9.3194085205751257E-5</v>
      </c>
      <c r="S28" s="382">
        <v>0.12116213076538032</v>
      </c>
      <c r="T28" s="383">
        <f t="shared" si="1"/>
        <v>9.3521035788631099</v>
      </c>
    </row>
    <row r="29" spans="1:20" ht="15" x14ac:dyDescent="0.25">
      <c r="A29" s="784"/>
      <c r="B29" s="344" t="s">
        <v>87</v>
      </c>
      <c r="C29" s="350">
        <v>5.9999999999999995E-4</v>
      </c>
      <c r="D29" s="346">
        <v>0.1167</v>
      </c>
      <c r="E29" s="351">
        <v>4.1227718479999993</v>
      </c>
      <c r="F29" s="351">
        <v>1.581388709671</v>
      </c>
      <c r="G29" s="349">
        <v>232.47241874934181</v>
      </c>
      <c r="H29" s="350">
        <f t="shared" ref="H29:H43" si="5">C29/SUM(C$28:C$43)</f>
        <v>3.7197768133911964E-2</v>
      </c>
      <c r="I29" s="794"/>
      <c r="J29" s="812"/>
      <c r="K29" s="812"/>
      <c r="L29" s="817"/>
      <c r="M29" s="389">
        <v>231.85178686806427</v>
      </c>
      <c r="N29" s="390">
        <f t="shared" si="0"/>
        <v>0.26697011396725256</v>
      </c>
      <c r="O29" s="390">
        <v>4.1247804295232937</v>
      </c>
      <c r="P29" s="390">
        <f t="shared" si="3"/>
        <v>-4.8719201482585107E-2</v>
      </c>
      <c r="Q29" s="390">
        <v>1.5811815788614501</v>
      </c>
      <c r="R29" s="390">
        <f t="shared" si="4"/>
        <v>8.9099089975598825E-5</v>
      </c>
      <c r="S29" s="390">
        <v>0.12501012001663195</v>
      </c>
      <c r="T29" s="391">
        <f t="shared" si="1"/>
        <v>7.1209254641233501</v>
      </c>
    </row>
    <row r="30" spans="1:20" ht="15" x14ac:dyDescent="0.25">
      <c r="A30" s="784"/>
      <c r="B30" s="344" t="s">
        <v>88</v>
      </c>
      <c r="C30" s="350">
        <v>4.0000000000000002E-4</v>
      </c>
      <c r="D30" s="346">
        <v>0.13</v>
      </c>
      <c r="E30" s="351">
        <v>4.1182018649999996</v>
      </c>
      <c r="F30" s="351">
        <v>1.8129927704159998</v>
      </c>
      <c r="G30" s="349">
        <v>241.0033325089168</v>
      </c>
      <c r="H30" s="350">
        <f t="shared" si="5"/>
        <v>2.4798512089274648E-2</v>
      </c>
      <c r="I30" s="794"/>
      <c r="J30" s="812"/>
      <c r="K30" s="812"/>
      <c r="L30" s="817"/>
      <c r="M30" s="389">
        <v>240.57007369678348</v>
      </c>
      <c r="N30" s="390">
        <f t="shared" si="0"/>
        <v>0.17977295484795316</v>
      </c>
      <c r="O30" s="390">
        <v>4.1208534999045092</v>
      </c>
      <c r="P30" s="390">
        <f t="shared" si="3"/>
        <v>-6.4388172106021616E-2</v>
      </c>
      <c r="Q30" s="390">
        <v>1.8127953912766803</v>
      </c>
      <c r="R30" s="390">
        <f t="shared" si="4"/>
        <v>8.1898925323862544E-5</v>
      </c>
      <c r="S30" s="390">
        <v>0.14456375536819768</v>
      </c>
      <c r="T30" s="391">
        <f t="shared" si="1"/>
        <v>11.202888744767446</v>
      </c>
    </row>
    <row r="31" spans="1:20" ht="15" x14ac:dyDescent="0.25">
      <c r="A31" s="784"/>
      <c r="B31" s="344" t="s">
        <v>89</v>
      </c>
      <c r="C31" s="350">
        <v>4.0000000000000002E-4</v>
      </c>
      <c r="D31" s="346">
        <v>0.1356</v>
      </c>
      <c r="E31" s="351">
        <v>4.122755626</v>
      </c>
      <c r="F31" s="351">
        <v>1.8555277997859998</v>
      </c>
      <c r="G31" s="349">
        <v>252.0720348641037</v>
      </c>
      <c r="H31" s="350">
        <f t="shared" si="5"/>
        <v>2.4798512089274648E-2</v>
      </c>
      <c r="I31" s="794"/>
      <c r="J31" s="812"/>
      <c r="K31" s="812"/>
      <c r="L31" s="817"/>
      <c r="M31" s="389">
        <v>251.62791286649747</v>
      </c>
      <c r="N31" s="390">
        <f t="shared" si="0"/>
        <v>0.17618852398508431</v>
      </c>
      <c r="O31" s="390">
        <v>4.1254260559946108</v>
      </c>
      <c r="P31" s="390">
        <f t="shared" si="3"/>
        <v>-6.477293919071489E-2</v>
      </c>
      <c r="Q31" s="390">
        <v>1.8553290508532301</v>
      </c>
      <c r="R31" s="390">
        <f t="shared" si="4"/>
        <v>7.8846085753570447E-5</v>
      </c>
      <c r="S31" s="390">
        <v>0.14818198767290156</v>
      </c>
      <c r="T31" s="391">
        <f t="shared" si="1"/>
        <v>9.27875197116634</v>
      </c>
    </row>
    <row r="32" spans="1:20" ht="15" x14ac:dyDescent="0.25">
      <c r="A32" s="784"/>
      <c r="B32" s="344" t="s">
        <v>90</v>
      </c>
      <c r="C32" s="350">
        <v>1.83E-3</v>
      </c>
      <c r="D32" s="346">
        <v>7.8890000000000002E-2</v>
      </c>
      <c r="E32" s="351">
        <v>4.0323111620000001</v>
      </c>
      <c r="F32" s="351">
        <v>1.087817922468</v>
      </c>
      <c r="G32" s="349">
        <v>156.72194682902656</v>
      </c>
      <c r="H32" s="350">
        <f t="shared" si="5"/>
        <v>0.11345319280843151</v>
      </c>
      <c r="I32" s="794"/>
      <c r="J32" s="812"/>
      <c r="K32" s="812"/>
      <c r="L32" s="817"/>
      <c r="M32" s="389">
        <v>156.30017708556363</v>
      </c>
      <c r="N32" s="390">
        <f t="shared" si="0"/>
        <v>0.26911977039377571</v>
      </c>
      <c r="O32" s="390">
        <v>4.033652192682128</v>
      </c>
      <c r="P32" s="390">
        <f t="shared" si="3"/>
        <v>-3.3257122981125389E-2</v>
      </c>
      <c r="Q32" s="390">
        <v>1.0876758643487914</v>
      </c>
      <c r="R32" s="390">
        <f t="shared" si="4"/>
        <v>9.0643411521437755E-5</v>
      </c>
      <c r="S32" s="390">
        <v>8.3761499346072771E-2</v>
      </c>
      <c r="T32" s="391">
        <f t="shared" si="1"/>
        <v>6.175053043570502</v>
      </c>
    </row>
    <row r="33" spans="1:20" ht="15" x14ac:dyDescent="0.25">
      <c r="A33" s="784"/>
      <c r="B33" s="344" t="s">
        <v>91</v>
      </c>
      <c r="C33" s="350">
        <v>1.1999999999999999E-3</v>
      </c>
      <c r="D33" s="346">
        <v>9.153E-2</v>
      </c>
      <c r="E33" s="351">
        <v>4.0323735319999994</v>
      </c>
      <c r="F33" s="351">
        <v>1.2707130986289998</v>
      </c>
      <c r="G33" s="349">
        <v>169.95401922825718</v>
      </c>
      <c r="H33" s="350">
        <f t="shared" si="5"/>
        <v>7.4395536267823928E-2</v>
      </c>
      <c r="I33" s="794"/>
      <c r="J33" s="812"/>
      <c r="K33" s="812"/>
      <c r="L33" s="817"/>
      <c r="M33" s="389">
        <v>169.65121214529904</v>
      </c>
      <c r="N33" s="390">
        <f t="shared" si="0"/>
        <v>0.17817000405942365</v>
      </c>
      <c r="O33" s="390">
        <v>4.0341601554132875</v>
      </c>
      <c r="P33" s="390">
        <f t="shared" si="3"/>
        <v>-4.4306991877362839E-2</v>
      </c>
      <c r="Q33" s="390">
        <v>1.2705767842727085</v>
      </c>
      <c r="R33" s="390">
        <f t="shared" si="4"/>
        <v>8.0206609358428094E-5</v>
      </c>
      <c r="S33" s="390">
        <v>9.9362061677500974E-2</v>
      </c>
      <c r="T33" s="391">
        <f t="shared" si="1"/>
        <v>8.5568247323292628</v>
      </c>
    </row>
    <row r="34" spans="1:20" ht="15" x14ac:dyDescent="0.25">
      <c r="A34" s="784"/>
      <c r="B34" s="344" t="s">
        <v>92</v>
      </c>
      <c r="C34" s="350">
        <v>6.9999999999999994E-5</v>
      </c>
      <c r="D34" s="346">
        <v>5.9409999999999998E-2</v>
      </c>
      <c r="E34" s="351">
        <v>3.9341306919999997</v>
      </c>
      <c r="F34" s="356">
        <v>0.85293148128099994</v>
      </c>
      <c r="G34" s="349">
        <v>124.97464432051578</v>
      </c>
      <c r="H34" s="350">
        <f t="shared" si="5"/>
        <v>4.3397396156230625E-3</v>
      </c>
      <c r="I34" s="794"/>
      <c r="J34" s="812"/>
      <c r="K34" s="812"/>
      <c r="L34" s="817"/>
      <c r="M34" s="389">
        <v>124.87367500701684</v>
      </c>
      <c r="N34" s="390">
        <f t="shared" si="0"/>
        <v>8.079183905495714E-2</v>
      </c>
      <c r="O34" s="390">
        <v>3.9351389322891013</v>
      </c>
      <c r="P34" s="390">
        <f t="shared" si="3"/>
        <v>-2.5628032417729988E-2</v>
      </c>
      <c r="Q34" s="390">
        <v>0.85283815403235008</v>
      </c>
      <c r="R34" s="390">
        <f t="shared" si="4"/>
        <v>7.4676946797706806E-5</v>
      </c>
      <c r="S34" s="390">
        <v>6.6581459045951016E-2</v>
      </c>
      <c r="T34" s="391">
        <f t="shared" si="1"/>
        <v>12.071131200052212</v>
      </c>
    </row>
    <row r="35" spans="1:20" ht="15" x14ac:dyDescent="0.25">
      <c r="A35" s="784"/>
      <c r="B35" s="344" t="s">
        <v>93</v>
      </c>
      <c r="C35" s="350">
        <v>1.0200000000000001E-3</v>
      </c>
      <c r="D35" s="346">
        <v>7.9259999999999997E-2</v>
      </c>
      <c r="E35" s="351">
        <v>3.9621964759999999</v>
      </c>
      <c r="F35" s="351">
        <v>1.046666202076</v>
      </c>
      <c r="G35" s="349">
        <v>160.95716645803637</v>
      </c>
      <c r="H35" s="350">
        <f t="shared" si="5"/>
        <v>6.3236205827650355E-2</v>
      </c>
      <c r="I35" s="794"/>
      <c r="J35" s="812"/>
      <c r="K35" s="812"/>
      <c r="L35" s="817"/>
      <c r="M35" s="389">
        <v>160.95354438423911</v>
      </c>
      <c r="N35" s="390">
        <f t="shared" si="0"/>
        <v>2.2503339720534869E-3</v>
      </c>
      <c r="O35" s="390">
        <v>3.9632787765872144</v>
      </c>
      <c r="P35" s="390">
        <f t="shared" si="3"/>
        <v>-2.7315671844398457E-2</v>
      </c>
      <c r="Q35" s="390">
        <v>1.046566321833275</v>
      </c>
      <c r="R35" s="390">
        <f t="shared" si="4"/>
        <v>6.2053927093108633E-5</v>
      </c>
      <c r="S35" s="390">
        <v>8.8866886232446055E-2</v>
      </c>
      <c r="T35" s="391">
        <f t="shared" si="1"/>
        <v>12.120724492109586</v>
      </c>
    </row>
    <row r="36" spans="1:20" ht="15" x14ac:dyDescent="0.25">
      <c r="A36" s="784"/>
      <c r="B36" s="344" t="s">
        <v>94</v>
      </c>
      <c r="C36" s="350">
        <v>1.1100000000000001E-3</v>
      </c>
      <c r="D36" s="346">
        <v>5.2339999999999998E-2</v>
      </c>
      <c r="E36" s="351">
        <v>3.9106610220000002</v>
      </c>
      <c r="F36" s="356">
        <v>0.66277370625400001</v>
      </c>
      <c r="G36" s="349">
        <v>117.84188815629372</v>
      </c>
      <c r="H36" s="350">
        <f t="shared" si="5"/>
        <v>6.8815871047737148E-2</v>
      </c>
      <c r="I36" s="794"/>
      <c r="J36" s="812"/>
      <c r="K36" s="812"/>
      <c r="L36" s="817"/>
      <c r="M36" s="389">
        <v>117.84619849893645</v>
      </c>
      <c r="N36" s="390">
        <f t="shared" si="0"/>
        <v>-3.6577338586159698E-3</v>
      </c>
      <c r="O36" s="390">
        <v>3.9113117825532453</v>
      </c>
      <c r="P36" s="390">
        <f t="shared" si="3"/>
        <v>-1.6640679148208944E-2</v>
      </c>
      <c r="Q36" s="390">
        <v>0.66271915571797979</v>
      </c>
      <c r="R36" s="390">
        <f t="shared" si="4"/>
        <v>4.629129494926657E-5</v>
      </c>
      <c r="S36" s="390">
        <v>5.0200500205300119E-2</v>
      </c>
      <c r="T36" s="391">
        <f t="shared" si="1"/>
        <v>-4.0876954426822287</v>
      </c>
    </row>
    <row r="37" spans="1:20" ht="15" x14ac:dyDescent="0.25">
      <c r="A37" s="784"/>
      <c r="B37" s="344" t="s">
        <v>95</v>
      </c>
      <c r="C37" s="350">
        <v>1.3999999999999999E-4</v>
      </c>
      <c r="D37" s="346">
        <v>6.7900000000000002E-2</v>
      </c>
      <c r="E37" s="351">
        <v>3.9451020589999999</v>
      </c>
      <c r="F37" s="356">
        <v>0.94507117939699992</v>
      </c>
      <c r="G37" s="349">
        <v>270.13027692643135</v>
      </c>
      <c r="H37" s="350">
        <f t="shared" si="5"/>
        <v>8.679479231246125E-3</v>
      </c>
      <c r="I37" s="794"/>
      <c r="J37" s="812"/>
      <c r="K37" s="812"/>
      <c r="L37" s="817"/>
      <c r="M37" s="389">
        <v>270.23261400184737</v>
      </c>
      <c r="N37" s="390">
        <f t="shared" si="0"/>
        <v>-3.7884341059587288E-2</v>
      </c>
      <c r="O37" s="390">
        <v>3.9460910848568158</v>
      </c>
      <c r="P37" s="390">
        <f t="shared" si="3"/>
        <v>-2.5069715359065398E-2</v>
      </c>
      <c r="Q37" s="390">
        <v>0.94498249097653686</v>
      </c>
      <c r="R37" s="390">
        <f t="shared" si="4"/>
        <v>3.283172159454401E-5</v>
      </c>
      <c r="S37" s="390">
        <v>7.6072012692073393E-2</v>
      </c>
      <c r="T37" s="391">
        <f t="shared" si="1"/>
        <v>12.035364789504257</v>
      </c>
    </row>
    <row r="38" spans="1:20" ht="15" x14ac:dyDescent="0.25">
      <c r="A38" s="784"/>
      <c r="B38" s="344" t="s">
        <v>96</v>
      </c>
      <c r="C38" s="350">
        <v>5.9999999999999995E-4</v>
      </c>
      <c r="D38" s="346">
        <v>7.1720000000000006E-2</v>
      </c>
      <c r="E38" s="351">
        <v>4.0244569219999997</v>
      </c>
      <c r="F38" s="351">
        <v>1.0107864617510001</v>
      </c>
      <c r="G38" s="349">
        <v>146.50586536765474</v>
      </c>
      <c r="H38" s="350">
        <f t="shared" si="5"/>
        <v>3.7197768133911964E-2</v>
      </c>
      <c r="I38" s="794"/>
      <c r="J38" s="812"/>
      <c r="K38" s="812"/>
      <c r="L38" s="817"/>
      <c r="M38" s="389">
        <v>146.05397293954869</v>
      </c>
      <c r="N38" s="390">
        <f t="shared" si="0"/>
        <v>0.30844664612712303</v>
      </c>
      <c r="O38" s="390">
        <v>4.025792828720034</v>
      </c>
      <c r="P38" s="390">
        <f t="shared" si="3"/>
        <v>-3.3194707905342867E-2</v>
      </c>
      <c r="Q38" s="390">
        <v>1.0106471427726493</v>
      </c>
      <c r="R38" s="390">
        <f t="shared" si="4"/>
        <v>9.5094471474649721E-5</v>
      </c>
      <c r="S38" s="390">
        <v>7.7084216603408459E-2</v>
      </c>
      <c r="T38" s="391">
        <f t="shared" si="1"/>
        <v>7.4793873444066543</v>
      </c>
    </row>
    <row r="39" spans="1:20" ht="15" x14ac:dyDescent="0.25">
      <c r="A39" s="784"/>
      <c r="B39" s="344" t="s">
        <v>97</v>
      </c>
      <c r="C39" s="350">
        <v>4.6800000000000001E-3</v>
      </c>
      <c r="D39" s="346">
        <v>7.6170000000000002E-2</v>
      </c>
      <c r="E39" s="351">
        <v>4.0278194480000007</v>
      </c>
      <c r="F39" s="351">
        <v>1.0318245240719999</v>
      </c>
      <c r="G39" s="349">
        <v>152.40604513000531</v>
      </c>
      <c r="H39" s="350">
        <f t="shared" si="5"/>
        <v>0.29014259144451338</v>
      </c>
      <c r="I39" s="794"/>
      <c r="J39" s="812"/>
      <c r="K39" s="812"/>
      <c r="L39" s="817"/>
      <c r="M39" s="389">
        <v>152.0125598004621</v>
      </c>
      <c r="N39" s="390">
        <f t="shared" si="0"/>
        <v>0.25818223234357929</v>
      </c>
      <c r="O39" s="390">
        <v>4.0291202733458853</v>
      </c>
      <c r="P39" s="390">
        <f t="shared" si="3"/>
        <v>-3.2296019289805168E-2</v>
      </c>
      <c r="Q39" s="390">
        <v>1.0316892323156575</v>
      </c>
      <c r="R39" s="390">
        <f t="shared" si="4"/>
        <v>8.8770597142002138E-5</v>
      </c>
      <c r="S39" s="390">
        <v>8.1790812821997766E-2</v>
      </c>
      <c r="T39" s="391">
        <f t="shared" si="1"/>
        <v>7.3793000157512987</v>
      </c>
    </row>
    <row r="40" spans="1:20" ht="15" x14ac:dyDescent="0.25">
      <c r="A40" s="784"/>
      <c r="B40" s="344" t="s">
        <v>98</v>
      </c>
      <c r="C40" s="350">
        <v>5.0000000000000002E-5</v>
      </c>
      <c r="D40" s="346">
        <v>6.6009999999999999E-2</v>
      </c>
      <c r="E40" s="351">
        <v>3.989565093</v>
      </c>
      <c r="F40" s="356">
        <v>0.92129633386599996</v>
      </c>
      <c r="G40" s="349">
        <v>141.74065683096381</v>
      </c>
      <c r="H40" s="350">
        <f t="shared" si="5"/>
        <v>3.0998140111593311E-3</v>
      </c>
      <c r="I40" s="794"/>
      <c r="J40" s="812"/>
      <c r="K40" s="812"/>
      <c r="L40" s="817"/>
      <c r="M40" s="389">
        <v>141.48563686125618</v>
      </c>
      <c r="N40" s="390">
        <f t="shared" si="0"/>
        <v>0.17992012694830561</v>
      </c>
      <c r="O40" s="390">
        <v>3.9908366892607927</v>
      </c>
      <c r="P40" s="390">
        <f t="shared" si="3"/>
        <v>-3.1873054609984332E-2</v>
      </c>
      <c r="Q40" s="390">
        <v>0.92118423417431161</v>
      </c>
      <c r="R40" s="390">
        <f t="shared" si="4"/>
        <v>7.90878878330845E-5</v>
      </c>
      <c r="S40" s="390">
        <v>7.2766921740812673E-2</v>
      </c>
      <c r="T40" s="391">
        <f t="shared" si="1"/>
        <v>10.236209272553666</v>
      </c>
    </row>
    <row r="41" spans="1:20" ht="15" x14ac:dyDescent="0.25">
      <c r="A41" s="784"/>
      <c r="B41" s="344" t="s">
        <v>99</v>
      </c>
      <c r="C41" s="350">
        <v>6.4999999999999997E-4</v>
      </c>
      <c r="D41" s="346">
        <v>7.4260000000000007E-2</v>
      </c>
      <c r="E41" s="351">
        <v>4.0011853900000007</v>
      </c>
      <c r="F41" s="356">
        <v>0.9904772875179999</v>
      </c>
      <c r="G41" s="349">
        <v>154.85105818826483</v>
      </c>
      <c r="H41" s="350">
        <f t="shared" si="5"/>
        <v>4.0297582145071301E-2</v>
      </c>
      <c r="I41" s="794"/>
      <c r="J41" s="812"/>
      <c r="K41" s="812"/>
      <c r="L41" s="817"/>
      <c r="M41" s="389">
        <v>154.64254366302185</v>
      </c>
      <c r="N41" s="390">
        <f t="shared" si="0"/>
        <v>0.13465489205082964</v>
      </c>
      <c r="O41" s="390">
        <v>4.0024765807077669</v>
      </c>
      <c r="P41" s="390">
        <f t="shared" si="3"/>
        <v>-3.2270204499726431E-2</v>
      </c>
      <c r="Q41" s="390">
        <v>0.99036356220099642</v>
      </c>
      <c r="R41" s="390">
        <f t="shared" si="4"/>
        <v>7.3441743527010974E-5</v>
      </c>
      <c r="S41" s="390">
        <v>8.1584338729888461E-2</v>
      </c>
      <c r="T41" s="391">
        <f t="shared" si="1"/>
        <v>9.8631009020851792</v>
      </c>
    </row>
    <row r="42" spans="1:20" ht="15" x14ac:dyDescent="0.25">
      <c r="A42" s="784"/>
      <c r="B42" s="344" t="s">
        <v>100</v>
      </c>
      <c r="C42" s="350">
        <v>3.8999999999999999E-4</v>
      </c>
      <c r="D42" s="346">
        <v>8.4790000000000004E-2</v>
      </c>
      <c r="E42" s="351">
        <v>4.0249875450000001</v>
      </c>
      <c r="F42" s="351">
        <v>1.1982748670079999</v>
      </c>
      <c r="G42" s="349">
        <v>160.34750786037986</v>
      </c>
      <c r="H42" s="350">
        <f t="shared" si="5"/>
        <v>2.4178549287042779E-2</v>
      </c>
      <c r="I42" s="794"/>
      <c r="J42" s="812"/>
      <c r="K42" s="812"/>
      <c r="L42" s="817"/>
      <c r="M42" s="389">
        <v>160.0163751930981</v>
      </c>
      <c r="N42" s="390">
        <f t="shared" si="0"/>
        <v>0.20650939431506038</v>
      </c>
      <c r="O42" s="390">
        <v>4.0267694111978791</v>
      </c>
      <c r="P42" s="390">
        <f t="shared" si="3"/>
        <v>-4.4270104639019744E-2</v>
      </c>
      <c r="Q42" s="390">
        <v>1.1981411627030041</v>
      </c>
      <c r="R42" s="390">
        <f t="shared" si="4"/>
        <v>8.3384086712616471E-5</v>
      </c>
      <c r="S42" s="390">
        <v>9.3082671545198906E-2</v>
      </c>
      <c r="T42" s="391">
        <f t="shared" si="1"/>
        <v>9.7802471343305815</v>
      </c>
    </row>
    <row r="43" spans="1:20" ht="15.6" thickBot="1" x14ac:dyDescent="0.3">
      <c r="A43" s="778"/>
      <c r="B43" s="358" t="s">
        <v>101</v>
      </c>
      <c r="C43" s="363">
        <v>2.3900000000000002E-3</v>
      </c>
      <c r="D43" s="360">
        <v>0.1032</v>
      </c>
      <c r="E43" s="361">
        <v>4.0577561950000005</v>
      </c>
      <c r="F43" s="361">
        <v>1.4129128908549999</v>
      </c>
      <c r="G43" s="362">
        <v>192.30422660158237</v>
      </c>
      <c r="H43" s="363">
        <f t="shared" si="5"/>
        <v>0.14817110973341602</v>
      </c>
      <c r="I43" s="811"/>
      <c r="J43" s="813"/>
      <c r="K43" s="813"/>
      <c r="L43" s="818"/>
      <c r="M43" s="392">
        <v>191.97697493818734</v>
      </c>
      <c r="N43" s="393">
        <f t="shared" si="0"/>
        <v>0.17017393178415921</v>
      </c>
      <c r="O43" s="393">
        <v>4.0597770217813691</v>
      </c>
      <c r="P43" s="393">
        <f t="shared" si="3"/>
        <v>-4.9801582062980784E-2</v>
      </c>
      <c r="Q43" s="393">
        <v>1.412761037181345</v>
      </c>
      <c r="R43" s="393">
        <f t="shared" si="4"/>
        <v>7.8965333387862049E-5</v>
      </c>
      <c r="S43" s="393">
        <v>0.11307221915544445</v>
      </c>
      <c r="T43" s="394">
        <f t="shared" si="1"/>
        <v>9.5661038327950116</v>
      </c>
    </row>
    <row r="44" spans="1:20" ht="12" thickTop="1" x14ac:dyDescent="0.25">
      <c r="C44" s="638"/>
      <c r="D44" s="13"/>
      <c r="E44" s="638"/>
      <c r="F44" s="638"/>
      <c r="G44" s="638"/>
      <c r="H44" s="3"/>
      <c r="I44" s="13">
        <f>SUM(I5:I43)</f>
        <v>0.97482654055228268</v>
      </c>
      <c r="J44" s="638"/>
      <c r="K44" s="638"/>
      <c r="L44" s="638"/>
    </row>
    <row r="45" spans="1:20" x14ac:dyDescent="0.25">
      <c r="C45" s="695">
        <f>C5/SUM(C5,C6,C9,C28:C43,C25:C27)</f>
        <v>9.197919284518366E-2</v>
      </c>
    </row>
    <row r="46" spans="1:20" x14ac:dyDescent="0.25">
      <c r="A46" s="91"/>
      <c r="C46" s="638"/>
      <c r="D46" s="638"/>
      <c r="E46" s="674"/>
      <c r="F46" s="674"/>
      <c r="G46" s="674"/>
      <c r="H46" s="674"/>
      <c r="I46" s="638"/>
      <c r="J46" s="638"/>
      <c r="K46" s="638"/>
      <c r="L46" s="638"/>
    </row>
    <row r="47" spans="1:20" x14ac:dyDescent="0.25">
      <c r="A47" s="91"/>
      <c r="C47" s="638"/>
      <c r="D47" s="638"/>
      <c r="E47" s="638"/>
      <c r="F47" s="638"/>
      <c r="G47" s="638"/>
      <c r="H47" s="638"/>
      <c r="I47" s="638"/>
      <c r="J47" s="638"/>
      <c r="K47" s="638"/>
      <c r="L47" s="638"/>
    </row>
    <row r="48" spans="1:20" x14ac:dyDescent="0.25">
      <c r="A48" s="91"/>
      <c r="C48" s="638"/>
      <c r="D48" s="638"/>
      <c r="E48" s="638"/>
      <c r="F48" s="638"/>
      <c r="G48" s="638"/>
      <c r="H48" s="638"/>
      <c r="I48" s="638"/>
      <c r="J48" s="638"/>
      <c r="K48" s="638"/>
      <c r="L48" s="638"/>
    </row>
    <row r="50" spans="1:1" x14ac:dyDescent="0.25">
      <c r="A50" s="91"/>
    </row>
    <row r="51" spans="1:1" x14ac:dyDescent="0.25">
      <c r="A51" s="91"/>
    </row>
    <row r="52" spans="1:1" x14ac:dyDescent="0.25">
      <c r="A52" s="91"/>
    </row>
  </sheetData>
  <sortState ref="A4:A23">
    <sortCondition ref="A4"/>
  </sortState>
  <mergeCells count="27">
    <mergeCell ref="L25:L27"/>
    <mergeCell ref="M1:T1"/>
    <mergeCell ref="I25:I27"/>
    <mergeCell ref="A2:A4"/>
    <mergeCell ref="B2:B4"/>
    <mergeCell ref="H2:H4"/>
    <mergeCell ref="C2:C4"/>
    <mergeCell ref="I19:I20"/>
    <mergeCell ref="A5:A6"/>
    <mergeCell ref="A19:A20"/>
    <mergeCell ref="A25:A27"/>
    <mergeCell ref="A28:A43"/>
    <mergeCell ref="I28:I43"/>
    <mergeCell ref="D1:G1"/>
    <mergeCell ref="I1:L1"/>
    <mergeCell ref="I5:I6"/>
    <mergeCell ref="J19:J20"/>
    <mergeCell ref="K19:K20"/>
    <mergeCell ref="L19:L20"/>
    <mergeCell ref="J28:J43"/>
    <mergeCell ref="K28:K43"/>
    <mergeCell ref="L28:L43"/>
    <mergeCell ref="J5:J6"/>
    <mergeCell ref="K5:K6"/>
    <mergeCell ref="L5:L6"/>
    <mergeCell ref="J25:J27"/>
    <mergeCell ref="K25:K2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workbookViewId="0">
      <selection activeCell="C27" sqref="C27"/>
    </sheetView>
  </sheetViews>
  <sheetFormatPr defaultColWidth="8.88671875" defaultRowHeight="11.4" x14ac:dyDescent="0.25"/>
  <cols>
    <col min="1" max="1" width="8.88671875" style="1"/>
    <col min="2" max="2" width="12" style="1" bestFit="1" customWidth="1"/>
    <col min="3" max="6" width="8.88671875" style="25"/>
    <col min="7" max="16384" width="8.88671875" style="1"/>
  </cols>
  <sheetData>
    <row r="1" spans="2:27" x14ac:dyDescent="0.25">
      <c r="C1" s="638" t="s">
        <v>5</v>
      </c>
      <c r="D1" s="638" t="s">
        <v>386</v>
      </c>
      <c r="E1" s="638" t="s">
        <v>387</v>
      </c>
      <c r="F1" s="638"/>
    </row>
    <row r="2" spans="2:27" s="34" customFormat="1" ht="12" thickBot="1" x14ac:dyDescent="0.3">
      <c r="B2" s="34" t="s">
        <v>388</v>
      </c>
      <c r="C2" s="638" t="s">
        <v>73</v>
      </c>
      <c r="D2" s="638" t="s">
        <v>73</v>
      </c>
      <c r="E2" s="638" t="s">
        <v>73</v>
      </c>
    </row>
    <row r="3" spans="2:27" x14ac:dyDescent="0.25">
      <c r="B3" s="47" t="s">
        <v>389</v>
      </c>
      <c r="C3" s="48">
        <v>4.48E-2</v>
      </c>
      <c r="D3" s="48">
        <v>4.48E-2</v>
      </c>
      <c r="E3" s="49">
        <v>4.48E-2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2:27" x14ac:dyDescent="0.25">
      <c r="B4" s="50" t="s">
        <v>390</v>
      </c>
      <c r="C4" s="45">
        <v>6.34</v>
      </c>
      <c r="D4" s="38">
        <v>1.41</v>
      </c>
      <c r="E4" s="51">
        <v>2.72</v>
      </c>
      <c r="F4" s="638"/>
      <c r="R4" s="31"/>
    </row>
    <row r="5" spans="2:27" x14ac:dyDescent="0.25">
      <c r="B5" s="52" t="s">
        <v>391</v>
      </c>
      <c r="C5" s="44">
        <v>5.89</v>
      </c>
      <c r="D5" s="43">
        <v>1.32</v>
      </c>
      <c r="E5" s="53">
        <v>2.35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27" x14ac:dyDescent="0.25">
      <c r="B6" s="54" t="s">
        <v>392</v>
      </c>
      <c r="C6" s="46">
        <v>0.17499999999999999</v>
      </c>
      <c r="D6" s="46">
        <v>6.8400000000000002E-2</v>
      </c>
      <c r="E6" s="55">
        <v>0.10299999999999999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2:27" x14ac:dyDescent="0.25">
      <c r="B7" s="52" t="s">
        <v>393</v>
      </c>
      <c r="C7" s="43">
        <v>8.0000000000000002E-3</v>
      </c>
      <c r="D7" s="43">
        <v>2.0899999999999998E-3</v>
      </c>
      <c r="E7" s="53">
        <v>3.7699999999999999E-3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2:27" x14ac:dyDescent="0.25">
      <c r="B8" s="54" t="s">
        <v>394</v>
      </c>
      <c r="C8" s="46">
        <v>0.14699999999999999</v>
      </c>
      <c r="D8" s="46">
        <v>5.1599999999999997E-3</v>
      </c>
      <c r="E8" s="55">
        <v>9.9099999999999994E-2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2:27" x14ac:dyDescent="0.25">
      <c r="B9" s="52" t="s">
        <v>395</v>
      </c>
      <c r="C9" s="43">
        <v>0.36899999999999999</v>
      </c>
      <c r="D9" s="43">
        <v>0.121</v>
      </c>
      <c r="E9" s="53">
        <v>0.158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2:27" x14ac:dyDescent="0.25">
      <c r="B10" s="52" t="s">
        <v>396</v>
      </c>
      <c r="C10" s="43">
        <v>0.11700000000000001</v>
      </c>
      <c r="D10" s="43">
        <v>0.11700000000000001</v>
      </c>
      <c r="E10" s="53">
        <v>0.11700000000000001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2:27" x14ac:dyDescent="0.25">
      <c r="B11" s="50" t="s">
        <v>397</v>
      </c>
      <c r="C11" s="38">
        <v>1.04</v>
      </c>
      <c r="D11" s="38">
        <v>0.23</v>
      </c>
      <c r="E11" s="51">
        <v>0.44400000000000001</v>
      </c>
      <c r="F11" s="638"/>
    </row>
    <row r="12" spans="2:27" x14ac:dyDescent="0.25">
      <c r="B12" s="54" t="s">
        <v>398</v>
      </c>
      <c r="C12" s="46">
        <v>0.36799999999999999</v>
      </c>
      <c r="D12" s="63">
        <v>0.106</v>
      </c>
      <c r="E12" s="65">
        <v>1.5100000000000001E-3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2:27" x14ac:dyDescent="0.25">
      <c r="B13" s="52" t="s">
        <v>399</v>
      </c>
      <c r="C13" s="43">
        <v>0.158</v>
      </c>
      <c r="D13" s="43">
        <v>0.55500000000000005</v>
      </c>
      <c r="E13" s="56">
        <v>0.56599999999999995</v>
      </c>
      <c r="F13" s="638"/>
      <c r="R13" s="32"/>
    </row>
    <row r="14" spans="2:27" x14ac:dyDescent="0.25">
      <c r="B14" s="54" t="s">
        <v>400</v>
      </c>
      <c r="C14" s="46">
        <v>0.126</v>
      </c>
      <c r="D14" s="46">
        <v>3.49E-2</v>
      </c>
      <c r="E14" s="57">
        <v>5.5300000000000002E-2</v>
      </c>
      <c r="F14" s="638"/>
    </row>
    <row r="15" spans="2:27" x14ac:dyDescent="0.25">
      <c r="B15" s="54" t="s">
        <v>401</v>
      </c>
      <c r="C15" s="46">
        <v>4.48E-2</v>
      </c>
      <c r="D15" s="46">
        <v>1.04E-2</v>
      </c>
      <c r="E15" s="57">
        <v>1.6E-2</v>
      </c>
      <c r="F15" s="638"/>
    </row>
    <row r="16" spans="2:27" x14ac:dyDescent="0.25">
      <c r="B16" s="54" t="s">
        <v>402</v>
      </c>
      <c r="C16" s="46">
        <v>1.09E-2</v>
      </c>
      <c r="D16" s="46">
        <v>1.9400000000000001E-3</v>
      </c>
      <c r="E16" s="57">
        <v>4.5100000000000001E-3</v>
      </c>
      <c r="F16" s="638"/>
      <c r="N16" s="5"/>
    </row>
    <row r="17" spans="2:27" s="10" customFormat="1" x14ac:dyDescent="0.25">
      <c r="B17" s="58" t="s">
        <v>403</v>
      </c>
      <c r="C17" s="36">
        <v>1.37E-2</v>
      </c>
      <c r="D17" s="36">
        <v>4.3799999999999999E-2</v>
      </c>
      <c r="E17" s="59">
        <v>3.3700000000000001E-2</v>
      </c>
      <c r="F17" s="3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2:27" s="10" customFormat="1" x14ac:dyDescent="0.25">
      <c r="B18" s="54" t="s">
        <v>404</v>
      </c>
      <c r="C18" s="46">
        <v>4.2200000000000001E-2</v>
      </c>
      <c r="D18" s="36">
        <v>2.9100000000000001E-2</v>
      </c>
      <c r="E18" s="66">
        <v>3.2599999999999997E-2</v>
      </c>
      <c r="F18" s="639"/>
      <c r="K18" s="26"/>
      <c r="N18" s="26"/>
    </row>
    <row r="19" spans="2:27" x14ac:dyDescent="0.25">
      <c r="B19" s="52" t="s">
        <v>405</v>
      </c>
      <c r="C19" s="43">
        <v>6.6799999999999998E-2</v>
      </c>
      <c r="D19" s="43">
        <v>6.6799999999999998E-2</v>
      </c>
      <c r="E19" s="56">
        <v>6.6799999999999998E-2</v>
      </c>
      <c r="F19" s="638"/>
    </row>
    <row r="20" spans="2:27" x14ac:dyDescent="0.25">
      <c r="B20" s="52" t="s">
        <v>406</v>
      </c>
      <c r="C20" s="43">
        <v>0.10100000000000001</v>
      </c>
      <c r="D20" s="43">
        <v>2.2800000000000001E-2</v>
      </c>
      <c r="E20" s="56">
        <v>4.07E-2</v>
      </c>
      <c r="F20" s="638"/>
    </row>
    <row r="21" spans="2:27" x14ac:dyDescent="0.25">
      <c r="B21" s="54" t="s">
        <v>407</v>
      </c>
      <c r="C21" s="46">
        <v>0.159</v>
      </c>
      <c r="D21" s="46">
        <v>5.7099999999999998E-2</v>
      </c>
      <c r="E21" s="57">
        <v>9.7199999999999995E-2</v>
      </c>
      <c r="F21" s="638"/>
    </row>
    <row r="22" spans="2:27" x14ac:dyDescent="0.25">
      <c r="B22" s="54" t="s">
        <v>408</v>
      </c>
      <c r="C22" s="46">
        <v>2.0699999999999998E-3</v>
      </c>
      <c r="D22" s="46">
        <v>4.1399999999999998E-4</v>
      </c>
      <c r="E22" s="57">
        <v>8.4800000000000001E-4</v>
      </c>
      <c r="F22" s="638"/>
    </row>
    <row r="23" spans="2:27" x14ac:dyDescent="0.25">
      <c r="B23" s="52" t="s">
        <v>409</v>
      </c>
      <c r="C23" s="43">
        <v>5.9900000000000002E-2</v>
      </c>
      <c r="D23" s="43">
        <v>1.5599999999999999E-2</v>
      </c>
      <c r="E23" s="56">
        <v>2.8199999999999999E-2</v>
      </c>
      <c r="F23" s="638"/>
    </row>
    <row r="24" spans="2:27" x14ac:dyDescent="0.25">
      <c r="B24" s="52" t="s">
        <v>410</v>
      </c>
      <c r="C24" s="43">
        <v>1.4800000000000001E-2</v>
      </c>
      <c r="D24" s="43">
        <v>4.8799999999999998E-3</v>
      </c>
      <c r="E24" s="56">
        <v>6.3600000000000002E-3</v>
      </c>
      <c r="F24" s="638"/>
    </row>
    <row r="25" spans="2:27" x14ac:dyDescent="0.25">
      <c r="B25" s="52" t="s">
        <v>411</v>
      </c>
      <c r="C25" s="43">
        <v>8.8999999999999996E-2</v>
      </c>
      <c r="D25" s="43">
        <v>8.8999999999999996E-2</v>
      </c>
      <c r="E25" s="53">
        <v>8.8999999999999996E-2</v>
      </c>
      <c r="F25" s="7"/>
      <c r="G25" s="5"/>
    </row>
    <row r="26" spans="2:27" x14ac:dyDescent="0.25">
      <c r="B26" s="52" t="s">
        <v>412</v>
      </c>
      <c r="C26" s="43">
        <v>2.3699999999999999E-2</v>
      </c>
      <c r="D26" s="43">
        <v>8.3500000000000005E-2</v>
      </c>
      <c r="E26" s="53">
        <v>8.5099999999999995E-2</v>
      </c>
      <c r="F26" s="7"/>
      <c r="G26" s="5"/>
      <c r="H26" s="5"/>
      <c r="J26" s="5"/>
      <c r="K26" s="5"/>
      <c r="L26" s="5"/>
      <c r="N26" s="5"/>
      <c r="U26" s="5"/>
      <c r="W26" s="5"/>
      <c r="X26" s="5"/>
    </row>
    <row r="27" spans="2:27" x14ac:dyDescent="0.25">
      <c r="B27" s="54" t="s">
        <v>413</v>
      </c>
      <c r="C27" s="46">
        <v>3.2000000000000002E-3</v>
      </c>
      <c r="D27" s="46">
        <v>6.9700000000000003E-4</v>
      </c>
      <c r="E27" s="57">
        <v>1.5E-3</v>
      </c>
      <c r="F27" s="638"/>
      <c r="J27" s="5"/>
      <c r="K27" s="5"/>
      <c r="L27" s="5"/>
      <c r="M27" s="5"/>
      <c r="N27" s="5"/>
      <c r="O27" s="5"/>
    </row>
    <row r="28" spans="2:27" ht="12" thickBot="1" x14ac:dyDescent="0.3">
      <c r="B28" s="60" t="s">
        <v>414</v>
      </c>
      <c r="C28" s="61">
        <v>6.8500000000000005E-2</v>
      </c>
      <c r="D28" s="64">
        <v>2.41E-2</v>
      </c>
      <c r="E28" s="62">
        <v>4.6300000000000001E-2</v>
      </c>
      <c r="F28" s="639"/>
      <c r="G28" s="10"/>
      <c r="H28" s="10"/>
      <c r="I28" s="10"/>
      <c r="J28" s="26"/>
      <c r="K28" s="10"/>
      <c r="L28" s="10"/>
      <c r="M28" s="10"/>
      <c r="N28" s="10"/>
      <c r="O28" s="10"/>
      <c r="P28" s="10"/>
      <c r="Q28" s="10"/>
      <c r="R28" s="10"/>
    </row>
    <row r="29" spans="2:27" ht="12" thickBot="1" x14ac:dyDescent="0.3">
      <c r="B29" s="41" t="s">
        <v>415</v>
      </c>
      <c r="C29" s="42">
        <f>SUM(C3:C28)</f>
        <v>15.482370000000001</v>
      </c>
      <c r="D29" s="42">
        <f>SUM(D3:D28)</f>
        <v>4.4644810000000001</v>
      </c>
      <c r="E29" s="67">
        <f>SUM(E3:E28)</f>
        <v>7.2112980000000002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W29" s="5"/>
    </row>
    <row r="30" spans="2:27" s="10" customFormat="1" ht="22.8" x14ac:dyDescent="0.25">
      <c r="B30" s="39" t="s">
        <v>416</v>
      </c>
      <c r="C30" s="40">
        <f>C4+C6+C8+C11+C12+C14+C15+C16+C17+C18+C21+C22+C27+C28</f>
        <v>8.5403699999999994</v>
      </c>
      <c r="D30" s="40">
        <f>D4+D6+D8+D11+D12+D14+D15+D16+D17+D18+D21+D22+D27+D28</f>
        <v>2.0220109999999996</v>
      </c>
      <c r="E30" s="40">
        <f>E4+E6+E8+E11+E12+E14+E15+E16+E17+E18+E21+E22+E27+E28</f>
        <v>3.6555680000000002</v>
      </c>
      <c r="F30" s="35"/>
      <c r="G30" s="26"/>
      <c r="H30" s="26"/>
      <c r="I30" s="26"/>
      <c r="J30" s="26"/>
      <c r="K30" s="26"/>
      <c r="L30" s="26"/>
      <c r="M30" s="26"/>
      <c r="N30" s="26"/>
    </row>
    <row r="31" spans="2:27" ht="22.8" x14ac:dyDescent="0.25">
      <c r="B31" s="37" t="s">
        <v>417</v>
      </c>
      <c r="C31" s="38">
        <f>C6+C8+C12+C14+C15+C16+C17+C18+C21+C22+C27+C28</f>
        <v>1.1603700000000001</v>
      </c>
      <c r="D31" s="38">
        <f>D6+D8+D12+D14+D15+D16+D17+D18+D21+D22+D27+D28</f>
        <v>0.38201099999999999</v>
      </c>
      <c r="E31" s="38">
        <f>E6+E8+E12+E14+E15+E16+E17+E18+E21+E22+E27+E28</f>
        <v>0.49156800000000012</v>
      </c>
      <c r="F31" s="7"/>
      <c r="G31" s="5"/>
      <c r="H31" s="5"/>
      <c r="I31" s="5"/>
      <c r="J31" s="5"/>
      <c r="K31" s="5"/>
      <c r="L31" s="5"/>
      <c r="M31" s="5"/>
      <c r="U31" s="5"/>
      <c r="W31" s="5"/>
      <c r="AA31" s="5"/>
    </row>
    <row r="32" spans="2:27" x14ac:dyDescent="0.25">
      <c r="C32" s="638"/>
      <c r="D32" s="7"/>
      <c r="E32" s="7"/>
      <c r="F32" s="7"/>
      <c r="G32" s="5"/>
    </row>
    <row r="33" spans="3:31" x14ac:dyDescent="0.25">
      <c r="C33" s="638"/>
      <c r="D33" s="7"/>
      <c r="E33" s="7"/>
      <c r="F33" s="7"/>
      <c r="G33" s="5"/>
      <c r="H33" s="5"/>
      <c r="I33" s="5"/>
      <c r="J33" s="5"/>
      <c r="L33" s="5"/>
      <c r="M33" s="5"/>
      <c r="N33" s="5"/>
      <c r="P33" s="5"/>
      <c r="Q33" s="5"/>
      <c r="R33" s="5"/>
      <c r="T33" s="5"/>
    </row>
    <row r="35" spans="3:31" x14ac:dyDescent="0.25">
      <c r="C35" s="638"/>
      <c r="D35" s="638"/>
      <c r="E35" s="638"/>
      <c r="F35" s="638"/>
      <c r="J35" s="5"/>
      <c r="K35" s="5"/>
      <c r="W35" s="5"/>
    </row>
    <row r="36" spans="3:31" x14ac:dyDescent="0.25">
      <c r="C36" s="638"/>
      <c r="D36" s="638"/>
      <c r="E36" s="638"/>
      <c r="F36" s="638"/>
      <c r="J36" s="5"/>
      <c r="K36" s="5"/>
      <c r="L36" s="5"/>
      <c r="W36" s="5"/>
    </row>
    <row r="37" spans="3:31" x14ac:dyDescent="0.25">
      <c r="C37" s="638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3:31" x14ac:dyDescent="0.25">
      <c r="C38" s="638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Z38" s="5"/>
      <c r="AA38" s="5"/>
    </row>
    <row r="39" spans="3:31" x14ac:dyDescent="0.25">
      <c r="C39" s="638"/>
      <c r="D39" s="638"/>
      <c r="E39" s="638"/>
      <c r="F39" s="638"/>
      <c r="J39" s="5"/>
      <c r="K39" s="5"/>
      <c r="L39" s="5"/>
      <c r="S39" s="5"/>
      <c r="W39" s="5"/>
    </row>
    <row r="40" spans="3:31" x14ac:dyDescent="0.25">
      <c r="C40" s="638"/>
      <c r="D40" s="7"/>
      <c r="E40" s="638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3:31" s="10" customFormat="1" x14ac:dyDescent="0.25">
      <c r="C41" s="639"/>
      <c r="D41" s="639"/>
      <c r="E41" s="639"/>
      <c r="F41" s="639"/>
      <c r="J41" s="26"/>
      <c r="K41" s="26"/>
      <c r="L41" s="26"/>
      <c r="M41" s="26"/>
      <c r="N41" s="26"/>
      <c r="S41" s="26"/>
      <c r="U41" s="26"/>
      <c r="W41" s="26"/>
      <c r="X41" s="26"/>
      <c r="Z41" s="26"/>
      <c r="AA41" s="26"/>
    </row>
    <row r="43" spans="3:31" x14ac:dyDescent="0.25">
      <c r="C43" s="638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W43" s="5"/>
    </row>
    <row r="44" spans="3:31" x14ac:dyDescent="0.25">
      <c r="C44" s="638"/>
      <c r="D44" s="7"/>
      <c r="E44" s="7"/>
      <c r="F44" s="6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</row>
    <row r="45" spans="3:31" x14ac:dyDescent="0.25">
      <c r="C45" s="638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50" spans="4:31" x14ac:dyDescent="0.25">
      <c r="D50" s="7"/>
      <c r="E50" s="7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2" spans="4:31" x14ac:dyDescent="0.25">
      <c r="D52" s="639"/>
      <c r="E52" s="639"/>
      <c r="F52" s="63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5" spans="4:31" x14ac:dyDescent="0.25">
      <c r="D55" s="7"/>
      <c r="E55" s="7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4:31" x14ac:dyDescent="0.25">
      <c r="D56" s="7"/>
      <c r="E56" s="7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K17" sqref="K17"/>
    </sheetView>
  </sheetViews>
  <sheetFormatPr defaultColWidth="11.44140625" defaultRowHeight="15" x14ac:dyDescent="0.35"/>
  <cols>
    <col min="1" max="1" width="3" customWidth="1"/>
    <col min="2" max="2" width="111" customWidth="1"/>
    <col min="3" max="3" width="16.5546875" customWidth="1"/>
    <col min="4" max="5" width="11.5546875" bestFit="1" customWidth="1"/>
    <col min="6" max="6" width="12.44140625" bestFit="1" customWidth="1"/>
    <col min="11" max="11" width="112.5546875" bestFit="1" customWidth="1"/>
    <col min="12" max="14" width="11.5546875" bestFit="1" customWidth="1"/>
    <col min="15" max="15" width="12.5546875" bestFit="1" customWidth="1"/>
  </cols>
  <sheetData>
    <row r="1" spans="1:15" x14ac:dyDescent="0.35">
      <c r="A1" s="961" t="s">
        <v>418</v>
      </c>
      <c r="B1" s="961"/>
      <c r="C1" s="779" t="s">
        <v>0</v>
      </c>
      <c r="D1" s="779"/>
      <c r="E1" s="779"/>
      <c r="F1" s="779"/>
      <c r="J1" s="962" t="s">
        <v>419</v>
      </c>
      <c r="K1" s="962"/>
      <c r="L1" s="963" t="s">
        <v>0</v>
      </c>
      <c r="M1" s="963"/>
      <c r="N1" s="963"/>
      <c r="O1" s="963"/>
    </row>
    <row r="2" spans="1:15" x14ac:dyDescent="0.35">
      <c r="A2" s="961"/>
      <c r="B2" s="961"/>
      <c r="C2" s="638" t="s">
        <v>5</v>
      </c>
      <c r="D2" s="638" t="s">
        <v>6</v>
      </c>
      <c r="E2" s="638" t="s">
        <v>7</v>
      </c>
      <c r="F2" s="638" t="s">
        <v>8</v>
      </c>
      <c r="J2" s="962"/>
      <c r="K2" s="962"/>
      <c r="L2" s="657" t="s">
        <v>5</v>
      </c>
      <c r="M2" s="657" t="s">
        <v>6</v>
      </c>
      <c r="N2" s="657" t="s">
        <v>7</v>
      </c>
      <c r="O2" s="657" t="s">
        <v>8</v>
      </c>
    </row>
    <row r="3" spans="1:15" x14ac:dyDescent="0.35">
      <c r="A3" s="961"/>
      <c r="B3" s="961"/>
      <c r="C3" s="638" t="s">
        <v>201</v>
      </c>
      <c r="D3" s="638" t="s">
        <v>202</v>
      </c>
      <c r="E3" s="638" t="str">
        <f>D3</f>
        <v>v1.09</v>
      </c>
      <c r="F3" s="638" t="s">
        <v>12</v>
      </c>
      <c r="J3" s="962"/>
      <c r="K3" s="962"/>
      <c r="L3" s="638" t="str">
        <f>C$3</f>
        <v>IPCC2013 v1.02</v>
      </c>
      <c r="M3" s="638" t="str">
        <f t="shared" ref="M3:O3" si="0">D$3</f>
        <v>v1.09</v>
      </c>
      <c r="N3" s="638" t="str">
        <f t="shared" si="0"/>
        <v>v1.09</v>
      </c>
      <c r="O3" s="638" t="str">
        <f t="shared" si="0"/>
        <v>v1.05</v>
      </c>
    </row>
    <row r="4" spans="1:15" x14ac:dyDescent="0.35">
      <c r="A4" s="961"/>
      <c r="B4" s="961"/>
      <c r="C4" s="638" t="s">
        <v>13</v>
      </c>
      <c r="D4" s="638" t="s">
        <v>14</v>
      </c>
      <c r="E4" s="638" t="s">
        <v>14</v>
      </c>
      <c r="F4" s="638" t="s">
        <v>15</v>
      </c>
      <c r="J4" s="962"/>
      <c r="K4" s="962"/>
      <c r="L4" s="657" t="s">
        <v>13</v>
      </c>
      <c r="M4" s="657" t="s">
        <v>14</v>
      </c>
      <c r="N4" s="657" t="s">
        <v>14</v>
      </c>
      <c r="O4" s="657" t="s">
        <v>15</v>
      </c>
    </row>
    <row r="5" spans="1:15" x14ac:dyDescent="0.35">
      <c r="A5">
        <v>1</v>
      </c>
      <c r="B5" t="s">
        <v>205</v>
      </c>
      <c r="C5" s="659">
        <v>0.44140963965305841</v>
      </c>
      <c r="D5" s="659">
        <v>7.8972866917972791E-3</v>
      </c>
      <c r="E5" s="659">
        <v>8.2184453416173682</v>
      </c>
      <c r="F5" s="659">
        <v>275.42364030442474</v>
      </c>
      <c r="J5" s="636">
        <v>1</v>
      </c>
      <c r="K5" s="636" t="s">
        <v>216</v>
      </c>
      <c r="L5" s="617">
        <v>6.4530056437115041E-2</v>
      </c>
      <c r="M5" s="617">
        <v>3.9913801656782391</v>
      </c>
      <c r="N5" s="617">
        <v>0.81396393170518866</v>
      </c>
      <c r="O5" s="617">
        <v>121.04554227140051</v>
      </c>
    </row>
    <row r="6" spans="1:15" x14ac:dyDescent="0.35">
      <c r="A6">
        <v>2</v>
      </c>
      <c r="B6" t="s">
        <v>206</v>
      </c>
      <c r="C6" s="659">
        <v>1.1374153287918034</v>
      </c>
      <c r="D6" s="659">
        <v>0.12292139786055822</v>
      </c>
      <c r="E6" s="659">
        <v>10.540485683861649</v>
      </c>
      <c r="F6" s="659">
        <v>851.69008920438546</v>
      </c>
      <c r="J6" s="636">
        <v>2</v>
      </c>
      <c r="K6" s="636" t="s">
        <v>217</v>
      </c>
      <c r="L6" s="617">
        <v>7.6294483640745189E-2</v>
      </c>
      <c r="M6" s="617">
        <v>3.991640374161042</v>
      </c>
      <c r="N6" s="617">
        <v>0.95324586186757099</v>
      </c>
      <c r="O6" s="617">
        <v>130.99649872694971</v>
      </c>
    </row>
    <row r="7" spans="1:15" x14ac:dyDescent="0.35">
      <c r="A7">
        <v>3</v>
      </c>
      <c r="B7" t="s">
        <v>207</v>
      </c>
      <c r="C7" s="659">
        <v>0.83313296878961474</v>
      </c>
      <c r="D7" s="659">
        <v>4.3978069559663241E-2</v>
      </c>
      <c r="E7" s="659">
        <v>12.74699272946922</v>
      </c>
      <c r="F7" s="659">
        <v>1036.1123359677406</v>
      </c>
      <c r="J7" s="636">
        <v>3</v>
      </c>
      <c r="K7" s="636" t="s">
        <v>218</v>
      </c>
      <c r="L7" s="617">
        <v>6.7994164483761388E-2</v>
      </c>
      <c r="M7" s="617">
        <v>3.9918932439178771</v>
      </c>
      <c r="N7" s="617">
        <v>0.83761051492161565</v>
      </c>
      <c r="O7" s="617">
        <v>119.79632854561928</v>
      </c>
    </row>
    <row r="8" spans="1:15" x14ac:dyDescent="0.35">
      <c r="A8">
        <v>4</v>
      </c>
      <c r="B8" t="s">
        <v>208</v>
      </c>
      <c r="C8" s="659">
        <v>0.60987671450133207</v>
      </c>
      <c r="D8" s="659">
        <v>3.2192000752144061E-2</v>
      </c>
      <c r="E8" s="659">
        <v>9.3311638609077203</v>
      </c>
      <c r="F8" s="659">
        <v>763.13210615497974</v>
      </c>
      <c r="J8" s="636">
        <v>4</v>
      </c>
      <c r="K8" s="636" t="s">
        <v>235</v>
      </c>
      <c r="L8" s="617">
        <v>0.10012762294225148</v>
      </c>
      <c r="M8" s="617">
        <v>4.0692060893363209</v>
      </c>
      <c r="N8" s="617">
        <v>1.2629815955886003</v>
      </c>
      <c r="O8" s="617">
        <v>185.69550016463401</v>
      </c>
    </row>
    <row r="9" spans="1:15" x14ac:dyDescent="0.35">
      <c r="A9">
        <v>5</v>
      </c>
      <c r="B9" t="s">
        <v>203</v>
      </c>
      <c r="C9" s="659">
        <v>4.8716599716640413E-2</v>
      </c>
      <c r="D9" s="659">
        <v>16.805337483730082</v>
      </c>
      <c r="E9" s="659">
        <v>0.573779587731162</v>
      </c>
      <c r="F9" s="659">
        <v>358.56083018370475</v>
      </c>
      <c r="J9" s="636">
        <v>5</v>
      </c>
      <c r="K9" s="636" t="s">
        <v>236</v>
      </c>
      <c r="L9" s="617">
        <v>0.11838181636255744</v>
      </c>
      <c r="M9" s="617">
        <v>4.0696098376193168</v>
      </c>
      <c r="N9" s="617">
        <v>1.4790974552506992</v>
      </c>
      <c r="O9" s="617">
        <v>201.13583403035307</v>
      </c>
    </row>
    <row r="10" spans="1:15" x14ac:dyDescent="0.35">
      <c r="A10">
        <v>6</v>
      </c>
      <c r="B10" t="s">
        <v>209</v>
      </c>
      <c r="C10" s="659">
        <v>8.1366770715558798E-2</v>
      </c>
      <c r="D10" s="659">
        <v>7.2313075518423666</v>
      </c>
      <c r="E10" s="659">
        <v>0.99604339911613449</v>
      </c>
      <c r="F10" s="659">
        <v>104.41539386827485</v>
      </c>
      <c r="J10" s="636">
        <v>6</v>
      </c>
      <c r="K10" s="636" t="s">
        <v>237</v>
      </c>
      <c r="L10" s="617">
        <v>0.105502683152305</v>
      </c>
      <c r="M10" s="617">
        <v>4.0700022181189013</v>
      </c>
      <c r="N10" s="617">
        <v>1.2996726610590559</v>
      </c>
      <c r="O10" s="617">
        <v>183.75716696968075</v>
      </c>
    </row>
    <row r="11" spans="1:15" x14ac:dyDescent="0.35">
      <c r="A11">
        <v>7</v>
      </c>
      <c r="B11" t="s">
        <v>210</v>
      </c>
      <c r="C11" s="659">
        <v>0.58800992776472483</v>
      </c>
      <c r="D11" s="659">
        <v>4.0333528212247121</v>
      </c>
      <c r="E11" s="659">
        <v>6.241118194289851</v>
      </c>
      <c r="F11" s="659">
        <v>491.09489610860146</v>
      </c>
      <c r="J11" s="636">
        <v>7</v>
      </c>
      <c r="K11" s="636" t="s">
        <v>259</v>
      </c>
      <c r="L11" s="617">
        <v>0</v>
      </c>
      <c r="M11" s="617">
        <v>0</v>
      </c>
      <c r="N11" s="617">
        <v>0</v>
      </c>
      <c r="O11" s="617">
        <v>0</v>
      </c>
    </row>
    <row r="12" spans="1:15" x14ac:dyDescent="0.35">
      <c r="A12">
        <v>8</v>
      </c>
      <c r="B12" t="s">
        <v>211</v>
      </c>
      <c r="C12" s="659">
        <v>4.3659806998934047E-3</v>
      </c>
      <c r="D12" s="659">
        <v>3.7930767574139956</v>
      </c>
      <c r="E12" s="659">
        <v>4.3332542825420178E-2</v>
      </c>
      <c r="F12" s="659">
        <v>11.914127788927351</v>
      </c>
      <c r="J12" s="636">
        <v>8</v>
      </c>
      <c r="K12" s="636" t="s">
        <v>264</v>
      </c>
      <c r="L12" s="617">
        <v>6.6336496380063809E-2</v>
      </c>
      <c r="M12" s="617">
        <v>3.9953295167660907</v>
      </c>
      <c r="N12" s="617">
        <v>0.83674985569862503</v>
      </c>
      <c r="O12" s="617">
        <v>124.32627959677799</v>
      </c>
    </row>
    <row r="13" spans="1:15" x14ac:dyDescent="0.35">
      <c r="A13">
        <v>9</v>
      </c>
      <c r="B13" t="s">
        <v>212</v>
      </c>
      <c r="C13" s="659">
        <v>5.1217254904704197E-2</v>
      </c>
      <c r="D13" s="659">
        <v>3.7941946087994105</v>
      </c>
      <c r="E13" s="659">
        <v>5.8189759858051207E-2</v>
      </c>
      <c r="F13" s="659">
        <v>36.913901511232275</v>
      </c>
      <c r="J13" s="636">
        <v>9</v>
      </c>
      <c r="K13" s="636" t="s">
        <v>265</v>
      </c>
      <c r="L13" s="617">
        <v>7.8430254501744942E-2</v>
      </c>
      <c r="M13" s="617">
        <v>3.9955970186537502</v>
      </c>
      <c r="N13" s="617">
        <v>0.97993081549723993</v>
      </c>
      <c r="O13" s="617">
        <v>134.5558012124761</v>
      </c>
    </row>
    <row r="14" spans="1:15" x14ac:dyDescent="0.35">
      <c r="A14">
        <v>10</v>
      </c>
      <c r="B14" t="s">
        <v>214</v>
      </c>
      <c r="C14" s="659">
        <v>1.2905278594387223E-2</v>
      </c>
      <c r="D14" s="659">
        <v>3.8834083357693268</v>
      </c>
      <c r="E14" s="659">
        <v>0.16131204099146498</v>
      </c>
      <c r="F14" s="659">
        <v>31.124430614779438</v>
      </c>
      <c r="J14" s="636">
        <v>10</v>
      </c>
      <c r="K14" s="636" t="s">
        <v>266</v>
      </c>
      <c r="L14" s="617">
        <v>6.9897578217453335E-2</v>
      </c>
      <c r="M14" s="617">
        <v>3.9958569580711725</v>
      </c>
      <c r="N14" s="617">
        <v>0.86105839984949306</v>
      </c>
      <c r="O14" s="617">
        <v>123.04209596696663</v>
      </c>
    </row>
    <row r="15" spans="1:15" x14ac:dyDescent="0.35">
      <c r="A15">
        <v>11</v>
      </c>
      <c r="B15" t="s">
        <v>215</v>
      </c>
      <c r="C15" s="659">
        <v>1.3556400520342267E-2</v>
      </c>
      <c r="D15" s="659">
        <v>3.8819877025604623</v>
      </c>
      <c r="E15" s="659">
        <v>0.18389611230188974</v>
      </c>
      <c r="F15" s="659">
        <v>32.435475966794961</v>
      </c>
      <c r="J15" s="636">
        <v>11</v>
      </c>
      <c r="K15" s="636" t="s">
        <v>281</v>
      </c>
      <c r="L15" s="617">
        <v>0</v>
      </c>
      <c r="M15" s="617">
        <v>0</v>
      </c>
      <c r="N15" s="617">
        <v>0</v>
      </c>
      <c r="O15" s="617">
        <v>0</v>
      </c>
    </row>
    <row r="16" spans="1:15" x14ac:dyDescent="0.35">
      <c r="A16">
        <v>12</v>
      </c>
      <c r="B16" t="s">
        <v>213</v>
      </c>
      <c r="C16" s="659">
        <v>1.5520675322179045E-2</v>
      </c>
      <c r="D16" s="659">
        <v>3.8848601346099461</v>
      </c>
      <c r="E16" s="659">
        <v>0.19017183857835071</v>
      </c>
      <c r="F16" s="659">
        <v>37.239906020878557</v>
      </c>
      <c r="J16" s="636">
        <v>12</v>
      </c>
      <c r="K16" s="636" t="s">
        <v>287</v>
      </c>
      <c r="L16" s="617">
        <v>0.11271178830148353</v>
      </c>
      <c r="M16" s="617">
        <v>4.0967184827122534</v>
      </c>
      <c r="N16" s="617">
        <v>1.4217147081737636</v>
      </c>
      <c r="O16" s="617">
        <v>208.55003322254322</v>
      </c>
    </row>
    <row r="17" spans="1:15" ht="3.75" customHeight="1" x14ac:dyDescent="0.35">
      <c r="J17" s="636">
        <v>13</v>
      </c>
      <c r="K17" s="636" t="s">
        <v>288</v>
      </c>
      <c r="L17" s="617">
        <v>0.13323818694690279</v>
      </c>
      <c r="M17" s="617">
        <v>4.0971322092751965</v>
      </c>
      <c r="N17" s="617">
        <v>1.6647173463802467</v>
      </c>
      <c r="O17" s="617">
        <v>225.894256363826</v>
      </c>
    </row>
    <row r="18" spans="1:15" x14ac:dyDescent="0.35">
      <c r="A18" s="961" t="s">
        <v>420</v>
      </c>
      <c r="B18" s="961"/>
      <c r="C18" s="779" t="s">
        <v>0</v>
      </c>
      <c r="D18" s="779"/>
      <c r="E18" s="779"/>
      <c r="F18" s="779"/>
      <c r="J18" s="636">
        <v>14</v>
      </c>
      <c r="K18" s="636" t="s">
        <v>289</v>
      </c>
      <c r="L18" s="617">
        <v>8.601749836882934E-2</v>
      </c>
      <c r="M18" s="617">
        <v>4.0294256351559641</v>
      </c>
      <c r="N18" s="617">
        <v>1.059637421061679</v>
      </c>
      <c r="O18" s="617">
        <v>150.53034818120241</v>
      </c>
    </row>
    <row r="19" spans="1:15" x14ac:dyDescent="0.35">
      <c r="A19" s="961"/>
      <c r="B19" s="961"/>
      <c r="C19" s="638" t="s">
        <v>5</v>
      </c>
      <c r="D19" s="638" t="s">
        <v>6</v>
      </c>
      <c r="E19" s="638" t="s">
        <v>7</v>
      </c>
      <c r="F19" s="638" t="s">
        <v>8</v>
      </c>
      <c r="J19" s="636">
        <v>15</v>
      </c>
      <c r="K19" s="636" t="s">
        <v>295</v>
      </c>
      <c r="L19" s="617">
        <v>1.1463277438508588</v>
      </c>
      <c r="M19" s="617">
        <v>1.7979103444195623</v>
      </c>
      <c r="N19" s="617">
        <v>14.652246091749062</v>
      </c>
      <c r="O19" s="617">
        <v>884.85923883255111</v>
      </c>
    </row>
    <row r="20" spans="1:15" x14ac:dyDescent="0.35">
      <c r="A20" s="961"/>
      <c r="B20" s="961"/>
      <c r="C20" s="638" t="str">
        <f>C$3</f>
        <v>IPCC2013 v1.02</v>
      </c>
      <c r="D20" s="638" t="str">
        <f>D$3</f>
        <v>v1.09</v>
      </c>
      <c r="E20" s="638" t="str">
        <f>E$3</f>
        <v>v1.09</v>
      </c>
      <c r="F20" s="638" t="str">
        <f>F$3</f>
        <v>v1.05</v>
      </c>
      <c r="J20" s="636">
        <v>16</v>
      </c>
      <c r="K20" s="636" t="s">
        <v>296</v>
      </c>
      <c r="L20" s="617">
        <v>4.3659807354686914E-3</v>
      </c>
      <c r="M20" s="617">
        <v>3.7930767916414565</v>
      </c>
      <c r="N20" s="617">
        <v>4.3332543165521598E-2</v>
      </c>
      <c r="O20" s="617">
        <v>11.914127892190361</v>
      </c>
    </row>
    <row r="21" spans="1:15" x14ac:dyDescent="0.35">
      <c r="A21" s="961"/>
      <c r="B21" s="961"/>
      <c r="C21" s="638" t="s">
        <v>13</v>
      </c>
      <c r="D21" s="638" t="s">
        <v>14</v>
      </c>
      <c r="E21" s="638" t="s">
        <v>14</v>
      </c>
      <c r="F21" s="638" t="s">
        <v>15</v>
      </c>
      <c r="J21" s="636">
        <v>17</v>
      </c>
      <c r="K21" s="636" t="s">
        <v>297</v>
      </c>
      <c r="L21" s="617">
        <v>1.2675246251634393E-2</v>
      </c>
      <c r="M21" s="617">
        <v>2.237736487641746E-2</v>
      </c>
      <c r="N21" s="617">
        <v>14.244221577483</v>
      </c>
      <c r="O21" s="617">
        <v>338.87527909557764</v>
      </c>
    </row>
    <row r="22" spans="1:15" x14ac:dyDescent="0.35">
      <c r="A22">
        <v>1</v>
      </c>
      <c r="B22" t="s">
        <v>220</v>
      </c>
      <c r="C22" s="659">
        <v>0.165854</v>
      </c>
      <c r="D22" s="659">
        <v>6.4902000000000001E-2</v>
      </c>
      <c r="E22" s="659">
        <v>0.49018499999999998</v>
      </c>
      <c r="F22" s="659">
        <v>784.79459999999995</v>
      </c>
      <c r="J22" s="636">
        <v>18</v>
      </c>
      <c r="K22" s="636" t="s">
        <v>298</v>
      </c>
      <c r="L22" s="617">
        <v>1.194443757022145E-2</v>
      </c>
      <c r="M22" s="617">
        <v>1.9973369766022986E-2</v>
      </c>
      <c r="N22" s="617">
        <v>13.400747596428101</v>
      </c>
      <c r="O22" s="617">
        <v>313.42855915365698</v>
      </c>
    </row>
    <row r="23" spans="1:15" x14ac:dyDescent="0.35">
      <c r="A23">
        <v>2</v>
      </c>
      <c r="B23" t="s">
        <v>221</v>
      </c>
      <c r="C23" s="659">
        <v>4.8717000000000003E-2</v>
      </c>
      <c r="D23" s="659">
        <v>16.805340000000001</v>
      </c>
      <c r="E23" s="659">
        <v>0.57377999999999996</v>
      </c>
      <c r="F23" s="659">
        <v>358.56079999999997</v>
      </c>
      <c r="J23" s="636">
        <v>19</v>
      </c>
      <c r="K23" s="636" t="s">
        <v>300</v>
      </c>
      <c r="L23" s="617">
        <v>1.2616883150983223E-2</v>
      </c>
      <c r="M23" s="617">
        <v>3.8831086986025398</v>
      </c>
      <c r="N23" s="617">
        <v>0.15770718607457318</v>
      </c>
      <c r="O23" s="617">
        <v>30.515373417746389</v>
      </c>
    </row>
    <row r="24" spans="1:15" x14ac:dyDescent="0.35">
      <c r="A24">
        <v>3</v>
      </c>
      <c r="B24" t="s">
        <v>225</v>
      </c>
      <c r="C24" s="659">
        <v>0.37428</v>
      </c>
      <c r="D24" s="659">
        <v>5.8479999999999999E-3</v>
      </c>
      <c r="E24" s="659">
        <v>7.3164420000000003</v>
      </c>
      <c r="F24" s="659">
        <v>234.44390000000001</v>
      </c>
      <c r="J24" s="636">
        <v>20</v>
      </c>
      <c r="K24" s="636" t="s">
        <v>301</v>
      </c>
      <c r="L24" s="617">
        <v>2.1102762518927072E-2</v>
      </c>
      <c r="M24" s="617">
        <v>3.8869742622241081</v>
      </c>
      <c r="N24" s="617">
        <v>0.2555342467892322</v>
      </c>
      <c r="O24" s="617">
        <v>67.843490779229739</v>
      </c>
    </row>
    <row r="25" spans="1:15" x14ac:dyDescent="0.35">
      <c r="A25">
        <v>4</v>
      </c>
      <c r="B25" t="s">
        <v>224</v>
      </c>
      <c r="C25" s="659">
        <v>0.64414000000000005</v>
      </c>
      <c r="D25" s="659">
        <v>8.3899999999999999E-3</v>
      </c>
      <c r="E25" s="659">
        <v>12.036799999999999</v>
      </c>
      <c r="F25" s="659">
        <v>405.73759999999999</v>
      </c>
      <c r="J25" s="636">
        <v>21</v>
      </c>
      <c r="K25" s="636" t="s">
        <v>302</v>
      </c>
      <c r="L25" s="617">
        <v>1.3253454409687518E-2</v>
      </c>
      <c r="M25" s="617">
        <v>3.8817198473169636</v>
      </c>
      <c r="N25" s="617">
        <v>0.17978656920064276</v>
      </c>
      <c r="O25" s="617">
        <v>31.797120808847218</v>
      </c>
    </row>
    <row r="26" spans="1:15" x14ac:dyDescent="0.35">
      <c r="A26">
        <v>5</v>
      </c>
      <c r="B26" t="s">
        <v>223</v>
      </c>
      <c r="C26" s="659">
        <v>0.52022800000000002</v>
      </c>
      <c r="D26" s="659">
        <v>9.1610000000000007E-3</v>
      </c>
      <c r="E26" s="659">
        <v>10.154339999999999</v>
      </c>
      <c r="F26" s="659">
        <v>332.6884</v>
      </c>
      <c r="J26" s="636">
        <v>22</v>
      </c>
      <c r="K26" s="636" t="s">
        <v>299</v>
      </c>
      <c r="L26" s="617">
        <v>1.5520675377621109E-2</v>
      </c>
      <c r="M26" s="617">
        <v>3.8848601423022182</v>
      </c>
      <c r="N26" s="617">
        <v>0.19017183916392383</v>
      </c>
      <c r="O26" s="617">
        <v>37.239906133470562</v>
      </c>
    </row>
    <row r="27" spans="1:15" x14ac:dyDescent="0.35">
      <c r="A27">
        <v>6</v>
      </c>
      <c r="B27" t="s">
        <v>222</v>
      </c>
      <c r="C27" s="659">
        <v>0.39408700000000002</v>
      </c>
      <c r="D27" s="659">
        <v>6.1570000000000001E-3</v>
      </c>
      <c r="E27" s="659">
        <v>7.7036309999999997</v>
      </c>
      <c r="F27" s="659">
        <v>246.84460000000001</v>
      </c>
      <c r="J27" s="636">
        <v>23</v>
      </c>
      <c r="K27" s="636" t="s">
        <v>303</v>
      </c>
      <c r="L27" s="617">
        <v>8.179169210514034E-2</v>
      </c>
      <c r="M27" s="617">
        <v>4.0291187818755247</v>
      </c>
      <c r="N27" s="617">
        <v>1.03169733799177</v>
      </c>
      <c r="O27" s="617">
        <v>152.39498896952995</v>
      </c>
    </row>
    <row r="28" spans="1:15" x14ac:dyDescent="0.35">
      <c r="A28">
        <v>7</v>
      </c>
      <c r="B28" t="s">
        <v>227</v>
      </c>
      <c r="C28" s="659">
        <v>0.99931599999999998</v>
      </c>
      <c r="D28" s="659">
        <v>0.127579</v>
      </c>
      <c r="E28" s="659">
        <v>11.81636</v>
      </c>
      <c r="F28" s="659">
        <v>569.15480000000002</v>
      </c>
      <c r="J28" s="636">
        <v>24</v>
      </c>
      <c r="K28" s="636" t="s">
        <v>304</v>
      </c>
      <c r="L28" s="617">
        <v>0.13574873101796858</v>
      </c>
      <c r="M28" s="617">
        <v>4.1017831527466706</v>
      </c>
      <c r="N28" s="617">
        <v>1.6960848309406684</v>
      </c>
      <c r="O28" s="617">
        <v>230.07812561709201</v>
      </c>
    </row>
    <row r="29" spans="1:15" x14ac:dyDescent="0.35">
      <c r="A29">
        <v>8</v>
      </c>
      <c r="B29" t="s">
        <v>226</v>
      </c>
      <c r="C29" s="659">
        <v>1.028294</v>
      </c>
      <c r="D29" s="659">
        <v>0.13119400000000001</v>
      </c>
      <c r="E29" s="659">
        <v>12.159140000000001</v>
      </c>
      <c r="F29" s="659">
        <v>579.96860000000004</v>
      </c>
      <c r="J29" s="636">
        <v>25</v>
      </c>
      <c r="K29" s="636" t="s">
        <v>305</v>
      </c>
      <c r="L29" s="617">
        <v>8.6017498367413847E-2</v>
      </c>
      <c r="M29" s="617">
        <v>4.029425635236775</v>
      </c>
      <c r="N29" s="617">
        <v>1.0596374202381091</v>
      </c>
      <c r="O29" s="617">
        <v>150.53034815745335</v>
      </c>
    </row>
    <row r="30" spans="1:15" x14ac:dyDescent="0.35">
      <c r="A30">
        <v>9</v>
      </c>
      <c r="B30" t="s">
        <v>228</v>
      </c>
      <c r="C30" s="659">
        <v>1.0754189999999999</v>
      </c>
      <c r="D30" s="659">
        <v>5.7763000000000002E-2</v>
      </c>
      <c r="E30" s="659">
        <v>16.728919999999999</v>
      </c>
      <c r="F30" s="659">
        <v>897.56820000000005</v>
      </c>
      <c r="J30" s="636">
        <v>26</v>
      </c>
      <c r="K30" s="636" t="s">
        <v>309</v>
      </c>
      <c r="L30" s="617">
        <v>1.4205124492256942</v>
      </c>
      <c r="M30" s="617">
        <v>0.33915440949928932</v>
      </c>
      <c r="N30" s="617">
        <v>27.784704448250523</v>
      </c>
      <c r="O30" s="617">
        <v>2777.6117922795788</v>
      </c>
    </row>
    <row r="31" spans="1:15" x14ac:dyDescent="0.35">
      <c r="A31">
        <v>10</v>
      </c>
      <c r="B31" t="s">
        <v>229</v>
      </c>
      <c r="C31" s="659">
        <v>4.3660000000000001E-3</v>
      </c>
      <c r="D31" s="659">
        <v>3.7930769999999998</v>
      </c>
      <c r="E31" s="659">
        <v>4.3333000000000003E-2</v>
      </c>
      <c r="F31" s="659">
        <v>11.91413</v>
      </c>
      <c r="J31" s="636">
        <v>27</v>
      </c>
      <c r="K31" s="636" t="s">
        <v>332</v>
      </c>
      <c r="L31" s="617">
        <v>0</v>
      </c>
      <c r="M31" s="617">
        <v>0</v>
      </c>
      <c r="N31" s="617">
        <v>0</v>
      </c>
      <c r="O31" s="617">
        <v>0</v>
      </c>
    </row>
    <row r="32" spans="1:15" x14ac:dyDescent="0.35">
      <c r="A32">
        <v>11</v>
      </c>
      <c r="B32" t="s">
        <v>230</v>
      </c>
      <c r="C32" s="659">
        <v>1.1944E-2</v>
      </c>
      <c r="D32" s="659">
        <v>1.9973000000000001E-2</v>
      </c>
      <c r="E32" s="659">
        <v>13.40075</v>
      </c>
      <c r="F32" s="659">
        <v>313.43290000000002</v>
      </c>
      <c r="J32" s="636">
        <v>28</v>
      </c>
      <c r="K32" s="636" t="s">
        <v>336</v>
      </c>
      <c r="L32" s="617">
        <v>7.1688012139285356E-2</v>
      </c>
      <c r="M32" s="617">
        <v>4.0070293822316723</v>
      </c>
      <c r="N32" s="617">
        <v>0.90425236639345608</v>
      </c>
      <c r="O32" s="617">
        <v>134.04535030984121</v>
      </c>
    </row>
    <row r="33" spans="1:15" x14ac:dyDescent="0.35">
      <c r="A33">
        <v>12</v>
      </c>
      <c r="B33" t="s">
        <v>231</v>
      </c>
      <c r="C33" s="659">
        <v>1.5521E-2</v>
      </c>
      <c r="D33" s="659">
        <v>3.8848600000000002</v>
      </c>
      <c r="E33" s="659">
        <v>0.19017200000000001</v>
      </c>
      <c r="F33" s="659">
        <v>37.239910000000002</v>
      </c>
      <c r="J33" s="636">
        <v>29</v>
      </c>
      <c r="K33" s="636" t="s">
        <v>337</v>
      </c>
      <c r="L33" s="617">
        <v>8.4757401057381859E-2</v>
      </c>
      <c r="M33" s="617">
        <v>4.0073184629864835</v>
      </c>
      <c r="N33" s="617">
        <v>1.0589840570746372</v>
      </c>
      <c r="O33" s="617">
        <v>145.10011049674958</v>
      </c>
    </row>
    <row r="34" spans="1:15" x14ac:dyDescent="0.35">
      <c r="A34">
        <v>13</v>
      </c>
      <c r="B34" t="s">
        <v>232</v>
      </c>
      <c r="C34" s="659">
        <v>1.4042000000000001E-2</v>
      </c>
      <c r="D34" s="659">
        <v>3.8845890000000001</v>
      </c>
      <c r="E34" s="659">
        <v>0.17552100000000001</v>
      </c>
      <c r="F34" s="659">
        <v>33.525100000000002</v>
      </c>
      <c r="J34" s="636">
        <v>30</v>
      </c>
      <c r="K34" s="636" t="s">
        <v>344</v>
      </c>
      <c r="L34" s="617">
        <v>0.48508029061443786</v>
      </c>
      <c r="M34" s="617">
        <v>2.5427220091687637E-2</v>
      </c>
      <c r="N34" s="617">
        <v>7.3641087811571913</v>
      </c>
      <c r="O34" s="617">
        <v>456.91688304096778</v>
      </c>
    </row>
    <row r="35" spans="1:15" x14ac:dyDescent="0.35">
      <c r="A35">
        <v>14</v>
      </c>
      <c r="B35" t="s">
        <v>233</v>
      </c>
      <c r="C35" s="659">
        <v>2.3486E-2</v>
      </c>
      <c r="D35" s="659">
        <v>3.8888919999999998</v>
      </c>
      <c r="E35" s="659">
        <v>0.28439799999999998</v>
      </c>
      <c r="F35" s="659">
        <v>75.06962</v>
      </c>
      <c r="J35" s="636">
        <v>31</v>
      </c>
      <c r="K35" s="636" t="s">
        <v>348</v>
      </c>
      <c r="L35" s="617">
        <v>0</v>
      </c>
      <c r="M35" s="617">
        <v>0</v>
      </c>
      <c r="N35" s="617">
        <v>0</v>
      </c>
      <c r="O35" s="617">
        <v>0</v>
      </c>
    </row>
    <row r="36" spans="1:15" x14ac:dyDescent="0.35">
      <c r="A36">
        <v>15</v>
      </c>
      <c r="B36" t="s">
        <v>234</v>
      </c>
      <c r="C36" s="659">
        <v>1.4749999999999999E-2</v>
      </c>
      <c r="D36" s="659">
        <v>3.8830439999999999</v>
      </c>
      <c r="E36" s="659">
        <v>0.20009399999999999</v>
      </c>
      <c r="F36" s="659">
        <v>34.951630000000002</v>
      </c>
      <c r="J36" s="636">
        <v>32</v>
      </c>
      <c r="K36" s="636" t="s">
        <v>349</v>
      </c>
      <c r="L36" s="617">
        <v>2.2105841930150407</v>
      </c>
      <c r="M36" s="617">
        <v>2.7710404585493723E-3</v>
      </c>
      <c r="N36" s="617">
        <v>4.0325717799114549E-2</v>
      </c>
      <c r="O36" s="617">
        <v>1060.9187365339656</v>
      </c>
    </row>
    <row r="37" spans="1:15" ht="3.75" customHeight="1" x14ac:dyDescent="0.35">
      <c r="J37" s="636">
        <v>33</v>
      </c>
      <c r="K37" s="636" t="s">
        <v>346</v>
      </c>
      <c r="L37" s="617">
        <v>4.3659806824747011E-3</v>
      </c>
      <c r="M37" s="617">
        <v>3.793076762998798</v>
      </c>
      <c r="N37" s="617">
        <v>4.3332542813485392E-2</v>
      </c>
      <c r="O37" s="617">
        <v>11.914127774188925</v>
      </c>
    </row>
    <row r="38" spans="1:15" x14ac:dyDescent="0.35">
      <c r="A38" s="961" t="s">
        <v>421</v>
      </c>
      <c r="B38" s="961"/>
      <c r="C38" s="779" t="s">
        <v>0</v>
      </c>
      <c r="D38" s="779"/>
      <c r="E38" s="779"/>
      <c r="F38" s="779"/>
      <c r="J38" s="636">
        <v>34</v>
      </c>
      <c r="K38" s="636" t="s">
        <v>422</v>
      </c>
      <c r="L38" s="617">
        <v>4.8716600028224602E-2</v>
      </c>
      <c r="M38" s="617">
        <v>16.805337602397358</v>
      </c>
      <c r="N38" s="617">
        <v>0.57377959394837952</v>
      </c>
      <c r="O38" s="617">
        <v>358.5608329222552</v>
      </c>
    </row>
    <row r="39" spans="1:15" x14ac:dyDescent="0.35">
      <c r="A39" s="961"/>
      <c r="B39" s="961"/>
      <c r="C39" s="638" t="s">
        <v>5</v>
      </c>
      <c r="D39" s="638" t="s">
        <v>6</v>
      </c>
      <c r="E39" s="638" t="s">
        <v>7</v>
      </c>
      <c r="F39" s="638" t="s">
        <v>8</v>
      </c>
      <c r="J39" s="636">
        <v>35</v>
      </c>
      <c r="K39" s="636" t="s">
        <v>378</v>
      </c>
      <c r="L39" s="617">
        <v>0</v>
      </c>
      <c r="M39" s="617">
        <v>0</v>
      </c>
      <c r="N39" s="617">
        <v>0</v>
      </c>
      <c r="O39" s="617">
        <v>0</v>
      </c>
    </row>
    <row r="40" spans="1:15" x14ac:dyDescent="0.35">
      <c r="A40" s="961"/>
      <c r="B40" s="961"/>
      <c r="C40" s="638" t="str">
        <f>C$3</f>
        <v>IPCC2013 v1.02</v>
      </c>
      <c r="D40" s="638" t="str">
        <f>D$3</f>
        <v>v1.09</v>
      </c>
      <c r="E40" s="638" t="str">
        <f>E$3</f>
        <v>v1.09</v>
      </c>
      <c r="F40" s="638" t="str">
        <f>F$3</f>
        <v>v1.05</v>
      </c>
      <c r="J40" s="636">
        <v>36</v>
      </c>
      <c r="K40" s="636" t="s">
        <v>383</v>
      </c>
      <c r="L40" s="617">
        <v>8.1791692105140326E-2</v>
      </c>
      <c r="M40" s="617">
        <v>4.0291187818755247</v>
      </c>
      <c r="N40" s="617">
        <v>1.03169733799177</v>
      </c>
      <c r="O40" s="617">
        <v>152.39498896952992</v>
      </c>
    </row>
    <row r="41" spans="1:15" x14ac:dyDescent="0.35">
      <c r="A41" s="961"/>
      <c r="B41" s="961"/>
      <c r="C41" s="638" t="s">
        <v>13</v>
      </c>
      <c r="D41" s="638" t="s">
        <v>14</v>
      </c>
      <c r="E41" s="638" t="s">
        <v>14</v>
      </c>
      <c r="F41" s="638" t="s">
        <v>15</v>
      </c>
      <c r="J41" s="636">
        <v>37</v>
      </c>
      <c r="K41" s="636" t="s">
        <v>384</v>
      </c>
      <c r="L41" s="617">
        <v>0.12300159408052991</v>
      </c>
      <c r="M41" s="617">
        <v>4.0781682713297922</v>
      </c>
      <c r="N41" s="617">
        <v>1.5368183285175296</v>
      </c>
      <c r="O41" s="617">
        <v>208.83478101595963</v>
      </c>
    </row>
    <row r="42" spans="1:15" x14ac:dyDescent="0.35">
      <c r="A42">
        <v>1</v>
      </c>
      <c r="B42" t="s">
        <v>239</v>
      </c>
      <c r="C42" s="659">
        <v>4.8716599977915206E-2</v>
      </c>
      <c r="D42" s="659">
        <v>16.805337573845765</v>
      </c>
      <c r="E42" s="659">
        <v>0.57377959080702212</v>
      </c>
      <c r="F42" s="659">
        <v>358.56083210789416</v>
      </c>
    </row>
    <row r="43" spans="1:15" x14ac:dyDescent="0.35">
      <c r="A43">
        <v>2</v>
      </c>
      <c r="B43" t="s">
        <v>242</v>
      </c>
      <c r="C43" s="659">
        <v>0.70298417528820678</v>
      </c>
      <c r="D43" s="659">
        <v>1.3921922951000611E-2</v>
      </c>
      <c r="E43" s="659">
        <v>13.070927771330105</v>
      </c>
      <c r="F43" s="659">
        <v>447.72213038708747</v>
      </c>
    </row>
    <row r="44" spans="1:15" x14ac:dyDescent="0.35">
      <c r="A44">
        <v>3</v>
      </c>
      <c r="B44" t="s">
        <v>241</v>
      </c>
      <c r="C44" s="659">
        <v>0.44411073133686607</v>
      </c>
      <c r="D44" s="659">
        <v>7.9456120872778008E-3</v>
      </c>
      <c r="E44" s="659">
        <v>8.2687359840703145</v>
      </c>
      <c r="F44" s="659">
        <v>277.19937338795455</v>
      </c>
    </row>
    <row r="45" spans="1:15" x14ac:dyDescent="0.35">
      <c r="A45">
        <v>4</v>
      </c>
      <c r="B45" t="s">
        <v>243</v>
      </c>
      <c r="C45" s="659">
        <v>0.78410397299684154</v>
      </c>
      <c r="D45" s="659">
        <v>1.3334595431285272</v>
      </c>
      <c r="E45" s="659">
        <v>14.55234550643536</v>
      </c>
      <c r="F45" s="659">
        <v>660.6970412322205</v>
      </c>
    </row>
    <row r="46" spans="1:15" x14ac:dyDescent="0.35">
      <c r="A46">
        <v>5</v>
      </c>
      <c r="B46" t="s">
        <v>244</v>
      </c>
      <c r="C46" s="659">
        <v>4.3659807112993981E-3</v>
      </c>
      <c r="D46" s="659">
        <v>3.7930767911374486</v>
      </c>
      <c r="E46" s="659">
        <v>4.3332543006030573E-2</v>
      </c>
      <c r="F46" s="659">
        <v>11.914127861359512</v>
      </c>
    </row>
    <row r="47" spans="1:15" x14ac:dyDescent="0.35">
      <c r="A47">
        <v>6</v>
      </c>
      <c r="B47" t="s">
        <v>245</v>
      </c>
      <c r="C47" s="659">
        <v>1.7555171607370412E-2</v>
      </c>
      <c r="D47" s="659">
        <v>3.888239452067189</v>
      </c>
      <c r="E47" s="659">
        <v>0.21943428350722555</v>
      </c>
      <c r="F47" s="659">
        <v>40.944457759214444</v>
      </c>
    </row>
    <row r="48" spans="1:15" x14ac:dyDescent="0.35">
      <c r="A48">
        <v>7</v>
      </c>
      <c r="B48" t="s">
        <v>246</v>
      </c>
      <c r="C48" s="659">
        <v>1.8440898827399705E-2</v>
      </c>
      <c r="D48" s="659">
        <v>3.8863070288848616</v>
      </c>
      <c r="E48" s="659">
        <v>0.2501556071887831</v>
      </c>
      <c r="F48" s="659">
        <v>42.72788514999182</v>
      </c>
    </row>
    <row r="49" spans="1:6" ht="5.25" customHeight="1" x14ac:dyDescent="0.35"/>
    <row r="50" spans="1:6" x14ac:dyDescent="0.35">
      <c r="A50" s="961" t="s">
        <v>423</v>
      </c>
      <c r="B50" s="961"/>
      <c r="C50" s="779" t="s">
        <v>0</v>
      </c>
      <c r="D50" s="779"/>
      <c r="E50" s="779"/>
      <c r="F50" s="779"/>
    </row>
    <row r="51" spans="1:6" x14ac:dyDescent="0.35">
      <c r="A51" s="961"/>
      <c r="B51" s="961"/>
      <c r="C51" s="638" t="s">
        <v>5</v>
      </c>
      <c r="D51" s="638" t="s">
        <v>6</v>
      </c>
      <c r="E51" s="638" t="s">
        <v>7</v>
      </c>
      <c r="F51" s="638" t="s">
        <v>8</v>
      </c>
    </row>
    <row r="52" spans="1:6" x14ac:dyDescent="0.35">
      <c r="A52" s="961"/>
      <c r="B52" s="961"/>
      <c r="C52" s="638" t="str">
        <f>C$3</f>
        <v>IPCC2013 v1.02</v>
      </c>
      <c r="D52" s="638" t="str">
        <f>D$3</f>
        <v>v1.09</v>
      </c>
      <c r="E52" s="638" t="str">
        <f>E$3</f>
        <v>v1.09</v>
      </c>
      <c r="F52" s="638" t="str">
        <f>F$3</f>
        <v>v1.05</v>
      </c>
    </row>
    <row r="53" spans="1:6" x14ac:dyDescent="0.35">
      <c r="A53" s="961"/>
      <c r="B53" s="961"/>
      <c r="C53" s="638" t="s">
        <v>13</v>
      </c>
      <c r="D53" s="638" t="s">
        <v>14</v>
      </c>
      <c r="E53" s="638" t="s">
        <v>14</v>
      </c>
      <c r="F53" s="638" t="s">
        <v>15</v>
      </c>
    </row>
    <row r="54" spans="1:6" x14ac:dyDescent="0.35">
      <c r="A54">
        <v>1</v>
      </c>
      <c r="B54" t="s">
        <v>247</v>
      </c>
      <c r="C54" s="659">
        <v>0.165854</v>
      </c>
      <c r="D54" s="659">
        <v>6.4902000000000001E-2</v>
      </c>
      <c r="E54" s="659">
        <v>0.49018499999999998</v>
      </c>
      <c r="F54" s="659">
        <v>784.79459999999995</v>
      </c>
    </row>
    <row r="55" spans="1:6" x14ac:dyDescent="0.35">
      <c r="A55">
        <v>2</v>
      </c>
      <c r="B55" t="s">
        <v>248</v>
      </c>
      <c r="C55" s="659">
        <v>4.8717000000000003E-2</v>
      </c>
      <c r="D55" s="659">
        <v>16.805340000000001</v>
      </c>
      <c r="E55" s="659">
        <v>0.57377999999999996</v>
      </c>
      <c r="F55" s="659">
        <v>358.56079999999997</v>
      </c>
    </row>
    <row r="56" spans="1:6" x14ac:dyDescent="0.35">
      <c r="A56">
        <v>3</v>
      </c>
      <c r="B56" t="s">
        <v>249</v>
      </c>
      <c r="C56" s="659">
        <v>1.0668070000000001</v>
      </c>
      <c r="D56" s="659">
        <v>3.9302999999999998E-2</v>
      </c>
      <c r="E56" s="659">
        <v>10.54889</v>
      </c>
      <c r="F56" s="659">
        <v>2157.1019999999999</v>
      </c>
    </row>
    <row r="57" spans="1:6" x14ac:dyDescent="0.35">
      <c r="A57">
        <v>4</v>
      </c>
      <c r="B57" t="s">
        <v>250</v>
      </c>
      <c r="C57" s="659">
        <v>0.77637100000000003</v>
      </c>
      <c r="D57" s="659">
        <v>2.3279000000000001E-2</v>
      </c>
      <c r="E57" s="659">
        <v>14.143219999999999</v>
      </c>
      <c r="F57" s="659">
        <v>472.47289999999998</v>
      </c>
    </row>
    <row r="58" spans="1:6" x14ac:dyDescent="0.35">
      <c r="A58">
        <v>5</v>
      </c>
      <c r="B58" t="s">
        <v>251</v>
      </c>
      <c r="C58" s="659">
        <v>0.48323500000000003</v>
      </c>
      <c r="D58" s="659">
        <v>1.5956999999999999E-2</v>
      </c>
      <c r="E58" s="659">
        <v>9.1703209999999995</v>
      </c>
      <c r="F58" s="659">
        <v>292.25529999999998</v>
      </c>
    </row>
    <row r="59" spans="1:6" x14ac:dyDescent="0.35">
      <c r="A59">
        <v>6</v>
      </c>
      <c r="B59" t="s">
        <v>252</v>
      </c>
      <c r="C59" s="659">
        <v>1.2244820000000001</v>
      </c>
      <c r="D59" s="659">
        <v>0.12995100000000001</v>
      </c>
      <c r="E59" s="659">
        <v>11.114660000000001</v>
      </c>
      <c r="F59" s="659">
        <v>1083.155</v>
      </c>
    </row>
    <row r="60" spans="1:6" x14ac:dyDescent="0.35">
      <c r="A60">
        <v>7</v>
      </c>
      <c r="B60" t="s">
        <v>253</v>
      </c>
      <c r="C60" s="659">
        <v>0.86565700000000001</v>
      </c>
      <c r="D60" s="659">
        <v>4.4414000000000002E-2</v>
      </c>
      <c r="E60" s="659">
        <v>12.860239999999999</v>
      </c>
      <c r="F60" s="659">
        <v>824.88220000000001</v>
      </c>
    </row>
    <row r="61" spans="1:6" x14ac:dyDescent="0.35">
      <c r="A61">
        <v>8</v>
      </c>
      <c r="B61" t="s">
        <v>254</v>
      </c>
      <c r="C61" s="659">
        <v>0.54542999999999997</v>
      </c>
      <c r="D61" s="659">
        <v>2.6298689999999998</v>
      </c>
      <c r="E61" s="659">
        <v>10.73987</v>
      </c>
      <c r="F61" s="659">
        <v>606.3021</v>
      </c>
    </row>
    <row r="62" spans="1:6" x14ac:dyDescent="0.35">
      <c r="A62">
        <v>9</v>
      </c>
      <c r="B62" t="s">
        <v>255</v>
      </c>
      <c r="C62" s="659">
        <v>4.3660000000000001E-3</v>
      </c>
      <c r="D62" s="659">
        <v>3.7930769999999998</v>
      </c>
      <c r="E62" s="659">
        <v>4.3333000000000003E-2</v>
      </c>
      <c r="F62" s="659">
        <v>11.91413</v>
      </c>
    </row>
    <row r="63" spans="1:6" x14ac:dyDescent="0.35">
      <c r="A63">
        <v>10</v>
      </c>
      <c r="B63" t="s">
        <v>256</v>
      </c>
      <c r="C63" s="659">
        <v>5.1216999999999999E-2</v>
      </c>
      <c r="D63" s="659">
        <v>3.7941950000000002</v>
      </c>
      <c r="E63" s="659">
        <v>5.8189999999999999E-2</v>
      </c>
      <c r="F63" s="659">
        <v>57.369079999999997</v>
      </c>
    </row>
    <row r="64" spans="1:6" x14ac:dyDescent="0.35">
      <c r="A64">
        <v>11</v>
      </c>
      <c r="B64" t="s">
        <v>257</v>
      </c>
      <c r="C64" s="659">
        <v>1.2675000000000001E-2</v>
      </c>
      <c r="D64" s="659">
        <v>2.2377000000000001E-2</v>
      </c>
      <c r="E64" s="659">
        <v>14.24422</v>
      </c>
      <c r="F64" s="659">
        <v>338.62310000000002</v>
      </c>
    </row>
    <row r="65" spans="1:6" x14ac:dyDescent="0.35">
      <c r="A65">
        <v>12</v>
      </c>
      <c r="B65" t="s">
        <v>258</v>
      </c>
      <c r="C65" s="659">
        <v>1.1944E-2</v>
      </c>
      <c r="D65" s="659">
        <v>1.9973000000000001E-2</v>
      </c>
      <c r="E65" s="659">
        <v>13.40075</v>
      </c>
      <c r="F65" s="659">
        <v>313.48689999999999</v>
      </c>
    </row>
    <row r="66" spans="1:6" x14ac:dyDescent="0.35">
      <c r="A66">
        <v>13</v>
      </c>
      <c r="B66" t="s">
        <v>260</v>
      </c>
      <c r="C66" s="659">
        <v>1.5521E-2</v>
      </c>
      <c r="D66" s="659">
        <v>3.8848600000000002</v>
      </c>
      <c r="E66" s="659">
        <v>0.19017200000000001</v>
      </c>
      <c r="F66" s="659">
        <v>37.239910000000002</v>
      </c>
    </row>
    <row r="67" spans="1:6" x14ac:dyDescent="0.35">
      <c r="A67">
        <v>14</v>
      </c>
      <c r="B67" t="s">
        <v>261</v>
      </c>
      <c r="C67" s="659">
        <v>1.3481999999999999E-2</v>
      </c>
      <c r="D67" s="659">
        <v>3.884007</v>
      </c>
      <c r="E67" s="659">
        <v>0.16852</v>
      </c>
      <c r="F67" s="659">
        <v>32.342309999999998</v>
      </c>
    </row>
    <row r="68" spans="1:6" x14ac:dyDescent="0.35">
      <c r="A68">
        <v>15</v>
      </c>
      <c r="B68" t="s">
        <v>262</v>
      </c>
      <c r="C68" s="659">
        <v>2.2550000000000001E-2</v>
      </c>
      <c r="D68" s="659">
        <v>3.8881380000000001</v>
      </c>
      <c r="E68" s="659">
        <v>0.27305499999999999</v>
      </c>
      <c r="F68" s="659">
        <v>72.229830000000007</v>
      </c>
    </row>
    <row r="69" spans="1:6" x14ac:dyDescent="0.35">
      <c r="A69">
        <v>16</v>
      </c>
      <c r="B69" t="s">
        <v>263</v>
      </c>
      <c r="C69" s="659">
        <v>1.4161999999999999E-2</v>
      </c>
      <c r="D69" s="659">
        <v>3.8825229999999999</v>
      </c>
      <c r="E69" s="659">
        <v>0.19211400000000001</v>
      </c>
      <c r="F69" s="659">
        <v>33.711939999999998</v>
      </c>
    </row>
    <row r="70" spans="1:6" ht="5.25" customHeight="1" x14ac:dyDescent="0.35"/>
    <row r="71" spans="1:6" x14ac:dyDescent="0.35">
      <c r="A71" s="961" t="s">
        <v>424</v>
      </c>
      <c r="B71" s="961"/>
      <c r="C71" s="779" t="s">
        <v>0</v>
      </c>
      <c r="D71" s="779"/>
      <c r="E71" s="779"/>
      <c r="F71" s="779"/>
    </row>
    <row r="72" spans="1:6" x14ac:dyDescent="0.35">
      <c r="A72" s="961"/>
      <c r="B72" s="961"/>
      <c r="C72" s="638" t="s">
        <v>5</v>
      </c>
      <c r="D72" s="638" t="s">
        <v>6</v>
      </c>
      <c r="E72" s="638" t="s">
        <v>7</v>
      </c>
      <c r="F72" s="638" t="s">
        <v>8</v>
      </c>
    </row>
    <row r="73" spans="1:6" x14ac:dyDescent="0.35">
      <c r="A73" s="961"/>
      <c r="B73" s="961"/>
      <c r="C73" s="638" t="str">
        <f>C$3</f>
        <v>IPCC2013 v1.02</v>
      </c>
      <c r="D73" s="638" t="str">
        <f>D$3</f>
        <v>v1.09</v>
      </c>
      <c r="E73" s="638" t="str">
        <f>E$3</f>
        <v>v1.09</v>
      </c>
      <c r="F73" s="638" t="str">
        <f>F$3</f>
        <v>v1.05</v>
      </c>
    </row>
    <row r="74" spans="1:6" x14ac:dyDescent="0.35">
      <c r="A74" s="961"/>
      <c r="B74" s="961"/>
      <c r="C74" s="638" t="s">
        <v>13</v>
      </c>
      <c r="D74" s="638" t="s">
        <v>14</v>
      </c>
      <c r="E74" s="638" t="s">
        <v>14</v>
      </c>
      <c r="F74" s="638" t="s">
        <v>15</v>
      </c>
    </row>
    <row r="75" spans="1:6" x14ac:dyDescent="0.35">
      <c r="A75">
        <v>1</v>
      </c>
      <c r="B75" t="s">
        <v>269</v>
      </c>
      <c r="C75" s="659">
        <v>0.165854</v>
      </c>
      <c r="D75" s="659">
        <v>6.4902000000000001E-2</v>
      </c>
      <c r="E75" s="659">
        <v>0.49018499999999998</v>
      </c>
      <c r="F75" s="659">
        <v>784.79459999999995</v>
      </c>
    </row>
    <row r="76" spans="1:6" x14ac:dyDescent="0.35">
      <c r="A76">
        <v>2</v>
      </c>
      <c r="B76" t="s">
        <v>270</v>
      </c>
      <c r="C76" s="659">
        <v>4.8717000000000003E-2</v>
      </c>
      <c r="D76" s="659">
        <v>16.805340000000001</v>
      </c>
      <c r="E76" s="659">
        <v>0.57377999999999996</v>
      </c>
      <c r="F76" s="659">
        <v>358.56079999999997</v>
      </c>
    </row>
    <row r="77" spans="1:6" x14ac:dyDescent="0.35">
      <c r="A77">
        <v>3</v>
      </c>
      <c r="B77" t="s">
        <v>271</v>
      </c>
      <c r="C77" s="659">
        <v>0.55862100000000003</v>
      </c>
      <c r="D77" s="659">
        <v>9.953E-3</v>
      </c>
      <c r="E77" s="659">
        <v>9.9153950000000002</v>
      </c>
      <c r="F77" s="659">
        <v>350.38029999999998</v>
      </c>
    </row>
    <row r="78" spans="1:6" x14ac:dyDescent="0.35">
      <c r="A78">
        <v>4</v>
      </c>
      <c r="B78" t="s">
        <v>274</v>
      </c>
      <c r="C78" s="659">
        <v>0.413406</v>
      </c>
      <c r="D78" s="659">
        <v>6.5989999999999998E-3</v>
      </c>
      <c r="E78" s="659">
        <v>7.3468520000000002</v>
      </c>
      <c r="F78" s="659">
        <v>254.19880000000001</v>
      </c>
    </row>
    <row r="79" spans="1:6" x14ac:dyDescent="0.35">
      <c r="A79">
        <v>5</v>
      </c>
      <c r="B79" t="s">
        <v>273</v>
      </c>
      <c r="C79" s="659">
        <v>0.72436299999999998</v>
      </c>
      <c r="D79" s="659">
        <v>9.8239999999999994E-3</v>
      </c>
      <c r="E79" s="659">
        <v>12.387320000000001</v>
      </c>
      <c r="F79" s="659">
        <v>448.2303</v>
      </c>
    </row>
    <row r="80" spans="1:6" x14ac:dyDescent="0.35">
      <c r="A80">
        <v>6</v>
      </c>
      <c r="B80" t="s">
        <v>272</v>
      </c>
      <c r="C80" s="659">
        <v>0.42326000000000003</v>
      </c>
      <c r="D80" s="659">
        <v>6.7559999999999999E-3</v>
      </c>
      <c r="E80" s="659">
        <v>7.5219670000000001</v>
      </c>
      <c r="F80" s="659">
        <v>260.30309999999997</v>
      </c>
    </row>
    <row r="81" spans="1:6" x14ac:dyDescent="0.35">
      <c r="A81">
        <v>7</v>
      </c>
      <c r="B81" t="s">
        <v>275</v>
      </c>
      <c r="C81" s="659">
        <v>1.1182000000000001</v>
      </c>
      <c r="D81" s="659">
        <v>0.13561300000000001</v>
      </c>
      <c r="E81" s="659">
        <v>12.66507</v>
      </c>
      <c r="F81" s="659">
        <v>751.76490000000001</v>
      </c>
    </row>
    <row r="82" spans="1:6" x14ac:dyDescent="0.35">
      <c r="A82">
        <v>8</v>
      </c>
      <c r="B82" t="s">
        <v>276</v>
      </c>
      <c r="C82" s="659">
        <v>0.91273199999999999</v>
      </c>
      <c r="D82" s="659">
        <v>4.7513E-2</v>
      </c>
      <c r="E82" s="659">
        <v>13.76055</v>
      </c>
      <c r="F82" s="659">
        <v>842.72739999999999</v>
      </c>
    </row>
    <row r="83" spans="1:6" x14ac:dyDescent="0.35">
      <c r="A83">
        <v>9</v>
      </c>
      <c r="B83" t="s">
        <v>277</v>
      </c>
      <c r="C83" s="659">
        <v>0.85341999999999996</v>
      </c>
      <c r="D83" s="659">
        <v>4.4426E-2</v>
      </c>
      <c r="E83" s="659">
        <v>12.866339999999999</v>
      </c>
      <c r="F83" s="659">
        <v>857.42340000000002</v>
      </c>
    </row>
    <row r="84" spans="1:6" x14ac:dyDescent="0.35">
      <c r="A84">
        <v>10</v>
      </c>
      <c r="B84" t="s">
        <v>279</v>
      </c>
      <c r="C84" s="659">
        <v>4.3660000000000001E-3</v>
      </c>
      <c r="D84" s="659">
        <v>3.7930769999999998</v>
      </c>
      <c r="E84" s="659">
        <v>4.3333000000000003E-2</v>
      </c>
      <c r="F84" s="659">
        <v>11.91413</v>
      </c>
    </row>
    <row r="85" spans="1:6" x14ac:dyDescent="0.35">
      <c r="A85">
        <v>11</v>
      </c>
      <c r="B85" t="s">
        <v>280</v>
      </c>
      <c r="C85" s="659">
        <v>1.1944E-2</v>
      </c>
      <c r="D85" s="659">
        <v>1.9973000000000001E-2</v>
      </c>
      <c r="E85" s="659">
        <v>13.40075</v>
      </c>
      <c r="F85" s="659">
        <v>313.51</v>
      </c>
    </row>
    <row r="86" spans="1:6" x14ac:dyDescent="0.35">
      <c r="A86">
        <v>12</v>
      </c>
      <c r="B86" t="s">
        <v>282</v>
      </c>
      <c r="C86" s="659">
        <v>1.5521E-2</v>
      </c>
      <c r="D86" s="659">
        <v>3.8848600000000002</v>
      </c>
      <c r="E86" s="659">
        <v>0.19017200000000001</v>
      </c>
      <c r="F86" s="659">
        <v>37.239910000000002</v>
      </c>
    </row>
    <row r="87" spans="1:6" x14ac:dyDescent="0.35">
      <c r="A87">
        <v>13</v>
      </c>
      <c r="B87" t="s">
        <v>283</v>
      </c>
      <c r="C87" s="659">
        <v>1.4629E-2</v>
      </c>
      <c r="D87" s="659">
        <v>3.8852000000000002</v>
      </c>
      <c r="E87" s="659">
        <v>0.182862</v>
      </c>
      <c r="F87" s="659">
        <v>34.76538</v>
      </c>
    </row>
    <row r="88" spans="1:6" x14ac:dyDescent="0.35">
      <c r="A88">
        <v>14</v>
      </c>
      <c r="B88" t="s">
        <v>284</v>
      </c>
      <c r="C88" s="659">
        <v>2.4469000000000001E-2</v>
      </c>
      <c r="D88" s="659">
        <v>3.8896820000000001</v>
      </c>
      <c r="E88" s="659">
        <v>0.29629299999999997</v>
      </c>
      <c r="F88" s="659">
        <v>78.047430000000006</v>
      </c>
    </row>
    <row r="89" spans="1:6" x14ac:dyDescent="0.35">
      <c r="A89">
        <v>15</v>
      </c>
      <c r="B89" t="s">
        <v>285</v>
      </c>
      <c r="C89" s="659">
        <v>1.5367E-2</v>
      </c>
      <c r="D89" s="659">
        <v>3.8835890000000002</v>
      </c>
      <c r="E89" s="659">
        <v>0.20846300000000001</v>
      </c>
      <c r="F89" s="659">
        <v>36.251570000000001</v>
      </c>
    </row>
    <row r="90" spans="1:6" x14ac:dyDescent="0.35">
      <c r="A90">
        <v>16</v>
      </c>
      <c r="B90" t="s">
        <v>278</v>
      </c>
      <c r="C90" s="659">
        <v>0.37779400000000002</v>
      </c>
      <c r="D90" s="659">
        <v>1.1871769999999999</v>
      </c>
      <c r="E90" s="659">
        <v>15.690390000000001</v>
      </c>
      <c r="F90" s="659">
        <v>510.07339999999999</v>
      </c>
    </row>
    <row r="91" spans="1:6" ht="4.5" customHeight="1" x14ac:dyDescent="0.35"/>
    <row r="92" spans="1:6" x14ac:dyDescent="0.35">
      <c r="A92" s="961" t="s">
        <v>425</v>
      </c>
      <c r="B92" s="961"/>
      <c r="C92" s="779" t="s">
        <v>0</v>
      </c>
      <c r="D92" s="779"/>
      <c r="E92" s="779"/>
      <c r="F92" s="779"/>
    </row>
    <row r="93" spans="1:6" x14ac:dyDescent="0.35">
      <c r="A93" s="961"/>
      <c r="B93" s="961"/>
      <c r="C93" s="638" t="s">
        <v>5</v>
      </c>
      <c r="D93" s="638" t="s">
        <v>6</v>
      </c>
      <c r="E93" s="638" t="s">
        <v>7</v>
      </c>
      <c r="F93" s="638" t="s">
        <v>8</v>
      </c>
    </row>
    <row r="94" spans="1:6" x14ac:dyDescent="0.35">
      <c r="A94" s="961"/>
      <c r="B94" s="961"/>
      <c r="C94" s="638" t="str">
        <f>C$3</f>
        <v>IPCC2013 v1.02</v>
      </c>
      <c r="D94" s="638" t="str">
        <f>D$3</f>
        <v>v1.09</v>
      </c>
      <c r="E94" s="638" t="str">
        <f>E$3</f>
        <v>v1.09</v>
      </c>
      <c r="F94" s="638" t="str">
        <f>F$3</f>
        <v>v1.05</v>
      </c>
    </row>
    <row r="95" spans="1:6" x14ac:dyDescent="0.35">
      <c r="A95" s="961"/>
      <c r="B95" s="961"/>
      <c r="C95" s="638" t="s">
        <v>13</v>
      </c>
      <c r="D95" s="638" t="s">
        <v>14</v>
      </c>
      <c r="E95" s="638" t="s">
        <v>14</v>
      </c>
      <c r="F95" s="638" t="s">
        <v>15</v>
      </c>
    </row>
    <row r="96" spans="1:6" x14ac:dyDescent="0.35">
      <c r="A96">
        <v>1</v>
      </c>
      <c r="B96" t="s">
        <v>291</v>
      </c>
      <c r="C96" s="637">
        <v>4.8716600036111612E-2</v>
      </c>
      <c r="D96" s="637">
        <v>16.805337598302678</v>
      </c>
      <c r="E96" s="637">
        <v>0.57377959165197978</v>
      </c>
      <c r="F96" s="637">
        <v>358.56083246345736</v>
      </c>
    </row>
    <row r="97" spans="1:6" x14ac:dyDescent="0.35">
      <c r="A97">
        <v>2</v>
      </c>
      <c r="B97" t="s">
        <v>292</v>
      </c>
      <c r="C97" s="637">
        <v>0.52082265511755854</v>
      </c>
      <c r="D97" s="637">
        <v>6.3841612962181873E-3</v>
      </c>
      <c r="E97" s="637">
        <v>9.3830878059842941</v>
      </c>
      <c r="F97" s="637">
        <v>348.15390133711873</v>
      </c>
    </row>
    <row r="98" spans="1:6" x14ac:dyDescent="0.35">
      <c r="A98">
        <v>3</v>
      </c>
      <c r="B98" t="s">
        <v>293</v>
      </c>
      <c r="C98" s="637">
        <v>1.1413752381481921</v>
      </c>
      <c r="D98" s="637">
        <v>0.13165482653921345</v>
      </c>
      <c r="E98" s="637">
        <v>11.208316123757175</v>
      </c>
      <c r="F98" s="637">
        <v>849.26963012637009</v>
      </c>
    </row>
    <row r="99" spans="1:6" x14ac:dyDescent="0.35">
      <c r="A99">
        <v>4</v>
      </c>
      <c r="B99" t="s">
        <v>294</v>
      </c>
      <c r="C99" s="637">
        <v>1.3203440130443043</v>
      </c>
      <c r="D99" s="637">
        <v>6.783258883500802E-2</v>
      </c>
      <c r="E99" s="637">
        <v>19.648971210090572</v>
      </c>
      <c r="F99" s="637">
        <v>1425.5860104771252</v>
      </c>
    </row>
    <row r="100" spans="1:6" ht="5.25" customHeight="1" x14ac:dyDescent="0.35"/>
    <row r="101" spans="1:6" x14ac:dyDescent="0.35">
      <c r="A101" s="961" t="s">
        <v>426</v>
      </c>
      <c r="B101" s="961"/>
      <c r="C101" s="779" t="s">
        <v>0</v>
      </c>
      <c r="D101" s="779"/>
      <c r="E101" s="779"/>
      <c r="F101" s="779"/>
    </row>
    <row r="102" spans="1:6" x14ac:dyDescent="0.35">
      <c r="A102" s="961"/>
      <c r="B102" s="961"/>
      <c r="C102" s="638" t="s">
        <v>5</v>
      </c>
      <c r="D102" s="638" t="s">
        <v>6</v>
      </c>
      <c r="E102" s="638" t="s">
        <v>7</v>
      </c>
      <c r="F102" s="638" t="s">
        <v>8</v>
      </c>
    </row>
    <row r="103" spans="1:6" x14ac:dyDescent="0.35">
      <c r="A103" s="961"/>
      <c r="B103" s="961"/>
      <c r="C103" s="638" t="str">
        <f>C$3</f>
        <v>IPCC2013 v1.02</v>
      </c>
      <c r="D103" s="638" t="str">
        <f>D$3</f>
        <v>v1.09</v>
      </c>
      <c r="E103" s="638" t="str">
        <f>E$3</f>
        <v>v1.09</v>
      </c>
      <c r="F103" s="638" t="str">
        <f>F$3</f>
        <v>v1.05</v>
      </c>
    </row>
    <row r="104" spans="1:6" x14ac:dyDescent="0.35">
      <c r="A104" s="961"/>
      <c r="B104" s="961"/>
      <c r="C104" s="638" t="s">
        <v>13</v>
      </c>
      <c r="D104" s="638" t="s">
        <v>14</v>
      </c>
      <c r="E104" s="638" t="s">
        <v>14</v>
      </c>
      <c r="F104" s="638" t="s">
        <v>15</v>
      </c>
    </row>
    <row r="105" spans="1:6" x14ac:dyDescent="0.35">
      <c r="A105">
        <v>1</v>
      </c>
      <c r="B105" t="s">
        <v>307</v>
      </c>
      <c r="C105" s="637">
        <v>4.8716600034749973E-2</v>
      </c>
      <c r="D105" s="637">
        <v>16.805337597840772</v>
      </c>
      <c r="E105" s="637">
        <v>0.57377959163548864</v>
      </c>
      <c r="F105" s="637">
        <v>358.56083245356848</v>
      </c>
    </row>
    <row r="106" spans="1:6" x14ac:dyDescent="0.35">
      <c r="A106">
        <v>2</v>
      </c>
      <c r="B106" t="s">
        <v>308</v>
      </c>
      <c r="C106" s="637">
        <v>1.1544811395180163</v>
      </c>
      <c r="D106" s="637">
        <v>4.6842365756915125E-2</v>
      </c>
      <c r="E106" s="637">
        <v>13.027857364313594</v>
      </c>
      <c r="F106" s="637">
        <v>882.94612372047868</v>
      </c>
    </row>
    <row r="107" spans="1:6" x14ac:dyDescent="0.35">
      <c r="A107">
        <v>3</v>
      </c>
      <c r="B107" t="s">
        <v>311</v>
      </c>
      <c r="C107" s="637">
        <v>0.69263663659370089</v>
      </c>
      <c r="D107" s="637">
        <v>1.3716999937117478E-2</v>
      </c>
      <c r="E107" s="637">
        <v>12.878530935789417</v>
      </c>
      <c r="F107" s="637">
        <v>440.66223691524624</v>
      </c>
    </row>
    <row r="108" spans="1:6" x14ac:dyDescent="0.35">
      <c r="A108">
        <v>4</v>
      </c>
      <c r="B108" t="s">
        <v>310</v>
      </c>
      <c r="C108" s="637">
        <v>0.49199241998720195</v>
      </c>
      <c r="D108" s="637">
        <v>8.8022662892050171E-3</v>
      </c>
      <c r="E108" s="637">
        <v>9.1602277090318847</v>
      </c>
      <c r="F108" s="637">
        <v>306.76853259495965</v>
      </c>
    </row>
    <row r="109" spans="1:6" x14ac:dyDescent="0.35">
      <c r="A109">
        <v>5</v>
      </c>
      <c r="B109" t="s">
        <v>312</v>
      </c>
      <c r="C109" s="637">
        <v>1.1688068836405345</v>
      </c>
      <c r="D109" s="637">
        <v>0.18389655412152248</v>
      </c>
      <c r="E109" s="637">
        <v>13.522053676115394</v>
      </c>
      <c r="F109" s="637">
        <v>891.54076687049042</v>
      </c>
    </row>
    <row r="110" spans="1:6" x14ac:dyDescent="0.35">
      <c r="A110">
        <v>6</v>
      </c>
      <c r="B110" t="s">
        <v>313</v>
      </c>
      <c r="C110" s="637">
        <v>0.87964775533526807</v>
      </c>
      <c r="D110" s="637">
        <v>4.5236228887499785E-2</v>
      </c>
      <c r="E110" s="637">
        <v>13.101098329175448</v>
      </c>
      <c r="F110" s="637">
        <v>812.24377001608309</v>
      </c>
    </row>
    <row r="111" spans="1:6" x14ac:dyDescent="0.35">
      <c r="A111">
        <v>7</v>
      </c>
      <c r="B111" t="s">
        <v>314</v>
      </c>
      <c r="C111" s="637">
        <v>1.4165619438046293</v>
      </c>
      <c r="D111" s="637">
        <v>1.9924170371796042</v>
      </c>
      <c r="E111" s="637">
        <v>16.773831151644014</v>
      </c>
      <c r="F111" s="637">
        <v>1117.6959584970243</v>
      </c>
    </row>
    <row r="112" spans="1:6" x14ac:dyDescent="0.35">
      <c r="A112">
        <v>8</v>
      </c>
      <c r="B112" t="s">
        <v>315</v>
      </c>
      <c r="C112" s="637">
        <v>4.3659807308283477E-3</v>
      </c>
      <c r="D112" s="637">
        <v>3.7930767849294789</v>
      </c>
      <c r="E112" s="637">
        <v>4.3332543136062378E-2</v>
      </c>
      <c r="F112" s="637">
        <v>11.914127873995213</v>
      </c>
    </row>
    <row r="113" spans="1:6" x14ac:dyDescent="0.35">
      <c r="A113">
        <v>9</v>
      </c>
      <c r="B113" t="s">
        <v>316</v>
      </c>
      <c r="C113" s="637">
        <v>1.5390514518120247E-2</v>
      </c>
      <c r="D113" s="637">
        <v>3.8859904104034046</v>
      </c>
      <c r="E113" s="637">
        <v>0.19237673100628958</v>
      </c>
      <c r="F113" s="637">
        <v>36.372956564924174</v>
      </c>
    </row>
    <row r="114" spans="1:6" x14ac:dyDescent="0.35">
      <c r="A114">
        <v>10</v>
      </c>
      <c r="B114" t="s">
        <v>317</v>
      </c>
      <c r="C114" s="637">
        <v>1.6167026218048011E-2</v>
      </c>
      <c r="D114" s="637">
        <v>3.8842962464789932</v>
      </c>
      <c r="E114" s="637">
        <v>0.21930993149666347</v>
      </c>
      <c r="F114" s="637">
        <v>37.936476530432152</v>
      </c>
    </row>
    <row r="115" spans="1:6" x14ac:dyDescent="0.35">
      <c r="A115">
        <v>11</v>
      </c>
      <c r="B115" t="s">
        <v>318</v>
      </c>
      <c r="C115" s="637">
        <v>2.5741886399647255E-2</v>
      </c>
      <c r="D115" s="637">
        <v>3.8907057936490581</v>
      </c>
      <c r="E115" s="637">
        <v>0.31170959408976262</v>
      </c>
      <c r="F115" s="637">
        <v>81.907097269060529</v>
      </c>
    </row>
    <row r="116" spans="1:6" ht="3.75" customHeight="1" x14ac:dyDescent="0.35"/>
    <row r="117" spans="1:6" x14ac:dyDescent="0.35">
      <c r="A117" s="961" t="s">
        <v>427</v>
      </c>
      <c r="B117" s="961"/>
      <c r="C117" s="779" t="s">
        <v>0</v>
      </c>
      <c r="D117" s="779"/>
      <c r="E117" s="779"/>
      <c r="F117" s="779"/>
    </row>
    <row r="118" spans="1:6" x14ac:dyDescent="0.35">
      <c r="A118" s="961"/>
      <c r="B118" s="961"/>
      <c r="C118" s="638" t="s">
        <v>5</v>
      </c>
      <c r="D118" s="638" t="s">
        <v>6</v>
      </c>
      <c r="E118" s="638" t="s">
        <v>7</v>
      </c>
      <c r="F118" s="638" t="s">
        <v>8</v>
      </c>
    </row>
    <row r="119" spans="1:6" x14ac:dyDescent="0.35">
      <c r="A119" s="961"/>
      <c r="B119" s="961"/>
      <c r="C119" s="638" t="str">
        <f>C$3</f>
        <v>IPCC2013 v1.02</v>
      </c>
      <c r="D119" s="638" t="str">
        <f>D$3</f>
        <v>v1.09</v>
      </c>
      <c r="E119" s="638" t="str">
        <f>E$3</f>
        <v>v1.09</v>
      </c>
      <c r="F119" s="638" t="str">
        <f>F$3</f>
        <v>v1.05</v>
      </c>
    </row>
    <row r="120" spans="1:6" x14ac:dyDescent="0.35">
      <c r="A120" s="961"/>
      <c r="B120" s="961"/>
      <c r="C120" s="638" t="s">
        <v>13</v>
      </c>
      <c r="D120" s="638" t="s">
        <v>14</v>
      </c>
      <c r="E120" s="638" t="s">
        <v>14</v>
      </c>
      <c r="F120" s="638" t="s">
        <v>15</v>
      </c>
    </row>
    <row r="121" spans="1:6" x14ac:dyDescent="0.35">
      <c r="A121">
        <v>1</v>
      </c>
      <c r="B121" t="s">
        <v>319</v>
      </c>
      <c r="C121">
        <v>0.165854</v>
      </c>
      <c r="D121">
        <v>6.4902000000000001E-2</v>
      </c>
      <c r="E121">
        <v>0.49018499999999998</v>
      </c>
      <c r="F121">
        <v>784.79459999999995</v>
      </c>
    </row>
    <row r="122" spans="1:6" x14ac:dyDescent="0.35">
      <c r="A122">
        <v>2</v>
      </c>
      <c r="B122" t="s">
        <v>320</v>
      </c>
      <c r="C122">
        <v>4.7794999999999997E-2</v>
      </c>
      <c r="D122">
        <v>16.805</v>
      </c>
      <c r="E122">
        <v>0.55543699999999996</v>
      </c>
      <c r="F122">
        <v>427.92590000000001</v>
      </c>
    </row>
    <row r="123" spans="1:6" x14ac:dyDescent="0.35">
      <c r="A123">
        <v>3</v>
      </c>
      <c r="B123" t="s">
        <v>321</v>
      </c>
      <c r="C123">
        <v>1.137689</v>
      </c>
      <c r="D123">
        <v>4.6224000000000001E-2</v>
      </c>
      <c r="E123">
        <v>12.838369999999999</v>
      </c>
      <c r="F123">
        <v>865.17039999999997</v>
      </c>
    </row>
    <row r="124" spans="1:6" x14ac:dyDescent="0.35">
      <c r="A124">
        <v>4</v>
      </c>
      <c r="B124" t="s">
        <v>322</v>
      </c>
      <c r="C124">
        <v>1.235606</v>
      </c>
      <c r="D124">
        <v>4.4946E-2</v>
      </c>
      <c r="E124">
        <v>12.226990000000001</v>
      </c>
      <c r="F124">
        <v>2159.0590000000002</v>
      </c>
    </row>
    <row r="125" spans="1:6" x14ac:dyDescent="0.35">
      <c r="A125">
        <v>5</v>
      </c>
      <c r="B125" t="s">
        <v>323</v>
      </c>
      <c r="C125">
        <v>0.74538000000000004</v>
      </c>
      <c r="D125">
        <v>1.1435000000000001E-2</v>
      </c>
      <c r="E125">
        <v>13.338089999999999</v>
      </c>
      <c r="F125">
        <v>467.1026</v>
      </c>
    </row>
    <row r="126" spans="1:6" x14ac:dyDescent="0.35">
      <c r="A126">
        <v>6</v>
      </c>
      <c r="B126" t="s">
        <v>324</v>
      </c>
      <c r="C126">
        <v>0.96880699999999997</v>
      </c>
      <c r="D126">
        <v>1.9186000000000002E-2</v>
      </c>
      <c r="E126">
        <v>18.013490000000001</v>
      </c>
      <c r="F126">
        <v>615.57169999999996</v>
      </c>
    </row>
    <row r="127" spans="1:6" x14ac:dyDescent="0.35">
      <c r="A127">
        <v>7</v>
      </c>
      <c r="B127" t="s">
        <v>325</v>
      </c>
      <c r="C127">
        <v>0.60261200000000004</v>
      </c>
      <c r="D127">
        <v>1.0781000000000001E-2</v>
      </c>
      <c r="E127">
        <v>11.219810000000001</v>
      </c>
      <c r="F127">
        <v>375.27390000000003</v>
      </c>
    </row>
    <row r="128" spans="1:6" x14ac:dyDescent="0.35">
      <c r="A128">
        <v>8</v>
      </c>
      <c r="B128" t="s">
        <v>175</v>
      </c>
      <c r="C128">
        <v>2.0395629999999998</v>
      </c>
      <c r="D128">
        <v>0.222385</v>
      </c>
      <c r="E128">
        <v>19.09919</v>
      </c>
      <c r="F128">
        <v>1486.056</v>
      </c>
    </row>
    <row r="129" spans="1:6" x14ac:dyDescent="0.35">
      <c r="A129">
        <v>9</v>
      </c>
      <c r="B129" t="s">
        <v>326</v>
      </c>
      <c r="C129">
        <v>1.259414</v>
      </c>
      <c r="D129">
        <v>0.13763600000000001</v>
      </c>
      <c r="E129">
        <v>11.792770000000001</v>
      </c>
      <c r="F129">
        <v>1026.3420000000001</v>
      </c>
    </row>
    <row r="130" spans="1:6" x14ac:dyDescent="0.35">
      <c r="A130">
        <v>10</v>
      </c>
      <c r="B130" t="s">
        <v>327</v>
      </c>
      <c r="C130">
        <v>1.6658809999999999</v>
      </c>
      <c r="D130">
        <v>8.5690000000000002E-2</v>
      </c>
      <c r="E130">
        <v>24.811050000000002</v>
      </c>
      <c r="F130">
        <v>2598.4670000000001</v>
      </c>
    </row>
    <row r="131" spans="1:6" x14ac:dyDescent="0.35">
      <c r="A131">
        <v>11</v>
      </c>
      <c r="B131" t="s">
        <v>328</v>
      </c>
      <c r="C131">
        <v>0.96290799999999999</v>
      </c>
      <c r="D131">
        <v>4.9529999999999998E-2</v>
      </c>
      <c r="E131">
        <v>14.34122</v>
      </c>
      <c r="F131">
        <v>1557.9760000000001</v>
      </c>
    </row>
    <row r="132" spans="1:6" x14ac:dyDescent="0.35">
      <c r="A132">
        <v>12</v>
      </c>
      <c r="B132" t="s">
        <v>329</v>
      </c>
      <c r="C132">
        <v>0.90037900000000004</v>
      </c>
      <c r="D132">
        <v>1.027849</v>
      </c>
      <c r="E132">
        <v>17.148209999999999</v>
      </c>
      <c r="F132">
        <v>961.88689999999997</v>
      </c>
    </row>
    <row r="133" spans="1:6" x14ac:dyDescent="0.35">
      <c r="A133">
        <v>13</v>
      </c>
      <c r="B133" t="s">
        <v>330</v>
      </c>
      <c r="C133">
        <v>4.3660000000000001E-3</v>
      </c>
      <c r="D133">
        <v>3.7930769999999998</v>
      </c>
      <c r="E133">
        <v>4.3333000000000003E-2</v>
      </c>
      <c r="F133">
        <v>11.91413</v>
      </c>
    </row>
    <row r="134" spans="1:6" x14ac:dyDescent="0.35">
      <c r="A134">
        <v>14</v>
      </c>
      <c r="B134" t="s">
        <v>331</v>
      </c>
      <c r="C134">
        <v>1.1944E-2</v>
      </c>
      <c r="D134">
        <v>1.9973000000000001E-2</v>
      </c>
      <c r="E134">
        <v>13.40075</v>
      </c>
      <c r="F134">
        <v>313.4853</v>
      </c>
    </row>
    <row r="135" spans="1:6" x14ac:dyDescent="0.35">
      <c r="A135">
        <v>15</v>
      </c>
      <c r="B135" t="s">
        <v>333</v>
      </c>
      <c r="C135">
        <v>1.6390999999999999E-2</v>
      </c>
      <c r="D135">
        <v>3.8870290000000001</v>
      </c>
      <c r="E135">
        <v>0.204877</v>
      </c>
      <c r="F135">
        <v>38.484969999999997</v>
      </c>
    </row>
    <row r="136" spans="1:6" x14ac:dyDescent="0.35">
      <c r="A136">
        <v>16</v>
      </c>
      <c r="B136" t="s">
        <v>334</v>
      </c>
      <c r="C136">
        <v>1.7218000000000001E-2</v>
      </c>
      <c r="D136">
        <v>3.8852250000000002</v>
      </c>
      <c r="E136">
        <v>0.23356099999999999</v>
      </c>
      <c r="F136">
        <v>40.150089999999999</v>
      </c>
    </row>
    <row r="137" spans="1:6" x14ac:dyDescent="0.35">
      <c r="A137">
        <v>17</v>
      </c>
      <c r="B137" t="s">
        <v>335</v>
      </c>
      <c r="C137">
        <v>2.7414999999999998E-2</v>
      </c>
      <c r="D137">
        <v>3.8920509999999999</v>
      </c>
      <c r="E137">
        <v>0.33196399999999998</v>
      </c>
      <c r="F137">
        <v>86.977890000000002</v>
      </c>
    </row>
    <row r="138" spans="1:6" ht="6" customHeight="1" x14ac:dyDescent="0.35"/>
    <row r="139" spans="1:6" x14ac:dyDescent="0.35">
      <c r="A139" s="961" t="s">
        <v>428</v>
      </c>
      <c r="B139" s="961"/>
      <c r="C139" s="779" t="s">
        <v>0</v>
      </c>
      <c r="D139" s="779"/>
      <c r="E139" s="779"/>
      <c r="F139" s="779"/>
    </row>
    <row r="140" spans="1:6" x14ac:dyDescent="0.35">
      <c r="A140" s="961"/>
      <c r="B140" s="961"/>
      <c r="C140" s="638" t="s">
        <v>5</v>
      </c>
      <c r="D140" s="638" t="s">
        <v>6</v>
      </c>
      <c r="E140" s="638" t="s">
        <v>7</v>
      </c>
      <c r="F140" s="638" t="s">
        <v>8</v>
      </c>
    </row>
    <row r="141" spans="1:6" x14ac:dyDescent="0.35">
      <c r="A141" s="961"/>
      <c r="B141" s="961"/>
      <c r="C141" s="638" t="str">
        <f>C$3</f>
        <v>IPCC2013 v1.02</v>
      </c>
      <c r="D141" s="638" t="str">
        <f>D$3</f>
        <v>v1.09</v>
      </c>
      <c r="E141" s="638" t="str">
        <f>E$3</f>
        <v>v1.09</v>
      </c>
      <c r="F141" s="638" t="str">
        <f>F$3</f>
        <v>v1.05</v>
      </c>
    </row>
    <row r="142" spans="1:6" x14ac:dyDescent="0.35">
      <c r="A142" s="961"/>
      <c r="B142" s="961"/>
      <c r="C142" s="638" t="s">
        <v>13</v>
      </c>
      <c r="D142" s="638" t="s">
        <v>14</v>
      </c>
      <c r="E142" s="638" t="s">
        <v>14</v>
      </c>
      <c r="F142" s="638" t="s">
        <v>15</v>
      </c>
    </row>
    <row r="143" spans="1:6" x14ac:dyDescent="0.35">
      <c r="A143">
        <v>1</v>
      </c>
      <c r="B143" s="447" t="s">
        <v>370</v>
      </c>
      <c r="C143" s="447">
        <v>0.165854</v>
      </c>
      <c r="D143" s="447">
        <v>6.4902000000000001E-2</v>
      </c>
      <c r="E143" s="447">
        <v>0.49018499999999998</v>
      </c>
      <c r="F143" s="447">
        <v>784.82569999999998</v>
      </c>
    </row>
    <row r="144" spans="1:6" x14ac:dyDescent="0.35">
      <c r="A144">
        <v>2</v>
      </c>
      <c r="B144" s="447" t="s">
        <v>371</v>
      </c>
      <c r="C144" s="447">
        <v>4.8717000000000003E-2</v>
      </c>
      <c r="D144" s="447">
        <v>16.805340000000001</v>
      </c>
      <c r="E144" s="447">
        <v>0.57377999999999996</v>
      </c>
      <c r="F144" s="447">
        <v>358.55450000000002</v>
      </c>
    </row>
    <row r="145" spans="1:6" x14ac:dyDescent="0.35">
      <c r="A145">
        <v>3</v>
      </c>
      <c r="B145" s="447" t="s">
        <v>372</v>
      </c>
      <c r="C145" s="447">
        <v>0.448961</v>
      </c>
      <c r="D145" s="447">
        <v>8.0339999999999995E-3</v>
      </c>
      <c r="E145" s="447">
        <v>8.8465109999999996</v>
      </c>
      <c r="F145" s="447">
        <v>283.42009999999999</v>
      </c>
    </row>
    <row r="146" spans="1:6" x14ac:dyDescent="0.35">
      <c r="A146">
        <v>4</v>
      </c>
      <c r="B146" s="447" t="s">
        <v>373</v>
      </c>
      <c r="C146" s="447">
        <v>0.51249699999999998</v>
      </c>
      <c r="D146" s="447">
        <v>1.0237E-2</v>
      </c>
      <c r="E146" s="447">
        <v>10.082549999999999</v>
      </c>
      <c r="F146" s="447">
        <v>330.60399999999998</v>
      </c>
    </row>
    <row r="147" spans="1:6" x14ac:dyDescent="0.35">
      <c r="A147">
        <v>5</v>
      </c>
      <c r="B147" s="447" t="s">
        <v>374</v>
      </c>
      <c r="C147" s="447">
        <v>1.0552360000000001</v>
      </c>
      <c r="D147" s="447">
        <v>0.114776</v>
      </c>
      <c r="E147" s="447">
        <v>9.8007580000000001</v>
      </c>
      <c r="F147" s="447">
        <v>623.00609999999995</v>
      </c>
    </row>
    <row r="148" spans="1:6" x14ac:dyDescent="0.35">
      <c r="A148">
        <v>6</v>
      </c>
      <c r="B148" s="447" t="s">
        <v>375</v>
      </c>
      <c r="C148" s="447">
        <v>1.2399089999999999</v>
      </c>
      <c r="D148" s="447">
        <v>6.3057000000000002E-2</v>
      </c>
      <c r="E148" s="447">
        <v>18.262139999999999</v>
      </c>
      <c r="F148" s="447">
        <v>1304.6990000000001</v>
      </c>
    </row>
    <row r="149" spans="1:6" x14ac:dyDescent="0.35">
      <c r="A149">
        <v>7</v>
      </c>
      <c r="B149" s="447" t="s">
        <v>376</v>
      </c>
      <c r="C149" s="447">
        <v>0.96457099999999996</v>
      </c>
      <c r="D149" s="447">
        <v>4.9054E-2</v>
      </c>
      <c r="E149" s="447">
        <v>14.20679</v>
      </c>
      <c r="F149" s="447">
        <v>1014.974</v>
      </c>
    </row>
    <row r="150" spans="1:6" x14ac:dyDescent="0.35">
      <c r="A150">
        <v>8</v>
      </c>
      <c r="B150" s="447" t="s">
        <v>429</v>
      </c>
      <c r="C150" s="447">
        <v>5.1000000000000004E-3</v>
      </c>
      <c r="D150" s="447">
        <v>3.793628</v>
      </c>
      <c r="E150" s="447">
        <v>4.3825000000000003E-2</v>
      </c>
      <c r="F150" s="447">
        <v>12.528829999999999</v>
      </c>
    </row>
    <row r="151" spans="1:6" x14ac:dyDescent="0.35">
      <c r="A151">
        <v>9</v>
      </c>
      <c r="B151" s="447" t="s">
        <v>379</v>
      </c>
      <c r="C151" s="447">
        <v>1.5521E-2</v>
      </c>
      <c r="D151" s="447">
        <v>3.8848600000000002</v>
      </c>
      <c r="E151" s="447">
        <v>0.19017200000000001</v>
      </c>
      <c r="F151" s="447">
        <v>37.234900000000003</v>
      </c>
    </row>
    <row r="152" spans="1:6" x14ac:dyDescent="0.35">
      <c r="A152">
        <v>10</v>
      </c>
      <c r="B152" s="447" t="s">
        <v>380</v>
      </c>
      <c r="C152" s="447">
        <v>1.1856999999999999E-2</v>
      </c>
      <c r="D152" s="447">
        <v>3.8823189999999999</v>
      </c>
      <c r="E152" s="447">
        <v>0.14821300000000001</v>
      </c>
      <c r="F152" s="447">
        <v>28.910219999999999</v>
      </c>
    </row>
    <row r="153" spans="1:6" x14ac:dyDescent="0.35">
      <c r="A153">
        <v>11</v>
      </c>
      <c r="B153" s="447" t="s">
        <v>381</v>
      </c>
      <c r="C153" s="447">
        <v>1.9831999999999999E-2</v>
      </c>
      <c r="D153" s="447">
        <v>3.8859520000000001</v>
      </c>
      <c r="E153" s="447">
        <v>0.24015</v>
      </c>
      <c r="F153" s="447">
        <v>63.971080000000001</v>
      </c>
    </row>
    <row r="154" spans="1:6" x14ac:dyDescent="0.35">
      <c r="A154">
        <v>12</v>
      </c>
      <c r="B154" s="447" t="s">
        <v>382</v>
      </c>
      <c r="C154" s="447">
        <v>1.2456E-2</v>
      </c>
      <c r="D154" s="447">
        <v>3.881014</v>
      </c>
      <c r="E154" s="447">
        <v>0.168963</v>
      </c>
      <c r="F154" s="447">
        <v>30.116140000000001</v>
      </c>
    </row>
    <row r="155" spans="1:6" x14ac:dyDescent="0.35">
      <c r="A155">
        <v>13</v>
      </c>
      <c r="B155" s="447" t="s">
        <v>377</v>
      </c>
      <c r="C155" s="447">
        <v>4.3660000000000001E-3</v>
      </c>
      <c r="D155" s="447">
        <v>3.7930769999999998</v>
      </c>
      <c r="E155" s="447">
        <v>4.3333000000000003E-2</v>
      </c>
      <c r="F155" s="447">
        <v>11.91427</v>
      </c>
    </row>
    <row r="157" spans="1:6" x14ac:dyDescent="0.35">
      <c r="A157" s="959" t="s">
        <v>430</v>
      </c>
      <c r="B157" s="959"/>
      <c r="C157" s="960" t="s">
        <v>0</v>
      </c>
      <c r="D157" s="960"/>
      <c r="E157" s="960"/>
      <c r="F157" s="960"/>
    </row>
    <row r="158" spans="1:6" x14ac:dyDescent="0.35">
      <c r="A158" s="959"/>
      <c r="B158" s="959"/>
      <c r="C158" s="658" t="s">
        <v>5</v>
      </c>
      <c r="D158" s="658" t="s">
        <v>6</v>
      </c>
      <c r="E158" s="658" t="s">
        <v>7</v>
      </c>
      <c r="F158" s="658" t="s">
        <v>8</v>
      </c>
    </row>
    <row r="159" spans="1:6" x14ac:dyDescent="0.35">
      <c r="A159" s="959"/>
      <c r="B159" s="959"/>
      <c r="C159" s="638" t="str">
        <f>C$3</f>
        <v>IPCC2013 v1.02</v>
      </c>
      <c r="D159" s="638" t="str">
        <f>D$3</f>
        <v>v1.09</v>
      </c>
      <c r="E159" s="638" t="str">
        <f>E$3</f>
        <v>v1.09</v>
      </c>
      <c r="F159" s="638" t="str">
        <f>F$3</f>
        <v>v1.05</v>
      </c>
    </row>
    <row r="160" spans="1:6" x14ac:dyDescent="0.35">
      <c r="A160" s="959"/>
      <c r="B160" s="959"/>
      <c r="C160" s="658" t="s">
        <v>13</v>
      </c>
      <c r="D160" s="658" t="s">
        <v>14</v>
      </c>
      <c r="E160" s="658" t="s">
        <v>14</v>
      </c>
      <c r="F160" s="658" t="s">
        <v>15</v>
      </c>
    </row>
    <row r="161" spans="1:6" x14ac:dyDescent="0.35">
      <c r="A161" s="589">
        <v>1</v>
      </c>
      <c r="B161" s="589" t="s">
        <v>338</v>
      </c>
      <c r="C161" s="660">
        <v>0.16585439065832325</v>
      </c>
      <c r="D161" s="660">
        <v>6.4902168917297165E-2</v>
      </c>
      <c r="E161" s="660">
        <v>0.49018474582320098</v>
      </c>
      <c r="F161" s="660">
        <v>784.79459834016245</v>
      </c>
    </row>
    <row r="162" spans="1:6" x14ac:dyDescent="0.35">
      <c r="A162" s="589">
        <v>2</v>
      </c>
      <c r="B162" s="589" t="s">
        <v>339</v>
      </c>
      <c r="C162" s="660">
        <v>0.34710453325782403</v>
      </c>
      <c r="D162" s="660">
        <v>6.3347802642804282E-3</v>
      </c>
      <c r="E162" s="660">
        <v>6.9039277623238977</v>
      </c>
      <c r="F162" s="660">
        <v>219.56015961280775</v>
      </c>
    </row>
    <row r="163" spans="1:6" x14ac:dyDescent="0.35">
      <c r="A163" s="589">
        <v>3</v>
      </c>
      <c r="B163" s="589" t="s">
        <v>340</v>
      </c>
      <c r="C163" s="660">
        <v>0.48278057380148753</v>
      </c>
      <c r="D163" s="660">
        <v>7.4521453936776724E-3</v>
      </c>
      <c r="E163" s="660">
        <v>9.1932288843574117</v>
      </c>
      <c r="F163" s="660">
        <v>307.28754454282296</v>
      </c>
    </row>
    <row r="164" spans="1:6" x14ac:dyDescent="0.35">
      <c r="A164" s="589">
        <v>4</v>
      </c>
      <c r="B164" s="589" t="s">
        <v>342</v>
      </c>
      <c r="C164" s="660">
        <v>0.55904683484565576</v>
      </c>
      <c r="D164" s="660">
        <v>1.1380393344491115E-2</v>
      </c>
      <c r="E164" s="660">
        <v>11.101517592227555</v>
      </c>
      <c r="F164" s="660">
        <v>361.44306335640863</v>
      </c>
    </row>
    <row r="165" spans="1:6" x14ac:dyDescent="0.35">
      <c r="A165" s="589">
        <v>5</v>
      </c>
      <c r="B165" s="589" t="s">
        <v>341</v>
      </c>
      <c r="C165" s="660">
        <v>0.49980871651904646</v>
      </c>
      <c r="D165" s="660">
        <v>9.1216855279602459E-3</v>
      </c>
      <c r="E165" s="660">
        <v>9.9412222351863857</v>
      </c>
      <c r="F165" s="660">
        <v>316.1529386992321</v>
      </c>
    </row>
    <row r="166" spans="1:6" x14ac:dyDescent="0.35">
      <c r="A166" s="589">
        <v>6</v>
      </c>
      <c r="B166" s="589" t="s">
        <v>343</v>
      </c>
      <c r="C166" s="660">
        <v>1.4909980625750272</v>
      </c>
      <c r="D166" s="660">
        <v>0.16255029344295288</v>
      </c>
      <c r="E166" s="660">
        <v>13.851737087200046</v>
      </c>
      <c r="F166" s="660">
        <v>885.06368988268173</v>
      </c>
    </row>
    <row r="167" spans="1:6" x14ac:dyDescent="0.35">
      <c r="A167" s="589">
        <v>7</v>
      </c>
      <c r="B167" s="589" t="s">
        <v>345</v>
      </c>
      <c r="C167" s="660">
        <v>4.1531045555856801E-2</v>
      </c>
      <c r="D167" s="660">
        <v>5.4248333450146324</v>
      </c>
      <c r="E167" s="660">
        <v>0.78002142316046752</v>
      </c>
      <c r="F167" s="660">
        <v>53.92750095247645</v>
      </c>
    </row>
    <row r="168" spans="1:6" x14ac:dyDescent="0.35">
      <c r="A168" s="589">
        <v>8</v>
      </c>
      <c r="B168" s="589" t="s">
        <v>347</v>
      </c>
      <c r="C168" s="660">
        <v>6.9176600356061829E-3</v>
      </c>
      <c r="D168" s="660">
        <v>3.7941946105365716</v>
      </c>
      <c r="E168" s="660">
        <v>5.8189760143450696E-2</v>
      </c>
      <c r="F168" s="660">
        <v>13.506953400087978</v>
      </c>
    </row>
    <row r="169" spans="1:6" x14ac:dyDescent="0.35">
      <c r="A169" s="589">
        <v>9</v>
      </c>
      <c r="B169" s="589" t="s">
        <v>350</v>
      </c>
      <c r="C169" s="660">
        <v>1.552067532142697E-2</v>
      </c>
      <c r="D169" s="660">
        <v>3.8848601344099869</v>
      </c>
      <c r="E169" s="660">
        <v>0.19017183856918582</v>
      </c>
      <c r="F169" s="660">
        <v>37.239906019061834</v>
      </c>
    </row>
    <row r="170" spans="1:6" x14ac:dyDescent="0.35">
      <c r="A170" s="589">
        <v>10</v>
      </c>
      <c r="B170" s="589" t="s">
        <v>351</v>
      </c>
      <c r="C170" s="660">
        <v>1.3219029216604335E-2</v>
      </c>
      <c r="D170" s="660">
        <v>3.8837342952278417</v>
      </c>
      <c r="E170" s="660">
        <v>0.16523382793764685</v>
      </c>
      <c r="F170" s="660">
        <v>31.787035010212644</v>
      </c>
    </row>
    <row r="171" spans="1:6" x14ac:dyDescent="0.35">
      <c r="A171" s="589">
        <v>11</v>
      </c>
      <c r="B171" s="589" t="s">
        <v>352</v>
      </c>
      <c r="C171" s="660">
        <v>2.2109900603862278E-2</v>
      </c>
      <c r="D171" s="660">
        <v>3.887784353472485</v>
      </c>
      <c r="E171" s="660">
        <v>0.2677297240612157</v>
      </c>
      <c r="F171" s="660">
        <v>70.896652088125649</v>
      </c>
    </row>
    <row r="172" spans="1:6" x14ac:dyDescent="0.35">
      <c r="A172" s="589">
        <v>12</v>
      </c>
      <c r="B172" s="589" t="s">
        <v>353</v>
      </c>
      <c r="C172" s="660">
        <v>1.3885980897121394E-2</v>
      </c>
      <c r="D172" s="660">
        <v>3.8822791431526431</v>
      </c>
      <c r="E172" s="660">
        <v>0.18836695607694914</v>
      </c>
      <c r="F172" s="660">
        <v>33.12995392234771</v>
      </c>
    </row>
    <row r="173" spans="1:6" x14ac:dyDescent="0.35">
      <c r="A173" s="589">
        <v>13</v>
      </c>
      <c r="B173" s="589" t="s">
        <v>346</v>
      </c>
      <c r="C173" s="660">
        <v>4.3659806824747011E-3</v>
      </c>
      <c r="D173" s="660">
        <v>3.793076762998798</v>
      </c>
      <c r="E173" s="660">
        <v>4.3332542813485392E-2</v>
      </c>
      <c r="F173" s="660">
        <v>11.914127774188925</v>
      </c>
    </row>
    <row r="175" spans="1:6" x14ac:dyDescent="0.35">
      <c r="A175" s="959" t="s">
        <v>431</v>
      </c>
      <c r="B175" s="959"/>
      <c r="C175" s="960" t="s">
        <v>0</v>
      </c>
      <c r="D175" s="960"/>
      <c r="E175" s="960"/>
      <c r="F175" s="960"/>
    </row>
    <row r="176" spans="1:6" x14ac:dyDescent="0.35">
      <c r="A176" s="959"/>
      <c r="B176" s="959"/>
      <c r="C176" s="658" t="s">
        <v>5</v>
      </c>
      <c r="D176" s="658" t="s">
        <v>6</v>
      </c>
      <c r="E176" s="658" t="s">
        <v>7</v>
      </c>
      <c r="F176" s="658" t="s">
        <v>8</v>
      </c>
    </row>
    <row r="177" spans="1:6" x14ac:dyDescent="0.35">
      <c r="A177" s="959"/>
      <c r="B177" s="959"/>
      <c r="C177" s="638" t="str">
        <f>C$3</f>
        <v>IPCC2013 v1.02</v>
      </c>
      <c r="D177" s="638" t="str">
        <f>D$3</f>
        <v>v1.09</v>
      </c>
      <c r="E177" s="638" t="str">
        <f>E$3</f>
        <v>v1.09</v>
      </c>
      <c r="F177" s="638" t="str">
        <f>F$3</f>
        <v>v1.05</v>
      </c>
    </row>
    <row r="178" spans="1:6" x14ac:dyDescent="0.35">
      <c r="A178" s="959"/>
      <c r="B178" s="959"/>
      <c r="C178" s="658" t="s">
        <v>13</v>
      </c>
      <c r="D178" s="658" t="s">
        <v>14</v>
      </c>
      <c r="E178" s="658" t="s">
        <v>14</v>
      </c>
      <c r="F178" s="658" t="s">
        <v>15</v>
      </c>
    </row>
    <row r="179" spans="1:6" x14ac:dyDescent="0.35">
      <c r="A179" s="589">
        <v>1</v>
      </c>
      <c r="B179" s="589" t="s">
        <v>355</v>
      </c>
      <c r="C179" s="661">
        <v>0.165854</v>
      </c>
      <c r="D179" s="661">
        <v>6.4902000000000001E-2</v>
      </c>
      <c r="E179" s="661">
        <v>0.49018499999999998</v>
      </c>
      <c r="F179" s="661">
        <v>784.79459999999995</v>
      </c>
    </row>
    <row r="180" spans="1:6" x14ac:dyDescent="0.35">
      <c r="A180" s="589">
        <v>2</v>
      </c>
      <c r="B180" s="589" t="s">
        <v>356</v>
      </c>
      <c r="C180" s="661">
        <v>4.8717000000000003E-2</v>
      </c>
      <c r="D180" s="661">
        <v>16.805340000000001</v>
      </c>
      <c r="E180" s="661">
        <v>0.57377999999999996</v>
      </c>
      <c r="F180" s="661">
        <v>358.56079999999997</v>
      </c>
    </row>
    <row r="181" spans="1:6" x14ac:dyDescent="0.35">
      <c r="A181" s="589">
        <v>3</v>
      </c>
      <c r="B181" s="589" t="s">
        <v>357</v>
      </c>
      <c r="C181" s="661">
        <v>0.61321099999999995</v>
      </c>
      <c r="D181" s="661">
        <v>1.1806000000000001E-2</v>
      </c>
      <c r="E181" s="661">
        <v>11.90448</v>
      </c>
      <c r="F181" s="661">
        <v>397.60219999999998</v>
      </c>
    </row>
    <row r="182" spans="1:6" x14ac:dyDescent="0.35">
      <c r="A182" s="589">
        <v>4</v>
      </c>
      <c r="B182" s="589" t="s">
        <v>358</v>
      </c>
      <c r="C182" s="661">
        <v>1.3685750000000001</v>
      </c>
      <c r="D182" s="661">
        <v>0.14913899999999999</v>
      </c>
      <c r="E182" s="661">
        <v>12.714180000000001</v>
      </c>
      <c r="F182" s="661">
        <v>812.30050000000006</v>
      </c>
    </row>
    <row r="183" spans="1:6" x14ac:dyDescent="0.35">
      <c r="A183" s="589">
        <v>5</v>
      </c>
      <c r="B183" s="589" t="s">
        <v>359</v>
      </c>
      <c r="C183" s="661">
        <v>0.85368999999999995</v>
      </c>
      <c r="D183" s="661">
        <v>4.4655E-2</v>
      </c>
      <c r="E183" s="661">
        <v>12.93282</v>
      </c>
      <c r="F183" s="661">
        <v>730.94510000000002</v>
      </c>
    </row>
    <row r="184" spans="1:6" x14ac:dyDescent="0.35">
      <c r="A184" s="589">
        <v>6</v>
      </c>
      <c r="B184" s="589" t="s">
        <v>360</v>
      </c>
      <c r="C184" s="661">
        <v>0.83639200000000002</v>
      </c>
      <c r="D184" s="661">
        <v>4.3749999999999997E-2</v>
      </c>
      <c r="E184" s="661">
        <v>12.67076</v>
      </c>
      <c r="F184" s="661">
        <v>716.27179999999998</v>
      </c>
    </row>
    <row r="185" spans="1:6" x14ac:dyDescent="0.35">
      <c r="A185" s="589">
        <v>7</v>
      </c>
      <c r="B185" s="589" t="s">
        <v>361</v>
      </c>
      <c r="C185" s="661">
        <v>1.1758690000000001</v>
      </c>
      <c r="D185" s="661">
        <v>3.1885999999999998E-2</v>
      </c>
      <c r="E185" s="661">
        <v>11.42572</v>
      </c>
      <c r="F185" s="661">
        <v>713.74090000000001</v>
      </c>
    </row>
    <row r="186" spans="1:6" x14ac:dyDescent="0.35">
      <c r="A186" s="589">
        <v>8</v>
      </c>
      <c r="B186" s="589" t="s">
        <v>346</v>
      </c>
      <c r="C186" s="661">
        <v>4.3660000000000001E-3</v>
      </c>
      <c r="D186" s="661">
        <v>3.7930769999999998</v>
      </c>
      <c r="E186" s="661">
        <v>4.3333000000000003E-2</v>
      </c>
      <c r="F186" s="661">
        <v>11.91413</v>
      </c>
    </row>
    <row r="187" spans="1:6" x14ac:dyDescent="0.35">
      <c r="A187" s="589">
        <v>9</v>
      </c>
      <c r="B187" s="589" t="s">
        <v>362</v>
      </c>
      <c r="C187" s="661">
        <v>5.1216999999999999E-2</v>
      </c>
      <c r="D187" s="661">
        <v>3.7941950000000002</v>
      </c>
      <c r="E187" s="661">
        <v>5.8189999999999999E-2</v>
      </c>
      <c r="F187" s="661">
        <v>33.763800000000003</v>
      </c>
    </row>
    <row r="188" spans="1:6" x14ac:dyDescent="0.35">
      <c r="A188" s="589">
        <v>10</v>
      </c>
      <c r="B188" s="589" t="s">
        <v>363</v>
      </c>
      <c r="C188" s="661">
        <v>1.2675000000000001E-2</v>
      </c>
      <c r="D188" s="661">
        <v>2.2377000000000001E-2</v>
      </c>
      <c r="E188" s="661">
        <v>14.24422</v>
      </c>
      <c r="F188" s="661">
        <v>338.90370000000001</v>
      </c>
    </row>
    <row r="189" spans="1:6" x14ac:dyDescent="0.35">
      <c r="A189" s="589">
        <v>11</v>
      </c>
      <c r="B189" s="589" t="s">
        <v>364</v>
      </c>
      <c r="C189" s="661">
        <v>1.1944E-2</v>
      </c>
      <c r="D189" s="661">
        <v>1.9973000000000001E-2</v>
      </c>
      <c r="E189" s="661">
        <v>13.40075</v>
      </c>
      <c r="F189" s="661">
        <v>313.4228</v>
      </c>
    </row>
    <row r="190" spans="1:6" x14ac:dyDescent="0.35">
      <c r="A190" s="589">
        <v>12</v>
      </c>
      <c r="B190" s="589" t="s">
        <v>365</v>
      </c>
      <c r="C190" s="661">
        <v>1.5521E-2</v>
      </c>
      <c r="D190" s="661">
        <v>3.8848600000000002</v>
      </c>
      <c r="E190" s="661">
        <v>0.19017200000000001</v>
      </c>
      <c r="F190" s="661">
        <v>37.239910000000002</v>
      </c>
    </row>
    <row r="191" spans="1:6" x14ac:dyDescent="0.35">
      <c r="A191" s="589">
        <v>13</v>
      </c>
      <c r="B191" s="589" t="s">
        <v>366</v>
      </c>
      <c r="C191" s="661">
        <v>1.5292999999999999E-2</v>
      </c>
      <c r="D191" s="661">
        <v>3.8858890000000001</v>
      </c>
      <c r="E191" s="661">
        <v>0.19115599999999999</v>
      </c>
      <c r="F191" s="661">
        <v>36.166780000000003</v>
      </c>
    </row>
    <row r="192" spans="1:6" x14ac:dyDescent="0.35">
      <c r="A192" s="589">
        <v>14</v>
      </c>
      <c r="B192" s="589" t="s">
        <v>367</v>
      </c>
      <c r="C192" s="661">
        <v>2.5579000000000001E-2</v>
      </c>
      <c r="D192" s="661">
        <v>3.890574</v>
      </c>
      <c r="E192" s="661">
        <v>0.30973200000000001</v>
      </c>
      <c r="F192" s="661">
        <v>81.412080000000003</v>
      </c>
    </row>
    <row r="193" spans="1:6" x14ac:dyDescent="0.35">
      <c r="A193" s="589">
        <v>15</v>
      </c>
      <c r="B193" s="589" t="s">
        <v>368</v>
      </c>
      <c r="C193" s="661">
        <v>1.6063999999999998E-2</v>
      </c>
      <c r="D193" s="661">
        <v>3.8842059999999998</v>
      </c>
      <c r="E193" s="661">
        <v>0.217919</v>
      </c>
      <c r="F193" s="661">
        <v>37.720379999999999</v>
      </c>
    </row>
  </sheetData>
  <mergeCells count="24">
    <mergeCell ref="L1:O1"/>
    <mergeCell ref="A157:B160"/>
    <mergeCell ref="C157:F157"/>
    <mergeCell ref="A101:B104"/>
    <mergeCell ref="C101:F101"/>
    <mergeCell ref="A117:B120"/>
    <mergeCell ref="C117:F117"/>
    <mergeCell ref="A50:B53"/>
    <mergeCell ref="C50:F50"/>
    <mergeCell ref="A71:B74"/>
    <mergeCell ref="C71:F71"/>
    <mergeCell ref="A92:B95"/>
    <mergeCell ref="C92:F92"/>
    <mergeCell ref="C1:F1"/>
    <mergeCell ref="A1:B4"/>
    <mergeCell ref="A18:B21"/>
    <mergeCell ref="A175:B178"/>
    <mergeCell ref="C175:F175"/>
    <mergeCell ref="A139:B142"/>
    <mergeCell ref="C139:F139"/>
    <mergeCell ref="J1:K4"/>
    <mergeCell ref="C18:F18"/>
    <mergeCell ref="A38:B41"/>
    <mergeCell ref="C38:F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L48"/>
  <sheetViews>
    <sheetView workbookViewId="0">
      <pane xSplit="1" ySplit="4" topLeftCell="B27" activePane="bottomRight" state="frozen"/>
      <selection pane="topRight" activeCell="B1" sqref="B1"/>
      <selection pane="bottomLeft" activeCell="A5" sqref="A5"/>
      <selection pane="bottomRight" activeCell="I37" sqref="I37"/>
    </sheetView>
  </sheetViews>
  <sheetFormatPr defaultColWidth="8.88671875" defaultRowHeight="11.4" x14ac:dyDescent="0.25"/>
  <cols>
    <col min="1" max="1" width="23.33203125" style="1" bestFit="1" customWidth="1"/>
    <col min="2" max="2" width="87.6640625" style="1" bestFit="1" customWidth="1"/>
    <col min="3" max="3" width="17.88671875" style="1" bestFit="1" customWidth="1"/>
    <col min="4" max="4" width="14.109375" style="2" bestFit="1" customWidth="1"/>
    <col min="5" max="5" width="12.5546875" style="2" bestFit="1" customWidth="1"/>
    <col min="6" max="6" width="14" style="2" bestFit="1" customWidth="1"/>
    <col min="7" max="7" width="12.5546875" style="2" bestFit="1" customWidth="1"/>
    <col min="8" max="8" width="14.6640625" style="2" customWidth="1"/>
    <col min="9" max="9" width="13.88671875" style="2" bestFit="1" customWidth="1"/>
    <col min="10" max="10" width="12.33203125" style="2" bestFit="1" customWidth="1"/>
    <col min="11" max="11" width="13.6640625" style="2" bestFit="1" customWidth="1"/>
    <col min="12" max="12" width="7.5546875" style="1" bestFit="1" customWidth="1"/>
    <col min="13" max="16384" width="8.88671875" style="1"/>
  </cols>
  <sheetData>
    <row r="1" spans="1:12" x14ac:dyDescent="0.25">
      <c r="C1" s="638"/>
      <c r="D1" s="779" t="s">
        <v>0</v>
      </c>
      <c r="E1" s="779"/>
      <c r="F1" s="779"/>
      <c r="G1" s="779"/>
      <c r="H1" s="638"/>
      <c r="I1" s="779" t="s">
        <v>1</v>
      </c>
      <c r="J1" s="779"/>
      <c r="K1" s="779"/>
      <c r="L1" s="779"/>
    </row>
    <row r="2" spans="1:12" ht="11.4" customHeight="1" x14ac:dyDescent="0.25">
      <c r="A2" s="779" t="s">
        <v>2</v>
      </c>
      <c r="B2" s="779" t="s">
        <v>452</v>
      </c>
      <c r="C2" s="780" t="s">
        <v>451</v>
      </c>
      <c r="D2" s="638" t="s">
        <v>5</v>
      </c>
      <c r="E2" s="638" t="s">
        <v>6</v>
      </c>
      <c r="F2" s="638" t="s">
        <v>7</v>
      </c>
      <c r="G2" s="638" t="s">
        <v>8</v>
      </c>
      <c r="H2" s="780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25">
      <c r="A3" s="779"/>
      <c r="B3" s="779"/>
      <c r="C3" s="780"/>
      <c r="D3" s="638" t="s">
        <v>10</v>
      </c>
      <c r="E3" s="638" t="s">
        <v>11</v>
      </c>
      <c r="F3" s="638" t="s">
        <v>11</v>
      </c>
      <c r="G3" s="638" t="s">
        <v>12</v>
      </c>
      <c r="H3" s="780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ht="12" thickBot="1" x14ac:dyDescent="0.3">
      <c r="A4" s="779"/>
      <c r="B4" s="779"/>
      <c r="C4" s="780"/>
      <c r="D4" s="638" t="s">
        <v>13</v>
      </c>
      <c r="E4" s="638" t="s">
        <v>14</v>
      </c>
      <c r="F4" s="638" t="s">
        <v>14</v>
      </c>
      <c r="G4" s="638" t="s">
        <v>15</v>
      </c>
      <c r="H4" s="780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ht="12" thickTop="1" x14ac:dyDescent="0.25">
      <c r="A5" s="827" t="s">
        <v>16</v>
      </c>
      <c r="B5" s="323" t="s">
        <v>102</v>
      </c>
      <c r="C5" s="329">
        <v>5.8299999999999998E-2</v>
      </c>
      <c r="D5" s="325">
        <v>0.25409999999999999</v>
      </c>
      <c r="E5" s="326">
        <v>6.4536793499999995E-2</v>
      </c>
      <c r="F5" s="327">
        <v>0.49021496881929999</v>
      </c>
      <c r="G5" s="328">
        <v>784.80297932374458</v>
      </c>
      <c r="H5" s="329">
        <f>C5/(C5+C6)</f>
        <v>0.84248554913294793</v>
      </c>
      <c r="I5" s="820">
        <f>D5*$H5+D6*$H6</f>
        <v>0.2227987283236994</v>
      </c>
      <c r="J5" s="819">
        <f>E5*$H5+E6*$H6</f>
        <v>2.7014326694515898</v>
      </c>
      <c r="K5" s="820">
        <f>F5*$H5+F6*$H6</f>
        <v>0.50338021538504607</v>
      </c>
      <c r="L5" s="833">
        <f>G5*$H5+G6*$H6</f>
        <v>717.66487007109288</v>
      </c>
    </row>
    <row r="6" spans="1:12" x14ac:dyDescent="0.25">
      <c r="A6" s="783"/>
      <c r="B6" s="344" t="s">
        <v>103</v>
      </c>
      <c r="C6" s="350">
        <v>1.09E-2</v>
      </c>
      <c r="D6" s="346">
        <v>5.5379999999999999E-2</v>
      </c>
      <c r="E6" s="348">
        <v>16.805196849999998</v>
      </c>
      <c r="F6" s="356">
        <v>0.57379616720000004</v>
      </c>
      <c r="G6" s="349">
        <v>358.56837746287317</v>
      </c>
      <c r="H6" s="350">
        <f>C6/(C5+C6)</f>
        <v>0.15751445086705204</v>
      </c>
      <c r="I6" s="794"/>
      <c r="J6" s="812"/>
      <c r="K6" s="794"/>
      <c r="L6" s="803"/>
    </row>
    <row r="7" spans="1:12" x14ac:dyDescent="0.25">
      <c r="A7" s="777" t="s">
        <v>19</v>
      </c>
      <c r="B7" s="337" t="s">
        <v>104</v>
      </c>
      <c r="C7" s="343">
        <v>0.24099999999999999</v>
      </c>
      <c r="D7" s="339">
        <v>1.224</v>
      </c>
      <c r="E7" s="340">
        <v>4.6929810700000005E-2</v>
      </c>
      <c r="F7" s="353">
        <v>12.8149117345456</v>
      </c>
      <c r="G7" s="342">
        <v>701.08780179676273</v>
      </c>
      <c r="H7" s="343">
        <f>C7/(C7+C8)</f>
        <v>0.97216619604679311</v>
      </c>
      <c r="I7" s="793">
        <f>D7*$H7+D8*$H8</f>
        <v>1.2221908027430417</v>
      </c>
      <c r="J7" s="805">
        <f t="shared" ref="J7:L7" si="0">E7*$H7+E8*$H8</f>
        <v>4.6850837333118206E-2</v>
      </c>
      <c r="K7" s="793">
        <f t="shared" si="0"/>
        <v>12.795927136070295</v>
      </c>
      <c r="L7" s="802">
        <f t="shared" si="0"/>
        <v>700.23380212107645</v>
      </c>
    </row>
    <row r="8" spans="1:12" x14ac:dyDescent="0.25">
      <c r="A8" s="782"/>
      <c r="B8" s="330" t="s">
        <v>105</v>
      </c>
      <c r="C8" s="336">
        <v>6.8999999999999999E-3</v>
      </c>
      <c r="D8" s="332">
        <v>1.159</v>
      </c>
      <c r="E8" s="333">
        <v>4.40924922E-2</v>
      </c>
      <c r="F8" s="334">
        <v>12.132841884976299</v>
      </c>
      <c r="G8" s="335">
        <v>670.40569750652298</v>
      </c>
      <c r="H8" s="336">
        <f>C8/(C7+C8)</f>
        <v>2.7833803953206941E-2</v>
      </c>
      <c r="I8" s="795"/>
      <c r="J8" s="806"/>
      <c r="K8" s="795"/>
      <c r="L8" s="804"/>
    </row>
    <row r="9" spans="1:12" x14ac:dyDescent="0.25">
      <c r="A9" s="302" t="s">
        <v>21</v>
      </c>
      <c r="B9" s="317" t="s">
        <v>106</v>
      </c>
      <c r="C9" s="371">
        <v>2.9999999999999997E-4</v>
      </c>
      <c r="D9" s="305">
        <v>0.96889999999999998</v>
      </c>
      <c r="E9" s="307">
        <v>0.26206741700000002</v>
      </c>
      <c r="F9" s="306">
        <v>21.606227338418002</v>
      </c>
      <c r="G9" s="308">
        <v>2160.5094027635819</v>
      </c>
      <c r="H9" s="319">
        <v>1</v>
      </c>
      <c r="I9" s="44">
        <f>D9*$H9</f>
        <v>0.96889999999999998</v>
      </c>
      <c r="J9" s="642">
        <f t="shared" ref="J9" si="1">E9*$H9</f>
        <v>0.26206741700000002</v>
      </c>
      <c r="K9" s="641">
        <f t="shared" ref="K9" si="2">F9*$H9</f>
        <v>21.606227338418002</v>
      </c>
      <c r="L9" s="643">
        <f t="shared" ref="L9" si="3">G9*$H9</f>
        <v>2160.5094027635819</v>
      </c>
    </row>
    <row r="10" spans="1:12" x14ac:dyDescent="0.25">
      <c r="A10" s="777" t="s">
        <v>22</v>
      </c>
      <c r="B10" s="337" t="s">
        <v>107</v>
      </c>
      <c r="C10" s="343">
        <v>2.0500000000000001E-2</v>
      </c>
      <c r="D10" s="339">
        <v>0.42270000000000002</v>
      </c>
      <c r="E10" s="398">
        <v>7.2493314000000005E-3</v>
      </c>
      <c r="F10" s="341">
        <v>7.9673943092229997</v>
      </c>
      <c r="G10" s="342">
        <v>261.05268383706124</v>
      </c>
      <c r="H10" s="355">
        <f>C10/SUM(C$10:C$13)</f>
        <v>0.19961051606621227</v>
      </c>
      <c r="I10" s="793">
        <f>D10*$H10+D11*$H11+D12*$H12+D13*$H13</f>
        <v>0.54148432327166507</v>
      </c>
      <c r="J10" s="830">
        <f t="shared" ref="J10:L10" si="4">E10*$H10+E11*$H11+E12*$H12+E13*$H13</f>
        <v>9.7357392155793584E-3</v>
      </c>
      <c r="K10" s="799">
        <f t="shared" si="4"/>
        <v>10.125335521172552</v>
      </c>
      <c r="L10" s="802">
        <f t="shared" si="4"/>
        <v>339.07042645604122</v>
      </c>
    </row>
    <row r="11" spans="1:12" x14ac:dyDescent="0.25">
      <c r="A11" s="784"/>
      <c r="B11" s="344" t="s">
        <v>108</v>
      </c>
      <c r="C11" s="350">
        <v>1.2699999999999999E-2</v>
      </c>
      <c r="D11" s="346">
        <v>0.70799999999999996</v>
      </c>
      <c r="E11" s="347">
        <v>1.03806075E-2</v>
      </c>
      <c r="F11" s="348">
        <v>12.786913423372999</v>
      </c>
      <c r="G11" s="349">
        <v>439.47783975440996</v>
      </c>
      <c r="H11" s="399">
        <f t="shared" ref="H11:H13" si="5">C11/SUM(C$10:C$13)</f>
        <v>0.12366114897760466</v>
      </c>
      <c r="I11" s="794"/>
      <c r="J11" s="831"/>
      <c r="K11" s="800"/>
      <c r="L11" s="803"/>
    </row>
    <row r="12" spans="1:12" x14ac:dyDescent="0.25">
      <c r="A12" s="784"/>
      <c r="B12" s="344" t="s">
        <v>109</v>
      </c>
      <c r="C12" s="350">
        <v>1.1000000000000001E-3</v>
      </c>
      <c r="D12" s="346">
        <v>0.41510000000000002</v>
      </c>
      <c r="E12" s="400">
        <v>7.1205911000000004E-3</v>
      </c>
      <c r="F12" s="351">
        <v>7.8259020882070001</v>
      </c>
      <c r="G12" s="349">
        <v>256.43356899479807</v>
      </c>
      <c r="H12" s="399">
        <f t="shared" si="5"/>
        <v>1.0710808179162611E-2</v>
      </c>
      <c r="I12" s="794"/>
      <c r="J12" s="831"/>
      <c r="K12" s="800"/>
      <c r="L12" s="803"/>
    </row>
    <row r="13" spans="1:12" x14ac:dyDescent="0.25">
      <c r="A13" s="782"/>
      <c r="B13" s="330" t="s">
        <v>110</v>
      </c>
      <c r="C13" s="336">
        <v>6.8400000000000002E-2</v>
      </c>
      <c r="D13" s="332">
        <v>0.54820000000000002</v>
      </c>
      <c r="E13" s="352">
        <v>1.04032567E-2</v>
      </c>
      <c r="F13" s="333">
        <v>10.314884238472001</v>
      </c>
      <c r="G13" s="335">
        <v>345.13899543275426</v>
      </c>
      <c r="H13" s="377">
        <f t="shared" si="5"/>
        <v>0.66601752677702053</v>
      </c>
      <c r="I13" s="795"/>
      <c r="J13" s="832"/>
      <c r="K13" s="801"/>
      <c r="L13" s="804"/>
    </row>
    <row r="14" spans="1:12" x14ac:dyDescent="0.25">
      <c r="A14" s="828" t="s">
        <v>27</v>
      </c>
      <c r="B14" s="337" t="s">
        <v>111</v>
      </c>
      <c r="C14" s="343">
        <v>0.129</v>
      </c>
      <c r="D14" s="339">
        <v>1.0509999999999999</v>
      </c>
      <c r="E14" s="353">
        <f>0.103+0.00554+0.0262</f>
        <v>0.13474</v>
      </c>
      <c r="F14" s="354">
        <f>12.4+0.136+0.000023</f>
        <v>12.536023</v>
      </c>
      <c r="G14" s="342">
        <v>617.9936983489805</v>
      </c>
      <c r="H14" s="343">
        <f>C14/(C14+C15)</f>
        <v>0.8403908794788274</v>
      </c>
      <c r="I14" s="805">
        <f>D14*$H14+D15*$H15</f>
        <v>1.0640879478827361</v>
      </c>
      <c r="J14" s="793">
        <f t="shared" ref="J14:L14" si="6">E14*$H14+E15*$H15</f>
        <v>0.13645415844495115</v>
      </c>
      <c r="K14" s="799">
        <f t="shared" si="6"/>
        <v>12.686748448261397</v>
      </c>
      <c r="L14" s="802">
        <f t="shared" si="6"/>
        <v>628.96325812967689</v>
      </c>
    </row>
    <row r="15" spans="1:12" x14ac:dyDescent="0.25">
      <c r="A15" s="829"/>
      <c r="B15" s="330" t="s">
        <v>112</v>
      </c>
      <c r="C15" s="336">
        <v>2.4500000000000001E-2</v>
      </c>
      <c r="D15" s="332">
        <v>1.133</v>
      </c>
      <c r="E15" s="334">
        <v>0.14547972740000001</v>
      </c>
      <c r="F15" s="333">
        <v>13.480364073801001</v>
      </c>
      <c r="G15" s="335">
        <v>686.72134840354738</v>
      </c>
      <c r="H15" s="336">
        <f>C15/(C14+C15)</f>
        <v>0.15960912052117265</v>
      </c>
      <c r="I15" s="806"/>
      <c r="J15" s="795"/>
      <c r="K15" s="801"/>
      <c r="L15" s="804"/>
    </row>
    <row r="16" spans="1:12" x14ac:dyDescent="0.25">
      <c r="A16" s="777" t="s">
        <v>30</v>
      </c>
      <c r="B16" s="337" t="s">
        <v>113</v>
      </c>
      <c r="C16" s="343">
        <v>1.8E-3</v>
      </c>
      <c r="D16" s="339">
        <v>0.84819999999999995</v>
      </c>
      <c r="E16" s="340">
        <v>4.4781759099999999E-2</v>
      </c>
      <c r="F16" s="354">
        <v>13.172004011954998</v>
      </c>
      <c r="G16" s="342">
        <v>687.84672399468104</v>
      </c>
      <c r="H16" s="343">
        <f>C16/(C16+C17)</f>
        <v>0.78260869565217395</v>
      </c>
      <c r="I16" s="793">
        <f>D16*$H16+D17*$H17</f>
        <v>0.80678695652173915</v>
      </c>
      <c r="J16" s="796">
        <f t="shared" ref="J16:L16" si="7">E16*$H16+E17*$H17</f>
        <v>4.2595913273913044E-2</v>
      </c>
      <c r="K16" s="799">
        <f t="shared" si="7"/>
        <v>12.529064437846957</v>
      </c>
      <c r="L16" s="802">
        <f t="shared" si="7"/>
        <v>658.6067102872089</v>
      </c>
    </row>
    <row r="17" spans="1:12" x14ac:dyDescent="0.25">
      <c r="A17" s="782"/>
      <c r="B17" s="330" t="s">
        <v>114</v>
      </c>
      <c r="C17" s="336">
        <v>5.0000000000000001E-4</v>
      </c>
      <c r="D17" s="332">
        <v>0.65769999999999995</v>
      </c>
      <c r="E17" s="352">
        <v>3.4726868299999998E-2</v>
      </c>
      <c r="F17" s="333">
        <v>10.214481971057999</v>
      </c>
      <c r="G17" s="335">
        <v>553.34266094030875</v>
      </c>
      <c r="H17" s="336">
        <f>C17/(C16+C17)</f>
        <v>0.21739130434782611</v>
      </c>
      <c r="I17" s="795"/>
      <c r="J17" s="798"/>
      <c r="K17" s="801"/>
      <c r="L17" s="804"/>
    </row>
    <row r="18" spans="1:12" x14ac:dyDescent="0.25">
      <c r="A18" s="310" t="s">
        <v>33</v>
      </c>
      <c r="B18" s="311" t="s">
        <v>20</v>
      </c>
      <c r="C18" s="395" t="s">
        <v>20</v>
      </c>
      <c r="D18" s="313" t="s">
        <v>20</v>
      </c>
      <c r="E18" s="313" t="s">
        <v>20</v>
      </c>
      <c r="F18" s="313" t="s">
        <v>20</v>
      </c>
      <c r="G18" s="313" t="s">
        <v>20</v>
      </c>
      <c r="H18" s="313" t="s">
        <v>20</v>
      </c>
      <c r="I18" s="313" t="s">
        <v>20</v>
      </c>
      <c r="J18" s="313" t="s">
        <v>20</v>
      </c>
      <c r="K18" s="313" t="s">
        <v>20</v>
      </c>
      <c r="L18" s="396" t="s">
        <v>20</v>
      </c>
    </row>
    <row r="19" spans="1:12" x14ac:dyDescent="0.25">
      <c r="A19" s="310" t="s">
        <v>34</v>
      </c>
      <c r="B19" s="311" t="s">
        <v>20</v>
      </c>
      <c r="C19" s="395" t="s">
        <v>20</v>
      </c>
      <c r="D19" s="313" t="s">
        <v>20</v>
      </c>
      <c r="E19" s="313" t="s">
        <v>20</v>
      </c>
      <c r="F19" s="313" t="s">
        <v>20</v>
      </c>
      <c r="G19" s="313" t="s">
        <v>20</v>
      </c>
      <c r="H19" s="313" t="s">
        <v>20</v>
      </c>
      <c r="I19" s="313" t="s">
        <v>20</v>
      </c>
      <c r="J19" s="313" t="s">
        <v>20</v>
      </c>
      <c r="K19" s="313" t="s">
        <v>20</v>
      </c>
      <c r="L19" s="396" t="s">
        <v>20</v>
      </c>
    </row>
    <row r="20" spans="1:12" x14ac:dyDescent="0.25">
      <c r="A20" s="302" t="s">
        <v>35</v>
      </c>
      <c r="B20" s="303" t="s">
        <v>115</v>
      </c>
      <c r="C20" s="309">
        <v>2.9999999999999997E-4</v>
      </c>
      <c r="D20" s="305">
        <v>6.7299999999999999E-2</v>
      </c>
      <c r="E20" s="315">
        <v>8.6727243000000009E-2</v>
      </c>
      <c r="F20" s="307">
        <v>0.99617337859549993</v>
      </c>
      <c r="G20" s="308">
        <v>104.42918960888619</v>
      </c>
      <c r="H20" s="319">
        <v>1</v>
      </c>
      <c r="I20" s="44">
        <f>D20*$H20</f>
        <v>6.7299999999999999E-2</v>
      </c>
      <c r="J20" s="640">
        <f t="shared" ref="J20:L23" si="8">E20*$H20</f>
        <v>8.6727243000000009E-2</v>
      </c>
      <c r="K20" s="642">
        <f t="shared" si="8"/>
        <v>0.99617337859549993</v>
      </c>
      <c r="L20" s="643">
        <f t="shared" si="8"/>
        <v>104.42918960888619</v>
      </c>
    </row>
    <row r="21" spans="1:12" x14ac:dyDescent="0.25">
      <c r="A21" s="302" t="s">
        <v>38</v>
      </c>
      <c r="B21" s="303" t="s">
        <v>116</v>
      </c>
      <c r="C21" s="309">
        <v>1.09E-2</v>
      </c>
      <c r="D21" s="305">
        <v>0.88870000000000005</v>
      </c>
      <c r="E21" s="46">
        <v>1.39586612</v>
      </c>
      <c r="F21" s="306">
        <v>14.048349738904999</v>
      </c>
      <c r="G21" s="308">
        <v>728.07259746543809</v>
      </c>
      <c r="H21" s="319">
        <v>1</v>
      </c>
      <c r="I21" s="44">
        <f t="shared" ref="I21:I23" si="9">D21*$H21</f>
        <v>0.88870000000000005</v>
      </c>
      <c r="J21" s="43">
        <f t="shared" si="8"/>
        <v>1.39586612</v>
      </c>
      <c r="K21" s="641">
        <f t="shared" si="8"/>
        <v>14.048349738904999</v>
      </c>
      <c r="L21" s="643">
        <f t="shared" si="8"/>
        <v>728.07259746543809</v>
      </c>
    </row>
    <row r="22" spans="1:12" x14ac:dyDescent="0.25">
      <c r="A22" s="302" t="s">
        <v>40</v>
      </c>
      <c r="B22" s="303" t="s">
        <v>117</v>
      </c>
      <c r="C22" s="309">
        <v>3.0599999999999999E-2</v>
      </c>
      <c r="D22" s="305">
        <v>3.8440000000000002E-3</v>
      </c>
      <c r="E22" s="46">
        <v>3.7930434521199996</v>
      </c>
      <c r="F22" s="315">
        <v>4.3335246012190007E-2</v>
      </c>
      <c r="G22" s="306">
        <v>11.914536742744552</v>
      </c>
      <c r="H22" s="319">
        <v>1</v>
      </c>
      <c r="I22" s="44">
        <f t="shared" si="9"/>
        <v>3.8440000000000002E-3</v>
      </c>
      <c r="J22" s="43">
        <f t="shared" si="8"/>
        <v>3.7930434521199996</v>
      </c>
      <c r="K22" s="640">
        <f t="shared" si="8"/>
        <v>4.3335246012190007E-2</v>
      </c>
      <c r="L22" s="320">
        <f t="shared" si="8"/>
        <v>11.914536742744552</v>
      </c>
    </row>
    <row r="23" spans="1:12" x14ac:dyDescent="0.25">
      <c r="A23" s="302" t="s">
        <v>42</v>
      </c>
      <c r="B23" s="303" t="s">
        <v>118</v>
      </c>
      <c r="C23" s="309">
        <v>5.7999999999999996E-3</v>
      </c>
      <c r="D23" s="305">
        <v>5.0389999999999997E-2</v>
      </c>
      <c r="E23" s="46">
        <v>3.7941413281699998</v>
      </c>
      <c r="F23" s="315">
        <v>5.8195800772079996E-2</v>
      </c>
      <c r="G23" s="306">
        <v>45.97325385247651</v>
      </c>
      <c r="H23" s="319">
        <v>1</v>
      </c>
      <c r="I23" s="44">
        <f t="shared" si="9"/>
        <v>5.0389999999999997E-2</v>
      </c>
      <c r="J23" s="43">
        <f t="shared" si="8"/>
        <v>3.7941413281699998</v>
      </c>
      <c r="K23" s="640">
        <f t="shared" si="8"/>
        <v>5.8195800772079996E-2</v>
      </c>
      <c r="L23" s="320">
        <f t="shared" si="8"/>
        <v>45.97325385247651</v>
      </c>
    </row>
    <row r="24" spans="1:12" x14ac:dyDescent="0.25">
      <c r="A24" s="310" t="s">
        <v>44</v>
      </c>
      <c r="B24" s="311" t="s">
        <v>20</v>
      </c>
      <c r="C24" s="395" t="s">
        <v>20</v>
      </c>
      <c r="D24" s="313" t="s">
        <v>20</v>
      </c>
      <c r="E24" s="313" t="s">
        <v>20</v>
      </c>
      <c r="F24" s="313" t="s">
        <v>20</v>
      </c>
      <c r="G24" s="313" t="s">
        <v>20</v>
      </c>
      <c r="H24" s="313" t="s">
        <v>20</v>
      </c>
      <c r="I24" s="313" t="s">
        <v>20</v>
      </c>
      <c r="J24" s="313" t="s">
        <v>20</v>
      </c>
      <c r="K24" s="313" t="s">
        <v>20</v>
      </c>
      <c r="L24" s="396" t="s">
        <v>20</v>
      </c>
    </row>
    <row r="25" spans="1:12" x14ac:dyDescent="0.25">
      <c r="A25" s="777" t="s">
        <v>45</v>
      </c>
      <c r="B25" s="337" t="s">
        <v>119</v>
      </c>
      <c r="C25" s="343">
        <v>2.81E-2</v>
      </c>
      <c r="D25" s="339">
        <v>6.8149999999999999E-3</v>
      </c>
      <c r="E25" s="340">
        <v>2.16883886E-2</v>
      </c>
      <c r="F25" s="354">
        <v>13.4514280624735</v>
      </c>
      <c r="G25" s="342">
        <v>330.4369385622</v>
      </c>
      <c r="H25" s="343">
        <f>C25/(C25+C26)</f>
        <v>0.21271763815291447</v>
      </c>
      <c r="I25" s="796">
        <f>D25*$H25+D26*$H26</f>
        <v>6.4079750189250575E-3</v>
      </c>
      <c r="J25" s="796">
        <f t="shared" ref="J25:L25" si="10">E25*$H25+E26*$H26</f>
        <v>1.8855593142013627E-2</v>
      </c>
      <c r="K25" s="799">
        <f t="shared" si="10"/>
        <v>12.362933376445044</v>
      </c>
      <c r="L25" s="802">
        <f t="shared" si="10"/>
        <v>316.64434405187342</v>
      </c>
    </row>
    <row r="26" spans="1:12" x14ac:dyDescent="0.25">
      <c r="A26" s="782"/>
      <c r="B26" s="330" t="s">
        <v>120</v>
      </c>
      <c r="C26" s="336">
        <v>0.104</v>
      </c>
      <c r="D26" s="332">
        <v>6.2979999999999998E-3</v>
      </c>
      <c r="E26" s="352">
        <v>1.8090193599999999E-2</v>
      </c>
      <c r="F26" s="333">
        <v>12.068830485316202</v>
      </c>
      <c r="G26" s="335">
        <v>312.91769111206401</v>
      </c>
      <c r="H26" s="336">
        <f>C26/(C25+C26)</f>
        <v>0.78728236184708555</v>
      </c>
      <c r="I26" s="798"/>
      <c r="J26" s="798"/>
      <c r="K26" s="801"/>
      <c r="L26" s="804"/>
    </row>
    <row r="27" spans="1:12" x14ac:dyDescent="0.25">
      <c r="A27" s="302" t="s">
        <v>46</v>
      </c>
      <c r="B27" s="321" t="str">
        <f>IF(B39=A40,B40,IF(B39=A41,B41,IF(B39=A42,B42,"")))</f>
        <v>Electricity, high voltage {BG}| electricity production, hard coal | Cut-off, U</v>
      </c>
      <c r="C27" s="397" t="s">
        <v>37</v>
      </c>
      <c r="D27" s="46">
        <v>1.8440000000000001</v>
      </c>
      <c r="E27" s="46">
        <f>VLOOKUP($B27,$B40:$G42,E38,FALSE)</f>
        <v>0.222385</v>
      </c>
      <c r="F27" s="46">
        <f>VLOOKUP($B27,$B40:$G42,F38,FALSE)</f>
        <v>19.09919</v>
      </c>
      <c r="G27" s="46">
        <f>VLOOKUP($B27,$B40:$G42,G38,FALSE)</f>
        <v>1486.056</v>
      </c>
      <c r="H27" s="319">
        <v>1</v>
      </c>
      <c r="I27" s="44">
        <f t="shared" ref="I27:I30" si="11">D27*$H27</f>
        <v>1.8440000000000001</v>
      </c>
      <c r="J27" s="43">
        <f t="shared" ref="J27:J30" si="12">E27*$H27</f>
        <v>0.222385</v>
      </c>
      <c r="K27" s="640">
        <f t="shared" ref="K27:K30" si="13">F27*$H27</f>
        <v>19.09919</v>
      </c>
      <c r="L27" s="320">
        <f t="shared" ref="L27:L30" si="14">G27*$H27</f>
        <v>1486.056</v>
      </c>
    </row>
    <row r="28" spans="1:12" x14ac:dyDescent="0.25">
      <c r="A28" s="302" t="s">
        <v>47</v>
      </c>
      <c r="B28" s="321" t="str">
        <f>IF(B45=A46,B46,IF(B45=A47,B47,IF(B45=A48,B48,"")))</f>
        <v>Electricity, low voltage {CH}| electricity production, photovoltaic, 3kWp facade installation, single-Si, panel, mounted | Cut-off, U</v>
      </c>
      <c r="C28" s="397">
        <v>0</v>
      </c>
      <c r="D28" s="46">
        <v>0.14799999999999999</v>
      </c>
      <c r="E28" s="46">
        <f>VLOOKUP($B28,$B46:$G48,E38,FALSE)</f>
        <v>4.122755626</v>
      </c>
      <c r="F28" s="46">
        <f>VLOOKUP($B28,$B46:$G48,F38,FALSE)</f>
        <v>1.8555277997859998</v>
      </c>
      <c r="G28" s="46">
        <f>VLOOKUP($B28,$B46:$G48,G38,FALSE)</f>
        <v>252.0720348641037</v>
      </c>
      <c r="H28" s="319">
        <v>1</v>
      </c>
      <c r="I28" s="44">
        <f t="shared" si="11"/>
        <v>0.14799999999999999</v>
      </c>
      <c r="J28" s="43">
        <f t="shared" si="12"/>
        <v>4.122755626</v>
      </c>
      <c r="K28" s="640">
        <f t="shared" si="13"/>
        <v>1.8555277997859998</v>
      </c>
      <c r="L28" s="320">
        <f t="shared" si="14"/>
        <v>252.0720348641037</v>
      </c>
    </row>
    <row r="29" spans="1:12" x14ac:dyDescent="0.25">
      <c r="A29" s="302" t="s">
        <v>48</v>
      </c>
      <c r="B29" s="317" t="s">
        <v>121</v>
      </c>
      <c r="C29" s="371">
        <v>2.6100000000000002E-2</v>
      </c>
      <c r="D29" s="45">
        <v>0</v>
      </c>
      <c r="E29" s="45">
        <v>0</v>
      </c>
      <c r="F29" s="45">
        <v>0</v>
      </c>
      <c r="G29" s="45">
        <v>0</v>
      </c>
      <c r="H29" s="319">
        <v>1</v>
      </c>
      <c r="I29" s="44">
        <f t="shared" si="11"/>
        <v>0</v>
      </c>
      <c r="J29" s="369">
        <f t="shared" si="12"/>
        <v>0</v>
      </c>
      <c r="K29" s="369">
        <f t="shared" si="13"/>
        <v>0</v>
      </c>
      <c r="L29" s="643">
        <f t="shared" si="14"/>
        <v>0</v>
      </c>
    </row>
    <row r="30" spans="1:12" x14ac:dyDescent="0.25">
      <c r="A30" s="302" t="s">
        <v>50</v>
      </c>
      <c r="B30" s="303" t="s">
        <v>122</v>
      </c>
      <c r="C30" s="309">
        <v>5.4999999999999997E-3</v>
      </c>
      <c r="D30" s="305">
        <v>1.4670000000000001E-2</v>
      </c>
      <c r="E30" s="46">
        <v>3.8847356347000006</v>
      </c>
      <c r="F30" s="307">
        <v>0.19018350493080002</v>
      </c>
      <c r="G30" s="306">
        <v>37.241815198292663</v>
      </c>
      <c r="H30" s="319">
        <v>1</v>
      </c>
      <c r="I30" s="44">
        <f t="shared" si="11"/>
        <v>1.4670000000000001E-2</v>
      </c>
      <c r="J30" s="43">
        <f t="shared" si="12"/>
        <v>3.8847356347000006</v>
      </c>
      <c r="K30" s="640">
        <f t="shared" si="13"/>
        <v>0.19018350493080002</v>
      </c>
      <c r="L30" s="320">
        <f t="shared" si="14"/>
        <v>37.241815198292663</v>
      </c>
    </row>
    <row r="31" spans="1:12" x14ac:dyDescent="0.25">
      <c r="A31" s="777" t="s">
        <v>51</v>
      </c>
      <c r="B31" s="337" t="s">
        <v>123</v>
      </c>
      <c r="C31" s="343">
        <v>2.64E-2</v>
      </c>
      <c r="D31" s="339">
        <v>1.6199999999999999E-2</v>
      </c>
      <c r="E31" s="341">
        <v>3.8886235749</v>
      </c>
      <c r="F31" s="353">
        <v>0.2259886745279</v>
      </c>
      <c r="G31" s="354">
        <v>42.051793504017432</v>
      </c>
      <c r="H31" s="355">
        <f>C31/SUM(C$31:C$33)</f>
        <v>0.14095034703683929</v>
      </c>
      <c r="I31" s="796">
        <f>D31*$H31+D32*$H32+D33*$H33</f>
        <v>1.8031767218366256E-2</v>
      </c>
      <c r="J31" s="805">
        <f t="shared" ref="J31:L31" si="15">E31*$H31+E32*$H32+E33*$H33</f>
        <v>3.88752361181922</v>
      </c>
      <c r="K31" s="793">
        <f t="shared" si="15"/>
        <v>0.26238221411272056</v>
      </c>
      <c r="L31" s="807">
        <f t="shared" si="15"/>
        <v>48.0142356255487</v>
      </c>
    </row>
    <row r="32" spans="1:12" x14ac:dyDescent="0.25">
      <c r="A32" s="784"/>
      <c r="B32" s="344" t="s">
        <v>124</v>
      </c>
      <c r="C32" s="350">
        <v>1.5900000000000001E-2</v>
      </c>
      <c r="D32" s="347">
        <v>3.0300000000000001E-2</v>
      </c>
      <c r="E32" s="351">
        <v>3.8940359181999997</v>
      </c>
      <c r="F32" s="356">
        <v>0.36617216564999999</v>
      </c>
      <c r="G32" s="348">
        <v>95.539747696323317</v>
      </c>
      <c r="H32" s="399">
        <f t="shared" ref="H32:H33" si="16">C32/SUM(C$31:C$33)</f>
        <v>8.4890549919914585E-2</v>
      </c>
      <c r="I32" s="797"/>
      <c r="J32" s="812"/>
      <c r="K32" s="794"/>
      <c r="L32" s="808"/>
    </row>
    <row r="33" spans="1:12" x14ac:dyDescent="0.25">
      <c r="A33" s="782"/>
      <c r="B33" s="330" t="s">
        <v>125</v>
      </c>
      <c r="C33" s="336">
        <v>0.14499999999999999</v>
      </c>
      <c r="D33" s="332">
        <v>1.702E-2</v>
      </c>
      <c r="E33" s="357">
        <v>3.8866092345999999</v>
      </c>
      <c r="F33" s="334">
        <v>0.25762724318580005</v>
      </c>
      <c r="G33" s="333">
        <v>43.888393074397733</v>
      </c>
      <c r="H33" s="377">
        <f t="shared" si="16"/>
        <v>0.77415910304324609</v>
      </c>
      <c r="I33" s="798"/>
      <c r="J33" s="806"/>
      <c r="K33" s="795"/>
      <c r="L33" s="809"/>
    </row>
    <row r="34" spans="1:12" x14ac:dyDescent="0.25">
      <c r="A34" s="777" t="s">
        <v>55</v>
      </c>
      <c r="B34" s="337" t="s">
        <v>126</v>
      </c>
      <c r="C34" s="343">
        <v>4.8500000000000001E-2</v>
      </c>
      <c r="D34" s="339">
        <v>9.5030000000000003E-2</v>
      </c>
      <c r="E34" s="341">
        <v>4.0717727379999999</v>
      </c>
      <c r="F34" s="341">
        <v>1.287322252077</v>
      </c>
      <c r="G34" s="342">
        <v>189.1923919900851</v>
      </c>
      <c r="H34" s="355">
        <f>C34/SUM(C$34:C$36)</f>
        <v>0.41241496598639454</v>
      </c>
      <c r="I34" s="793">
        <f>D34*$H34+D35*$H35+D36*$H36</f>
        <v>0.10058786564625849</v>
      </c>
      <c r="J34" s="805">
        <f t="shared" ref="J34:L34" si="17">E34*$H34+E35*$H35+E36*$H36</f>
        <v>4.0719649189863949</v>
      </c>
      <c r="K34" s="805">
        <f t="shared" si="17"/>
        <v>1.3697756020294991</v>
      </c>
      <c r="L34" s="802">
        <f t="shared" si="17"/>
        <v>193.89122029941734</v>
      </c>
    </row>
    <row r="35" spans="1:12" x14ac:dyDescent="0.25">
      <c r="A35" s="784"/>
      <c r="B35" s="344" t="s">
        <v>127</v>
      </c>
      <c r="C35" s="350">
        <v>3.8899999999999997E-2</v>
      </c>
      <c r="D35" s="356">
        <v>0.11</v>
      </c>
      <c r="E35" s="351">
        <v>4.0716508980000006</v>
      </c>
      <c r="F35" s="351">
        <v>1.507567563634</v>
      </c>
      <c r="G35" s="349">
        <v>204.93065689457023</v>
      </c>
      <c r="H35" s="399">
        <f t="shared" ref="H35:H36" si="18">C35/SUM(C$34:C$36)</f>
        <v>0.33078231292517002</v>
      </c>
      <c r="I35" s="794"/>
      <c r="J35" s="812"/>
      <c r="K35" s="812"/>
      <c r="L35" s="803"/>
    </row>
    <row r="36" spans="1:12" ht="12" thickBot="1" x14ac:dyDescent="0.3">
      <c r="A36" s="778"/>
      <c r="B36" s="358" t="s">
        <v>128</v>
      </c>
      <c r="C36" s="363">
        <v>3.0200000000000001E-2</v>
      </c>
      <c r="D36" s="360">
        <v>9.7390000000000004E-2</v>
      </c>
      <c r="E36" s="361">
        <v>4.0726780380000003</v>
      </c>
      <c r="F36" s="361">
        <v>1.3247054088600001</v>
      </c>
      <c r="G36" s="362">
        <v>187.21768021501902</v>
      </c>
      <c r="H36" s="401">
        <f t="shared" si="18"/>
        <v>0.25680272108843538</v>
      </c>
      <c r="I36" s="811"/>
      <c r="J36" s="813"/>
      <c r="K36" s="813"/>
      <c r="L36" s="810"/>
    </row>
    <row r="37" spans="1:12" ht="6.75" customHeight="1" thickTop="1" x14ac:dyDescent="0.25">
      <c r="D37" s="638"/>
      <c r="E37" s="638"/>
      <c r="F37" s="638"/>
      <c r="G37" s="638"/>
      <c r="H37" s="638"/>
      <c r="I37" s="638"/>
      <c r="J37" s="638"/>
      <c r="K37" s="638"/>
    </row>
    <row r="38" spans="1:12" x14ac:dyDescent="0.25">
      <c r="A38" s="1" t="s">
        <v>58</v>
      </c>
      <c r="B38" s="1">
        <f>AT!B35</f>
        <v>1</v>
      </c>
      <c r="C38" s="1">
        <f>AT!C35</f>
        <v>2</v>
      </c>
      <c r="D38" s="1">
        <f>AT!D35</f>
        <v>3</v>
      </c>
      <c r="E38" s="1">
        <f>AT!E35</f>
        <v>4</v>
      </c>
      <c r="F38" s="1">
        <f>AT!F35</f>
        <v>5</v>
      </c>
      <c r="G38" s="1">
        <f>AT!G35</f>
        <v>6</v>
      </c>
      <c r="H38" s="638"/>
      <c r="I38" s="638"/>
      <c r="J38" s="638"/>
      <c r="K38" s="638"/>
    </row>
    <row r="39" spans="1:12" x14ac:dyDescent="0.25">
      <c r="A39" s="1" t="s">
        <v>59</v>
      </c>
      <c r="B39" s="402" t="s">
        <v>60</v>
      </c>
      <c r="D39" s="1"/>
      <c r="E39" s="1"/>
      <c r="F39" s="1"/>
      <c r="G39" s="1"/>
      <c r="H39" s="638"/>
      <c r="I39" s="638"/>
      <c r="J39" s="638"/>
      <c r="K39" s="638"/>
    </row>
    <row r="40" spans="1:12" x14ac:dyDescent="0.25">
      <c r="A40" s="91" t="s">
        <v>60</v>
      </c>
      <c r="B40" s="1" t="str">
        <f>AT!B37</f>
        <v>Electricity, high voltage {BG}| electricity production, hard coal | Cut-off, U</v>
      </c>
      <c r="C40" s="1">
        <f>AT!C37</f>
        <v>0</v>
      </c>
      <c r="D40" s="13">
        <f>AT!D37</f>
        <v>2.0395629999999998</v>
      </c>
      <c r="E40" s="13">
        <f>AT!E37</f>
        <v>0.222385</v>
      </c>
      <c r="F40" s="13">
        <f>AT!F37</f>
        <v>19.09919</v>
      </c>
      <c r="G40" s="13">
        <f>AT!G37</f>
        <v>1486.056</v>
      </c>
      <c r="H40" s="638"/>
      <c r="I40" s="638"/>
      <c r="J40" s="638"/>
      <c r="K40" s="638"/>
    </row>
    <row r="41" spans="1:12" x14ac:dyDescent="0.25">
      <c r="A41" s="91" t="s">
        <v>61</v>
      </c>
      <c r="B41" s="1" t="str">
        <f>B12</f>
        <v>Electricity, high voltage {DE}| heat and power co-generation, natural gas, combined cycle power plant, 400MW electrical | Cut-off, U</v>
      </c>
      <c r="D41" s="13">
        <f>D12</f>
        <v>0.41510000000000002</v>
      </c>
      <c r="E41" s="13">
        <f t="shared" ref="E41:G41" si="19">E12</f>
        <v>7.1205911000000004E-3</v>
      </c>
      <c r="F41" s="13">
        <f t="shared" si="19"/>
        <v>7.8259020882070001</v>
      </c>
      <c r="G41" s="13">
        <f t="shared" si="19"/>
        <v>256.43356899479807</v>
      </c>
      <c r="H41" s="638"/>
      <c r="I41" s="638"/>
      <c r="J41" s="638"/>
      <c r="K41" s="638"/>
    </row>
    <row r="42" spans="1:12" x14ac:dyDescent="0.25">
      <c r="A42" s="91" t="s">
        <v>62</v>
      </c>
      <c r="B42" s="1" t="s">
        <v>129</v>
      </c>
      <c r="D42" s="13">
        <f>AVERAGE(D7:D17)</f>
        <v>0.83052727272727267</v>
      </c>
      <c r="E42" s="13">
        <f t="shared" ref="E42:G42" si="20">AVERAGE(E7:E17)</f>
        <v>6.7997441945454554E-2</v>
      </c>
      <c r="F42" s="13">
        <f t="shared" si="20"/>
        <v>12.259268006729899</v>
      </c>
      <c r="G42" s="13">
        <f t="shared" si="20"/>
        <v>670.91003834303717</v>
      </c>
      <c r="H42" s="638"/>
      <c r="I42" s="638"/>
      <c r="J42" s="638"/>
      <c r="K42" s="638"/>
    </row>
    <row r="43" spans="1:12" x14ac:dyDescent="0.25">
      <c r="A43" s="91"/>
      <c r="D43" s="13"/>
      <c r="E43" s="13"/>
      <c r="F43" s="13"/>
      <c r="G43" s="13"/>
      <c r="H43" s="638"/>
      <c r="I43" s="638"/>
      <c r="J43" s="638"/>
      <c r="K43" s="638"/>
    </row>
    <row r="44" spans="1:12" x14ac:dyDescent="0.25">
      <c r="A44" s="1" t="s">
        <v>130</v>
      </c>
      <c r="D44" s="638"/>
      <c r="E44" s="638"/>
      <c r="F44" s="638"/>
      <c r="G44" s="638"/>
      <c r="H44" s="638"/>
      <c r="I44" s="638"/>
      <c r="J44" s="638"/>
      <c r="K44" s="638"/>
    </row>
    <row r="45" spans="1:12" x14ac:dyDescent="0.25">
      <c r="A45" s="1" t="s">
        <v>59</v>
      </c>
      <c r="B45" s="402" t="s">
        <v>60</v>
      </c>
      <c r="D45" s="638"/>
      <c r="E45" s="638"/>
      <c r="F45" s="638"/>
      <c r="G45" s="638"/>
      <c r="H45" s="638"/>
      <c r="I45" s="638"/>
      <c r="J45" s="638"/>
      <c r="K45" s="638"/>
    </row>
    <row r="46" spans="1:12" x14ac:dyDescent="0.25">
      <c r="A46" s="91" t="s">
        <v>60</v>
      </c>
      <c r="B46" s="1" t="str">
        <f>CH!B31</f>
        <v>Electricity, low voltage {CH}| electricity production, photovoltaic, 3kWp facade installation, single-Si, panel, mounted | Cut-off, U</v>
      </c>
      <c r="D46" s="638">
        <f>CH!D31</f>
        <v>0.1356</v>
      </c>
      <c r="E46" s="638">
        <f>CH!E31</f>
        <v>4.122755626</v>
      </c>
      <c r="F46" s="638">
        <f>CH!F31</f>
        <v>1.8555277997859998</v>
      </c>
      <c r="G46" s="638">
        <f>CH!G31</f>
        <v>252.0720348641037</v>
      </c>
      <c r="H46" s="638"/>
      <c r="I46" s="638"/>
      <c r="J46" s="638"/>
      <c r="K46" s="638"/>
    </row>
    <row r="47" spans="1:12" x14ac:dyDescent="0.25">
      <c r="A47" s="91" t="s">
        <v>61</v>
      </c>
      <c r="B47" s="1" t="str">
        <f>B22</f>
        <v>Electricity, high voltage {DE}| electricity production, hydro, run-of-river | Cut-off, U</v>
      </c>
      <c r="D47" s="1">
        <f t="shared" ref="D47:G47" si="21">D22</f>
        <v>3.8440000000000002E-3</v>
      </c>
      <c r="E47" s="1">
        <f t="shared" si="21"/>
        <v>3.7930434521199996</v>
      </c>
      <c r="F47" s="1">
        <f t="shared" si="21"/>
        <v>4.3335246012190007E-2</v>
      </c>
      <c r="G47" s="1">
        <f t="shared" si="21"/>
        <v>11.914536742744552</v>
      </c>
      <c r="H47" s="638"/>
      <c r="I47" s="638"/>
      <c r="J47" s="638"/>
      <c r="K47" s="638"/>
    </row>
    <row r="48" spans="1:12" x14ac:dyDescent="0.25">
      <c r="A48" s="91" t="s">
        <v>62</v>
      </c>
      <c r="B48" s="1" t="s">
        <v>131</v>
      </c>
      <c r="D48" s="638">
        <f>AVERAGE(D20,D30:D36,D22:D23)</f>
        <v>5.0214400000000006E-2</v>
      </c>
      <c r="E48" s="679">
        <f t="shared" ref="E48:G48" si="22">AVERAGE(E20,E30:E36,E22:E23)</f>
        <v>3.5444018059690001</v>
      </c>
      <c r="F48" s="679">
        <f t="shared" si="22"/>
        <v>0.625727123824527</v>
      </c>
      <c r="G48" s="679">
        <f t="shared" si="22"/>
        <v>96.23794587768127</v>
      </c>
      <c r="H48" s="638"/>
      <c r="I48" s="638"/>
      <c r="J48" s="638"/>
      <c r="K48" s="638"/>
    </row>
  </sheetData>
  <mergeCells count="46">
    <mergeCell ref="D1:G1"/>
    <mergeCell ref="A2:A4"/>
    <mergeCell ref="B2:B4"/>
    <mergeCell ref="C2:C4"/>
    <mergeCell ref="I1:L1"/>
    <mergeCell ref="H2:H4"/>
    <mergeCell ref="I5:I6"/>
    <mergeCell ref="J5:J6"/>
    <mergeCell ref="K5:K6"/>
    <mergeCell ref="L5:L6"/>
    <mergeCell ref="I7:I8"/>
    <mergeCell ref="J7:J8"/>
    <mergeCell ref="K7:K8"/>
    <mergeCell ref="L7:L8"/>
    <mergeCell ref="I10:I13"/>
    <mergeCell ref="J10:J13"/>
    <mergeCell ref="K10:K13"/>
    <mergeCell ref="L10:L13"/>
    <mergeCell ref="I14:I15"/>
    <mergeCell ref="J14:J15"/>
    <mergeCell ref="K14:K15"/>
    <mergeCell ref="L14:L15"/>
    <mergeCell ref="I16:I17"/>
    <mergeCell ref="J16:J17"/>
    <mergeCell ref="K16:K17"/>
    <mergeCell ref="L16:L17"/>
    <mergeCell ref="I25:I26"/>
    <mergeCell ref="J25:J26"/>
    <mergeCell ref="K25:K26"/>
    <mergeCell ref="L25:L26"/>
    <mergeCell ref="I31:I33"/>
    <mergeCell ref="J31:J33"/>
    <mergeCell ref="K31:K33"/>
    <mergeCell ref="L31:L33"/>
    <mergeCell ref="I34:I36"/>
    <mergeCell ref="J34:J36"/>
    <mergeCell ref="K34:K36"/>
    <mergeCell ref="L34:L36"/>
    <mergeCell ref="A25:A26"/>
    <mergeCell ref="A31:A33"/>
    <mergeCell ref="A34:A36"/>
    <mergeCell ref="A5:A6"/>
    <mergeCell ref="A7:A8"/>
    <mergeCell ref="A10:A13"/>
    <mergeCell ref="A14:A15"/>
    <mergeCell ref="A16:A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pane xSplit="1" ySplit="4" topLeftCell="B21" activePane="bottomRight" state="frozen"/>
      <selection pane="topRight" activeCell="B1" sqref="B1"/>
      <selection pane="bottomLeft" activeCell="A5" sqref="A5"/>
      <selection pane="bottomRight" activeCell="D23" sqref="D23"/>
    </sheetView>
  </sheetViews>
  <sheetFormatPr defaultColWidth="8.88671875" defaultRowHeight="11.4" x14ac:dyDescent="0.25"/>
  <cols>
    <col min="1" max="1" width="23.33203125" style="1" bestFit="1" customWidth="1"/>
    <col min="2" max="2" width="87.88671875" style="1" bestFit="1" customWidth="1"/>
    <col min="3" max="3" width="17.88671875" style="1" bestFit="1" customWidth="1"/>
    <col min="4" max="4" width="13.88671875" style="2" bestFit="1" customWidth="1"/>
    <col min="5" max="5" width="12.33203125" style="2" bestFit="1" customWidth="1"/>
    <col min="6" max="6" width="13.6640625" style="2" bestFit="1" customWidth="1"/>
    <col min="7" max="7" width="7.5546875" style="2" bestFit="1" customWidth="1"/>
    <col min="8" max="8" width="14.88671875" style="2" customWidth="1"/>
    <col min="9" max="9" width="13.88671875" style="2" bestFit="1" customWidth="1"/>
    <col min="10" max="10" width="12.33203125" style="2" bestFit="1" customWidth="1"/>
    <col min="11" max="11" width="13.6640625" style="2" bestFit="1" customWidth="1"/>
    <col min="12" max="12" width="7.5546875" style="1" bestFit="1" customWidth="1"/>
    <col min="13" max="16384" width="8.88671875" style="1"/>
  </cols>
  <sheetData>
    <row r="1" spans="1:12" x14ac:dyDescent="0.25">
      <c r="C1" s="638"/>
      <c r="D1" s="779" t="s">
        <v>0</v>
      </c>
      <c r="E1" s="779"/>
      <c r="F1" s="779"/>
      <c r="G1" s="779"/>
      <c r="H1" s="638"/>
      <c r="I1" s="779" t="s">
        <v>1</v>
      </c>
      <c r="J1" s="779"/>
      <c r="K1" s="779"/>
      <c r="L1" s="779"/>
    </row>
    <row r="2" spans="1:12" ht="11.4" customHeight="1" x14ac:dyDescent="0.25">
      <c r="A2" s="779" t="s">
        <v>2</v>
      </c>
      <c r="B2" s="779" t="s">
        <v>452</v>
      </c>
      <c r="C2" s="780" t="s">
        <v>451</v>
      </c>
      <c r="D2" s="638" t="s">
        <v>5</v>
      </c>
      <c r="E2" s="638" t="s">
        <v>6</v>
      </c>
      <c r="F2" s="638" t="s">
        <v>7</v>
      </c>
      <c r="G2" s="638" t="s">
        <v>8</v>
      </c>
      <c r="H2" s="780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25">
      <c r="A3" s="779"/>
      <c r="B3" s="779"/>
      <c r="C3" s="780"/>
      <c r="D3" s="638" t="s">
        <v>10</v>
      </c>
      <c r="E3" s="638" t="s">
        <v>11</v>
      </c>
      <c r="F3" s="638" t="s">
        <v>11</v>
      </c>
      <c r="G3" s="638" t="s">
        <v>12</v>
      </c>
      <c r="H3" s="780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x14ac:dyDescent="0.25">
      <c r="A4" s="779"/>
      <c r="B4" s="779"/>
      <c r="C4" s="780"/>
      <c r="D4" s="638" t="s">
        <v>13</v>
      </c>
      <c r="E4" s="638" t="s">
        <v>14</v>
      </c>
      <c r="F4" s="638" t="s">
        <v>14</v>
      </c>
      <c r="G4" s="638" t="s">
        <v>15</v>
      </c>
      <c r="H4" s="780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x14ac:dyDescent="0.25">
      <c r="A5" s="12" t="s">
        <v>16</v>
      </c>
      <c r="B5" s="1" t="s">
        <v>132</v>
      </c>
      <c r="C5" s="4">
        <v>1E-3</v>
      </c>
      <c r="D5" s="638">
        <v>0.25409999999999999</v>
      </c>
      <c r="E5" s="13">
        <v>6.4536793600000003E-2</v>
      </c>
      <c r="F5" s="11">
        <v>0.49021496881940002</v>
      </c>
      <c r="G5" s="24">
        <v>784.80299064494488</v>
      </c>
      <c r="H5" s="4">
        <f>C5/(C5+C6)</f>
        <v>0.19607843137254902</v>
      </c>
      <c r="I5" s="834">
        <f>D5*$H5+D6*$H6</f>
        <v>9.4344705882352942E-2</v>
      </c>
      <c r="J5" s="838">
        <f t="shared" ref="J5:L5" si="0">E5*$H5+E6*$H6</f>
        <v>13.522714486</v>
      </c>
      <c r="K5" s="837">
        <f t="shared" si="0"/>
        <v>0.55740769692929415</v>
      </c>
      <c r="L5" s="836">
        <f t="shared" si="0"/>
        <v>442.14379181229901</v>
      </c>
    </row>
    <row r="6" spans="1:12" x14ac:dyDescent="0.25">
      <c r="A6" s="12"/>
      <c r="B6" s="1" t="s">
        <v>133</v>
      </c>
      <c r="C6" s="4">
        <v>4.1000000000000003E-3</v>
      </c>
      <c r="D6" s="638">
        <v>5.5379999999999999E-2</v>
      </c>
      <c r="E6" s="23">
        <v>16.805196849999998</v>
      </c>
      <c r="F6" s="11">
        <v>0.57379616720000004</v>
      </c>
      <c r="G6" s="24">
        <v>358.56837746287317</v>
      </c>
      <c r="H6" s="4">
        <f>C6/(C5+C6)</f>
        <v>0.80392156862745101</v>
      </c>
      <c r="I6" s="834"/>
      <c r="J6" s="838"/>
      <c r="K6" s="837"/>
      <c r="L6" s="836"/>
    </row>
    <row r="7" spans="1:12" x14ac:dyDescent="0.25">
      <c r="A7" s="18" t="s">
        <v>19</v>
      </c>
      <c r="B7" s="18" t="s">
        <v>20</v>
      </c>
      <c r="C7" s="21" t="s">
        <v>20</v>
      </c>
      <c r="D7" s="19" t="s">
        <v>20</v>
      </c>
      <c r="E7" s="19" t="s">
        <v>20</v>
      </c>
      <c r="F7" s="19" t="s">
        <v>20</v>
      </c>
      <c r="G7" s="19" t="s">
        <v>20</v>
      </c>
      <c r="H7" s="19"/>
      <c r="I7" s="19" t="s">
        <v>20</v>
      </c>
      <c r="J7" s="19" t="s">
        <v>20</v>
      </c>
      <c r="K7" s="19" t="s">
        <v>20</v>
      </c>
      <c r="L7" s="20" t="s">
        <v>20</v>
      </c>
    </row>
    <row r="8" spans="1:12" x14ac:dyDescent="0.25">
      <c r="A8" s="18" t="s">
        <v>21</v>
      </c>
      <c r="B8" s="18" t="s">
        <v>20</v>
      </c>
      <c r="C8" s="21">
        <v>4.0000000000000002E-4</v>
      </c>
      <c r="D8" s="19">
        <v>1.3049999999999999</v>
      </c>
      <c r="E8" s="19" t="s">
        <v>20</v>
      </c>
      <c r="F8" s="19" t="s">
        <v>20</v>
      </c>
      <c r="G8" s="19" t="s">
        <v>20</v>
      </c>
      <c r="H8" s="19"/>
      <c r="I8" s="19" t="s">
        <v>20</v>
      </c>
      <c r="J8" s="19" t="s">
        <v>20</v>
      </c>
      <c r="K8" s="19" t="s">
        <v>20</v>
      </c>
      <c r="L8" s="20" t="s">
        <v>20</v>
      </c>
    </row>
    <row r="9" spans="1:12" x14ac:dyDescent="0.25">
      <c r="A9" s="12" t="s">
        <v>22</v>
      </c>
      <c r="B9" s="1" t="s">
        <v>134</v>
      </c>
      <c r="C9" s="4">
        <v>4.1500000000000002E-2</v>
      </c>
      <c r="D9" s="638">
        <v>0.53769999999999996</v>
      </c>
      <c r="E9" s="9">
        <v>8.8507420700000006E-3</v>
      </c>
      <c r="F9" s="22">
        <v>9.5992890586529995</v>
      </c>
      <c r="G9" s="24">
        <v>337.6868953962653</v>
      </c>
      <c r="H9" s="3">
        <f>C9/SUM(C$9:C$11)</f>
        <v>0.66082802547770714</v>
      </c>
      <c r="I9" s="837">
        <f>D9*$H9+D10*$H10+D11*$H11</f>
        <v>0.59916592356687903</v>
      </c>
      <c r="J9" s="834">
        <f t="shared" ref="J9:L9" si="1">E9*$H9+E10*$H10+E11*$H11</f>
        <v>9.892629159952232E-3</v>
      </c>
      <c r="K9" s="838">
        <f t="shared" si="1"/>
        <v>10.620972548900472</v>
      </c>
      <c r="L9" s="836">
        <f t="shared" si="1"/>
        <v>378.35103445994434</v>
      </c>
    </row>
    <row r="10" spans="1:12" x14ac:dyDescent="0.25">
      <c r="A10" s="12"/>
      <c r="B10" s="1" t="s">
        <v>135</v>
      </c>
      <c r="C10" s="4">
        <v>8.0000000000000002E-3</v>
      </c>
      <c r="D10" s="638">
        <v>0.77049999999999996</v>
      </c>
      <c r="E10" s="13">
        <v>1.07556037E-2</v>
      </c>
      <c r="F10" s="23">
        <v>13.204813850573998</v>
      </c>
      <c r="G10" s="24">
        <v>486.1669755649549</v>
      </c>
      <c r="H10" s="3">
        <f t="shared" ref="H10:H11" si="2">C10/SUM(C$9:C$11)</f>
        <v>0.12738853503184716</v>
      </c>
      <c r="I10" s="837"/>
      <c r="J10" s="834"/>
      <c r="K10" s="838"/>
      <c r="L10" s="836"/>
    </row>
    <row r="11" spans="1:12" x14ac:dyDescent="0.25">
      <c r="A11" s="12"/>
      <c r="B11" s="1" t="s">
        <v>136</v>
      </c>
      <c r="C11" s="4">
        <v>1.3299999999999999E-2</v>
      </c>
      <c r="D11" s="638">
        <v>0.68789999999999996</v>
      </c>
      <c r="E11" s="13">
        <v>1.26245478E-2</v>
      </c>
      <c r="F11" s="23">
        <v>12.254742055056999</v>
      </c>
      <c r="G11" s="24">
        <v>440.38368425713173</v>
      </c>
      <c r="H11" s="3">
        <f t="shared" si="2"/>
        <v>0.21178343949044587</v>
      </c>
      <c r="I11" s="837"/>
      <c r="J11" s="834"/>
      <c r="K11" s="838"/>
      <c r="L11" s="836"/>
    </row>
    <row r="12" spans="1:12" x14ac:dyDescent="0.25">
      <c r="A12" s="12" t="s">
        <v>27</v>
      </c>
      <c r="B12" s="1" t="s">
        <v>137</v>
      </c>
      <c r="C12" s="4">
        <v>2.07E-2</v>
      </c>
      <c r="D12" s="638">
        <v>1.0620000000000001</v>
      </c>
      <c r="E12" s="11">
        <f>0.106+0.00561+0.0257</f>
        <v>0.13730999999999999</v>
      </c>
      <c r="F12" s="23">
        <f>12.7+0.139+0.000023</f>
        <v>12.839022999999999</v>
      </c>
      <c r="G12" s="24">
        <v>787.2112947088907</v>
      </c>
      <c r="H12" s="30">
        <v>1</v>
      </c>
      <c r="I12" s="29">
        <f>D12*$H12</f>
        <v>1.0620000000000001</v>
      </c>
      <c r="J12" s="646">
        <f t="shared" ref="J12:L12" si="3">E12*$H12</f>
        <v>0.13730999999999999</v>
      </c>
      <c r="K12" s="645">
        <f t="shared" si="3"/>
        <v>12.839022999999999</v>
      </c>
      <c r="L12" s="647">
        <f t="shared" si="3"/>
        <v>787.2112947088907</v>
      </c>
    </row>
    <row r="13" spans="1:12" x14ac:dyDescent="0.25">
      <c r="A13" s="12" t="s">
        <v>30</v>
      </c>
      <c r="B13" s="1" t="s">
        <v>138</v>
      </c>
      <c r="C13" s="4">
        <v>1.1900000000000001E-2</v>
      </c>
      <c r="D13" s="638">
        <v>0.92210000000000003</v>
      </c>
      <c r="E13" s="13">
        <v>4.89070619E-2</v>
      </c>
      <c r="F13" s="23">
        <v>14.400701711605999</v>
      </c>
      <c r="G13" s="24">
        <v>994.68179511490246</v>
      </c>
      <c r="H13" s="4">
        <f>C13/(C13+C14)</f>
        <v>0.96747967479674801</v>
      </c>
      <c r="I13" s="837">
        <f>D13*$H13+D14*$H14</f>
        <v>0.91632764227642283</v>
      </c>
      <c r="J13" s="834">
        <f t="shared" ref="J13:L13" si="4">E13*$H13+E14*$H14</f>
        <v>4.8600860381300813E-2</v>
      </c>
      <c r="K13" s="838">
        <f t="shared" si="4"/>
        <v>14.310540557372699</v>
      </c>
      <c r="L13" s="836">
        <f t="shared" si="4"/>
        <v>988.83132256151293</v>
      </c>
    </row>
    <row r="14" spans="1:12" x14ac:dyDescent="0.25">
      <c r="A14" s="12"/>
      <c r="B14" s="1" t="s">
        <v>139</v>
      </c>
      <c r="C14" s="4">
        <v>4.0000000000000002E-4</v>
      </c>
      <c r="D14" s="638">
        <v>0.74460000000000004</v>
      </c>
      <c r="E14" s="13">
        <v>3.9491365200000003E-2</v>
      </c>
      <c r="F14" s="23">
        <v>11.628246218931999</v>
      </c>
      <c r="G14" s="24">
        <v>814.77976409817063</v>
      </c>
      <c r="H14" s="4">
        <f>C14/(C13+C14)</f>
        <v>3.2520325203252036E-2</v>
      </c>
      <c r="I14" s="837"/>
      <c r="J14" s="834"/>
      <c r="K14" s="838"/>
      <c r="L14" s="836"/>
    </row>
    <row r="15" spans="1:12" x14ac:dyDescent="0.25">
      <c r="A15" s="18" t="s">
        <v>33</v>
      </c>
      <c r="B15" s="18" t="s">
        <v>20</v>
      </c>
      <c r="C15" s="21" t="s">
        <v>20</v>
      </c>
      <c r="D15" s="19" t="s">
        <v>20</v>
      </c>
      <c r="E15" s="19" t="s">
        <v>20</v>
      </c>
      <c r="F15" s="19" t="s">
        <v>20</v>
      </c>
      <c r="G15" s="19" t="s">
        <v>20</v>
      </c>
      <c r="H15" s="19"/>
      <c r="I15" s="19" t="s">
        <v>20</v>
      </c>
      <c r="J15" s="19" t="s">
        <v>20</v>
      </c>
      <c r="K15" s="19" t="s">
        <v>20</v>
      </c>
      <c r="L15" s="20" t="s">
        <v>20</v>
      </c>
    </row>
    <row r="16" spans="1:12" x14ac:dyDescent="0.25">
      <c r="A16" s="18" t="s">
        <v>34</v>
      </c>
      <c r="B16" s="18" t="s">
        <v>20</v>
      </c>
      <c r="C16" s="21" t="s">
        <v>20</v>
      </c>
      <c r="D16" s="19" t="s">
        <v>20</v>
      </c>
      <c r="E16" s="19" t="s">
        <v>20</v>
      </c>
      <c r="F16" s="19" t="s">
        <v>20</v>
      </c>
      <c r="G16" s="19" t="s">
        <v>20</v>
      </c>
      <c r="H16" s="19"/>
      <c r="I16" s="19" t="s">
        <v>20</v>
      </c>
      <c r="J16" s="19" t="s">
        <v>20</v>
      </c>
      <c r="K16" s="19" t="s">
        <v>20</v>
      </c>
      <c r="L16" s="20" t="s">
        <v>20</v>
      </c>
    </row>
    <row r="17" spans="1:12" x14ac:dyDescent="0.25">
      <c r="A17" s="18" t="s">
        <v>35</v>
      </c>
      <c r="B17" s="18" t="s">
        <v>20</v>
      </c>
      <c r="C17" s="21">
        <v>2.0000000000000001E-4</v>
      </c>
      <c r="D17" s="19">
        <v>6.7299999999999999E-2</v>
      </c>
      <c r="E17" s="19" t="s">
        <v>20</v>
      </c>
      <c r="F17" s="19" t="s">
        <v>20</v>
      </c>
      <c r="G17" s="19" t="s">
        <v>20</v>
      </c>
      <c r="H17" s="19"/>
      <c r="I17" s="19">
        <f>D17</f>
        <v>6.7299999999999999E-2</v>
      </c>
      <c r="J17" s="19" t="s">
        <v>20</v>
      </c>
      <c r="K17" s="19" t="s">
        <v>20</v>
      </c>
      <c r="L17" s="20" t="s">
        <v>20</v>
      </c>
    </row>
    <row r="18" spans="1:12" x14ac:dyDescent="0.25">
      <c r="A18" s="12" t="s">
        <v>38</v>
      </c>
      <c r="B18" s="1" t="s">
        <v>140</v>
      </c>
      <c r="C18" s="4">
        <v>9.5999999999999992E-3</v>
      </c>
      <c r="D18" s="638">
        <v>0.15409999999999999</v>
      </c>
      <c r="E18" s="11">
        <v>0.95740317899999994</v>
      </c>
      <c r="F18" s="23">
        <v>17.586622552327203</v>
      </c>
      <c r="G18" s="24">
        <v>488.98965212938504</v>
      </c>
      <c r="H18" s="30">
        <v>1</v>
      </c>
      <c r="I18" s="29">
        <f>D18*$H18</f>
        <v>0.15409999999999999</v>
      </c>
      <c r="J18" s="646">
        <f t="shared" ref="J18:J20" si="5">E18*$H18</f>
        <v>0.95740317899999994</v>
      </c>
      <c r="K18" s="645">
        <f t="shared" ref="K18:K20" si="6">F18*$H18</f>
        <v>17.586622552327203</v>
      </c>
      <c r="L18" s="647">
        <f t="shared" ref="L18:L20" si="7">G18*$H18</f>
        <v>488.98965212938504</v>
      </c>
    </row>
    <row r="19" spans="1:12" x14ac:dyDescent="0.25">
      <c r="A19" s="12" t="s">
        <v>40</v>
      </c>
      <c r="B19" s="1" t="s">
        <v>141</v>
      </c>
      <c r="C19" s="4">
        <v>7.7799999999999994E-2</v>
      </c>
      <c r="D19" s="638">
        <v>3.8440000000000002E-3</v>
      </c>
      <c r="E19" s="22">
        <v>3.7930434521199996</v>
      </c>
      <c r="F19" s="13">
        <v>4.3335246012190007E-2</v>
      </c>
      <c r="G19" s="23">
        <v>11.914536742744552</v>
      </c>
      <c r="H19" s="30">
        <v>1</v>
      </c>
      <c r="I19" s="29">
        <f>D19*$H19</f>
        <v>3.8440000000000002E-3</v>
      </c>
      <c r="J19" s="648">
        <f t="shared" si="5"/>
        <v>3.7930434521199996</v>
      </c>
      <c r="K19" s="644">
        <f t="shared" si="6"/>
        <v>4.3335246012190007E-2</v>
      </c>
      <c r="L19" s="645">
        <f t="shared" si="7"/>
        <v>11.914536742744552</v>
      </c>
    </row>
    <row r="20" spans="1:12" x14ac:dyDescent="0.25">
      <c r="A20" s="12" t="s">
        <v>42</v>
      </c>
      <c r="B20" s="1" t="s">
        <v>142</v>
      </c>
      <c r="C20" s="4">
        <v>1.4800000000000001E-2</v>
      </c>
      <c r="D20" s="638">
        <v>5.9930000000000001E-3</v>
      </c>
      <c r="E20" s="22">
        <v>3.7941413281699998</v>
      </c>
      <c r="F20" s="13">
        <v>5.8195800772079996E-2</v>
      </c>
      <c r="G20" s="23">
        <v>19.627481151476506</v>
      </c>
      <c r="H20" s="30">
        <v>1</v>
      </c>
      <c r="I20" s="29">
        <f>D20*$H20</f>
        <v>5.9930000000000001E-3</v>
      </c>
      <c r="J20" s="648">
        <f t="shared" si="5"/>
        <v>3.7941413281699998</v>
      </c>
      <c r="K20" s="644">
        <f t="shared" si="6"/>
        <v>5.8195800772079996E-2</v>
      </c>
      <c r="L20" s="645">
        <f t="shared" si="7"/>
        <v>19.627481151476506</v>
      </c>
    </row>
    <row r="21" spans="1:12" x14ac:dyDescent="0.25">
      <c r="A21" s="18" t="s">
        <v>44</v>
      </c>
      <c r="B21" s="18" t="s">
        <v>20</v>
      </c>
      <c r="C21" s="21" t="s">
        <v>20</v>
      </c>
      <c r="D21" s="19" t="s">
        <v>20</v>
      </c>
      <c r="E21" s="19" t="s">
        <v>20</v>
      </c>
      <c r="F21" s="19" t="s">
        <v>20</v>
      </c>
      <c r="G21" s="19" t="s">
        <v>20</v>
      </c>
      <c r="H21" s="19"/>
      <c r="I21" s="19" t="s">
        <v>20</v>
      </c>
      <c r="J21" s="19" t="s">
        <v>20</v>
      </c>
      <c r="K21" s="19" t="s">
        <v>20</v>
      </c>
      <c r="L21" s="20" t="s">
        <v>20</v>
      </c>
    </row>
    <row r="22" spans="1:12" x14ac:dyDescent="0.25">
      <c r="A22" s="12" t="s">
        <v>45</v>
      </c>
      <c r="B22" s="1" t="s">
        <v>143</v>
      </c>
      <c r="C22" s="4">
        <v>0.70899999999999996</v>
      </c>
      <c r="D22" s="638">
        <v>6.156E-3</v>
      </c>
      <c r="E22" s="13">
        <v>2.1100999500000002E-2</v>
      </c>
      <c r="F22" s="23">
        <v>14.116540288142499</v>
      </c>
      <c r="G22" s="24">
        <v>365.09590091183901</v>
      </c>
      <c r="H22" s="30">
        <v>1</v>
      </c>
      <c r="I22" s="29">
        <f>D22*$H22</f>
        <v>6.156E-3</v>
      </c>
      <c r="J22" s="644">
        <f t="shared" ref="J22" si="8">E22*$H22</f>
        <v>2.1100999500000002E-2</v>
      </c>
      <c r="K22" s="645">
        <f t="shared" ref="K22" si="9">F22*$H22</f>
        <v>14.116540288142499</v>
      </c>
      <c r="L22" s="647">
        <f t="shared" ref="L22" si="10">G22*$H22</f>
        <v>365.09590091183901</v>
      </c>
    </row>
    <row r="23" spans="1:12" x14ac:dyDescent="0.25">
      <c r="A23" s="18" t="s">
        <v>46</v>
      </c>
      <c r="B23" s="18" t="s">
        <v>20</v>
      </c>
      <c r="C23" s="21" t="s">
        <v>20</v>
      </c>
      <c r="D23" s="19" t="s">
        <v>20</v>
      </c>
      <c r="E23" s="19" t="s">
        <v>20</v>
      </c>
      <c r="F23" s="19" t="s">
        <v>20</v>
      </c>
      <c r="G23" s="19" t="s">
        <v>20</v>
      </c>
      <c r="H23" s="19"/>
      <c r="I23" s="19" t="s">
        <v>20</v>
      </c>
      <c r="J23" s="19" t="s">
        <v>20</v>
      </c>
      <c r="K23" s="19" t="s">
        <v>20</v>
      </c>
      <c r="L23" s="20" t="s">
        <v>20</v>
      </c>
    </row>
    <row r="24" spans="1:12" x14ac:dyDescent="0.25">
      <c r="A24" s="18" t="s">
        <v>47</v>
      </c>
      <c r="B24" s="18" t="s">
        <v>20</v>
      </c>
      <c r="C24" s="21" t="s">
        <v>20</v>
      </c>
      <c r="D24" s="19" t="s">
        <v>20</v>
      </c>
      <c r="E24" s="19" t="s">
        <v>20</v>
      </c>
      <c r="F24" s="19" t="s">
        <v>20</v>
      </c>
      <c r="G24" s="19" t="s">
        <v>20</v>
      </c>
      <c r="H24" s="19"/>
      <c r="I24" s="19" t="s">
        <v>20</v>
      </c>
      <c r="J24" s="19" t="s">
        <v>20</v>
      </c>
      <c r="K24" s="19" t="s">
        <v>20</v>
      </c>
      <c r="L24" s="20" t="s">
        <v>20</v>
      </c>
    </row>
    <row r="25" spans="1:12" x14ac:dyDescent="0.25">
      <c r="A25" s="12" t="s">
        <v>48</v>
      </c>
      <c r="B25" s="14" t="s">
        <v>144</v>
      </c>
      <c r="C25" s="17">
        <v>1E-3</v>
      </c>
      <c r="D25" s="27">
        <v>0</v>
      </c>
      <c r="E25" s="27">
        <v>0</v>
      </c>
      <c r="F25" s="27">
        <v>0</v>
      </c>
      <c r="G25" s="27">
        <v>0</v>
      </c>
      <c r="H25" s="30">
        <v>1</v>
      </c>
      <c r="I25" s="29">
        <f>D25*$H25</f>
        <v>0</v>
      </c>
      <c r="J25" s="647">
        <f t="shared" ref="J25:J26" si="11">E25*$H25</f>
        <v>0</v>
      </c>
      <c r="K25" s="647">
        <f t="shared" ref="K25:K26" si="12">F25*$H25</f>
        <v>0</v>
      </c>
      <c r="L25" s="647">
        <f t="shared" ref="L25:L26" si="13">G25*$H25</f>
        <v>0</v>
      </c>
    </row>
    <row r="26" spans="1:12" x14ac:dyDescent="0.25">
      <c r="A26" s="16" t="s">
        <v>50</v>
      </c>
      <c r="B26" s="1" t="s">
        <v>145</v>
      </c>
      <c r="C26" s="8">
        <v>1.7339670661855201E-5</v>
      </c>
      <c r="D26" s="638">
        <v>1.4670000000000001E-2</v>
      </c>
      <c r="E26" s="22">
        <v>3.8847355346000003</v>
      </c>
      <c r="F26" s="11">
        <v>0.19018350493080002</v>
      </c>
      <c r="G26" s="23">
        <v>37.241814885092666</v>
      </c>
      <c r="H26" s="30">
        <v>1</v>
      </c>
      <c r="I26" s="29">
        <f>D26*$H26</f>
        <v>1.4670000000000001E-2</v>
      </c>
      <c r="J26" s="648">
        <f t="shared" si="11"/>
        <v>3.8847355346000003</v>
      </c>
      <c r="K26" s="646">
        <f t="shared" si="12"/>
        <v>0.19018350493080002</v>
      </c>
      <c r="L26" s="645">
        <f t="shared" si="13"/>
        <v>37.241814885092666</v>
      </c>
    </row>
    <row r="27" spans="1:12" x14ac:dyDescent="0.25">
      <c r="A27" s="12" t="s">
        <v>51</v>
      </c>
      <c r="B27" s="1" t="s">
        <v>146</v>
      </c>
      <c r="C27" s="4">
        <v>2.5999999999999999E-3</v>
      </c>
      <c r="D27" s="638">
        <v>1.3140000000000001E-2</v>
      </c>
      <c r="E27" s="22">
        <v>3.8851047030000001</v>
      </c>
      <c r="F27" s="11">
        <v>0.1832886042836</v>
      </c>
      <c r="G27" s="23">
        <v>34.837425945752052</v>
      </c>
      <c r="H27" s="3">
        <f>C27/SUM(C$27:C$29)</f>
        <v>6.0185185185185189E-2</v>
      </c>
      <c r="I27" s="834">
        <f>D27*$H27+D28*$H28+D29*$H29</f>
        <v>1.3810092592592593E-2</v>
      </c>
      <c r="J27" s="835">
        <f t="shared" ref="J27:L27" si="14">E27*$H27+E28*$H28+E29*$H29</f>
        <v>3.8835971659550927</v>
      </c>
      <c r="K27" s="837">
        <f t="shared" si="14"/>
        <v>0.20781232283402037</v>
      </c>
      <c r="L27" s="838">
        <f t="shared" si="14"/>
        <v>36.431298124252379</v>
      </c>
    </row>
    <row r="28" spans="1:12" x14ac:dyDescent="0.25">
      <c r="A28" s="12"/>
      <c r="B28" s="1" t="s">
        <v>147</v>
      </c>
      <c r="C28" s="4">
        <v>2.0000000000000001E-4</v>
      </c>
      <c r="D28" s="638">
        <v>2.4559999999999998E-2</v>
      </c>
      <c r="E28" s="22">
        <v>3.8894943628999998</v>
      </c>
      <c r="F28" s="11">
        <v>0.29698472446999996</v>
      </c>
      <c r="G28" s="23">
        <v>78.21894629400542</v>
      </c>
      <c r="H28" s="3">
        <f t="shared" ref="H28:H29" si="15">C28/SUM(C$27:C$29)</f>
        <v>4.6296296296296302E-3</v>
      </c>
      <c r="I28" s="834"/>
      <c r="J28" s="835"/>
      <c r="K28" s="837"/>
      <c r="L28" s="838"/>
    </row>
    <row r="29" spans="1:12" x14ac:dyDescent="0.25">
      <c r="A29" s="12"/>
      <c r="B29" s="1" t="s">
        <v>148</v>
      </c>
      <c r="C29" s="4">
        <v>4.0399999999999998E-2</v>
      </c>
      <c r="D29" s="638">
        <v>1.38E-2</v>
      </c>
      <c r="E29" s="22">
        <v>3.8834709522000002</v>
      </c>
      <c r="F29" s="11">
        <v>0.20894913441580001</v>
      </c>
      <c r="G29" s="23">
        <v>36.327004511137282</v>
      </c>
      <c r="H29" s="3">
        <f t="shared" si="15"/>
        <v>0.93518518518518523</v>
      </c>
      <c r="I29" s="834"/>
      <c r="J29" s="835"/>
      <c r="K29" s="837"/>
      <c r="L29" s="838"/>
    </row>
    <row r="30" spans="1:12" x14ac:dyDescent="0.25">
      <c r="A30" s="12" t="s">
        <v>55</v>
      </c>
      <c r="B30" s="1" t="s">
        <v>149</v>
      </c>
      <c r="C30" s="4">
        <v>1.29E-2</v>
      </c>
      <c r="D30" s="638">
        <v>7.843E-2</v>
      </c>
      <c r="E30" s="22">
        <v>4.0330750799999997</v>
      </c>
      <c r="F30" s="22">
        <v>1.0623903702140001</v>
      </c>
      <c r="G30" s="24">
        <v>156.80784349122783</v>
      </c>
      <c r="H30" s="3">
        <f>C30/SUM(C$30:C$32)</f>
        <v>0.41214057507987217</v>
      </c>
      <c r="I30" s="834">
        <f>D30*$H30+D31*$H31+D32*$H32</f>
        <v>8.3072555910543133E-2</v>
      </c>
      <c r="J30" s="835">
        <f t="shared" ref="J30:L30" si="16">E30*$H30+E31*$H31+E32*$H32</f>
        <v>4.0332326358594246</v>
      </c>
      <c r="K30" s="835">
        <f t="shared" si="16"/>
        <v>1.130669469495508</v>
      </c>
      <c r="L30" s="836">
        <f t="shared" si="16"/>
        <v>160.70692624972241</v>
      </c>
    </row>
    <row r="31" spans="1:12" x14ac:dyDescent="0.25">
      <c r="A31" s="12"/>
      <c r="B31" s="1" t="s">
        <v>150</v>
      </c>
      <c r="C31" s="4">
        <v>1.04E-2</v>
      </c>
      <c r="D31" s="638">
        <v>9.0910000000000005E-2</v>
      </c>
      <c r="E31" s="22">
        <v>4.0329745309999998</v>
      </c>
      <c r="F31" s="22">
        <v>1.2441525000969997</v>
      </c>
      <c r="G31" s="24">
        <v>169.79617966645642</v>
      </c>
      <c r="H31" s="3">
        <f t="shared" ref="H31:H32" si="17">C31/SUM(C$30:C$32)</f>
        <v>0.33226837060702874</v>
      </c>
      <c r="I31" s="834"/>
      <c r="J31" s="835"/>
      <c r="K31" s="835"/>
      <c r="L31" s="836"/>
    </row>
    <row r="32" spans="1:12" x14ac:dyDescent="0.25">
      <c r="A32" s="12"/>
      <c r="B32" s="1" t="s">
        <v>151</v>
      </c>
      <c r="C32" s="4">
        <v>8.0000000000000002E-3</v>
      </c>
      <c r="D32" s="638">
        <v>8.0369999999999997E-2</v>
      </c>
      <c r="E32" s="22">
        <v>4.0338222310000003</v>
      </c>
      <c r="F32" s="22">
        <v>1.0932415773049999</v>
      </c>
      <c r="G32" s="24">
        <v>155.17816775604075</v>
      </c>
      <c r="H32" s="3">
        <f t="shared" si="17"/>
        <v>0.25559105431309903</v>
      </c>
      <c r="I32" s="834"/>
      <c r="J32" s="835"/>
      <c r="K32" s="835"/>
      <c r="L32" s="836"/>
    </row>
    <row r="35" spans="1:1" x14ac:dyDescent="0.25">
      <c r="A35" s="91"/>
    </row>
    <row r="36" spans="1:1" x14ac:dyDescent="0.25">
      <c r="A36" s="91"/>
    </row>
    <row r="37" spans="1:1" x14ac:dyDescent="0.25">
      <c r="A37" s="91"/>
    </row>
    <row r="39" spans="1:1" x14ac:dyDescent="0.25">
      <c r="A39" s="91"/>
    </row>
    <row r="40" spans="1:1" x14ac:dyDescent="0.25">
      <c r="A40" s="91"/>
    </row>
    <row r="41" spans="1:1" x14ac:dyDescent="0.25">
      <c r="A41" s="91"/>
    </row>
  </sheetData>
  <mergeCells count="26">
    <mergeCell ref="D1:G1"/>
    <mergeCell ref="A2:A4"/>
    <mergeCell ref="B2:B4"/>
    <mergeCell ref="C2:C4"/>
    <mergeCell ref="I1:L1"/>
    <mergeCell ref="H2:H4"/>
    <mergeCell ref="I5:I6"/>
    <mergeCell ref="J5:J6"/>
    <mergeCell ref="K5:K6"/>
    <mergeCell ref="L5:L6"/>
    <mergeCell ref="I9:I11"/>
    <mergeCell ref="J9:J11"/>
    <mergeCell ref="K9:K11"/>
    <mergeCell ref="L9:L11"/>
    <mergeCell ref="I30:I32"/>
    <mergeCell ref="J30:J32"/>
    <mergeCell ref="K30:K32"/>
    <mergeCell ref="L30:L32"/>
    <mergeCell ref="I13:I14"/>
    <mergeCell ref="J13:J14"/>
    <mergeCell ref="K13:K14"/>
    <mergeCell ref="L13:L14"/>
    <mergeCell ref="I27:I29"/>
    <mergeCell ref="J27:J29"/>
    <mergeCell ref="K27:K29"/>
    <mergeCell ref="L27:L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4"/>
  <sheetViews>
    <sheetView zoomScaleNormal="100" workbookViewId="0">
      <pane xSplit="1" ySplit="4" topLeftCell="B24" activePane="bottomRight" state="frozen"/>
      <selection pane="topRight" activeCell="B1" sqref="B1"/>
      <selection pane="bottomLeft" activeCell="A5" sqref="A5"/>
      <selection pane="bottomRight" activeCell="I35" sqref="I35"/>
    </sheetView>
  </sheetViews>
  <sheetFormatPr defaultColWidth="8.88671875" defaultRowHeight="11.4" x14ac:dyDescent="0.25"/>
  <cols>
    <col min="1" max="1" width="23.33203125" style="1" bestFit="1" customWidth="1"/>
    <col min="2" max="2" width="87" style="1" bestFit="1" customWidth="1"/>
    <col min="3" max="3" width="17.88671875" style="1" bestFit="1" customWidth="1"/>
    <col min="4" max="4" width="14" style="2" bestFit="1" customWidth="1"/>
    <col min="5" max="5" width="12.44140625" style="2" bestFit="1" customWidth="1"/>
    <col min="6" max="6" width="13.88671875" style="2" bestFit="1" customWidth="1"/>
    <col min="7" max="7" width="11.6640625" style="2" bestFit="1" customWidth="1"/>
    <col min="8" max="8" width="14.6640625" style="2" customWidth="1"/>
    <col min="9" max="9" width="13.88671875" style="2" bestFit="1" customWidth="1"/>
    <col min="10" max="10" width="12.33203125" style="2" bestFit="1" customWidth="1"/>
    <col min="11" max="11" width="13.6640625" style="2" bestFit="1" customWidth="1"/>
    <col min="12" max="12" width="7.5546875" style="1" bestFit="1" customWidth="1"/>
    <col min="13" max="16384" width="8.88671875" style="1"/>
  </cols>
  <sheetData>
    <row r="1" spans="1:12" x14ac:dyDescent="0.25">
      <c r="C1" s="638"/>
      <c r="D1" s="779" t="s">
        <v>0</v>
      </c>
      <c r="E1" s="779"/>
      <c r="F1" s="779"/>
      <c r="G1" s="779"/>
      <c r="H1" s="638"/>
      <c r="I1" s="779" t="s">
        <v>1</v>
      </c>
      <c r="J1" s="779"/>
      <c r="K1" s="779"/>
      <c r="L1" s="779"/>
    </row>
    <row r="2" spans="1:12" ht="11.4" customHeight="1" x14ac:dyDescent="0.25">
      <c r="A2" s="779" t="s">
        <v>2</v>
      </c>
      <c r="B2" s="779" t="s">
        <v>452</v>
      </c>
      <c r="C2" s="780" t="s">
        <v>451</v>
      </c>
      <c r="D2" s="638" t="s">
        <v>5</v>
      </c>
      <c r="E2" s="638" t="s">
        <v>6</v>
      </c>
      <c r="F2" s="638" t="s">
        <v>7</v>
      </c>
      <c r="G2" s="638" t="s">
        <v>8</v>
      </c>
      <c r="H2" s="780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25">
      <c r="A3" s="779"/>
      <c r="B3" s="779"/>
      <c r="C3" s="780"/>
      <c r="D3" s="638" t="s">
        <v>10</v>
      </c>
      <c r="E3" s="638" t="s">
        <v>11</v>
      </c>
      <c r="F3" s="638" t="s">
        <v>11</v>
      </c>
      <c r="G3" s="638" t="s">
        <v>12</v>
      </c>
      <c r="H3" s="780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x14ac:dyDescent="0.25">
      <c r="A4" s="779"/>
      <c r="B4" s="779"/>
      <c r="C4" s="780"/>
      <c r="D4" s="638" t="s">
        <v>13</v>
      </c>
      <c r="E4" s="638" t="s">
        <v>14</v>
      </c>
      <c r="F4" s="638" t="s">
        <v>14</v>
      </c>
      <c r="G4" s="638" t="s">
        <v>15</v>
      </c>
      <c r="H4" s="780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x14ac:dyDescent="0.25">
      <c r="A5" s="12" t="s">
        <v>16</v>
      </c>
      <c r="B5" s="1" t="s">
        <v>152</v>
      </c>
      <c r="C5" s="4">
        <v>4.2000000000000003E-2</v>
      </c>
      <c r="D5" s="638">
        <v>0.25409999999999999</v>
      </c>
      <c r="E5" s="13">
        <v>6.4536793600000003E-2</v>
      </c>
      <c r="F5" s="11">
        <v>0.49021496881940002</v>
      </c>
      <c r="G5" s="24">
        <v>784.8029905249449</v>
      </c>
      <c r="H5" s="4">
        <f>C5/(C5+C6)</f>
        <v>0.75134168157423964</v>
      </c>
      <c r="I5" s="837">
        <f>D5*$H5+D6*$H6</f>
        <v>0.20468910554561714</v>
      </c>
      <c r="J5" s="835">
        <f t="shared" ref="J5:L5" si="0">E5*$H5+E6*$H6</f>
        <v>4.2272411725617163</v>
      </c>
      <c r="K5" s="837">
        <f t="shared" si="0"/>
        <v>0.51099812906072983</v>
      </c>
      <c r="L5" s="836">
        <f t="shared" si="0"/>
        <v>678.81620813493066</v>
      </c>
    </row>
    <row r="6" spans="1:12" x14ac:dyDescent="0.25">
      <c r="A6" s="12"/>
      <c r="B6" s="1" t="s">
        <v>153</v>
      </c>
      <c r="C6" s="4">
        <v>1.3899999999999999E-2</v>
      </c>
      <c r="D6" s="638">
        <v>5.5390000000000002E-2</v>
      </c>
      <c r="E6" s="23">
        <v>16.805196849999998</v>
      </c>
      <c r="F6" s="11">
        <v>0.57379616720000004</v>
      </c>
      <c r="G6" s="24">
        <v>358.56837645287317</v>
      </c>
      <c r="H6" s="4">
        <f>C6/(C5+C6)</f>
        <v>0.24865831842576025</v>
      </c>
      <c r="I6" s="837"/>
      <c r="J6" s="835"/>
      <c r="K6" s="837"/>
      <c r="L6" s="836"/>
    </row>
    <row r="7" spans="1:12" x14ac:dyDescent="0.25">
      <c r="A7" s="16" t="s">
        <v>19</v>
      </c>
      <c r="B7" s="1" t="s">
        <v>154</v>
      </c>
      <c r="C7" s="4">
        <v>1E-4</v>
      </c>
      <c r="D7" s="638">
        <v>1.149</v>
      </c>
      <c r="E7" s="13">
        <v>4.1420209200000002E-2</v>
      </c>
      <c r="F7" s="23">
        <v>11.3639019853003</v>
      </c>
      <c r="G7" s="24">
        <v>2201.4966472859974</v>
      </c>
      <c r="H7" s="30">
        <v>1</v>
      </c>
      <c r="I7" s="29">
        <f>D7*$H7</f>
        <v>1.149</v>
      </c>
      <c r="J7" s="644">
        <f t="shared" ref="J7:L7" si="1">E7*$H7</f>
        <v>4.1420209200000002E-2</v>
      </c>
      <c r="K7" s="645">
        <f t="shared" si="1"/>
        <v>11.3639019853003</v>
      </c>
      <c r="L7" s="647">
        <f t="shared" si="1"/>
        <v>2201.4966472859974</v>
      </c>
    </row>
    <row r="8" spans="1:12" x14ac:dyDescent="0.25">
      <c r="A8" s="12" t="s">
        <v>21</v>
      </c>
      <c r="B8" s="14" t="s">
        <v>155</v>
      </c>
      <c r="C8" s="17">
        <v>5.0000000000000001E-4</v>
      </c>
      <c r="D8" s="638">
        <v>1.111</v>
      </c>
      <c r="E8" s="11">
        <v>0.30044902299999998</v>
      </c>
      <c r="F8" s="23">
        <v>24.770609671083996</v>
      </c>
      <c r="G8" s="24">
        <v>2476.9469972904435</v>
      </c>
      <c r="H8" s="30">
        <v>1</v>
      </c>
      <c r="I8" s="29">
        <f>D8*$H8</f>
        <v>1.111</v>
      </c>
      <c r="J8" s="646">
        <f t="shared" ref="J8" si="2">E8*$H8</f>
        <v>0.30044902299999998</v>
      </c>
      <c r="K8" s="645">
        <f t="shared" ref="K8" si="3">F8*$H8</f>
        <v>24.770609671083996</v>
      </c>
      <c r="L8" s="647">
        <f t="shared" ref="L8" si="4">G8*$H8</f>
        <v>2476.9469972904435</v>
      </c>
    </row>
    <row r="9" spans="1:12" x14ac:dyDescent="0.25">
      <c r="A9" s="12" t="s">
        <v>22</v>
      </c>
      <c r="B9" s="1" t="s">
        <v>156</v>
      </c>
      <c r="C9" s="4">
        <v>0.14399999999999999</v>
      </c>
      <c r="D9" s="638">
        <v>0.45889999999999997</v>
      </c>
      <c r="E9" s="9">
        <v>9.3133408999999997E-3</v>
      </c>
      <c r="F9" s="22">
        <v>7.8535565234769997</v>
      </c>
      <c r="G9" s="24">
        <v>275.76056694647292</v>
      </c>
      <c r="H9" s="3">
        <f>C9/SUM(C$9:C$12)</f>
        <v>0.3364485981308411</v>
      </c>
      <c r="I9" s="837">
        <f>D9*$H9+D10*$H10+D11*$H11+D12*$H12</f>
        <v>0.55159827102803738</v>
      </c>
      <c r="J9" s="834">
        <f t="shared" ref="J9:L9" si="5">E9*$H9+E10*$H10+E11*$H11+E12*$H12</f>
        <v>1.1286058252757011E-2</v>
      </c>
      <c r="K9" s="835">
        <f t="shared" si="5"/>
        <v>9.3933150961883634</v>
      </c>
      <c r="L9" s="836">
        <f t="shared" si="5"/>
        <v>332.96797718299308</v>
      </c>
    </row>
    <row r="10" spans="1:12" x14ac:dyDescent="0.25">
      <c r="A10" s="12"/>
      <c r="B10" s="1" t="s">
        <v>157</v>
      </c>
      <c r="C10" s="4">
        <v>3.8600000000000002E-2</v>
      </c>
      <c r="D10" s="638">
        <v>0.77400000000000002</v>
      </c>
      <c r="E10" s="13">
        <v>1.3822225699999999E-2</v>
      </c>
      <c r="F10" s="23">
        <v>12.766437768161001</v>
      </c>
      <c r="G10" s="24">
        <v>462.28831574001094</v>
      </c>
      <c r="H10" s="3">
        <f t="shared" ref="H10:H12" si="6">C10/SUM(C$9:C$12)</f>
        <v>9.018691588785048E-2</v>
      </c>
      <c r="I10" s="837"/>
      <c r="J10" s="834"/>
      <c r="K10" s="835"/>
      <c r="L10" s="836"/>
    </row>
    <row r="11" spans="1:12" x14ac:dyDescent="0.25">
      <c r="A11" s="12"/>
      <c r="B11" s="1" t="s">
        <v>158</v>
      </c>
      <c r="C11" s="4">
        <v>0.152</v>
      </c>
      <c r="D11" s="638">
        <v>0.49980000000000002</v>
      </c>
      <c r="E11" s="13">
        <v>1.0145700000000001E-2</v>
      </c>
      <c r="F11" s="22">
        <v>8.5554505237610012</v>
      </c>
      <c r="G11" s="24">
        <v>300.43112110258613</v>
      </c>
      <c r="H11" s="3">
        <f t="shared" si="6"/>
        <v>0.35514018691588783</v>
      </c>
      <c r="I11" s="837"/>
      <c r="J11" s="834"/>
      <c r="K11" s="835"/>
      <c r="L11" s="836"/>
    </row>
    <row r="12" spans="1:12" x14ac:dyDescent="0.25">
      <c r="A12" s="12"/>
      <c r="B12" s="1" t="s">
        <v>159</v>
      </c>
      <c r="C12" s="4">
        <v>9.3399999999999997E-2</v>
      </c>
      <c r="D12" s="638">
        <v>0.68689999999999996</v>
      </c>
      <c r="E12" s="13">
        <v>1.5135198400000001E-2</v>
      </c>
      <c r="F12" s="23">
        <v>11.736763857871999</v>
      </c>
      <c r="G12" s="24">
        <v>420.67358885301297</v>
      </c>
      <c r="H12" s="3">
        <f t="shared" si="6"/>
        <v>0.21822429906542057</v>
      </c>
      <c r="I12" s="837"/>
      <c r="J12" s="834"/>
      <c r="K12" s="835"/>
      <c r="L12" s="836"/>
    </row>
    <row r="13" spans="1:12" x14ac:dyDescent="0.25">
      <c r="A13" s="12" t="s">
        <v>27</v>
      </c>
      <c r="B13" s="1" t="s">
        <v>160</v>
      </c>
      <c r="C13" s="4">
        <v>0.111</v>
      </c>
      <c r="D13" s="638">
        <v>1.07</v>
      </c>
      <c r="E13" s="11">
        <f>0.0949+0.00434+0.0256</f>
        <v>0.12483999999999999</v>
      </c>
      <c r="F13" s="23">
        <f>10.6+0.0516+0.0000357</f>
        <v>10.6516357</v>
      </c>
      <c r="G13" s="24">
        <v>827.53697301414593</v>
      </c>
      <c r="H13" s="4">
        <f>C13/(C13+C14)</f>
        <v>0.99631011919501022</v>
      </c>
      <c r="I13" s="835">
        <f>D13*$H13+D14*$H14</f>
        <v>1.070368988080499</v>
      </c>
      <c r="J13" s="837">
        <f t="shared" ref="J13:L13" si="7">E13*$H13+E14*$H14</f>
        <v>0.12488310217883505</v>
      </c>
      <c r="K13" s="838">
        <f t="shared" si="7"/>
        <v>10.655846730483244</v>
      </c>
      <c r="L13" s="836">
        <f t="shared" si="7"/>
        <v>828.2318184070491</v>
      </c>
    </row>
    <row r="14" spans="1:12" x14ac:dyDescent="0.25">
      <c r="A14" s="12"/>
      <c r="B14" s="1" t="s">
        <v>161</v>
      </c>
      <c r="C14" s="4">
        <v>4.1109365594397401E-4</v>
      </c>
      <c r="D14" s="638">
        <v>1.17</v>
      </c>
      <c r="E14" s="11">
        <v>0.13652118460000001</v>
      </c>
      <c r="F14" s="23">
        <v>11.792873237416</v>
      </c>
      <c r="G14" s="24">
        <v>1015.8480403970337</v>
      </c>
      <c r="H14" s="4">
        <f>C14/(C13+C14)</f>
        <v>3.6898808049896691E-3</v>
      </c>
      <c r="I14" s="835"/>
      <c r="J14" s="837"/>
      <c r="K14" s="838"/>
      <c r="L14" s="836"/>
    </row>
    <row r="15" spans="1:12" x14ac:dyDescent="0.25">
      <c r="A15" s="12" t="s">
        <v>30</v>
      </c>
      <c r="B15" s="1" t="s">
        <v>162</v>
      </c>
      <c r="C15" s="4">
        <v>6.8999999999999999E-3</v>
      </c>
      <c r="D15" s="638">
        <v>1.0249999999999999</v>
      </c>
      <c r="E15" s="13">
        <v>5.2166506000000001E-2</v>
      </c>
      <c r="F15" s="23">
        <v>15.351755594289999</v>
      </c>
      <c r="G15" s="24">
        <v>1051.773612508938</v>
      </c>
      <c r="H15" s="4">
        <f>C15/(C15+C16)</f>
        <v>0.19008264462809918</v>
      </c>
      <c r="I15" s="837">
        <f>D15*$H15+D16*$H16</f>
        <v>0.90416033057851242</v>
      </c>
      <c r="J15" s="834">
        <f t="shared" ref="J15:L15" si="8">E15*$H15+E16*$H16</f>
        <v>4.6010568047933881E-2</v>
      </c>
      <c r="K15" s="838">
        <f t="shared" si="8"/>
        <v>13.540163276303819</v>
      </c>
      <c r="L15" s="836">
        <f t="shared" si="8"/>
        <v>955.71948639390882</v>
      </c>
    </row>
    <row r="16" spans="1:12" x14ac:dyDescent="0.25">
      <c r="A16" s="12"/>
      <c r="B16" s="1" t="s">
        <v>163</v>
      </c>
      <c r="C16" s="4">
        <v>2.9399999999999999E-2</v>
      </c>
      <c r="D16" s="638">
        <v>0.87580000000000002</v>
      </c>
      <c r="E16" s="13">
        <v>4.45658071E-2</v>
      </c>
      <c r="F16" s="23">
        <v>13.114993650654</v>
      </c>
      <c r="G16" s="24">
        <v>933.17617108119794</v>
      </c>
      <c r="H16" s="4">
        <f>C16/(C15+C16)</f>
        <v>0.80991735537190079</v>
      </c>
      <c r="I16" s="837"/>
      <c r="J16" s="834"/>
      <c r="K16" s="838"/>
      <c r="L16" s="836"/>
    </row>
    <row r="17" spans="1:12" x14ac:dyDescent="0.25">
      <c r="A17" s="18" t="s">
        <v>33</v>
      </c>
      <c r="B17" s="18" t="s">
        <v>20</v>
      </c>
      <c r="C17" s="21" t="s">
        <v>20</v>
      </c>
      <c r="D17" s="19" t="s">
        <v>20</v>
      </c>
      <c r="E17" s="19" t="s">
        <v>20</v>
      </c>
      <c r="F17" s="19" t="s">
        <v>20</v>
      </c>
      <c r="G17" s="19" t="s">
        <v>20</v>
      </c>
      <c r="H17" s="19" t="s">
        <v>20</v>
      </c>
      <c r="I17" s="19" t="s">
        <v>20</v>
      </c>
      <c r="J17" s="19" t="s">
        <v>20</v>
      </c>
      <c r="K17" s="19" t="s">
        <v>20</v>
      </c>
      <c r="L17" s="20" t="s">
        <v>20</v>
      </c>
    </row>
    <row r="18" spans="1:12" x14ac:dyDescent="0.25">
      <c r="A18" s="18" t="s">
        <v>34</v>
      </c>
      <c r="B18" s="18" t="s">
        <v>20</v>
      </c>
      <c r="C18" s="21" t="s">
        <v>20</v>
      </c>
      <c r="D18" s="19" t="s">
        <v>20</v>
      </c>
      <c r="E18" s="19" t="s">
        <v>20</v>
      </c>
      <c r="F18" s="19" t="s">
        <v>20</v>
      </c>
      <c r="G18" s="19" t="s">
        <v>20</v>
      </c>
      <c r="H18" s="19" t="s">
        <v>20</v>
      </c>
      <c r="I18" s="19" t="s">
        <v>20</v>
      </c>
      <c r="J18" s="19" t="s">
        <v>20</v>
      </c>
      <c r="K18" s="19" t="s">
        <v>20</v>
      </c>
      <c r="L18" s="20" t="s">
        <v>20</v>
      </c>
    </row>
    <row r="19" spans="1:12" x14ac:dyDescent="0.25">
      <c r="A19" s="12" t="s">
        <v>35</v>
      </c>
      <c r="B19" s="1" t="s">
        <v>164</v>
      </c>
      <c r="C19" s="4">
        <v>2.01E-2</v>
      </c>
      <c r="D19" s="638">
        <v>6.7299999999999999E-2</v>
      </c>
      <c r="E19" s="13">
        <v>8.6727243000000009E-2</v>
      </c>
      <c r="F19" s="11">
        <v>0.99617337859539989</v>
      </c>
      <c r="G19" s="24">
        <v>104.42918960888619</v>
      </c>
      <c r="H19" s="30">
        <v>1</v>
      </c>
      <c r="I19" s="29">
        <f>D19*$H19</f>
        <v>6.7299999999999999E-2</v>
      </c>
      <c r="J19" s="644">
        <f t="shared" ref="J19:J22" si="9">E19*$H19</f>
        <v>8.6727243000000009E-2</v>
      </c>
      <c r="K19" s="646">
        <f t="shared" ref="K19:K22" si="10">F19*$H19</f>
        <v>0.99617337859539989</v>
      </c>
      <c r="L19" s="647">
        <f t="shared" ref="L19:L22" si="11">G19*$H19</f>
        <v>104.42918960888619</v>
      </c>
    </row>
    <row r="20" spans="1:12" x14ac:dyDescent="0.25">
      <c r="A20" s="12" t="s">
        <v>38</v>
      </c>
      <c r="B20" s="1" t="s">
        <v>165</v>
      </c>
      <c r="C20" s="4">
        <v>6.4999999999999997E-3</v>
      </c>
      <c r="D20" s="638">
        <v>0.64</v>
      </c>
      <c r="E20" s="22">
        <v>2.2846183299999998</v>
      </c>
      <c r="F20" s="22">
        <v>9.6317799668290007</v>
      </c>
      <c r="G20" s="24">
        <v>553.9573050279497</v>
      </c>
      <c r="H20" s="30">
        <v>1</v>
      </c>
      <c r="I20" s="29">
        <f>D20*$H20</f>
        <v>0.64</v>
      </c>
      <c r="J20" s="648">
        <f t="shared" si="9"/>
        <v>2.2846183299999998</v>
      </c>
      <c r="K20" s="648">
        <f t="shared" si="10"/>
        <v>9.6317799668290007</v>
      </c>
      <c r="L20" s="647">
        <f t="shared" si="11"/>
        <v>553.9573050279497</v>
      </c>
    </row>
    <row r="21" spans="1:12" x14ac:dyDescent="0.25">
      <c r="A21" s="12" t="s">
        <v>40</v>
      </c>
      <c r="B21" s="1" t="s">
        <v>166</v>
      </c>
      <c r="C21" s="4">
        <v>4.5400000000000003E-2</v>
      </c>
      <c r="D21" s="638">
        <v>3.8440000000000002E-3</v>
      </c>
      <c r="E21" s="22">
        <v>3.7930434521199996</v>
      </c>
      <c r="F21" s="13">
        <v>4.3335246012190007E-2</v>
      </c>
      <c r="G21" s="23">
        <v>11.914536742744552</v>
      </c>
      <c r="H21" s="30">
        <v>1</v>
      </c>
      <c r="I21" s="29">
        <f>D21*$H21</f>
        <v>3.8440000000000002E-3</v>
      </c>
      <c r="J21" s="648">
        <f t="shared" si="9"/>
        <v>3.7930434521199996</v>
      </c>
      <c r="K21" s="644">
        <f t="shared" si="10"/>
        <v>4.3335246012190007E-2</v>
      </c>
      <c r="L21" s="645">
        <f t="shared" si="11"/>
        <v>11.914536742744552</v>
      </c>
    </row>
    <row r="22" spans="1:12" x14ac:dyDescent="0.25">
      <c r="A22" s="12" t="s">
        <v>42</v>
      </c>
      <c r="B22" s="1" t="s">
        <v>167</v>
      </c>
      <c r="C22" s="4">
        <v>8.0799999999999997E-2</v>
      </c>
      <c r="D22" s="638">
        <v>5.9930000000000001E-3</v>
      </c>
      <c r="E22" s="22">
        <v>3.7941413281699998</v>
      </c>
      <c r="F22" s="13">
        <v>5.8195800772079996E-2</v>
      </c>
      <c r="G22" s="23">
        <v>29.270635052476511</v>
      </c>
      <c r="H22" s="30">
        <v>1</v>
      </c>
      <c r="I22" s="29">
        <f>D22*$H22</f>
        <v>5.9930000000000001E-3</v>
      </c>
      <c r="J22" s="648">
        <f t="shared" si="9"/>
        <v>3.7941413281699998</v>
      </c>
      <c r="K22" s="644">
        <f t="shared" si="10"/>
        <v>5.8195800772079996E-2</v>
      </c>
      <c r="L22" s="645">
        <f t="shared" si="11"/>
        <v>29.270635052476511</v>
      </c>
    </row>
    <row r="23" spans="1:12" x14ac:dyDescent="0.25">
      <c r="A23" s="18" t="s">
        <v>44</v>
      </c>
      <c r="B23" s="18" t="s">
        <v>20</v>
      </c>
      <c r="C23" s="21" t="s">
        <v>20</v>
      </c>
      <c r="D23" s="19" t="s">
        <v>20</v>
      </c>
      <c r="E23" s="19" t="s">
        <v>20</v>
      </c>
      <c r="F23" s="19" t="s">
        <v>20</v>
      </c>
      <c r="G23" s="19" t="s">
        <v>20</v>
      </c>
      <c r="H23" s="19" t="s">
        <v>20</v>
      </c>
      <c r="I23" s="19" t="s">
        <v>20</v>
      </c>
      <c r="J23" s="19" t="s">
        <v>20</v>
      </c>
      <c r="K23" s="19" t="s">
        <v>20</v>
      </c>
      <c r="L23" s="20" t="s">
        <v>20</v>
      </c>
    </row>
    <row r="24" spans="1:12" x14ac:dyDescent="0.25">
      <c r="A24" s="18" t="s">
        <v>45</v>
      </c>
      <c r="B24" s="18" t="s">
        <v>20</v>
      </c>
      <c r="C24" s="21" t="s">
        <v>20</v>
      </c>
      <c r="D24" s="19" t="s">
        <v>20</v>
      </c>
      <c r="E24" s="19" t="s">
        <v>20</v>
      </c>
      <c r="F24" s="19" t="s">
        <v>20</v>
      </c>
      <c r="G24" s="19" t="s">
        <v>20</v>
      </c>
      <c r="H24" s="19" t="s">
        <v>20</v>
      </c>
      <c r="I24" s="19" t="s">
        <v>20</v>
      </c>
      <c r="J24" s="19" t="s">
        <v>20</v>
      </c>
      <c r="K24" s="19" t="s">
        <v>20</v>
      </c>
      <c r="L24" s="20" t="s">
        <v>20</v>
      </c>
    </row>
    <row r="25" spans="1:12" x14ac:dyDescent="0.25">
      <c r="A25" s="12" t="s">
        <v>46</v>
      </c>
      <c r="B25" s="321" t="str">
        <f>IF(B37=A38,B38,IF(B37=A39,B39,IF(B37=A40,B40,"")))</f>
        <v>Electricity, high voltage {BG}| electricity production, hard coal | Cut-off, U</v>
      </c>
      <c r="C25" s="397" t="s">
        <v>37</v>
      </c>
      <c r="D25" s="46">
        <v>2.0830000000000002</v>
      </c>
      <c r="E25" s="46">
        <f t="shared" ref="E25:G25" si="12">VLOOKUP($B25,$B38:$G40,E36,FALSE)</f>
        <v>0.22238462025122496</v>
      </c>
      <c r="F25" s="46">
        <f t="shared" si="12"/>
        <v>19.099188159688769</v>
      </c>
      <c r="G25" s="46">
        <f t="shared" si="12"/>
        <v>1486.7509009157554</v>
      </c>
      <c r="H25" s="30">
        <v>1</v>
      </c>
      <c r="I25" s="29">
        <f>D25*$H25</f>
        <v>2.0830000000000002</v>
      </c>
      <c r="J25" s="646">
        <f t="shared" ref="J25" si="13">E25*$H25</f>
        <v>0.22238462025122496</v>
      </c>
      <c r="K25" s="645">
        <f t="shared" ref="K25" si="14">F25*$H25</f>
        <v>19.099188159688769</v>
      </c>
      <c r="L25" s="647">
        <f t="shared" ref="L25" si="15">G25*$H25</f>
        <v>1486.7509009157554</v>
      </c>
    </row>
    <row r="26" spans="1:12" x14ac:dyDescent="0.25">
      <c r="A26" s="18" t="s">
        <v>47</v>
      </c>
      <c r="B26" s="18" t="s">
        <v>20</v>
      </c>
      <c r="C26" s="21" t="s">
        <v>20</v>
      </c>
      <c r="D26" s="19" t="s">
        <v>20</v>
      </c>
      <c r="E26" s="19" t="s">
        <v>20</v>
      </c>
      <c r="F26" s="19" t="s">
        <v>20</v>
      </c>
      <c r="G26" s="19" t="s">
        <v>20</v>
      </c>
      <c r="H26" s="33" t="s">
        <v>20</v>
      </c>
      <c r="I26" s="19" t="s">
        <v>20</v>
      </c>
      <c r="J26" s="19" t="s">
        <v>20</v>
      </c>
      <c r="K26" s="19" t="s">
        <v>20</v>
      </c>
      <c r="L26" s="20" t="s">
        <v>20</v>
      </c>
    </row>
    <row r="27" spans="1:12" x14ac:dyDescent="0.25">
      <c r="A27" s="12" t="s">
        <v>48</v>
      </c>
      <c r="B27" s="14" t="s">
        <v>168</v>
      </c>
      <c r="C27" s="17">
        <v>1.77E-2</v>
      </c>
      <c r="D27" s="27">
        <v>0</v>
      </c>
      <c r="E27" s="27">
        <v>0</v>
      </c>
      <c r="F27" s="27">
        <v>0</v>
      </c>
      <c r="G27" s="27">
        <v>0</v>
      </c>
      <c r="H27" s="30">
        <v>1</v>
      </c>
      <c r="I27" s="29">
        <f>D27*$H27</f>
        <v>0</v>
      </c>
      <c r="J27" s="29">
        <f t="shared" ref="J27" si="16">E27*$H27</f>
        <v>0</v>
      </c>
      <c r="K27" s="29">
        <f t="shared" ref="K27" si="17">F27*$H27</f>
        <v>0</v>
      </c>
      <c r="L27" s="29">
        <f t="shared" ref="L27" si="18">G27*$H27</f>
        <v>0</v>
      </c>
    </row>
    <row r="28" spans="1:12" x14ac:dyDescent="0.25">
      <c r="A28" s="18" t="s">
        <v>50</v>
      </c>
      <c r="B28" s="18" t="s">
        <v>20</v>
      </c>
      <c r="C28" s="21" t="s">
        <v>20</v>
      </c>
      <c r="D28" s="19" t="s">
        <v>20</v>
      </c>
      <c r="E28" s="19" t="s">
        <v>20</v>
      </c>
      <c r="F28" s="19" t="s">
        <v>20</v>
      </c>
      <c r="G28" s="19" t="s">
        <v>20</v>
      </c>
      <c r="H28" s="19" t="s">
        <v>20</v>
      </c>
      <c r="I28" s="19" t="s">
        <v>20</v>
      </c>
      <c r="J28" s="19" t="s">
        <v>20</v>
      </c>
      <c r="K28" s="19" t="s">
        <v>20</v>
      </c>
      <c r="L28" s="20" t="s">
        <v>20</v>
      </c>
    </row>
    <row r="29" spans="1:12" x14ac:dyDescent="0.25">
      <c r="A29" s="12" t="s">
        <v>51</v>
      </c>
      <c r="B29" s="1" t="s">
        <v>169</v>
      </c>
      <c r="C29" s="4">
        <v>1.7600000000000001E-2</v>
      </c>
      <c r="D29" s="638">
        <v>1.593E-2</v>
      </c>
      <c r="E29" s="22">
        <v>3.8883090203999999</v>
      </c>
      <c r="F29" s="11">
        <v>0.2221715303373</v>
      </c>
      <c r="G29" s="23">
        <v>41.406869464472408</v>
      </c>
      <c r="H29" s="3">
        <f>C29/SUM(C$29:C$31)</f>
        <v>0.28025477707006374</v>
      </c>
      <c r="I29" s="834">
        <f>D29*$H29+D30*$H30+D31*$H31</f>
        <v>1.762707006369427E-2</v>
      </c>
      <c r="J29" s="835">
        <f t="shared" ref="J29:L29" si="19">E29*$H29+E30*$H30+E31*$H31</f>
        <v>3.8875114904458603</v>
      </c>
      <c r="K29" s="837">
        <f t="shared" si="19"/>
        <v>0.25373443921984334</v>
      </c>
      <c r="L29" s="838">
        <f t="shared" si="19"/>
        <v>47.072766095666523</v>
      </c>
    </row>
    <row r="30" spans="1:12" x14ac:dyDescent="0.25">
      <c r="A30" s="12"/>
      <c r="B30" s="1" t="s">
        <v>170</v>
      </c>
      <c r="C30" s="4">
        <v>5.4000000000000003E-3</v>
      </c>
      <c r="D30" s="638">
        <v>2.9770000000000001E-2</v>
      </c>
      <c r="E30" s="22">
        <v>3.8936299001000001</v>
      </c>
      <c r="F30" s="11">
        <v>0.35998720433999998</v>
      </c>
      <c r="G30" s="23">
        <v>93.991367747351092</v>
      </c>
      <c r="H30" s="3">
        <f t="shared" ref="H30:H31" si="20">C30/SUM(C$29:C$31)</f>
        <v>8.5987261146496824E-2</v>
      </c>
      <c r="I30" s="834"/>
      <c r="J30" s="835"/>
      <c r="K30" s="837"/>
      <c r="L30" s="838"/>
    </row>
    <row r="31" spans="1:12" x14ac:dyDescent="0.25">
      <c r="A31" s="12"/>
      <c r="B31" s="1" t="s">
        <v>171</v>
      </c>
      <c r="C31" s="4">
        <v>3.9800000000000002E-2</v>
      </c>
      <c r="D31" s="638">
        <v>1.6729999999999998E-2</v>
      </c>
      <c r="E31" s="22">
        <v>3.8863286778999999</v>
      </c>
      <c r="F31" s="11">
        <v>0.2532757021516</v>
      </c>
      <c r="G31" s="23">
        <v>43.212447798930832</v>
      </c>
      <c r="H31" s="3">
        <f t="shared" si="20"/>
        <v>0.63375796178343957</v>
      </c>
      <c r="I31" s="834"/>
      <c r="J31" s="835"/>
      <c r="K31" s="837"/>
      <c r="L31" s="838"/>
    </row>
    <row r="32" spans="1:12" x14ac:dyDescent="0.25">
      <c r="A32" s="12" t="s">
        <v>55</v>
      </c>
      <c r="B32" s="1" t="s">
        <v>172</v>
      </c>
      <c r="C32" s="4">
        <v>2.52E-2</v>
      </c>
      <c r="D32" s="638">
        <v>7.0749999999999993E-2</v>
      </c>
      <c r="E32" s="22">
        <v>4.0151718949999999</v>
      </c>
      <c r="F32" s="11">
        <v>0.9583271969160001</v>
      </c>
      <c r="G32" s="24">
        <v>141.82535866243251</v>
      </c>
      <c r="H32" s="3">
        <f>C32/SUM(C$32:C$34)</f>
        <v>0.20355411954765754</v>
      </c>
      <c r="I32" s="834">
        <f>D32*$H32+D33*$H33+D34*$H34</f>
        <v>7.370317447495961E-2</v>
      </c>
      <c r="J32" s="835">
        <f t="shared" ref="J32:L32" si="21">E32*$H32+E33*$H33+E34*$H34</f>
        <v>4.0155832826752826</v>
      </c>
      <c r="K32" s="835">
        <f t="shared" si="21"/>
        <v>1.0028133318292707</v>
      </c>
      <c r="L32" s="836">
        <f t="shared" si="21"/>
        <v>142.81673489712114</v>
      </c>
    </row>
    <row r="33" spans="1:12" x14ac:dyDescent="0.25">
      <c r="A33" s="12"/>
      <c r="B33" s="1" t="s">
        <v>173</v>
      </c>
      <c r="C33" s="4">
        <v>2.0299999999999999E-2</v>
      </c>
      <c r="D33" s="638">
        <v>8.201E-2</v>
      </c>
      <c r="E33" s="22">
        <v>4.0150812149999995</v>
      </c>
      <c r="F33" s="22">
        <v>1.1222853963119999</v>
      </c>
      <c r="G33" s="24">
        <v>153.54146372171485</v>
      </c>
      <c r="H33" s="3">
        <f t="shared" ref="H33:H34" si="22">C33/SUM(C$32:C$34)</f>
        <v>0.1639741518578352</v>
      </c>
      <c r="I33" s="834"/>
      <c r="J33" s="835"/>
      <c r="K33" s="835"/>
      <c r="L33" s="836"/>
    </row>
    <row r="34" spans="1:12" x14ac:dyDescent="0.25">
      <c r="A34" s="12"/>
      <c r="B34" s="1" t="s">
        <v>174</v>
      </c>
      <c r="C34" s="4">
        <v>7.8299999999999995E-2</v>
      </c>
      <c r="D34" s="638">
        <v>7.2499999999999995E-2</v>
      </c>
      <c r="E34" s="22">
        <v>4.0158458489999997</v>
      </c>
      <c r="F34" s="11">
        <v>0.98615646964300008</v>
      </c>
      <c r="G34" s="24">
        <v>140.3553132620624</v>
      </c>
      <c r="H34" s="3">
        <f t="shared" si="22"/>
        <v>0.63247172859450729</v>
      </c>
      <c r="I34" s="834"/>
      <c r="J34" s="835"/>
      <c r="K34" s="835"/>
      <c r="L34" s="836"/>
    </row>
    <row r="36" spans="1:12" x14ac:dyDescent="0.25">
      <c r="A36" s="1" t="s">
        <v>58</v>
      </c>
      <c r="B36" s="1">
        <v>1</v>
      </c>
      <c r="C36" s="1">
        <v>2</v>
      </c>
      <c r="D36" s="638">
        <v>3</v>
      </c>
      <c r="E36" s="638">
        <v>4</v>
      </c>
      <c r="F36" s="638">
        <v>5</v>
      </c>
      <c r="G36" s="638">
        <v>6</v>
      </c>
      <c r="H36" s="638"/>
      <c r="I36" s="638"/>
      <c r="J36" s="638"/>
      <c r="K36" s="638"/>
    </row>
    <row r="37" spans="1:12" x14ac:dyDescent="0.25">
      <c r="A37" s="1" t="s">
        <v>59</v>
      </c>
      <c r="B37" s="402" t="s">
        <v>60</v>
      </c>
      <c r="D37" s="638"/>
      <c r="E37" s="638"/>
      <c r="F37" s="638"/>
      <c r="G37" s="638"/>
      <c r="H37" s="638"/>
      <c r="I37" s="638"/>
      <c r="J37" s="638"/>
      <c r="K37" s="638"/>
    </row>
    <row r="38" spans="1:12" x14ac:dyDescent="0.25">
      <c r="A38" s="91" t="s">
        <v>60</v>
      </c>
      <c r="B38" s="1" t="s">
        <v>175</v>
      </c>
      <c r="C38" s="1">
        <v>0</v>
      </c>
      <c r="D38" s="23">
        <v>2.0395634643351492</v>
      </c>
      <c r="E38" s="23">
        <v>0.22238462025122496</v>
      </c>
      <c r="F38" s="23">
        <v>19.099188159688769</v>
      </c>
      <c r="G38" s="23">
        <v>1486.7509009157554</v>
      </c>
      <c r="H38" s="638"/>
      <c r="I38" s="638"/>
      <c r="J38" s="638"/>
      <c r="K38" s="638"/>
    </row>
    <row r="39" spans="1:12" x14ac:dyDescent="0.25">
      <c r="A39" s="91" t="s">
        <v>61</v>
      </c>
      <c r="B39" s="1" t="s">
        <v>156</v>
      </c>
      <c r="D39" s="23">
        <v>0.46500000000000002</v>
      </c>
      <c r="E39" s="23">
        <v>9.3133408999999997E-3</v>
      </c>
      <c r="F39" s="23">
        <v>7.8535565234769997</v>
      </c>
      <c r="G39" s="23">
        <v>275.76056694647292</v>
      </c>
      <c r="H39" s="638"/>
      <c r="I39" s="638"/>
      <c r="J39" s="638"/>
      <c r="K39" s="638"/>
    </row>
    <row r="40" spans="1:12" x14ac:dyDescent="0.25">
      <c r="A40" s="91" t="s">
        <v>62</v>
      </c>
      <c r="B40" s="1" t="s">
        <v>176</v>
      </c>
      <c r="D40" s="23">
        <f>AVERAGE(D7:D16)</f>
        <v>0.88203999999999994</v>
      </c>
      <c r="E40" s="23">
        <f t="shared" ref="E40:G40" si="23">AVERAGE(E7:E16)</f>
        <v>7.4837919490000016E-2</v>
      </c>
      <c r="F40" s="23">
        <f t="shared" si="23"/>
        <v>12.795797851201531</v>
      </c>
      <c r="G40" s="23">
        <f t="shared" si="23"/>
        <v>996.59320342198373</v>
      </c>
      <c r="H40" s="638"/>
      <c r="I40" s="638"/>
      <c r="J40" s="638"/>
      <c r="K40" s="638"/>
    </row>
    <row r="42" spans="1:12" x14ac:dyDescent="0.25">
      <c r="A42" s="91"/>
      <c r="D42" s="638"/>
      <c r="E42" s="638"/>
      <c r="F42" s="638"/>
      <c r="G42" s="638"/>
      <c r="H42" s="638"/>
      <c r="I42" s="638"/>
      <c r="J42" s="638"/>
      <c r="K42" s="638"/>
    </row>
    <row r="43" spans="1:12" x14ac:dyDescent="0.25">
      <c r="A43" s="91"/>
      <c r="D43" s="638"/>
      <c r="E43" s="638"/>
      <c r="F43" s="638"/>
      <c r="G43" s="638"/>
      <c r="H43" s="638"/>
      <c r="I43" s="638"/>
      <c r="J43" s="638"/>
      <c r="K43" s="638"/>
    </row>
    <row r="44" spans="1:12" x14ac:dyDescent="0.25">
      <c r="A44" s="91"/>
      <c r="D44" s="638"/>
      <c r="E44" s="638"/>
      <c r="F44" s="638"/>
      <c r="G44" s="638"/>
      <c r="H44" s="638"/>
      <c r="I44" s="638"/>
      <c r="J44" s="638"/>
      <c r="K44" s="638"/>
    </row>
  </sheetData>
  <mergeCells count="30">
    <mergeCell ref="D1:G1"/>
    <mergeCell ref="A2:A4"/>
    <mergeCell ref="B2:B4"/>
    <mergeCell ref="C2:C4"/>
    <mergeCell ref="I1:L1"/>
    <mergeCell ref="H2:H4"/>
    <mergeCell ref="I5:I6"/>
    <mergeCell ref="J5:J6"/>
    <mergeCell ref="K5:K6"/>
    <mergeCell ref="L5:L6"/>
    <mergeCell ref="I9:I12"/>
    <mergeCell ref="J9:J12"/>
    <mergeCell ref="K9:K12"/>
    <mergeCell ref="L9:L12"/>
    <mergeCell ref="I13:I14"/>
    <mergeCell ref="J13:J14"/>
    <mergeCell ref="K13:K14"/>
    <mergeCell ref="L13:L14"/>
    <mergeCell ref="I15:I16"/>
    <mergeCell ref="J15:J16"/>
    <mergeCell ref="K15:K16"/>
    <mergeCell ref="L15:L16"/>
    <mergeCell ref="I29:I31"/>
    <mergeCell ref="J29:J31"/>
    <mergeCell ref="K29:K31"/>
    <mergeCell ref="L29:L31"/>
    <mergeCell ref="I32:I34"/>
    <mergeCell ref="J32:J34"/>
    <mergeCell ref="K32:K34"/>
    <mergeCell ref="L32:L3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3"/>
  <sheetViews>
    <sheetView zoomScaleNormal="100" workbookViewId="0">
      <pane xSplit="1" ySplit="4" topLeftCell="B24" activePane="bottomRight" state="frozen"/>
      <selection pane="topRight" activeCell="B1" sqref="B1"/>
      <selection pane="bottomLeft" activeCell="A5" sqref="A5"/>
      <selection pane="bottomRight" activeCell="I33" sqref="I33"/>
    </sheetView>
  </sheetViews>
  <sheetFormatPr defaultColWidth="8.88671875" defaultRowHeight="11.4" x14ac:dyDescent="0.25"/>
  <cols>
    <col min="1" max="1" width="23.33203125" style="1" bestFit="1" customWidth="1"/>
    <col min="2" max="2" width="87" style="1" bestFit="1" customWidth="1"/>
    <col min="3" max="3" width="17.88671875" style="1" bestFit="1" customWidth="1"/>
    <col min="4" max="4" width="13.88671875" style="25" bestFit="1" customWidth="1"/>
    <col min="5" max="5" width="12.33203125" style="25" bestFit="1" customWidth="1"/>
    <col min="6" max="6" width="13.6640625" style="25" bestFit="1" customWidth="1"/>
    <col min="7" max="7" width="7.5546875" style="25" bestFit="1" customWidth="1"/>
    <col min="8" max="8" width="14.6640625" style="25" customWidth="1"/>
    <col min="9" max="9" width="13.88671875" style="25" bestFit="1" customWidth="1"/>
    <col min="10" max="10" width="12.33203125" style="25" bestFit="1" customWidth="1"/>
    <col min="11" max="11" width="13.6640625" style="25" bestFit="1" customWidth="1"/>
    <col min="12" max="12" width="7.5546875" style="1" bestFit="1" customWidth="1"/>
    <col min="13" max="16384" width="8.88671875" style="1"/>
  </cols>
  <sheetData>
    <row r="1" spans="1:12" x14ac:dyDescent="0.25">
      <c r="C1" s="638"/>
      <c r="D1" s="779" t="s">
        <v>0</v>
      </c>
      <c r="E1" s="779"/>
      <c r="F1" s="779"/>
      <c r="G1" s="779"/>
      <c r="H1" s="638"/>
      <c r="I1" s="779" t="s">
        <v>1</v>
      </c>
      <c r="J1" s="779"/>
      <c r="K1" s="779"/>
      <c r="L1" s="779"/>
    </row>
    <row r="2" spans="1:12" ht="11.4" customHeight="1" x14ac:dyDescent="0.25">
      <c r="A2" s="779" t="s">
        <v>2</v>
      </c>
      <c r="B2" s="779" t="s">
        <v>3</v>
      </c>
      <c r="C2" s="780" t="s">
        <v>4</v>
      </c>
      <c r="D2" s="638" t="s">
        <v>5</v>
      </c>
      <c r="E2" s="638" t="s">
        <v>6</v>
      </c>
      <c r="F2" s="638" t="s">
        <v>7</v>
      </c>
      <c r="G2" s="638" t="s">
        <v>8</v>
      </c>
      <c r="H2" s="780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25">
      <c r="A3" s="779"/>
      <c r="B3" s="779"/>
      <c r="C3" s="780"/>
      <c r="D3" s="638" t="s">
        <v>10</v>
      </c>
      <c r="E3" s="638" t="s">
        <v>11</v>
      </c>
      <c r="F3" s="638" t="s">
        <v>11</v>
      </c>
      <c r="G3" s="638" t="s">
        <v>12</v>
      </c>
      <c r="H3" s="780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x14ac:dyDescent="0.25">
      <c r="A4" s="779"/>
      <c r="B4" s="779"/>
      <c r="C4" s="780"/>
      <c r="D4" s="638" t="s">
        <v>13</v>
      </c>
      <c r="E4" s="638" t="s">
        <v>14</v>
      </c>
      <c r="F4" s="638" t="s">
        <v>14</v>
      </c>
      <c r="G4" s="638" t="s">
        <v>15</v>
      </c>
      <c r="H4" s="780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x14ac:dyDescent="0.25">
      <c r="A5" s="79" t="s">
        <v>16</v>
      </c>
      <c r="B5" s="68" t="s">
        <v>177</v>
      </c>
      <c r="C5" s="69">
        <v>1.8E-3</v>
      </c>
      <c r="D5" s="70">
        <v>0.25409999999999999</v>
      </c>
      <c r="E5" s="78">
        <v>6.4536793600000003E-2</v>
      </c>
      <c r="F5" s="71">
        <v>0.49021496881940002</v>
      </c>
      <c r="G5" s="72">
        <v>785</v>
      </c>
      <c r="H5" s="69">
        <f>C5/(C5+C6)</f>
        <v>0.11920529801324505</v>
      </c>
      <c r="I5" s="834">
        <f>D5*$H5+D6*$H6</f>
        <v>7.9094900662251666E-2</v>
      </c>
      <c r="J5" s="838">
        <f t="shared" ref="J5:L5" si="0">E5*$H5+E6*$H6</f>
        <v>14.809621479038409</v>
      </c>
      <c r="K5" s="837">
        <f t="shared" si="0"/>
        <v>0.56383284553873647</v>
      </c>
      <c r="L5" s="836">
        <f t="shared" si="0"/>
        <v>409.78145695364242</v>
      </c>
    </row>
    <row r="6" spans="1:12" x14ac:dyDescent="0.25">
      <c r="A6" s="79"/>
      <c r="B6" s="68" t="s">
        <v>178</v>
      </c>
      <c r="C6" s="69">
        <v>1.3299999999999999E-2</v>
      </c>
      <c r="D6" s="78">
        <v>5.5410000000000001E-2</v>
      </c>
      <c r="E6" s="73">
        <v>16.805196849999998</v>
      </c>
      <c r="F6" s="71">
        <v>0.57379616720000004</v>
      </c>
      <c r="G6" s="72">
        <v>359</v>
      </c>
      <c r="H6" s="69">
        <f>C6/(C5+C6)</f>
        <v>0.88079470198675502</v>
      </c>
      <c r="I6" s="834"/>
      <c r="J6" s="838"/>
      <c r="K6" s="837"/>
      <c r="L6" s="836"/>
    </row>
    <row r="7" spans="1:12" x14ac:dyDescent="0.25">
      <c r="A7" s="79" t="s">
        <v>19</v>
      </c>
      <c r="B7" s="68" t="s">
        <v>179</v>
      </c>
      <c r="C7" s="69">
        <v>7.6799999999999993E-2</v>
      </c>
      <c r="D7" s="70">
        <v>1.177</v>
      </c>
      <c r="E7" s="78">
        <v>3.94008702E-2</v>
      </c>
      <c r="F7" s="76">
        <v>9.8759120852160986</v>
      </c>
      <c r="G7" s="72">
        <v>747.93305488172098</v>
      </c>
      <c r="H7" s="69">
        <f>C7/(C7+C8)</f>
        <v>0.2105263157894737</v>
      </c>
      <c r="I7" s="835">
        <f>D7*$H7+D8*$H8</f>
        <v>1.5804210526315789</v>
      </c>
      <c r="J7" s="834">
        <f t="shared" ref="J7" si="1">E7*$H7+E8*$H8</f>
        <v>5.1975303568421061E-2</v>
      </c>
      <c r="K7" s="838">
        <f t="shared" ref="K7" si="2">F7*$H7+F8*$H8</f>
        <v>13.253254304144864</v>
      </c>
      <c r="L7" s="836">
        <f t="shared" ref="L7" si="3">G7*$H7+G8*$H8</f>
        <v>1010.0911694487834</v>
      </c>
    </row>
    <row r="8" spans="1:12" x14ac:dyDescent="0.25">
      <c r="A8" s="79"/>
      <c r="B8" s="68" t="s">
        <v>180</v>
      </c>
      <c r="C8" s="69">
        <v>0.28799999999999998</v>
      </c>
      <c r="D8" s="70">
        <v>1.6879999999999999</v>
      </c>
      <c r="E8" s="78">
        <v>5.53284858E-2</v>
      </c>
      <c r="F8" s="73">
        <v>14.153878895859201</v>
      </c>
      <c r="G8" s="72">
        <v>1080</v>
      </c>
      <c r="H8" s="69">
        <f>C8/(C7+C8)</f>
        <v>0.78947368421052633</v>
      </c>
      <c r="I8" s="835"/>
      <c r="J8" s="834"/>
      <c r="K8" s="838"/>
      <c r="L8" s="836"/>
    </row>
    <row r="9" spans="1:12" x14ac:dyDescent="0.25">
      <c r="A9" s="79" t="s">
        <v>21</v>
      </c>
      <c r="B9" s="14" t="s">
        <v>181</v>
      </c>
      <c r="C9" s="17">
        <v>2.8999999999999998E-3</v>
      </c>
      <c r="D9" s="70">
        <v>1.246</v>
      </c>
      <c r="E9" s="71">
        <v>0.337010109</v>
      </c>
      <c r="F9" s="73">
        <v>27.784900509465999</v>
      </c>
      <c r="G9" s="72">
        <v>2780</v>
      </c>
      <c r="H9" s="74">
        <v>1</v>
      </c>
      <c r="I9" s="29">
        <f>D9*$H9</f>
        <v>1.246</v>
      </c>
      <c r="J9" s="646">
        <f t="shared" ref="J9:L9" si="4">E9*$H9</f>
        <v>0.337010109</v>
      </c>
      <c r="K9" s="645">
        <f t="shared" si="4"/>
        <v>27.784900509465999</v>
      </c>
      <c r="L9" s="29">
        <f t="shared" si="4"/>
        <v>2780</v>
      </c>
    </row>
    <row r="10" spans="1:12" x14ac:dyDescent="0.25">
      <c r="A10" s="79" t="s">
        <v>22</v>
      </c>
      <c r="B10" s="68" t="s">
        <v>182</v>
      </c>
      <c r="C10" s="69">
        <v>3.5000000000000001E-3</v>
      </c>
      <c r="D10" s="70">
        <v>0.47120000000000001</v>
      </c>
      <c r="E10" s="75">
        <v>8.1941981699999999E-3</v>
      </c>
      <c r="F10" s="76">
        <v>8.2538253393459993</v>
      </c>
      <c r="G10" s="72">
        <v>288.00448022060016</v>
      </c>
      <c r="H10" s="77">
        <f>C10/SUM(C$10:C$12)</f>
        <v>9.722222222222221E-2</v>
      </c>
      <c r="I10" s="837">
        <f>D10*$H10+D11*$H11+D12*$H12</f>
        <v>0.7804647222222223</v>
      </c>
      <c r="J10" s="834">
        <f t="shared" ref="J10:L10" si="5">E10*$H10+E11*$H11+E12*$H12</f>
        <v>1.3613690185416668E-2</v>
      </c>
      <c r="K10" s="838">
        <f t="shared" si="5"/>
        <v>13.477014374545105</v>
      </c>
      <c r="L10" s="836">
        <f t="shared" si="5"/>
        <v>480.65119635349794</v>
      </c>
    </row>
    <row r="11" spans="1:12" x14ac:dyDescent="0.25">
      <c r="A11" s="79"/>
      <c r="B11" s="68" t="s">
        <v>183</v>
      </c>
      <c r="C11" s="69">
        <v>1.49E-2</v>
      </c>
      <c r="D11" s="70">
        <v>0.74050000000000005</v>
      </c>
      <c r="E11" s="78">
        <v>1.1189961200000001E-2</v>
      </c>
      <c r="F11" s="73">
        <v>12.529524053943998</v>
      </c>
      <c r="G11" s="72">
        <v>449.57342832754279</v>
      </c>
      <c r="H11" s="77">
        <f t="shared" ref="H11:H12" si="6">C11/SUM(C$10:C$12)</f>
        <v>0.41388888888888886</v>
      </c>
      <c r="I11" s="837"/>
      <c r="J11" s="834"/>
      <c r="K11" s="838"/>
      <c r="L11" s="836"/>
    </row>
    <row r="12" spans="1:12" x14ac:dyDescent="0.25">
      <c r="A12" s="79"/>
      <c r="B12" s="68" t="s">
        <v>184</v>
      </c>
      <c r="C12" s="69">
        <v>1.7600000000000001E-2</v>
      </c>
      <c r="D12" s="70">
        <v>0.87580000000000002</v>
      </c>
      <c r="E12" s="78">
        <v>1.6743337E-2</v>
      </c>
      <c r="F12" s="73">
        <v>15.317853431372001</v>
      </c>
      <c r="G12" s="72">
        <v>545.27177874280892</v>
      </c>
      <c r="H12" s="77">
        <f t="shared" si="6"/>
        <v>0.48888888888888887</v>
      </c>
      <c r="I12" s="837"/>
      <c r="J12" s="834"/>
      <c r="K12" s="838"/>
      <c r="L12" s="836"/>
    </row>
    <row r="13" spans="1:12" x14ac:dyDescent="0.25">
      <c r="A13" s="79" t="s">
        <v>27</v>
      </c>
      <c r="B13" s="68" t="s">
        <v>185</v>
      </c>
      <c r="C13" s="69">
        <v>2.37325369008244E-2</v>
      </c>
      <c r="D13" s="70">
        <v>1.181</v>
      </c>
      <c r="E13" s="71">
        <v>0.14574073240000002</v>
      </c>
      <c r="F13" s="73">
        <v>12.517251145481</v>
      </c>
      <c r="G13" s="72">
        <v>807.04851414407301</v>
      </c>
      <c r="H13" s="69">
        <f>C13/(C13+C14)</f>
        <v>0.33839552866004236</v>
      </c>
      <c r="I13" s="835">
        <f>D13*$H13+D14*$H14</f>
        <v>1.4807068255170006</v>
      </c>
      <c r="J13" s="837">
        <f t="shared" ref="J13" si="7">E13*$H13+E14*$H14</f>
        <v>0.1823107966272054</v>
      </c>
      <c r="K13" s="838">
        <f t="shared" ref="K13" si="8">F13*$H13+F14*$H14</f>
        <v>15.694010965486523</v>
      </c>
      <c r="L13" s="836">
        <f t="shared" ref="L13" si="9">G13*$H13+G14*$H14</f>
        <v>1020.7146612122375</v>
      </c>
    </row>
    <row r="14" spans="1:12" x14ac:dyDescent="0.25">
      <c r="A14" s="79"/>
      <c r="B14" s="68" t="s">
        <v>186</v>
      </c>
      <c r="C14" s="69">
        <v>4.6399999999999997E-2</v>
      </c>
      <c r="D14" s="70">
        <v>1.6339999999999999</v>
      </c>
      <c r="E14" s="71">
        <v>0.20101554659999998</v>
      </c>
      <c r="F14" s="73">
        <v>17.318850828704999</v>
      </c>
      <c r="G14" s="72">
        <v>1130</v>
      </c>
      <c r="H14" s="69">
        <f>C14/(C13+C14)</f>
        <v>0.6616044713399577</v>
      </c>
      <c r="I14" s="835"/>
      <c r="J14" s="837"/>
      <c r="K14" s="838"/>
      <c r="L14" s="836"/>
    </row>
    <row r="15" spans="1:12" x14ac:dyDescent="0.25">
      <c r="A15" s="79" t="s">
        <v>30</v>
      </c>
      <c r="B15" s="68" t="s">
        <v>187</v>
      </c>
      <c r="C15" s="69">
        <v>2.3448684405390701E-4</v>
      </c>
      <c r="D15" s="70">
        <v>1.0309999999999999</v>
      </c>
      <c r="E15" s="78">
        <v>5.3849295700000001E-2</v>
      </c>
      <c r="F15" s="73">
        <v>15.846973902493001</v>
      </c>
      <c r="G15" s="72">
        <v>954</v>
      </c>
      <c r="H15" s="69">
        <f>C15/(C15+C16)</f>
        <v>0.20668978691370793</v>
      </c>
      <c r="I15" s="835">
        <f>D15*$H15+D16*$H16</f>
        <v>1.3824364243972274</v>
      </c>
      <c r="J15" s="834">
        <f t="shared" ref="J15" si="10">E15*$H15+E16*$H16</f>
        <v>7.2218104363778388E-2</v>
      </c>
      <c r="K15" s="838">
        <f t="shared" ref="K15" si="11">F15*$H15+F16*$H16</f>
        <v>21.252615457337505</v>
      </c>
      <c r="L15" s="836">
        <f t="shared" ref="L15" si="12">G15*$H15+G16*$H16</f>
        <v>1291.9501507747605</v>
      </c>
    </row>
    <row r="16" spans="1:12" x14ac:dyDescent="0.25">
      <c r="A16" s="79"/>
      <c r="B16" s="68" t="s">
        <v>188</v>
      </c>
      <c r="C16" s="69">
        <v>8.9999999999999998E-4</v>
      </c>
      <c r="D16" s="70">
        <v>1.474</v>
      </c>
      <c r="E16" s="78">
        <v>7.7003930999999998E-2</v>
      </c>
      <c r="F16" s="73">
        <v>22.661006377650999</v>
      </c>
      <c r="G16" s="72">
        <v>1380</v>
      </c>
      <c r="H16" s="69">
        <f>C16/(C15+C16)</f>
        <v>0.79331021308629213</v>
      </c>
      <c r="I16" s="835"/>
      <c r="J16" s="834"/>
      <c r="K16" s="838"/>
      <c r="L16" s="836"/>
    </row>
    <row r="17" spans="1:12" x14ac:dyDescent="0.25">
      <c r="A17" s="80" t="s">
        <v>33</v>
      </c>
      <c r="B17" s="18" t="s">
        <v>20</v>
      </c>
      <c r="C17" s="21" t="s">
        <v>20</v>
      </c>
      <c r="D17" s="19" t="s">
        <v>20</v>
      </c>
      <c r="E17" s="19" t="s">
        <v>20</v>
      </c>
      <c r="F17" s="19" t="s">
        <v>20</v>
      </c>
      <c r="G17" s="19" t="s">
        <v>20</v>
      </c>
      <c r="H17" s="19" t="s">
        <v>20</v>
      </c>
      <c r="I17" s="19" t="s">
        <v>20</v>
      </c>
      <c r="J17" s="19" t="s">
        <v>20</v>
      </c>
      <c r="K17" s="19" t="s">
        <v>20</v>
      </c>
      <c r="L17" s="20" t="s">
        <v>20</v>
      </c>
    </row>
    <row r="18" spans="1:12" x14ac:dyDescent="0.25">
      <c r="A18" s="80" t="s">
        <v>34</v>
      </c>
      <c r="B18" s="18" t="s">
        <v>20</v>
      </c>
      <c r="C18" s="21" t="s">
        <v>20</v>
      </c>
      <c r="D18" s="19" t="s">
        <v>20</v>
      </c>
      <c r="E18" s="19" t="s">
        <v>20</v>
      </c>
      <c r="F18" s="19" t="s">
        <v>20</v>
      </c>
      <c r="G18" s="19" t="s">
        <v>20</v>
      </c>
      <c r="H18" s="19" t="s">
        <v>20</v>
      </c>
      <c r="I18" s="19" t="s">
        <v>20</v>
      </c>
      <c r="J18" s="19" t="s">
        <v>20</v>
      </c>
      <c r="K18" s="19" t="s">
        <v>20</v>
      </c>
      <c r="L18" s="20" t="s">
        <v>20</v>
      </c>
    </row>
    <row r="19" spans="1:12" x14ac:dyDescent="0.25">
      <c r="A19" s="80" t="s">
        <v>35</v>
      </c>
      <c r="B19" s="18" t="s">
        <v>20</v>
      </c>
      <c r="C19" s="21" t="s">
        <v>20</v>
      </c>
      <c r="D19" s="19">
        <v>6.7299999999999999E-2</v>
      </c>
      <c r="E19" s="81" t="s">
        <v>20</v>
      </c>
      <c r="F19" s="82" t="s">
        <v>20</v>
      </c>
      <c r="G19" s="83" t="s">
        <v>20</v>
      </c>
      <c r="H19" s="33" t="s">
        <v>20</v>
      </c>
      <c r="I19" s="19">
        <f>D19</f>
        <v>6.7299999999999999E-2</v>
      </c>
      <c r="J19" s="81" t="s">
        <v>20</v>
      </c>
      <c r="K19" s="82" t="s">
        <v>20</v>
      </c>
      <c r="L19" s="83" t="s">
        <v>20</v>
      </c>
    </row>
    <row r="20" spans="1:12" x14ac:dyDescent="0.25">
      <c r="A20" s="79" t="s">
        <v>38</v>
      </c>
      <c r="B20" s="68" t="s">
        <v>189</v>
      </c>
      <c r="C20" s="69">
        <v>1.37E-2</v>
      </c>
      <c r="D20" s="70">
        <v>1.296</v>
      </c>
      <c r="E20" s="71">
        <v>0.81359603000000003</v>
      </c>
      <c r="F20" s="73">
        <v>17.329135583955001</v>
      </c>
      <c r="G20" s="72">
        <v>918.72793210158522</v>
      </c>
      <c r="H20" s="74">
        <v>1</v>
      </c>
      <c r="I20" s="29">
        <f>D20*$H20</f>
        <v>1.296</v>
      </c>
      <c r="J20" s="646">
        <f t="shared" ref="J20:J22" si="13">E20*$H20</f>
        <v>0.81359603000000003</v>
      </c>
      <c r="K20" s="645">
        <f t="shared" ref="K20:K22" si="14">F20*$H20</f>
        <v>17.329135583955001</v>
      </c>
      <c r="L20" s="647">
        <f t="shared" ref="L20:L22" si="15">G20*$H20</f>
        <v>918.72793210158522</v>
      </c>
    </row>
    <row r="21" spans="1:12" x14ac:dyDescent="0.25">
      <c r="A21" s="79" t="s">
        <v>40</v>
      </c>
      <c r="B21" s="68" t="s">
        <v>190</v>
      </c>
      <c r="C21" s="69">
        <v>1.11E-2</v>
      </c>
      <c r="D21" s="70">
        <v>3.8440000000000002E-3</v>
      </c>
      <c r="E21" s="76">
        <v>3.7930434521199996</v>
      </c>
      <c r="F21" s="78">
        <v>4.3335246012200006E-2</v>
      </c>
      <c r="G21" s="73">
        <v>11.914536642724553</v>
      </c>
      <c r="H21" s="74">
        <v>1</v>
      </c>
      <c r="I21" s="29">
        <f>D21*$H21</f>
        <v>3.8440000000000002E-3</v>
      </c>
      <c r="J21" s="648">
        <f t="shared" si="13"/>
        <v>3.7930434521199996</v>
      </c>
      <c r="K21" s="644">
        <f t="shared" si="14"/>
        <v>4.3335246012200006E-2</v>
      </c>
      <c r="L21" s="645">
        <f t="shared" si="15"/>
        <v>11.914536642724553</v>
      </c>
    </row>
    <row r="22" spans="1:12" x14ac:dyDescent="0.25">
      <c r="A22" s="79" t="s">
        <v>42</v>
      </c>
      <c r="B22" s="68" t="s">
        <v>191</v>
      </c>
      <c r="C22" s="69">
        <v>3.7000000000000002E-3</v>
      </c>
      <c r="D22" s="70">
        <v>5.0389999999999997E-2</v>
      </c>
      <c r="E22" s="76">
        <v>3.7941413281699998</v>
      </c>
      <c r="F22" s="78">
        <v>5.8195800672070003E-2</v>
      </c>
      <c r="G22" s="73">
        <v>38.375616951476502</v>
      </c>
      <c r="H22" s="74">
        <v>1</v>
      </c>
      <c r="I22" s="644">
        <f>D22*$H22</f>
        <v>5.0389999999999997E-2</v>
      </c>
      <c r="J22" s="648">
        <f t="shared" si="13"/>
        <v>3.7941413281699998</v>
      </c>
      <c r="K22" s="644">
        <f t="shared" si="14"/>
        <v>5.8195800672070003E-2</v>
      </c>
      <c r="L22" s="645">
        <f t="shared" si="15"/>
        <v>38.375616951476502</v>
      </c>
    </row>
    <row r="23" spans="1:12" x14ac:dyDescent="0.25">
      <c r="A23" s="80" t="s">
        <v>44</v>
      </c>
      <c r="B23" s="18" t="s">
        <v>20</v>
      </c>
      <c r="C23" s="21" t="s">
        <v>20</v>
      </c>
      <c r="D23" s="19" t="s">
        <v>20</v>
      </c>
      <c r="E23" s="19" t="s">
        <v>20</v>
      </c>
      <c r="F23" s="19" t="s">
        <v>20</v>
      </c>
      <c r="G23" s="19" t="s">
        <v>20</v>
      </c>
      <c r="H23" s="19" t="s">
        <v>20</v>
      </c>
      <c r="I23" s="19" t="s">
        <v>20</v>
      </c>
      <c r="J23" s="19" t="s">
        <v>20</v>
      </c>
      <c r="K23" s="19" t="s">
        <v>20</v>
      </c>
      <c r="L23" s="20" t="s">
        <v>20</v>
      </c>
    </row>
    <row r="24" spans="1:12" x14ac:dyDescent="0.25">
      <c r="A24" s="79" t="s">
        <v>45</v>
      </c>
      <c r="B24" s="68" t="s">
        <v>192</v>
      </c>
      <c r="C24" s="69">
        <v>0.316</v>
      </c>
      <c r="D24" s="70">
        <v>6.43E-3</v>
      </c>
      <c r="E24" s="78">
        <v>1.97308645E-2</v>
      </c>
      <c r="F24" s="73">
        <v>13.400756730446501</v>
      </c>
      <c r="G24" s="72">
        <v>313.43634152708705</v>
      </c>
      <c r="H24" s="74">
        <v>1</v>
      </c>
      <c r="I24" s="29">
        <f>D24*$H24</f>
        <v>6.43E-3</v>
      </c>
      <c r="J24" s="644">
        <f t="shared" ref="J24:J27" si="16">E24*$H24</f>
        <v>1.97308645E-2</v>
      </c>
      <c r="K24" s="645">
        <f t="shared" ref="K24:K27" si="17">F24*$H24</f>
        <v>13.400756730446501</v>
      </c>
      <c r="L24" s="647">
        <f t="shared" ref="L24:L27" si="18">G24*$H24</f>
        <v>313.43634152708705</v>
      </c>
    </row>
    <row r="25" spans="1:12" x14ac:dyDescent="0.25">
      <c r="A25" s="79" t="s">
        <v>46</v>
      </c>
      <c r="B25" s="15" t="str">
        <f>IF(B35=A36,B36,IF(B35=A37,B37,IF(B35=A38,B38,"")))</f>
        <v>Electricity, high voltage {BG}| electricity production, hard coal | Cut-off, U</v>
      </c>
      <c r="C25" s="28" t="s">
        <v>37</v>
      </c>
      <c r="D25" s="46">
        <f>VLOOKUP($B25,$B36:$G38,D34,FALSE)</f>
        <v>2.0395634643351492</v>
      </c>
      <c r="E25" s="46">
        <f>VLOOKUP($B25,$B36:$G38,E34,FALSE)</f>
        <v>0.22238462025122496</v>
      </c>
      <c r="F25" s="46">
        <f>VLOOKUP($B25,$B36:$G38,F34,FALSE)</f>
        <v>19.099188159688769</v>
      </c>
      <c r="G25" s="46">
        <f>VLOOKUP($B25,$B36:$G38,G34,FALSE)</f>
        <v>1486.7509009157554</v>
      </c>
      <c r="H25" s="74">
        <v>1</v>
      </c>
      <c r="I25" s="29">
        <f>D25*$H25</f>
        <v>2.0395634643351492</v>
      </c>
      <c r="J25" s="646">
        <f t="shared" si="16"/>
        <v>0.22238462025122496</v>
      </c>
      <c r="K25" s="645">
        <f t="shared" si="17"/>
        <v>19.099188159688769</v>
      </c>
      <c r="L25" s="647">
        <f t="shared" si="18"/>
        <v>1486.7509009157554</v>
      </c>
    </row>
    <row r="26" spans="1:12" x14ac:dyDescent="0.25">
      <c r="A26" s="79" t="s">
        <v>47</v>
      </c>
      <c r="B26" s="15" t="str">
        <f>IF(B40=A41,B41,IF(B40=A42,B42,IF(B40=A43,B43,"")))</f>
        <v>Electricity, low voltage {CH}| electricity production, photovoltaic, 3kWp facade installation, single-Si, panel, mounted | Cut-off, U</v>
      </c>
      <c r="C26" s="28" t="s">
        <v>37</v>
      </c>
      <c r="D26" s="46">
        <f>VLOOKUP($B26,$B41:$G43,D34,FALSE)</f>
        <v>0.14799999999999999</v>
      </c>
      <c r="E26" s="46">
        <f t="shared" ref="E26:G26" si="19">VLOOKUP($B26,$B41:$G43,E34,FALSE)</f>
        <v>4.122755626</v>
      </c>
      <c r="F26" s="46">
        <f t="shared" si="19"/>
        <v>1.8555277997859998</v>
      </c>
      <c r="G26" s="46">
        <f t="shared" si="19"/>
        <v>252.0720348641037</v>
      </c>
      <c r="H26" s="74">
        <v>1</v>
      </c>
      <c r="I26" s="29">
        <f>D26*$H26</f>
        <v>0.14799999999999999</v>
      </c>
      <c r="J26" s="648">
        <f t="shared" si="16"/>
        <v>4.122755626</v>
      </c>
      <c r="K26" s="648">
        <f t="shared" si="17"/>
        <v>1.8555277997859998</v>
      </c>
      <c r="L26" s="647">
        <f t="shared" si="18"/>
        <v>252.0720348641037</v>
      </c>
    </row>
    <row r="27" spans="1:12" x14ac:dyDescent="0.25">
      <c r="A27" s="79" t="s">
        <v>48</v>
      </c>
      <c r="B27" s="14" t="s">
        <v>193</v>
      </c>
      <c r="C27" s="17" t="s">
        <v>37</v>
      </c>
      <c r="D27" s="70">
        <v>0</v>
      </c>
      <c r="E27" s="70">
        <v>0</v>
      </c>
      <c r="F27" s="70">
        <v>0</v>
      </c>
      <c r="G27" s="70">
        <v>0</v>
      </c>
      <c r="H27" s="74">
        <v>1</v>
      </c>
      <c r="I27" s="29">
        <f>D27*$H27</f>
        <v>0</v>
      </c>
      <c r="J27" s="29">
        <f t="shared" si="16"/>
        <v>0</v>
      </c>
      <c r="K27" s="29">
        <f t="shared" si="17"/>
        <v>0</v>
      </c>
      <c r="L27" s="29">
        <f t="shared" si="18"/>
        <v>0</v>
      </c>
    </row>
    <row r="28" spans="1:12" x14ac:dyDescent="0.25">
      <c r="A28" s="80" t="s">
        <v>50</v>
      </c>
      <c r="B28" s="18" t="s">
        <v>20</v>
      </c>
      <c r="C28" s="21" t="s">
        <v>20</v>
      </c>
      <c r="D28" s="19" t="s">
        <v>20</v>
      </c>
      <c r="E28" s="19" t="s">
        <v>20</v>
      </c>
      <c r="F28" s="19" t="s">
        <v>20</v>
      </c>
      <c r="G28" s="19" t="s">
        <v>20</v>
      </c>
      <c r="H28" s="19" t="s">
        <v>20</v>
      </c>
      <c r="I28" s="19" t="s">
        <v>20</v>
      </c>
      <c r="J28" s="19" t="s">
        <v>20</v>
      </c>
      <c r="K28" s="19" t="s">
        <v>20</v>
      </c>
      <c r="L28" s="20" t="s">
        <v>20</v>
      </c>
    </row>
    <row r="29" spans="1:12" x14ac:dyDescent="0.25">
      <c r="A29" s="79" t="s">
        <v>51</v>
      </c>
      <c r="B29" s="68" t="s">
        <v>194</v>
      </c>
      <c r="C29" s="69">
        <v>8.0000000000000004E-4</v>
      </c>
      <c r="D29" s="70">
        <v>1.6389999999999998E-2</v>
      </c>
      <c r="E29" s="76">
        <v>3.8888381276000006</v>
      </c>
      <c r="F29" s="71">
        <v>0.22859265724819999</v>
      </c>
      <c r="G29" s="73">
        <v>42.5</v>
      </c>
      <c r="H29" s="69">
        <f>C29/(C29+C30)</f>
        <v>0.11428571428571428</v>
      </c>
      <c r="I29" s="837">
        <f>D29*$H29+D30*$H30</f>
        <v>1.7116285714285712E-2</v>
      </c>
      <c r="J29" s="835">
        <f t="shared" ref="J29" si="20">E29*$H29+E30*$H30</f>
        <v>3.8870334284114283</v>
      </c>
      <c r="K29" s="837">
        <f t="shared" ref="K29" si="21">F29*$H29+F30*$H30</f>
        <v>0.25693828017474285</v>
      </c>
      <c r="L29" s="838">
        <f t="shared" ref="L29" si="22">G29*$H29+G30*$H30</f>
        <v>44.094285714285704</v>
      </c>
    </row>
    <row r="30" spans="1:12" x14ac:dyDescent="0.25">
      <c r="A30" s="79"/>
      <c r="B30" s="68" t="s">
        <v>195</v>
      </c>
      <c r="C30" s="69">
        <v>6.1999999999999998E-3</v>
      </c>
      <c r="D30" s="78">
        <v>1.721E-2</v>
      </c>
      <c r="E30" s="76">
        <v>3.8868005640000001</v>
      </c>
      <c r="F30" s="71">
        <v>0.26059577990720001</v>
      </c>
      <c r="G30" s="73">
        <v>44.3</v>
      </c>
      <c r="H30" s="69">
        <f>C30/(C29+C30)</f>
        <v>0.88571428571428568</v>
      </c>
      <c r="I30" s="837"/>
      <c r="J30" s="835"/>
      <c r="K30" s="837"/>
      <c r="L30" s="838"/>
    </row>
    <row r="31" spans="1:12" x14ac:dyDescent="0.25">
      <c r="A31" s="79" t="s">
        <v>55</v>
      </c>
      <c r="B31" s="14" t="s">
        <v>196</v>
      </c>
      <c r="C31" s="17">
        <v>3.2199999999999999E-2</v>
      </c>
      <c r="D31" s="70">
        <v>0.1013</v>
      </c>
      <c r="E31" s="76">
        <v>4.086462247</v>
      </c>
      <c r="F31" s="76">
        <v>1.3727059236950001</v>
      </c>
      <c r="G31" s="72">
        <v>201</v>
      </c>
      <c r="H31" s="87">
        <v>0.5</v>
      </c>
      <c r="I31" s="837">
        <f>D31*$H31+D32*$H32</f>
        <v>0.1094</v>
      </c>
      <c r="J31" s="835">
        <f t="shared" ref="J31" si="23">E31*$H31+E32*$H32</f>
        <v>4.0863972574999998</v>
      </c>
      <c r="K31" s="835">
        <f t="shared" ref="K31" si="24">F31*$H31+F32*$H32</f>
        <v>1.4901325804429999</v>
      </c>
      <c r="L31" s="836">
        <f t="shared" ref="L31" si="25">G31*$H31+G32*$H32</f>
        <v>209.5</v>
      </c>
    </row>
    <row r="32" spans="1:12" x14ac:dyDescent="0.25">
      <c r="A32" s="12"/>
      <c r="B32" s="14" t="s">
        <v>197</v>
      </c>
      <c r="C32" s="17">
        <v>2.58E-2</v>
      </c>
      <c r="D32" s="70">
        <v>0.11749999999999999</v>
      </c>
      <c r="E32" s="76">
        <v>4.0863322680000005</v>
      </c>
      <c r="F32" s="76">
        <v>1.6075592371909999</v>
      </c>
      <c r="G32" s="72">
        <v>218</v>
      </c>
      <c r="H32" s="87">
        <v>0.5</v>
      </c>
      <c r="I32" s="837"/>
      <c r="J32" s="835"/>
      <c r="K32" s="835"/>
      <c r="L32" s="836"/>
    </row>
    <row r="33" spans="1:12" x14ac:dyDescent="0.25">
      <c r="A33" s="68"/>
      <c r="B33" s="68"/>
      <c r="C33" s="69"/>
      <c r="D33" s="70"/>
      <c r="E33" s="76"/>
      <c r="F33" s="71"/>
      <c r="G33" s="72"/>
      <c r="H33" s="77"/>
      <c r="I33" s="84"/>
      <c r="J33" s="85"/>
      <c r="K33" s="85"/>
      <c r="L33" s="86"/>
    </row>
    <row r="34" spans="1:12" x14ac:dyDescent="0.25">
      <c r="A34" s="1" t="s">
        <v>58</v>
      </c>
      <c r="B34" s="1">
        <v>1</v>
      </c>
      <c r="C34" s="1">
        <v>2</v>
      </c>
      <c r="D34" s="638">
        <v>3</v>
      </c>
      <c r="E34" s="638">
        <v>4</v>
      </c>
      <c r="F34" s="638">
        <v>5</v>
      </c>
      <c r="G34" s="638">
        <v>6</v>
      </c>
      <c r="H34" s="638"/>
      <c r="I34" s="638"/>
      <c r="J34" s="638"/>
      <c r="K34" s="638"/>
    </row>
    <row r="35" spans="1:12" x14ac:dyDescent="0.25">
      <c r="A35" s="1" t="s">
        <v>59</v>
      </c>
      <c r="B35" s="402" t="s">
        <v>60</v>
      </c>
      <c r="D35" s="638"/>
      <c r="E35" s="638"/>
      <c r="F35" s="638"/>
      <c r="G35" s="638"/>
      <c r="H35" s="638"/>
      <c r="I35" s="638"/>
      <c r="J35" s="638"/>
      <c r="K35" s="638"/>
    </row>
    <row r="36" spans="1:12" x14ac:dyDescent="0.25">
      <c r="A36" s="91" t="s">
        <v>60</v>
      </c>
      <c r="B36" s="68" t="s">
        <v>175</v>
      </c>
      <c r="C36" s="1">
        <v>0</v>
      </c>
      <c r="D36" s="23">
        <v>2.0395634643351492</v>
      </c>
      <c r="E36" s="23">
        <v>0.22238462025122496</v>
      </c>
      <c r="F36" s="23">
        <v>19.099188159688769</v>
      </c>
      <c r="G36" s="23">
        <v>1486.7509009157554</v>
      </c>
      <c r="H36" s="638"/>
      <c r="I36" s="638"/>
      <c r="J36" s="638"/>
      <c r="K36" s="638"/>
    </row>
    <row r="37" spans="1:12" x14ac:dyDescent="0.25">
      <c r="A37" s="91" t="s">
        <v>61</v>
      </c>
      <c r="B37" s="68" t="s">
        <v>182</v>
      </c>
      <c r="C37" s="69"/>
      <c r="D37" s="70">
        <v>0.47799999999999998</v>
      </c>
      <c r="E37" s="75">
        <v>8.1941981699999999E-3</v>
      </c>
      <c r="F37" s="76">
        <v>8.2538253393459993</v>
      </c>
      <c r="G37" s="72">
        <v>288.00448022060016</v>
      </c>
      <c r="H37" s="638"/>
      <c r="I37" s="638"/>
      <c r="J37" s="638"/>
      <c r="K37" s="638"/>
    </row>
    <row r="38" spans="1:12" x14ac:dyDescent="0.25">
      <c r="A38" s="91" t="s">
        <v>62</v>
      </c>
      <c r="B38" s="1" t="s">
        <v>198</v>
      </c>
      <c r="D38" s="11">
        <f>AVERAGE(D7:D16)</f>
        <v>1.15185</v>
      </c>
      <c r="E38" s="11">
        <f t="shared" ref="E38:G38" si="26">AVERAGE(E7:E16)</f>
        <v>9.4547646706999999E-2</v>
      </c>
      <c r="F38" s="11">
        <f t="shared" si="26"/>
        <v>15.625997656953331</v>
      </c>
      <c r="G38" s="11">
        <f t="shared" si="26"/>
        <v>1016.1831256316746</v>
      </c>
      <c r="H38" s="638"/>
      <c r="I38" s="638"/>
      <c r="J38" s="638"/>
      <c r="K38" s="638"/>
    </row>
    <row r="39" spans="1:12" x14ac:dyDescent="0.25">
      <c r="A39" s="1" t="s">
        <v>130</v>
      </c>
      <c r="D39" s="638"/>
      <c r="E39" s="638"/>
      <c r="F39" s="638"/>
      <c r="G39" s="638"/>
      <c r="H39" s="638"/>
      <c r="I39" s="638"/>
      <c r="J39" s="638"/>
      <c r="K39" s="638"/>
    </row>
    <row r="40" spans="1:12" x14ac:dyDescent="0.25">
      <c r="A40" s="1" t="s">
        <v>59</v>
      </c>
      <c r="B40" s="402" t="s">
        <v>60</v>
      </c>
      <c r="D40" s="638"/>
      <c r="E40" s="638"/>
      <c r="F40" s="638"/>
      <c r="G40" s="638"/>
      <c r="H40" s="638"/>
      <c r="I40" s="638"/>
      <c r="J40" s="638"/>
      <c r="K40" s="638"/>
    </row>
    <row r="41" spans="1:12" x14ac:dyDescent="0.25">
      <c r="A41" s="91" t="s">
        <v>60</v>
      </c>
      <c r="B41" s="1" t="s">
        <v>89</v>
      </c>
      <c r="D41" s="638">
        <v>0.14799999999999999</v>
      </c>
      <c r="E41" s="638">
        <v>4.122755626</v>
      </c>
      <c r="F41" s="638">
        <v>1.8555277997859998</v>
      </c>
      <c r="G41" s="638">
        <v>252.0720348641037</v>
      </c>
      <c r="H41" s="638"/>
      <c r="I41" s="638"/>
      <c r="J41" s="638"/>
      <c r="K41" s="638"/>
    </row>
    <row r="42" spans="1:12" x14ac:dyDescent="0.25">
      <c r="A42" s="91" t="s">
        <v>61</v>
      </c>
      <c r="B42" s="68" t="str">
        <f>B21</f>
        <v>Electricity, high voltage {CZ}| electricity production, hydro, run-of-river | Cut-off, U</v>
      </c>
      <c r="C42" s="68"/>
      <c r="D42" s="68">
        <f t="shared" ref="D42:G42" si="27">D21</f>
        <v>3.8440000000000002E-3</v>
      </c>
      <c r="E42" s="68">
        <f t="shared" si="27"/>
        <v>3.7930434521199996</v>
      </c>
      <c r="F42" s="68">
        <f t="shared" si="27"/>
        <v>4.3335246012200006E-2</v>
      </c>
      <c r="G42" s="68">
        <f t="shared" si="27"/>
        <v>11.914536642724553</v>
      </c>
      <c r="H42" s="638"/>
      <c r="I42" s="638"/>
      <c r="J42" s="638"/>
      <c r="K42" s="638"/>
    </row>
    <row r="43" spans="1:12" x14ac:dyDescent="0.25">
      <c r="A43" s="91" t="s">
        <v>62</v>
      </c>
      <c r="B43" s="1" t="s">
        <v>199</v>
      </c>
      <c r="D43" s="638">
        <f>AVERAGE(D29:D32,D21:D22)</f>
        <v>5.110566666666666E-2</v>
      </c>
      <c r="E43" s="679">
        <f t="shared" ref="E43:G43" si="28">AVERAGE(E29:E32,E21:E22)</f>
        <v>3.9226029978149999</v>
      </c>
      <c r="F43" s="679">
        <f t="shared" si="28"/>
        <v>0.59516410745427828</v>
      </c>
      <c r="G43" s="679">
        <f t="shared" si="28"/>
        <v>92.681692265700164</v>
      </c>
      <c r="H43" s="638"/>
      <c r="I43" s="638"/>
      <c r="J43" s="638"/>
      <c r="K43" s="638"/>
    </row>
  </sheetData>
  <mergeCells count="34">
    <mergeCell ref="D1:G1"/>
    <mergeCell ref="I1:L1"/>
    <mergeCell ref="A2:A4"/>
    <mergeCell ref="B2:B4"/>
    <mergeCell ref="C2:C4"/>
    <mergeCell ref="H2:H4"/>
    <mergeCell ref="I5:I6"/>
    <mergeCell ref="J5:J6"/>
    <mergeCell ref="K5:K6"/>
    <mergeCell ref="L5:L6"/>
    <mergeCell ref="I10:I12"/>
    <mergeCell ref="J10:J12"/>
    <mergeCell ref="K10:K12"/>
    <mergeCell ref="L10:L12"/>
    <mergeCell ref="I7:I8"/>
    <mergeCell ref="J7:J8"/>
    <mergeCell ref="K7:K8"/>
    <mergeCell ref="L7:L8"/>
    <mergeCell ref="K13:K14"/>
    <mergeCell ref="L13:L14"/>
    <mergeCell ref="I15:I16"/>
    <mergeCell ref="J15:J16"/>
    <mergeCell ref="I31:I32"/>
    <mergeCell ref="J31:J32"/>
    <mergeCell ref="K31:K32"/>
    <mergeCell ref="L31:L32"/>
    <mergeCell ref="I29:I30"/>
    <mergeCell ref="J29:J30"/>
    <mergeCell ref="K29:K30"/>
    <mergeCell ref="L29:L30"/>
    <mergeCell ref="K15:K16"/>
    <mergeCell ref="L15:L16"/>
    <mergeCell ref="I13:I14"/>
    <mergeCell ref="J13:J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7"/>
  <sheetViews>
    <sheetView topLeftCell="B1" workbookViewId="0">
      <selection activeCell="F3" sqref="F3:M3"/>
    </sheetView>
  </sheetViews>
  <sheetFormatPr defaultColWidth="11.44140625" defaultRowHeight="13.2" x14ac:dyDescent="0.25"/>
  <cols>
    <col min="1" max="1" width="27.33203125" style="88" customWidth="1"/>
    <col min="2" max="2" width="88" style="88" customWidth="1"/>
    <col min="3" max="4" width="11.44140625" style="88"/>
    <col min="5" max="5" width="14.88671875" style="88" customWidth="1"/>
    <col min="6" max="16384" width="11.44140625" style="88"/>
  </cols>
  <sheetData>
    <row r="1" spans="1:13" ht="14.25" customHeight="1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92" t="s">
        <v>16</v>
      </c>
      <c r="B5" s="136" t="s">
        <v>203</v>
      </c>
      <c r="C5" s="93">
        <v>1.63125333086174E-2</v>
      </c>
      <c r="D5" s="94" t="s">
        <v>204</v>
      </c>
      <c r="E5" s="94">
        <v>100</v>
      </c>
      <c r="F5" s="153">
        <f>VLOOKUP($B5,Portugal,2,FALSE)</f>
        <v>4.8716599716640413E-2</v>
      </c>
      <c r="G5" s="153">
        <f>VLOOKUP($B5,Portugal,3,FALSE)</f>
        <v>16.805337483730082</v>
      </c>
      <c r="H5" s="153">
        <f>VLOOKUP($B5,Portugal,4,FALSE)</f>
        <v>0.573779587731162</v>
      </c>
      <c r="I5" s="154">
        <f>VLOOKUP($B5,Portugal,5,FALSE)</f>
        <v>358.56083018370475</v>
      </c>
      <c r="J5" s="153">
        <f>F5*$E5%</f>
        <v>4.8716599716640413E-2</v>
      </c>
      <c r="K5" s="153">
        <f t="shared" ref="K5:M5" si="1">G5*$E5%</f>
        <v>16.805337483730082</v>
      </c>
      <c r="L5" s="153">
        <f t="shared" si="1"/>
        <v>0.573779587731162</v>
      </c>
      <c r="M5" s="154">
        <f t="shared" si="1"/>
        <v>358.56083018370475</v>
      </c>
    </row>
    <row r="6" spans="1:13" x14ac:dyDescent="0.25">
      <c r="A6" s="95" t="s">
        <v>19</v>
      </c>
      <c r="B6" s="96"/>
      <c r="C6" s="96"/>
      <c r="D6" s="97"/>
      <c r="E6" s="97"/>
      <c r="F6" s="150"/>
      <c r="G6" s="150"/>
      <c r="H6" s="150"/>
      <c r="I6" s="148"/>
      <c r="J6" s="150"/>
      <c r="K6" s="150"/>
      <c r="L6" s="150"/>
      <c r="M6" s="148"/>
    </row>
    <row r="7" spans="1:13" x14ac:dyDescent="0.25">
      <c r="A7" s="95" t="s">
        <v>21</v>
      </c>
      <c r="B7" s="96"/>
      <c r="C7" s="96"/>
      <c r="D7" s="97"/>
      <c r="E7" s="97"/>
      <c r="F7" s="150"/>
      <c r="G7" s="150"/>
      <c r="H7" s="150"/>
      <c r="I7" s="148"/>
      <c r="J7" s="150"/>
      <c r="K7" s="150"/>
      <c r="L7" s="150"/>
      <c r="M7" s="148"/>
    </row>
    <row r="8" spans="1:13" x14ac:dyDescent="0.25">
      <c r="A8" s="98" t="s">
        <v>22</v>
      </c>
      <c r="B8" s="135" t="s">
        <v>205</v>
      </c>
      <c r="C8" s="99">
        <v>3.58226938851171E-2</v>
      </c>
      <c r="D8" s="100" t="s">
        <v>204</v>
      </c>
      <c r="E8" s="100">
        <v>100</v>
      </c>
      <c r="F8" s="155">
        <f>VLOOKUP(B8,Portugal,2,FALSE)</f>
        <v>0.44140963965305841</v>
      </c>
      <c r="G8" s="155">
        <f>VLOOKUP($B8,Portugal,3,FALSE)</f>
        <v>7.8972866917972791E-3</v>
      </c>
      <c r="H8" s="155">
        <f>VLOOKUP($B8,Portugal,4,FALSE)</f>
        <v>8.2184453416173682</v>
      </c>
      <c r="I8" s="147">
        <f>VLOOKUP($B8,Portugal,5,FALSE)</f>
        <v>275.42364030442474</v>
      </c>
      <c r="J8" s="155">
        <f t="shared" ref="J8:J9" si="2">F8*$E8%</f>
        <v>0.44140963965305841</v>
      </c>
      <c r="K8" s="155">
        <f t="shared" ref="K8:K9" si="3">G8*$E8%</f>
        <v>7.8972866917972791E-3</v>
      </c>
      <c r="L8" s="155">
        <f t="shared" ref="L8:L9" si="4">H8*$E8%</f>
        <v>8.2184453416173682</v>
      </c>
      <c r="M8" s="147">
        <f t="shared" ref="M8:M9" si="5">I8*$E8%</f>
        <v>275.42364030442474</v>
      </c>
    </row>
    <row r="9" spans="1:13" x14ac:dyDescent="0.25">
      <c r="A9" s="98" t="s">
        <v>27</v>
      </c>
      <c r="B9" s="99" t="s">
        <v>206</v>
      </c>
      <c r="C9" s="99">
        <v>0.26586648747595998</v>
      </c>
      <c r="D9" s="100" t="s">
        <v>204</v>
      </c>
      <c r="E9" s="100">
        <v>100</v>
      </c>
      <c r="F9" s="155">
        <f>VLOOKUP(B9,Portugal,2,FALSE)</f>
        <v>1.1374153287918034</v>
      </c>
      <c r="G9" s="155">
        <f>VLOOKUP($B9,Portugal,3,FALSE)</f>
        <v>0.12292139786055822</v>
      </c>
      <c r="H9" s="155">
        <f>VLOOKUP($B9,Portugal,4,FALSE)</f>
        <v>10.540485683861649</v>
      </c>
      <c r="I9" s="147">
        <f>VLOOKUP($B9,Portugal,5,FALSE)</f>
        <v>851.69008920438546</v>
      </c>
      <c r="J9" s="155">
        <f t="shared" si="2"/>
        <v>1.1374153287918034</v>
      </c>
      <c r="K9" s="155">
        <f t="shared" si="3"/>
        <v>0.12292139786055822</v>
      </c>
      <c r="L9" s="155">
        <f t="shared" si="4"/>
        <v>10.540485683861649</v>
      </c>
      <c r="M9" s="147">
        <f t="shared" si="5"/>
        <v>851.69008920438546</v>
      </c>
    </row>
    <row r="10" spans="1:13" x14ac:dyDescent="0.25">
      <c r="A10" s="104" t="s">
        <v>30</v>
      </c>
      <c r="B10" s="105" t="s">
        <v>207</v>
      </c>
      <c r="C10" s="105">
        <v>1.9208934819380401E-2</v>
      </c>
      <c r="D10" s="106" t="s">
        <v>204</v>
      </c>
      <c r="E10" s="110">
        <f>C10/(C10+C11)%</f>
        <v>81.836130306021701</v>
      </c>
      <c r="F10" s="156">
        <f>VLOOKUP(B10,Portugal,2,FALSE)</f>
        <v>0.83313296878961474</v>
      </c>
      <c r="G10" s="156">
        <f>VLOOKUP($B10,Portugal,3,FALSE)</f>
        <v>4.3978069559663241E-2</v>
      </c>
      <c r="H10" s="156">
        <f>VLOOKUP($B10,Portugal,4,FALSE)</f>
        <v>12.74699272946922</v>
      </c>
      <c r="I10" s="157">
        <f>VLOOKUP($B10,Portugal,5,FALSE)</f>
        <v>1036.1123359677406</v>
      </c>
      <c r="J10" s="846">
        <f>F10*$E10%+F11*$E11%</f>
        <v>0.79258099367703427</v>
      </c>
      <c r="K10" s="848">
        <f t="shared" ref="K10:L10" si="6">G10*$E10%+G11*$E11%</f>
        <v>4.1837263379422833E-2</v>
      </c>
      <c r="L10" s="848">
        <f t="shared" si="6"/>
        <v>12.126546024814417</v>
      </c>
      <c r="M10" s="850">
        <f>I10*$E10%+I11*$E11%</f>
        <v>986.5285627342281</v>
      </c>
    </row>
    <row r="11" spans="1:13" x14ac:dyDescent="0.25">
      <c r="A11" s="107"/>
      <c r="B11" s="108" t="s">
        <v>208</v>
      </c>
      <c r="C11" s="108">
        <v>4.2635030238431801E-3</v>
      </c>
      <c r="D11" s="109" t="s">
        <v>204</v>
      </c>
      <c r="E11" s="111">
        <f>C11/(C11+C10)%</f>
        <v>18.163869693978292</v>
      </c>
      <c r="F11" s="158">
        <f>VLOOKUP(B11,Portugal,2,FALSE)</f>
        <v>0.60987671450133207</v>
      </c>
      <c r="G11" s="158">
        <f>VLOOKUP($B11,Portugal,3,FALSE)</f>
        <v>3.2192000752144061E-2</v>
      </c>
      <c r="H11" s="158">
        <f>VLOOKUP($B11,Portugal,4,FALSE)</f>
        <v>9.3311638609077203</v>
      </c>
      <c r="I11" s="159">
        <f>VLOOKUP($B11,Portugal,5,FALSE)</f>
        <v>763.13210615497974</v>
      </c>
      <c r="J11" s="847"/>
      <c r="K11" s="849"/>
      <c r="L11" s="849"/>
      <c r="M11" s="851"/>
    </row>
    <row r="12" spans="1:13" x14ac:dyDescent="0.25">
      <c r="A12" s="95" t="s">
        <v>33</v>
      </c>
      <c r="B12" s="96"/>
      <c r="C12" s="96"/>
      <c r="D12" s="97"/>
      <c r="E12" s="97"/>
      <c r="F12" s="150"/>
      <c r="G12" s="150"/>
      <c r="H12" s="150"/>
      <c r="I12" s="148"/>
      <c r="J12" s="150"/>
      <c r="K12" s="150"/>
      <c r="L12" s="150"/>
      <c r="M12" s="148"/>
    </row>
    <row r="13" spans="1:13" x14ac:dyDescent="0.25">
      <c r="A13" s="95" t="s">
        <v>34</v>
      </c>
      <c r="B13" s="96"/>
      <c r="C13" s="96"/>
      <c r="D13" s="97"/>
      <c r="E13" s="97"/>
      <c r="F13" s="150"/>
      <c r="G13" s="150"/>
      <c r="H13" s="150"/>
      <c r="I13" s="148"/>
      <c r="J13" s="150"/>
      <c r="K13" s="150"/>
      <c r="L13" s="150"/>
      <c r="M13" s="148"/>
    </row>
    <row r="14" spans="1:13" x14ac:dyDescent="0.25">
      <c r="A14" s="98" t="s">
        <v>35</v>
      </c>
      <c r="B14" s="99" t="s">
        <v>209</v>
      </c>
      <c r="C14" s="99">
        <v>4.5647287809625304E-3</v>
      </c>
      <c r="D14" s="100" t="s">
        <v>204</v>
      </c>
      <c r="E14" s="100">
        <v>100</v>
      </c>
      <c r="F14" s="155">
        <f>VLOOKUP(B14,Portugal,2,FALSE)</f>
        <v>8.1366770715558798E-2</v>
      </c>
      <c r="G14" s="155">
        <f>VLOOKUP($B14,Portugal,3,FALSE)</f>
        <v>7.2313075518423666</v>
      </c>
      <c r="H14" s="155">
        <f>VLOOKUP($B14,Portugal,4,FALSE)</f>
        <v>0.99604339911613449</v>
      </c>
      <c r="I14" s="147">
        <f>VLOOKUP($B14,Portugal,5,FALSE)</f>
        <v>104.41539386827485</v>
      </c>
      <c r="J14" s="155">
        <f t="shared" ref="J14:J17" si="7">F14*$E14%</f>
        <v>8.1366770715558798E-2</v>
      </c>
      <c r="K14" s="155">
        <f t="shared" ref="K14:K17" si="8">G14*$E14%</f>
        <v>7.2313075518423666</v>
      </c>
      <c r="L14" s="155">
        <f t="shared" ref="L14:L17" si="9">H14*$E14%</f>
        <v>0.99604339911613449</v>
      </c>
      <c r="M14" s="147">
        <f t="shared" ref="M14:M17" si="10">I14*$E14%</f>
        <v>104.41539386827485</v>
      </c>
    </row>
    <row r="15" spans="1:13" x14ac:dyDescent="0.25">
      <c r="A15" s="98" t="s">
        <v>38</v>
      </c>
      <c r="B15" s="99" t="s">
        <v>210</v>
      </c>
      <c r="C15" s="99">
        <v>1.9533331788585899E-2</v>
      </c>
      <c r="D15" s="100" t="s">
        <v>204</v>
      </c>
      <c r="E15" s="100">
        <v>100</v>
      </c>
      <c r="F15" s="155">
        <f>VLOOKUP(B15,Portugal,2,FALSE)</f>
        <v>0.58800992776472483</v>
      </c>
      <c r="G15" s="155">
        <f>VLOOKUP($B15,Portugal,3,FALSE)</f>
        <v>4.0333528212247121</v>
      </c>
      <c r="H15" s="155">
        <f>VLOOKUP($B15,Portugal,4,FALSE)</f>
        <v>6.241118194289851</v>
      </c>
      <c r="I15" s="147">
        <f>VLOOKUP($B15,Portugal,5,FALSE)</f>
        <v>491.09489610860146</v>
      </c>
      <c r="J15" s="155">
        <f t="shared" si="7"/>
        <v>0.58800992776472483</v>
      </c>
      <c r="K15" s="155">
        <f t="shared" si="8"/>
        <v>4.0333528212247121</v>
      </c>
      <c r="L15" s="155">
        <f t="shared" si="9"/>
        <v>6.241118194289851</v>
      </c>
      <c r="M15" s="147">
        <f t="shared" si="10"/>
        <v>491.09489610860146</v>
      </c>
    </row>
    <row r="16" spans="1:13" x14ac:dyDescent="0.25">
      <c r="A16" s="98" t="s">
        <v>40</v>
      </c>
      <c r="B16" s="99" t="s">
        <v>211</v>
      </c>
      <c r="C16" s="99">
        <v>0.235373172370647</v>
      </c>
      <c r="D16" s="100" t="s">
        <v>204</v>
      </c>
      <c r="E16" s="100">
        <v>100</v>
      </c>
      <c r="F16" s="155">
        <f>VLOOKUP(B16,Portugal,2,FALSE)</f>
        <v>4.3659806998934047E-3</v>
      </c>
      <c r="G16" s="155">
        <f>VLOOKUP($B16,Portugal,3,FALSE)</f>
        <v>3.7930767574139956</v>
      </c>
      <c r="H16" s="155">
        <f>VLOOKUP($B16,Portugal,4,FALSE)</f>
        <v>4.3332542825420178E-2</v>
      </c>
      <c r="I16" s="147">
        <f>VLOOKUP($B16,Portugal,5,FALSE)</f>
        <v>11.914127788927351</v>
      </c>
      <c r="J16" s="155">
        <f t="shared" si="7"/>
        <v>4.3659806998934047E-3</v>
      </c>
      <c r="K16" s="155">
        <f t="shared" si="8"/>
        <v>3.7930767574139956</v>
      </c>
      <c r="L16" s="155">
        <f t="shared" si="9"/>
        <v>4.3332542825420178E-2</v>
      </c>
      <c r="M16" s="147">
        <f t="shared" si="10"/>
        <v>11.914127788927351</v>
      </c>
    </row>
    <row r="17" spans="1:13" x14ac:dyDescent="0.25">
      <c r="A17" s="98" t="s">
        <v>42</v>
      </c>
      <c r="B17" s="99" t="s">
        <v>212</v>
      </c>
      <c r="C17" s="99">
        <v>0.12123178163449699</v>
      </c>
      <c r="D17" s="100" t="s">
        <v>204</v>
      </c>
      <c r="E17" s="100">
        <v>100</v>
      </c>
      <c r="F17" s="155">
        <f>VLOOKUP(B17,Portugal,2,FALSE)</f>
        <v>5.1217254904704197E-2</v>
      </c>
      <c r="G17" s="155">
        <f>VLOOKUP($B17,Portugal,3,FALSE)</f>
        <v>3.7941946087994105</v>
      </c>
      <c r="H17" s="155">
        <f>VLOOKUP($B17,Portugal,4,FALSE)</f>
        <v>5.8189759858051207E-2</v>
      </c>
      <c r="I17" s="147">
        <f>VLOOKUP($B17,Portugal,5,FALSE)</f>
        <v>36.913901511232275</v>
      </c>
      <c r="J17" s="155">
        <f t="shared" si="7"/>
        <v>5.1217254904704197E-2</v>
      </c>
      <c r="K17" s="155">
        <f t="shared" si="8"/>
        <v>3.7941946087994105</v>
      </c>
      <c r="L17" s="155">
        <f t="shared" si="9"/>
        <v>5.8189759858051207E-2</v>
      </c>
      <c r="M17" s="147">
        <f t="shared" si="10"/>
        <v>36.913901511232275</v>
      </c>
    </row>
    <row r="18" spans="1:13" x14ac:dyDescent="0.25">
      <c r="A18" s="95" t="s">
        <v>44</v>
      </c>
      <c r="B18" s="96"/>
      <c r="C18" s="96"/>
      <c r="D18" s="97"/>
      <c r="E18" s="97"/>
      <c r="F18" s="150"/>
      <c r="G18" s="150"/>
      <c r="H18" s="150"/>
      <c r="I18" s="148"/>
      <c r="J18" s="150"/>
      <c r="K18" s="150"/>
      <c r="L18" s="150"/>
      <c r="M18" s="148"/>
    </row>
    <row r="19" spans="1:13" x14ac:dyDescent="0.25">
      <c r="A19" s="95" t="s">
        <v>45</v>
      </c>
      <c r="B19" s="96"/>
      <c r="C19" s="96"/>
      <c r="D19" s="97"/>
      <c r="E19" s="97"/>
      <c r="F19" s="150"/>
      <c r="G19" s="150"/>
      <c r="H19" s="150"/>
      <c r="I19" s="148"/>
      <c r="J19" s="150"/>
      <c r="K19" s="150"/>
      <c r="L19" s="150"/>
      <c r="M19" s="148"/>
    </row>
    <row r="20" spans="1:13" x14ac:dyDescent="0.25">
      <c r="A20" s="101" t="s">
        <v>46</v>
      </c>
      <c r="B20" s="102" t="str">
        <f>IF(B31=A32,B32,IF(B31=A33,B33,IF(B31=A34,B34,"")))</f>
        <v>Electricity, high voltage {BG}| electricity production, hard coal | Cut-off, U</v>
      </c>
      <c r="C20" s="102"/>
      <c r="D20" s="103"/>
      <c r="E20" s="103">
        <v>100</v>
      </c>
      <c r="F20" s="160">
        <f>VLOOKUP($B20,$B32:$G34,D30,FALSE)</f>
        <v>2.0395634643351492</v>
      </c>
      <c r="G20" s="160">
        <f t="shared" ref="G20:H20" si="11">VLOOKUP($B20,$B32:$G34,E30,FALSE)</f>
        <v>0.22238462025122496</v>
      </c>
      <c r="H20" s="160">
        <f t="shared" si="11"/>
        <v>19.099188159688769</v>
      </c>
      <c r="I20" s="149">
        <f>VLOOKUP($B20,$B32:$G34,G30,FALSE)</f>
        <v>1486.7509009157554</v>
      </c>
      <c r="J20" s="160">
        <f>F20*$E20%</f>
        <v>2.0395634643351492</v>
      </c>
      <c r="K20" s="160">
        <f>G20*$E20%</f>
        <v>0.22238462025122496</v>
      </c>
      <c r="L20" s="160">
        <f t="shared" ref="L20" si="12">H20*$E20%</f>
        <v>19.099188159688769</v>
      </c>
      <c r="M20" s="149">
        <f t="shared" ref="M20" si="13">I20*$E20%</f>
        <v>1486.7509009157554</v>
      </c>
    </row>
    <row r="21" spans="1:13" x14ac:dyDescent="0.25">
      <c r="A21" s="95" t="s">
        <v>47</v>
      </c>
      <c r="B21" s="96"/>
      <c r="C21" s="96"/>
      <c r="D21" s="97"/>
      <c r="E21" s="97"/>
      <c r="F21" s="150"/>
      <c r="G21" s="150"/>
      <c r="H21" s="150"/>
      <c r="I21" s="148"/>
      <c r="J21" s="150"/>
      <c r="K21" s="150"/>
      <c r="L21" s="150"/>
      <c r="M21" s="148"/>
    </row>
    <row r="22" spans="1:13" x14ac:dyDescent="0.25">
      <c r="A22" s="95" t="s">
        <v>48</v>
      </c>
      <c r="B22" s="96"/>
      <c r="C22" s="96"/>
      <c r="D22" s="97"/>
      <c r="E22" s="97"/>
      <c r="F22" s="150"/>
      <c r="G22" s="150"/>
      <c r="H22" s="150"/>
      <c r="I22" s="148"/>
      <c r="J22" s="150"/>
      <c r="K22" s="150"/>
      <c r="L22" s="150"/>
      <c r="M22" s="148"/>
    </row>
    <row r="23" spans="1:13" x14ac:dyDescent="0.25">
      <c r="A23" s="98" t="s">
        <v>50</v>
      </c>
      <c r="B23" s="99" t="s">
        <v>213</v>
      </c>
      <c r="C23" s="99">
        <v>1.15856060430521E-4</v>
      </c>
      <c r="D23" s="100" t="s">
        <v>204</v>
      </c>
      <c r="E23" s="100">
        <v>100</v>
      </c>
      <c r="F23" s="155">
        <f>VLOOKUP(B23,Portugal,2,FALSE)</f>
        <v>1.5520675322179045E-2</v>
      </c>
      <c r="G23" s="155">
        <f>VLOOKUP($B23,Portugal,3,FALSE)</f>
        <v>3.8848601346099461</v>
      </c>
      <c r="H23" s="155">
        <f>VLOOKUP($B23,Portugal,4,FALSE)</f>
        <v>0.19017183857835071</v>
      </c>
      <c r="I23" s="147">
        <f>VLOOKUP($B23,Portugal,5,FALSE)</f>
        <v>37.239906020878557</v>
      </c>
      <c r="J23" s="155">
        <f t="shared" ref="J23" si="14">F23*$E23%</f>
        <v>1.5520675322179045E-2</v>
      </c>
      <c r="K23" s="155">
        <f t="shared" ref="K23" si="15">G23*$E23%</f>
        <v>3.8848601346099461</v>
      </c>
      <c r="L23" s="155">
        <f t="shared" ref="L23" si="16">H23*$E23%</f>
        <v>0.19017183857835071</v>
      </c>
      <c r="M23" s="147">
        <f t="shared" ref="M23" si="17">I23*$E23%</f>
        <v>37.239906020878557</v>
      </c>
    </row>
    <row r="24" spans="1:13" x14ac:dyDescent="0.25">
      <c r="A24" s="104" t="s">
        <v>51</v>
      </c>
      <c r="B24" s="105" t="s">
        <v>214</v>
      </c>
      <c r="C24" s="105">
        <v>1.00794772574553E-2</v>
      </c>
      <c r="D24" s="106" t="s">
        <v>204</v>
      </c>
      <c r="E24" s="110">
        <f>C24/(C24+C25)%</f>
        <v>3.6295369211514239</v>
      </c>
      <c r="F24" s="156">
        <f>VLOOKUP(B24,Portugal,2,FALSE)</f>
        <v>1.2905278594387223E-2</v>
      </c>
      <c r="G24" s="156">
        <f>VLOOKUP($B24,Portugal,3,FALSE)</f>
        <v>3.8834083357693268</v>
      </c>
      <c r="H24" s="156">
        <f>VLOOKUP($B24,Portugal,4,FALSE)</f>
        <v>0.16131204099146498</v>
      </c>
      <c r="I24" s="157">
        <f>VLOOKUP($B24,Portugal,5,FALSE)</f>
        <v>31.124430614779438</v>
      </c>
      <c r="J24" s="846">
        <f>F24*$E24%+F25*$E25%</f>
        <v>1.3532767809638019E-2</v>
      </c>
      <c r="K24" s="848">
        <f t="shared" ref="K24" si="18">G24*$E24%+G25*$E25%</f>
        <v>3.8820392649672928</v>
      </c>
      <c r="L24" s="848">
        <f t="shared" ref="L24" si="19">H24*$E24%+H25*$E25%</f>
        <v>0.18307641509537873</v>
      </c>
      <c r="M24" s="850">
        <f>I24*$E24%+I25*$E25%</f>
        <v>32.38789109169052</v>
      </c>
    </row>
    <row r="25" spans="1:13" x14ac:dyDescent="0.25">
      <c r="A25" s="107"/>
      <c r="B25" s="108" t="s">
        <v>215</v>
      </c>
      <c r="C25" s="108">
        <v>0.26762749959450399</v>
      </c>
      <c r="D25" s="109" t="s">
        <v>204</v>
      </c>
      <c r="E25" s="111">
        <f>C25/(C25+C24)%</f>
        <v>96.370463078848587</v>
      </c>
      <c r="F25" s="158">
        <f>VLOOKUP(B25,Portugal,2,FALSE)</f>
        <v>1.3556400520342267E-2</v>
      </c>
      <c r="G25" s="158">
        <f>VLOOKUP($B25,Portugal,3,FALSE)</f>
        <v>3.8819877025604623</v>
      </c>
      <c r="H25" s="158">
        <f>VLOOKUP($B25,Portugal,4,FALSE)</f>
        <v>0.18389611230188974</v>
      </c>
      <c r="I25" s="159">
        <f>VLOOKUP($B25,Portugal,5,FALSE)</f>
        <v>32.435475966794961</v>
      </c>
      <c r="J25" s="847"/>
      <c r="K25" s="849"/>
      <c r="L25" s="849"/>
      <c r="M25" s="851"/>
    </row>
    <row r="26" spans="1:13" ht="29.25" customHeight="1" x14ac:dyDescent="0.25">
      <c r="A26" s="843" t="s">
        <v>55</v>
      </c>
      <c r="B26" s="180" t="s">
        <v>216</v>
      </c>
      <c r="C26" s="181"/>
      <c r="D26" s="182"/>
      <c r="E26" s="434">
        <f>1/3%</f>
        <v>33.333333333333336</v>
      </c>
      <c r="F26" s="183">
        <v>6.4530056000000002E-2</v>
      </c>
      <c r="G26" s="649">
        <v>3.9913801659999999</v>
      </c>
      <c r="H26" s="183">
        <v>0.81396393199999995</v>
      </c>
      <c r="I26" s="192">
        <v>120.744315</v>
      </c>
      <c r="J26" s="852">
        <f>(F26*$E26+F27*$E27+F28*$E28)%</f>
        <v>6.9606234666666683E-2</v>
      </c>
      <c r="K26" s="855">
        <f t="shared" ref="K26:M26" si="20">(G26*$E26+G27*$E27+G28*$E28)%</f>
        <v>3.9916379280000003</v>
      </c>
      <c r="L26" s="855">
        <f t="shared" si="20"/>
        <v>0.86827343633333343</v>
      </c>
      <c r="M26" s="858">
        <f t="shared" si="20"/>
        <v>123.69426080000001</v>
      </c>
    </row>
    <row r="27" spans="1:13" ht="27.75" customHeight="1" x14ac:dyDescent="0.25">
      <c r="A27" s="844"/>
      <c r="B27" s="184" t="s">
        <v>217</v>
      </c>
      <c r="C27" s="185"/>
      <c r="D27" s="186"/>
      <c r="E27" s="435">
        <f>1/3%</f>
        <v>33.333333333333336</v>
      </c>
      <c r="F27" s="187">
        <v>7.6294483999999996E-2</v>
      </c>
      <c r="G27" s="650">
        <v>3.9916403740000002</v>
      </c>
      <c r="H27" s="187">
        <v>0.95324586200000005</v>
      </c>
      <c r="I27" s="194">
        <v>130.786475</v>
      </c>
      <c r="J27" s="853"/>
      <c r="K27" s="856"/>
      <c r="L27" s="856"/>
      <c r="M27" s="859"/>
    </row>
    <row r="28" spans="1:13" ht="26.25" customHeight="1" thickBot="1" x14ac:dyDescent="0.3">
      <c r="A28" s="845"/>
      <c r="B28" s="188" t="s">
        <v>218</v>
      </c>
      <c r="C28" s="189"/>
      <c r="D28" s="190"/>
      <c r="E28" s="652">
        <f>1/3%</f>
        <v>33.333333333333336</v>
      </c>
      <c r="F28" s="191">
        <v>6.7994163999999996E-2</v>
      </c>
      <c r="G28" s="651">
        <v>3.9918932439999999</v>
      </c>
      <c r="H28" s="191">
        <v>0.83761051500000006</v>
      </c>
      <c r="I28" s="195">
        <v>119.5519924</v>
      </c>
      <c r="J28" s="854"/>
      <c r="K28" s="857"/>
      <c r="L28" s="857"/>
      <c r="M28" s="860"/>
    </row>
    <row r="29" spans="1:13" ht="13.8" thickTop="1" x14ac:dyDescent="0.25">
      <c r="A29" s="636"/>
      <c r="B29" s="636"/>
      <c r="C29" s="636"/>
      <c r="D29" s="636"/>
      <c r="E29" s="636"/>
      <c r="F29" s="636"/>
      <c r="G29" s="636"/>
      <c r="H29" s="636"/>
      <c r="I29" s="636"/>
      <c r="J29" s="636"/>
      <c r="K29" s="636"/>
      <c r="L29" s="636"/>
      <c r="M29" s="636"/>
    </row>
    <row r="30" spans="1:13" x14ac:dyDescent="0.25">
      <c r="A30" s="1" t="s">
        <v>58</v>
      </c>
      <c r="B30" s="1">
        <v>1</v>
      </c>
      <c r="C30" s="1">
        <v>2</v>
      </c>
      <c r="D30" s="638">
        <v>3</v>
      </c>
      <c r="E30" s="638">
        <v>4</v>
      </c>
      <c r="F30" s="638">
        <v>5</v>
      </c>
      <c r="G30" s="638">
        <v>6</v>
      </c>
      <c r="H30" s="636"/>
      <c r="I30" s="636"/>
      <c r="J30" s="636"/>
      <c r="K30" s="636"/>
      <c r="L30" s="636"/>
      <c r="M30" s="636"/>
    </row>
    <row r="31" spans="1:13" x14ac:dyDescent="0.25">
      <c r="A31" s="1" t="s">
        <v>59</v>
      </c>
      <c r="B31" s="402" t="s">
        <v>60</v>
      </c>
      <c r="C31" s="1"/>
      <c r="D31" s="638"/>
      <c r="E31" s="638"/>
      <c r="F31" s="638"/>
      <c r="G31" s="638"/>
      <c r="H31" s="636"/>
      <c r="I31" s="636"/>
      <c r="J31" s="636"/>
      <c r="K31" s="636"/>
      <c r="L31" s="636"/>
      <c r="M31" s="636"/>
    </row>
    <row r="32" spans="1:13" x14ac:dyDescent="0.25">
      <c r="A32" s="91" t="s">
        <v>60</v>
      </c>
      <c r="B32" s="68" t="s">
        <v>175</v>
      </c>
      <c r="C32" s="1"/>
      <c r="D32" s="403">
        <v>2.0395634643351492</v>
      </c>
      <c r="E32" s="403">
        <v>0.22238462025122496</v>
      </c>
      <c r="F32" s="403">
        <v>19.099188159688769</v>
      </c>
      <c r="G32" s="403">
        <v>1486.7509009157554</v>
      </c>
      <c r="H32" s="636"/>
      <c r="I32" s="636"/>
      <c r="J32" s="636"/>
      <c r="K32" s="636"/>
      <c r="L32" s="636"/>
      <c r="M32" s="636"/>
    </row>
    <row r="33" spans="1:7" x14ac:dyDescent="0.25">
      <c r="A33" s="91" t="s">
        <v>61</v>
      </c>
      <c r="B33" s="636" t="s">
        <v>205</v>
      </c>
      <c r="C33" s="636"/>
      <c r="D33" s="404">
        <v>0.44140963965305841</v>
      </c>
      <c r="E33" s="404">
        <v>7.8972866917972791E-3</v>
      </c>
      <c r="F33" s="404">
        <v>8.2184453416173682</v>
      </c>
      <c r="G33" s="404">
        <v>275.32244921071862</v>
      </c>
    </row>
    <row r="34" spans="1:7" x14ac:dyDescent="0.25">
      <c r="A34" s="91" t="s">
        <v>62</v>
      </c>
      <c r="B34" s="1" t="s">
        <v>219</v>
      </c>
      <c r="C34" s="636"/>
      <c r="D34" s="404">
        <f>AVERAGE(F8:F11)</f>
        <v>0.75545866293395225</v>
      </c>
      <c r="E34" s="404">
        <f t="shared" ref="E34:G34" si="21">AVERAGE(G8:G11)</f>
        <v>5.1747188716040705E-2</v>
      </c>
      <c r="F34" s="404">
        <f t="shared" si="21"/>
        <v>10.209271903963989</v>
      </c>
      <c r="G34" s="404">
        <f t="shared" si="21"/>
        <v>731.58954290788256</v>
      </c>
    </row>
    <row r="35" spans="1:7" x14ac:dyDescent="0.25">
      <c r="A35" s="91"/>
      <c r="B35" s="636"/>
      <c r="C35" s="636"/>
      <c r="D35" s="636"/>
      <c r="E35" s="636"/>
      <c r="F35" s="636"/>
      <c r="G35" s="636"/>
    </row>
    <row r="36" spans="1:7" x14ac:dyDescent="0.25">
      <c r="A36" s="91"/>
      <c r="B36" s="636"/>
      <c r="C36" s="636"/>
      <c r="D36" s="636"/>
      <c r="E36" s="636"/>
      <c r="F36" s="636"/>
      <c r="G36" s="636"/>
    </row>
    <row r="37" spans="1:7" x14ac:dyDescent="0.25">
      <c r="A37" s="91"/>
      <c r="B37" s="636"/>
      <c r="C37" s="636"/>
      <c r="D37" s="636"/>
      <c r="E37" s="636"/>
      <c r="F37" s="636"/>
      <c r="G37" s="636"/>
    </row>
  </sheetData>
  <mergeCells count="18">
    <mergeCell ref="J24:J25"/>
    <mergeCell ref="K24:K25"/>
    <mergeCell ref="L24:L25"/>
    <mergeCell ref="M24:M25"/>
    <mergeCell ref="J26:J28"/>
    <mergeCell ref="K26:K28"/>
    <mergeCell ref="L26:L28"/>
    <mergeCell ref="M26:M28"/>
    <mergeCell ref="J1:M1"/>
    <mergeCell ref="J10:J11"/>
    <mergeCell ref="K10:K11"/>
    <mergeCell ref="L10:L11"/>
    <mergeCell ref="M10:M11"/>
    <mergeCell ref="E1:E4"/>
    <mergeCell ref="F1:I1"/>
    <mergeCell ref="A1:A4"/>
    <mergeCell ref="B1:D4"/>
    <mergeCell ref="A26:A28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topLeftCell="B1" workbookViewId="0">
      <selection activeCell="J24" sqref="J24"/>
    </sheetView>
  </sheetViews>
  <sheetFormatPr defaultColWidth="11.44140625" defaultRowHeight="13.2" x14ac:dyDescent="0.25"/>
  <cols>
    <col min="1" max="1" width="27.6640625" style="88" customWidth="1"/>
    <col min="2" max="2" width="98.5546875" style="88" customWidth="1"/>
    <col min="3" max="4" width="11.44140625" style="88"/>
    <col min="5" max="5" width="13.6640625" style="88" customWidth="1"/>
    <col min="6" max="6" width="11.5546875" style="88" bestFit="1" customWidth="1"/>
    <col min="7" max="8" width="12.5546875" style="88" bestFit="1" customWidth="1"/>
    <col min="9" max="9" width="13.5546875" style="88" bestFit="1" customWidth="1"/>
    <col min="10" max="16384" width="11.44140625" style="88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275" t="s">
        <v>16</v>
      </c>
      <c r="B5" s="253" t="s">
        <v>220</v>
      </c>
      <c r="C5" s="253">
        <v>7.9421809228814204E-4</v>
      </c>
      <c r="D5" s="254" t="s">
        <v>204</v>
      </c>
      <c r="E5" s="255">
        <f>C5/(C5+C6)%</f>
        <v>3.5756853396901125</v>
      </c>
      <c r="F5" s="256">
        <f>VLOOKUP($B5,Pays_bas,2,FALSE)</f>
        <v>0.165854</v>
      </c>
      <c r="G5" s="257">
        <f>VLOOKUP($B5,Pays_bas,3,FALSE)</f>
        <v>6.4902000000000001E-2</v>
      </c>
      <c r="H5" s="257">
        <f>VLOOKUP($B5,Pays_bas,4,FALSE)</f>
        <v>0.49018499999999998</v>
      </c>
      <c r="I5" s="258">
        <f>VLOOKUP($B5,Pays_bas,5,FALSE)</f>
        <v>784.79459999999995</v>
      </c>
      <c r="J5" s="861">
        <f>F5*$E5%+F6*$E6%</f>
        <v>5.2905450536352809E-2</v>
      </c>
      <c r="K5" s="862">
        <f t="shared" ref="K5:L5" si="1">G5*$E5%+G6*$E6%</f>
        <v>16.206754612634086</v>
      </c>
      <c r="L5" s="862">
        <f t="shared" si="1"/>
        <v>0.57079090584028602</v>
      </c>
      <c r="M5" s="863">
        <f>I5*$E5%+I6*$E6%</f>
        <v>373.80157949940406</v>
      </c>
    </row>
    <row r="6" spans="1:13" x14ac:dyDescent="0.25">
      <c r="A6" s="241"/>
      <c r="B6" s="259" t="s">
        <v>221</v>
      </c>
      <c r="C6" s="259">
        <v>2.14174145553702E-2</v>
      </c>
      <c r="D6" s="260" t="s">
        <v>204</v>
      </c>
      <c r="E6" s="261">
        <f>C6/(C6+C5)%</f>
        <v>96.424314660309889</v>
      </c>
      <c r="F6" s="262">
        <f>VLOOKUP($B6,Pays_bas,2,FALSE)</f>
        <v>4.8717000000000003E-2</v>
      </c>
      <c r="G6" s="216">
        <f>VLOOKUP($B6,Pays_bas,3,FALSE)</f>
        <v>16.805340000000001</v>
      </c>
      <c r="H6" s="216">
        <f>VLOOKUP($B6,Pays_bas,4,FALSE)</f>
        <v>0.57377999999999996</v>
      </c>
      <c r="I6" s="223">
        <f>VLOOKUP($B6,Pays_bas,5,FALSE)</f>
        <v>358.56079999999997</v>
      </c>
      <c r="J6" s="847"/>
      <c r="K6" s="849"/>
      <c r="L6" s="849"/>
      <c r="M6" s="851"/>
    </row>
    <row r="7" spans="1:13" x14ac:dyDescent="0.25">
      <c r="A7" s="234" t="s">
        <v>19</v>
      </c>
      <c r="B7" s="235"/>
      <c r="C7" s="235"/>
      <c r="D7" s="276"/>
      <c r="E7" s="277"/>
      <c r="F7" s="278"/>
      <c r="G7" s="227"/>
      <c r="H7" s="227"/>
      <c r="I7" s="228"/>
      <c r="J7" s="278"/>
      <c r="K7" s="227"/>
      <c r="L7" s="227"/>
      <c r="M7" s="228"/>
    </row>
    <row r="8" spans="1:13" x14ac:dyDescent="0.25">
      <c r="A8" s="234" t="s">
        <v>21</v>
      </c>
      <c r="B8" s="235"/>
      <c r="C8" s="235"/>
      <c r="D8" s="276"/>
      <c r="E8" s="279"/>
      <c r="F8" s="278"/>
      <c r="G8" s="227"/>
      <c r="H8" s="227"/>
      <c r="I8" s="280"/>
      <c r="J8" s="278"/>
      <c r="K8" s="227"/>
      <c r="L8" s="227"/>
      <c r="M8" s="280"/>
    </row>
    <row r="9" spans="1:13" x14ac:dyDescent="0.25">
      <c r="A9" s="237" t="s">
        <v>22</v>
      </c>
      <c r="B9" s="137" t="s">
        <v>222</v>
      </c>
      <c r="C9" s="263">
        <v>0.12027109310883401</v>
      </c>
      <c r="D9" s="264" t="s">
        <v>204</v>
      </c>
      <c r="E9" s="265">
        <f>C9/SUM($C$9:$C$12)%</f>
        <v>25.236084879457803</v>
      </c>
      <c r="F9" s="266">
        <f t="shared" ref="F9:F15" si="2">VLOOKUP($B9,Pays_bas,2,FALSE)</f>
        <v>0.39408700000000002</v>
      </c>
      <c r="G9" s="219">
        <f t="shared" ref="G9:G15" si="3">VLOOKUP($B9,Pays_bas,3,FALSE)</f>
        <v>6.1570000000000001E-3</v>
      </c>
      <c r="H9" s="219">
        <f t="shared" ref="H9:H15" si="4">VLOOKUP($B9,Pays_bas,4,FALSE)</f>
        <v>7.7036309999999997</v>
      </c>
      <c r="I9" s="220">
        <f t="shared" ref="I9:I15" si="5">VLOOKUP($B9,Pays_bas,5,FALSE)</f>
        <v>246.84460000000001</v>
      </c>
      <c r="J9" s="873">
        <f>F9*E9%+F10*E10%+F11*E11%+F12*E12%</f>
        <v>0.45847568964559504</v>
      </c>
      <c r="K9" s="876">
        <f t="shared" ref="K9:M9" si="6">G9*F9%+G10*F10%+G11*F11%+G12*F12%</f>
        <v>1.4785326407000001E-4</v>
      </c>
      <c r="L9" s="876">
        <f t="shared" si="6"/>
        <v>2.8423046962299998E-3</v>
      </c>
      <c r="M9" s="879">
        <f t="shared" si="6"/>
        <v>118.789083806824</v>
      </c>
    </row>
    <row r="10" spans="1:13" x14ac:dyDescent="0.25">
      <c r="A10" s="281"/>
      <c r="B10" s="138" t="s">
        <v>223</v>
      </c>
      <c r="C10" s="267">
        <v>9.9621422709342697E-2</v>
      </c>
      <c r="D10" s="268" t="s">
        <v>204</v>
      </c>
      <c r="E10" s="269">
        <f t="shared" ref="E10:E12" si="7">C10/SUM($C$9:$C$12)%</f>
        <v>20.903232974114026</v>
      </c>
      <c r="F10" s="270">
        <f t="shared" si="2"/>
        <v>0.52022800000000002</v>
      </c>
      <c r="G10" s="221">
        <f t="shared" si="3"/>
        <v>9.1610000000000007E-3</v>
      </c>
      <c r="H10" s="221">
        <f t="shared" si="4"/>
        <v>10.154339999999999</v>
      </c>
      <c r="I10" s="222">
        <f t="shared" si="5"/>
        <v>332.6884</v>
      </c>
      <c r="J10" s="874"/>
      <c r="K10" s="877"/>
      <c r="L10" s="877"/>
      <c r="M10" s="880"/>
    </row>
    <row r="11" spans="1:13" x14ac:dyDescent="0.25">
      <c r="A11" s="281"/>
      <c r="B11" s="138" t="s">
        <v>224</v>
      </c>
      <c r="C11" s="267">
        <v>8.5987345458396203E-2</v>
      </c>
      <c r="D11" s="268" t="s">
        <v>204</v>
      </c>
      <c r="E11" s="269">
        <f t="shared" si="7"/>
        <v>18.042439728919032</v>
      </c>
      <c r="F11" s="270">
        <f t="shared" si="2"/>
        <v>0.64414000000000005</v>
      </c>
      <c r="G11" s="221">
        <f t="shared" si="3"/>
        <v>8.3899999999999999E-3</v>
      </c>
      <c r="H11" s="221">
        <f t="shared" si="4"/>
        <v>12.036799999999999</v>
      </c>
      <c r="I11" s="222">
        <f t="shared" si="5"/>
        <v>405.73759999999999</v>
      </c>
      <c r="J11" s="874"/>
      <c r="K11" s="877"/>
      <c r="L11" s="877"/>
      <c r="M11" s="880"/>
    </row>
    <row r="12" spans="1:13" x14ac:dyDescent="0.25">
      <c r="A12" s="241"/>
      <c r="B12" s="259" t="s">
        <v>225</v>
      </c>
      <c r="C12" s="259">
        <v>0.170703941969131</v>
      </c>
      <c r="D12" s="260" t="s">
        <v>204</v>
      </c>
      <c r="E12" s="261">
        <f t="shared" si="7"/>
        <v>35.818242417509133</v>
      </c>
      <c r="F12" s="262">
        <f t="shared" si="2"/>
        <v>0.37428</v>
      </c>
      <c r="G12" s="216">
        <f t="shared" si="3"/>
        <v>5.8479999999999999E-3</v>
      </c>
      <c r="H12" s="216">
        <f t="shared" si="4"/>
        <v>7.3164420000000003</v>
      </c>
      <c r="I12" s="223">
        <f t="shared" si="5"/>
        <v>234.44390000000001</v>
      </c>
      <c r="J12" s="875"/>
      <c r="K12" s="878"/>
      <c r="L12" s="878"/>
      <c r="M12" s="881"/>
    </row>
    <row r="13" spans="1:13" x14ac:dyDescent="0.25">
      <c r="A13" s="237" t="s">
        <v>27</v>
      </c>
      <c r="B13" s="263" t="s">
        <v>226</v>
      </c>
      <c r="C13" s="263">
        <v>0.27948534667619701</v>
      </c>
      <c r="D13" s="264" t="s">
        <v>204</v>
      </c>
      <c r="E13" s="265">
        <f>C13/(C13+C14)%</f>
        <v>74.594594594594568</v>
      </c>
      <c r="F13" s="266">
        <f t="shared" si="2"/>
        <v>1.028294</v>
      </c>
      <c r="G13" s="219">
        <f t="shared" si="3"/>
        <v>0.13119400000000001</v>
      </c>
      <c r="H13" s="219">
        <f t="shared" si="4"/>
        <v>12.159140000000001</v>
      </c>
      <c r="I13" s="220">
        <f t="shared" si="5"/>
        <v>579.96860000000004</v>
      </c>
      <c r="J13" s="882">
        <f>F13*$E13%+F14*$E14%</f>
        <v>1.0209320216216216</v>
      </c>
      <c r="K13" s="848">
        <f t="shared" ref="K13" si="8">G13*$E13%+G14*$E14%</f>
        <v>0.13027559459459459</v>
      </c>
      <c r="L13" s="848">
        <f t="shared" ref="L13" si="9">H13*$E13%+H14*$E14%</f>
        <v>12.072055351351352</v>
      </c>
      <c r="M13" s="851">
        <f>I13*$E13%+I14*$E14%</f>
        <v>577.22131027027035</v>
      </c>
    </row>
    <row r="14" spans="1:13" x14ac:dyDescent="0.25">
      <c r="A14" s="241"/>
      <c r="B14" s="259" t="s">
        <v>227</v>
      </c>
      <c r="C14" s="259">
        <v>9.5187038360733903E-2</v>
      </c>
      <c r="D14" s="260" t="s">
        <v>204</v>
      </c>
      <c r="E14" s="261">
        <f>C14/(C14+C13)%</f>
        <v>25.405405405405435</v>
      </c>
      <c r="F14" s="262">
        <f t="shared" si="2"/>
        <v>0.99931599999999998</v>
      </c>
      <c r="G14" s="216">
        <f t="shared" si="3"/>
        <v>0.127579</v>
      </c>
      <c r="H14" s="216">
        <f t="shared" si="4"/>
        <v>11.81636</v>
      </c>
      <c r="I14" s="223">
        <f t="shared" si="5"/>
        <v>569.15480000000002</v>
      </c>
      <c r="J14" s="883"/>
      <c r="K14" s="849"/>
      <c r="L14" s="849"/>
      <c r="M14" s="851"/>
    </row>
    <row r="15" spans="1:13" x14ac:dyDescent="0.25">
      <c r="A15" s="246" t="s">
        <v>30</v>
      </c>
      <c r="B15" s="271" t="s">
        <v>228</v>
      </c>
      <c r="C15" s="271">
        <v>1.1555873242792499E-2</v>
      </c>
      <c r="D15" s="272" t="s">
        <v>204</v>
      </c>
      <c r="E15" s="273">
        <v>100</v>
      </c>
      <c r="F15" s="274">
        <f t="shared" si="2"/>
        <v>1.0754189999999999</v>
      </c>
      <c r="G15" s="217">
        <f t="shared" si="3"/>
        <v>5.7763000000000002E-2</v>
      </c>
      <c r="H15" s="217">
        <f t="shared" si="4"/>
        <v>16.728919999999999</v>
      </c>
      <c r="I15" s="218">
        <f t="shared" si="5"/>
        <v>897.56820000000005</v>
      </c>
      <c r="J15" s="274">
        <f t="shared" ref="J15:M15" si="10">F15*$E15%</f>
        <v>1.0754189999999999</v>
      </c>
      <c r="K15" s="217">
        <f t="shared" si="10"/>
        <v>5.7763000000000002E-2</v>
      </c>
      <c r="L15" s="217">
        <f t="shared" si="10"/>
        <v>16.728919999999999</v>
      </c>
      <c r="M15" s="218">
        <f t="shared" si="10"/>
        <v>897.56820000000005</v>
      </c>
    </row>
    <row r="16" spans="1:13" x14ac:dyDescent="0.25">
      <c r="A16" s="234" t="s">
        <v>33</v>
      </c>
      <c r="B16" s="235"/>
      <c r="C16" s="235"/>
      <c r="D16" s="276"/>
      <c r="E16" s="277"/>
      <c r="F16" s="278"/>
      <c r="G16" s="227"/>
      <c r="H16" s="227"/>
      <c r="I16" s="228"/>
      <c r="J16" s="278"/>
      <c r="K16" s="227"/>
      <c r="L16" s="227"/>
      <c r="M16" s="228"/>
    </row>
    <row r="17" spans="1:13" x14ac:dyDescent="0.25">
      <c r="A17" s="234" t="s">
        <v>34</v>
      </c>
      <c r="B17" s="235"/>
      <c r="C17" s="235"/>
      <c r="D17" s="276"/>
      <c r="E17" s="277"/>
      <c r="F17" s="278"/>
      <c r="G17" s="227"/>
      <c r="H17" s="227"/>
      <c r="I17" s="228"/>
      <c r="J17" s="278"/>
      <c r="K17" s="227"/>
      <c r="L17" s="227"/>
      <c r="M17" s="228"/>
    </row>
    <row r="18" spans="1:13" x14ac:dyDescent="0.25">
      <c r="A18" s="234" t="s">
        <v>35</v>
      </c>
      <c r="B18" s="235"/>
      <c r="C18" s="235"/>
      <c r="D18" s="276"/>
      <c r="E18" s="277"/>
      <c r="F18" s="278"/>
      <c r="G18" s="227"/>
      <c r="H18" s="227"/>
      <c r="I18" s="228"/>
      <c r="J18" s="278"/>
      <c r="K18" s="227"/>
      <c r="L18" s="227"/>
      <c r="M18" s="228"/>
    </row>
    <row r="19" spans="1:13" x14ac:dyDescent="0.25">
      <c r="A19" s="234" t="s">
        <v>38</v>
      </c>
      <c r="B19" s="235"/>
      <c r="C19" s="235"/>
      <c r="D19" s="276"/>
      <c r="E19" s="277"/>
      <c r="F19" s="278"/>
      <c r="G19" s="227"/>
      <c r="H19" s="227"/>
      <c r="I19" s="228"/>
      <c r="J19" s="278"/>
      <c r="K19" s="227"/>
      <c r="L19" s="227"/>
      <c r="M19" s="228"/>
    </row>
    <row r="20" spans="1:13" x14ac:dyDescent="0.25">
      <c r="A20" s="246" t="s">
        <v>40</v>
      </c>
      <c r="B20" s="271" t="s">
        <v>229</v>
      </c>
      <c r="C20" s="271">
        <v>1.4693034707330601E-3</v>
      </c>
      <c r="D20" s="272" t="s">
        <v>204</v>
      </c>
      <c r="E20" s="273">
        <v>100</v>
      </c>
      <c r="F20" s="274">
        <f>VLOOKUP($B20,Pays_bas,2,FALSE)</f>
        <v>4.3660000000000001E-3</v>
      </c>
      <c r="G20" s="217">
        <f>VLOOKUP($B20,Pays_bas,3,FALSE)</f>
        <v>3.7930769999999998</v>
      </c>
      <c r="H20" s="217">
        <f>VLOOKUP($B20,Pays_bas,4,FALSE)</f>
        <v>4.3333000000000003E-2</v>
      </c>
      <c r="I20" s="218">
        <f>VLOOKUP($B20,Pays_bas,5,FALSE)</f>
        <v>11.91413</v>
      </c>
      <c r="J20" s="274">
        <f>F20*$E20%</f>
        <v>4.3660000000000001E-3</v>
      </c>
      <c r="K20" s="217">
        <f t="shared" ref="K20" si="11">G20*$E20%</f>
        <v>3.7930769999999998</v>
      </c>
      <c r="L20" s="217">
        <f t="shared" ref="L20" si="12">H20*$E20%</f>
        <v>4.3333000000000003E-2</v>
      </c>
      <c r="M20" s="218">
        <f t="shared" ref="M20" si="13">I20*$E20%</f>
        <v>11.91413</v>
      </c>
    </row>
    <row r="21" spans="1:13" x14ac:dyDescent="0.25">
      <c r="A21" s="234" t="s">
        <v>42</v>
      </c>
      <c r="B21" s="235"/>
      <c r="C21" s="235"/>
      <c r="D21" s="276"/>
      <c r="E21" s="277"/>
      <c r="F21" s="278"/>
      <c r="G21" s="227"/>
      <c r="H21" s="227"/>
      <c r="I21" s="228"/>
      <c r="J21" s="278"/>
      <c r="K21" s="227"/>
      <c r="L21" s="227"/>
      <c r="M21" s="228"/>
    </row>
    <row r="22" spans="1:13" x14ac:dyDescent="0.25">
      <c r="A22" s="234" t="s">
        <v>44</v>
      </c>
      <c r="B22" s="235"/>
      <c r="C22" s="235"/>
      <c r="D22" s="276"/>
      <c r="E22" s="277"/>
      <c r="F22" s="278"/>
      <c r="G22" s="227"/>
      <c r="H22" s="227"/>
      <c r="I22" s="228"/>
      <c r="J22" s="278"/>
      <c r="K22" s="227"/>
      <c r="L22" s="227"/>
      <c r="M22" s="228"/>
    </row>
    <row r="23" spans="1:13" x14ac:dyDescent="0.25">
      <c r="A23" s="246" t="s">
        <v>45</v>
      </c>
      <c r="B23" s="271" t="s">
        <v>230</v>
      </c>
      <c r="C23" s="271">
        <v>5.0909379715669903E-2</v>
      </c>
      <c r="D23" s="272" t="s">
        <v>204</v>
      </c>
      <c r="E23" s="273">
        <v>100</v>
      </c>
      <c r="F23" s="274">
        <f>VLOOKUP($B23,Pays_bas,2,FALSE)</f>
        <v>1.1944E-2</v>
      </c>
      <c r="G23" s="217">
        <f>VLOOKUP($B23,Pays_bas,3,FALSE)</f>
        <v>1.9973000000000001E-2</v>
      </c>
      <c r="H23" s="217">
        <f>VLOOKUP($B23,Pays_bas,4,FALSE)</f>
        <v>13.40075</v>
      </c>
      <c r="I23" s="218">
        <f>VLOOKUP($B23,Pays_bas,5,FALSE)</f>
        <v>313.43290000000002</v>
      </c>
      <c r="J23" s="274">
        <f t="shared" ref="J23" si="14">F23*$E23%</f>
        <v>1.1944E-2</v>
      </c>
      <c r="K23" s="217">
        <f t="shared" ref="K23" si="15">G23*$E23%</f>
        <v>1.9973000000000001E-2</v>
      </c>
      <c r="L23" s="217">
        <f t="shared" ref="L23" si="16">H23*$E23%</f>
        <v>13.40075</v>
      </c>
      <c r="M23" s="218">
        <f t="shared" ref="M23" si="17">I23*$E23%</f>
        <v>313.43290000000002</v>
      </c>
    </row>
    <row r="24" spans="1:13" x14ac:dyDescent="0.25">
      <c r="A24" s="282" t="s">
        <v>46</v>
      </c>
      <c r="B24" s="214" t="str">
        <f>IF(B36=A37,B37,IF(B36=A38,B38,IF(B36=A39,B39,"")))</f>
        <v>Electricity, high voltage {BG}| electricity production, hard coal | Cut-off, U</v>
      </c>
      <c r="C24" s="214"/>
      <c r="D24" s="283"/>
      <c r="E24" s="284">
        <v>100</v>
      </c>
      <c r="F24" s="285">
        <f>VLOOKUP($B24,$B37:$G39,D35,FALSE)</f>
        <v>2.0395634643351492</v>
      </c>
      <c r="G24" s="230">
        <f t="shared" ref="G24:I24" si="18">VLOOKUP($B24,$B37:$G39,E35,FALSE)</f>
        <v>0.22238462025122496</v>
      </c>
      <c r="H24" s="230">
        <f t="shared" si="18"/>
        <v>19.099188159688769</v>
      </c>
      <c r="I24" s="231">
        <f t="shared" si="18"/>
        <v>1486.7509009157554</v>
      </c>
      <c r="J24" s="285">
        <f t="shared" ref="J24" si="19">F24*$E24%</f>
        <v>2.0395634643351492</v>
      </c>
      <c r="K24" s="230">
        <f t="shared" ref="K24" si="20">G24*$E24%</f>
        <v>0.22238462025122496</v>
      </c>
      <c r="L24" s="230">
        <f t="shared" ref="L24" si="21">H24*$E24%</f>
        <v>19.099188159688769</v>
      </c>
      <c r="M24" s="231">
        <f t="shared" ref="M24" si="22">I24*$E24%</f>
        <v>1486.7509009157554</v>
      </c>
    </row>
    <row r="25" spans="1:13" x14ac:dyDescent="0.25">
      <c r="A25" s="234" t="s">
        <v>47</v>
      </c>
      <c r="B25" s="235"/>
      <c r="C25" s="235"/>
      <c r="D25" s="276"/>
      <c r="E25" s="277"/>
      <c r="F25" s="278"/>
      <c r="G25" s="227"/>
      <c r="H25" s="227"/>
      <c r="I25" s="228"/>
      <c r="J25" s="278"/>
      <c r="K25" s="227"/>
      <c r="L25" s="227"/>
      <c r="M25" s="228"/>
    </row>
    <row r="26" spans="1:13" x14ac:dyDescent="0.25">
      <c r="A26" s="234" t="s">
        <v>48</v>
      </c>
      <c r="B26" s="235"/>
      <c r="C26" s="235"/>
      <c r="D26" s="276"/>
      <c r="E26" s="277"/>
      <c r="F26" s="278"/>
      <c r="G26" s="227"/>
      <c r="H26" s="227"/>
      <c r="I26" s="228"/>
      <c r="J26" s="278"/>
      <c r="K26" s="227"/>
      <c r="L26" s="227"/>
      <c r="M26" s="228"/>
    </row>
    <row r="27" spans="1:13" x14ac:dyDescent="0.25">
      <c r="A27" s="246" t="s">
        <v>50</v>
      </c>
      <c r="B27" s="271" t="s">
        <v>231</v>
      </c>
      <c r="C27" s="271">
        <v>4.8712042993672702E-3</v>
      </c>
      <c r="D27" s="272" t="s">
        <v>204</v>
      </c>
      <c r="E27" s="273">
        <v>100</v>
      </c>
      <c r="F27" s="274">
        <f>VLOOKUP($B27,Pays_bas,2,FALSE)</f>
        <v>1.5521E-2</v>
      </c>
      <c r="G27" s="217">
        <f>VLOOKUP($B27,Pays_bas,3,FALSE)</f>
        <v>3.8848600000000002</v>
      </c>
      <c r="H27" s="217">
        <f>VLOOKUP($B27,Pays_bas,4,FALSE)</f>
        <v>0.19017200000000001</v>
      </c>
      <c r="I27" s="218">
        <f>VLOOKUP($B27,Pays_bas,5,FALSE)</f>
        <v>37.239910000000002</v>
      </c>
      <c r="J27" s="274">
        <f t="shared" ref="J27" si="23">F27*$E27%</f>
        <v>1.5521E-2</v>
      </c>
      <c r="K27" s="217">
        <f t="shared" ref="K27" si="24">G27*$E27%</f>
        <v>3.8848600000000002</v>
      </c>
      <c r="L27" s="217">
        <f t="shared" ref="L27" si="25">H27*$E27%</f>
        <v>0.19017200000000001</v>
      </c>
      <c r="M27" s="218">
        <f t="shared" ref="M27" si="26">I27*$E27%</f>
        <v>37.239910000000002</v>
      </c>
    </row>
    <row r="28" spans="1:13" x14ac:dyDescent="0.25">
      <c r="A28" s="237" t="s">
        <v>51</v>
      </c>
      <c r="B28" s="263" t="s">
        <v>232</v>
      </c>
      <c r="C28" s="263">
        <v>1.65594472242078E-2</v>
      </c>
      <c r="D28" s="264" t="s">
        <v>204</v>
      </c>
      <c r="E28" s="265">
        <f>C28/SUM($C$28:$C$30)%</f>
        <v>28.68608117404268</v>
      </c>
      <c r="F28" s="266">
        <f>VLOOKUP($B28,Pays_bas,2,FALSE)</f>
        <v>1.4042000000000001E-2</v>
      </c>
      <c r="G28" s="219">
        <f>VLOOKUP($B28,Pays_bas,3,FALSE)</f>
        <v>3.8845890000000001</v>
      </c>
      <c r="H28" s="219">
        <f>VLOOKUP($B28,Pays_bas,4,FALSE)</f>
        <v>0.17552100000000001</v>
      </c>
      <c r="I28" s="220">
        <f>VLOOKUP($B28,Pays_bas,5,FALSE)</f>
        <v>33.525100000000002</v>
      </c>
      <c r="J28" s="873">
        <f>(F28*$E28+F29*$E29+F30*$E30)%</f>
        <v>1.613144187113048E-2</v>
      </c>
      <c r="K28" s="884">
        <f t="shared" ref="K28:L28" si="27">(G28*$E28+G29*$E29+G30*$E30)%</f>
        <v>3.8845479126347171</v>
      </c>
      <c r="L28" s="884">
        <f t="shared" si="27"/>
        <v>0.20833606397615229</v>
      </c>
      <c r="M28" s="887">
        <f>(I28*$E28+I29*$E29+I30*$E30)%</f>
        <v>41.819032215088292</v>
      </c>
    </row>
    <row r="29" spans="1:13" x14ac:dyDescent="0.25">
      <c r="A29" s="281"/>
      <c r="B29" s="267" t="s">
        <v>233</v>
      </c>
      <c r="C29" s="267">
        <v>1.04704418499987E-2</v>
      </c>
      <c r="D29" s="268" t="s">
        <v>204</v>
      </c>
      <c r="E29" s="269">
        <f t="shared" ref="E29:E30" si="28">C29/SUM($C$28:$C$30)%</f>
        <v>18.138041733547379</v>
      </c>
      <c r="F29" s="270">
        <f>VLOOKUP($B29,Pays_bas,2,FALSE)</f>
        <v>2.3486E-2</v>
      </c>
      <c r="G29" s="221">
        <f>VLOOKUP($B29,Pays_bas,3,FALSE)</f>
        <v>3.8888919999999998</v>
      </c>
      <c r="H29" s="221">
        <f>VLOOKUP($B29,Pays_bas,4,FALSE)</f>
        <v>0.28439799999999998</v>
      </c>
      <c r="I29" s="222">
        <f>VLOOKUP($B29,Pays_bas,5,FALSE)</f>
        <v>75.06962</v>
      </c>
      <c r="J29" s="874"/>
      <c r="K29" s="885"/>
      <c r="L29" s="885"/>
      <c r="M29" s="888"/>
    </row>
    <row r="30" spans="1:13" x14ac:dyDescent="0.25">
      <c r="A30" s="241"/>
      <c r="B30" s="259" t="s">
        <v>234</v>
      </c>
      <c r="C30" s="259">
        <v>3.0696529266936699E-2</v>
      </c>
      <c r="D30" s="260" t="s">
        <v>204</v>
      </c>
      <c r="E30" s="261">
        <f t="shared" si="28"/>
        <v>53.175877092409948</v>
      </c>
      <c r="F30" s="262">
        <f>VLOOKUP($B30,Pays_bas,2,FALSE)</f>
        <v>1.4749999999999999E-2</v>
      </c>
      <c r="G30" s="216">
        <f>VLOOKUP($B30,Pays_bas,3,FALSE)</f>
        <v>3.8830439999999999</v>
      </c>
      <c r="H30" s="216">
        <f>VLOOKUP($B30,Pays_bas,4,FALSE)</f>
        <v>0.20009399999999999</v>
      </c>
      <c r="I30" s="223">
        <f>VLOOKUP($B30,Pays_bas,5,FALSE)</f>
        <v>34.951630000000002</v>
      </c>
      <c r="J30" s="875"/>
      <c r="K30" s="886"/>
      <c r="L30" s="886"/>
      <c r="M30" s="889"/>
    </row>
    <row r="31" spans="1:13" s="193" customFormat="1" ht="26.4" x14ac:dyDescent="0.25">
      <c r="A31" s="843" t="s">
        <v>55</v>
      </c>
      <c r="B31" s="180" t="s">
        <v>235</v>
      </c>
      <c r="C31" s="181"/>
      <c r="D31" s="203"/>
      <c r="E31" s="419">
        <f>1/3%</f>
        <v>33.333333333333336</v>
      </c>
      <c r="F31" s="206">
        <v>0.100127623</v>
      </c>
      <c r="G31" s="649">
        <v>4.0692060889999997</v>
      </c>
      <c r="H31" s="183">
        <v>1.2629815959999999</v>
      </c>
      <c r="I31" s="192">
        <v>185.22810290000001</v>
      </c>
      <c r="J31" s="864">
        <f>(F31*$E31+F32*$E32+F33*$E33)%</f>
        <v>0.10800404066666668</v>
      </c>
      <c r="K31" s="867">
        <f>(G31*$E31+G32*$E32+G33*$E33)%</f>
        <v>4.0696060483333341</v>
      </c>
      <c r="L31" s="867">
        <f t="shared" ref="L31:M31" si="29">(H31*$E31+H32*$E32+H33*$E33)%</f>
        <v>1.3472505706666669</v>
      </c>
      <c r="M31" s="870">
        <f t="shared" si="29"/>
        <v>189.80536650000002</v>
      </c>
    </row>
    <row r="32" spans="1:13" s="193" customFormat="1" ht="26.4" x14ac:dyDescent="0.25">
      <c r="A32" s="844"/>
      <c r="B32" s="184" t="s">
        <v>236</v>
      </c>
      <c r="C32" s="185"/>
      <c r="D32" s="204"/>
      <c r="E32" s="420">
        <f>1/3%</f>
        <v>33.333333333333336</v>
      </c>
      <c r="F32" s="207">
        <v>0.118381816</v>
      </c>
      <c r="G32" s="650">
        <v>4.0696098379999999</v>
      </c>
      <c r="H32" s="187">
        <v>1.479097455</v>
      </c>
      <c r="I32" s="194">
        <v>200.8099522</v>
      </c>
      <c r="J32" s="865"/>
      <c r="K32" s="868"/>
      <c r="L32" s="868"/>
      <c r="M32" s="871"/>
    </row>
    <row r="33" spans="1:13" ht="13.8" thickBot="1" x14ac:dyDescent="0.3">
      <c r="A33" s="845"/>
      <c r="B33" s="188" t="s">
        <v>237</v>
      </c>
      <c r="C33" s="189"/>
      <c r="D33" s="205"/>
      <c r="E33" s="425">
        <f>1/3%</f>
        <v>33.333333333333336</v>
      </c>
      <c r="F33" s="208">
        <v>0.105502683</v>
      </c>
      <c r="G33" s="651">
        <v>4.0700022179999999</v>
      </c>
      <c r="H33" s="191">
        <v>1.299672661</v>
      </c>
      <c r="I33" s="195">
        <v>183.37804439999999</v>
      </c>
      <c r="J33" s="866"/>
      <c r="K33" s="869"/>
      <c r="L33" s="869"/>
      <c r="M33" s="872"/>
    </row>
    <row r="34" spans="1:13" ht="13.8" thickTop="1" x14ac:dyDescent="0.25">
      <c r="A34" s="636"/>
      <c r="B34" s="89"/>
      <c r="C34" s="89">
        <f>SUM(C2:C33)</f>
        <v>0.999999999999999</v>
      </c>
      <c r="D34" s="89"/>
      <c r="E34" s="636"/>
      <c r="F34" s="636"/>
      <c r="G34" s="636"/>
      <c r="H34" s="636"/>
      <c r="I34" s="636"/>
      <c r="J34" s="636"/>
      <c r="K34" s="636"/>
      <c r="L34" s="636"/>
      <c r="M34" s="636"/>
    </row>
    <row r="35" spans="1:13" x14ac:dyDescent="0.25">
      <c r="A35" s="1" t="s">
        <v>58</v>
      </c>
      <c r="B35" s="1">
        <v>1</v>
      </c>
      <c r="C35" s="1">
        <v>2</v>
      </c>
      <c r="D35" s="638">
        <v>3</v>
      </c>
      <c r="E35" s="638">
        <v>4</v>
      </c>
      <c r="F35" s="638">
        <v>5</v>
      </c>
      <c r="G35" s="638">
        <v>6</v>
      </c>
      <c r="H35" s="636"/>
      <c r="I35" s="636"/>
      <c r="J35" s="636"/>
      <c r="K35" s="636"/>
      <c r="L35" s="636"/>
      <c r="M35" s="636"/>
    </row>
    <row r="36" spans="1:13" x14ac:dyDescent="0.25">
      <c r="A36" s="1" t="s">
        <v>59</v>
      </c>
      <c r="B36" s="402" t="s">
        <v>60</v>
      </c>
      <c r="C36" s="1"/>
      <c r="D36" s="638"/>
      <c r="E36" s="638"/>
      <c r="F36" s="638"/>
      <c r="G36" s="638"/>
      <c r="H36" s="636"/>
      <c r="I36" s="636"/>
      <c r="J36" s="636"/>
      <c r="K36" s="636"/>
      <c r="L36" s="636"/>
      <c r="M36" s="636"/>
    </row>
    <row r="37" spans="1:13" x14ac:dyDescent="0.25">
      <c r="A37" s="91" t="s">
        <v>60</v>
      </c>
      <c r="B37" s="68" t="s">
        <v>175</v>
      </c>
      <c r="C37" s="1"/>
      <c r="D37" s="22">
        <v>2.0395634643351492</v>
      </c>
      <c r="E37" s="22">
        <v>0.22238462025122496</v>
      </c>
      <c r="F37" s="22">
        <v>19.099188159688769</v>
      </c>
      <c r="G37" s="22">
        <v>1486.7509009157554</v>
      </c>
      <c r="H37" s="636"/>
      <c r="I37" s="636"/>
      <c r="J37" s="636"/>
      <c r="K37" s="636"/>
      <c r="L37" s="636"/>
      <c r="M37" s="636"/>
    </row>
    <row r="38" spans="1:13" x14ac:dyDescent="0.25">
      <c r="A38" s="91" t="s">
        <v>61</v>
      </c>
      <c r="B38" s="636" t="s">
        <v>225</v>
      </c>
      <c r="C38" s="636"/>
      <c r="D38" s="405">
        <v>0.37427959567718094</v>
      </c>
      <c r="E38" s="405">
        <v>5.8479529333139799E-3</v>
      </c>
      <c r="F38" s="405">
        <v>7.3164418787565735</v>
      </c>
      <c r="G38" s="405">
        <v>234.35504629658095</v>
      </c>
      <c r="H38" s="636"/>
      <c r="I38" s="636"/>
      <c r="J38" s="636"/>
      <c r="K38" s="636"/>
      <c r="L38" s="636"/>
      <c r="M38" s="636"/>
    </row>
    <row r="39" spans="1:13" x14ac:dyDescent="0.25">
      <c r="A39" s="91" t="s">
        <v>62</v>
      </c>
      <c r="B39" s="1" t="s">
        <v>238</v>
      </c>
      <c r="C39" s="636"/>
      <c r="D39" s="405">
        <f>AVERAGE(F9:F15)</f>
        <v>0.71939485714285711</v>
      </c>
      <c r="E39" s="405">
        <f t="shared" ref="E39:G39" si="30">AVERAGE(G9:G15)</f>
        <v>4.944171428571429E-2</v>
      </c>
      <c r="F39" s="405">
        <f t="shared" si="30"/>
        <v>11.130804714285714</v>
      </c>
      <c r="G39" s="405">
        <f t="shared" si="30"/>
        <v>466.62944285714292</v>
      </c>
      <c r="H39" s="636"/>
      <c r="I39" s="636"/>
      <c r="J39" s="636"/>
      <c r="K39" s="636"/>
      <c r="L39" s="636"/>
      <c r="M39" s="636"/>
    </row>
    <row r="40" spans="1:13" x14ac:dyDescent="0.25">
      <c r="A40" s="91"/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</row>
    <row r="41" spans="1:13" x14ac:dyDescent="0.25">
      <c r="A41" s="91"/>
      <c r="B41" s="636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</row>
    <row r="42" spans="1:13" x14ac:dyDescent="0.25">
      <c r="A42" s="91"/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</row>
  </sheetData>
  <mergeCells count="26">
    <mergeCell ref="J31:J33"/>
    <mergeCell ref="K31:K33"/>
    <mergeCell ref="L31:L33"/>
    <mergeCell ref="M31:M33"/>
    <mergeCell ref="J9:J12"/>
    <mergeCell ref="K9:K12"/>
    <mergeCell ref="L9:L12"/>
    <mergeCell ref="M9:M12"/>
    <mergeCell ref="J13:J14"/>
    <mergeCell ref="K13:K14"/>
    <mergeCell ref="L13:L14"/>
    <mergeCell ref="M13:M14"/>
    <mergeCell ref="J28:J30"/>
    <mergeCell ref="K28:K30"/>
    <mergeCell ref="L28:L30"/>
    <mergeCell ref="M28:M30"/>
    <mergeCell ref="J1:M1"/>
    <mergeCell ref="J5:J6"/>
    <mergeCell ref="K5:K6"/>
    <mergeCell ref="L5:L6"/>
    <mergeCell ref="M5:M6"/>
    <mergeCell ref="E1:E4"/>
    <mergeCell ref="F1:I1"/>
    <mergeCell ref="A1:A4"/>
    <mergeCell ref="B1:D4"/>
    <mergeCell ref="A31:A3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5"/>
  <sheetViews>
    <sheetView workbookViewId="0">
      <selection activeCell="F3" sqref="F3:M3"/>
    </sheetView>
  </sheetViews>
  <sheetFormatPr defaultColWidth="11.44140625" defaultRowHeight="13.2" x14ac:dyDescent="0.25"/>
  <cols>
    <col min="1" max="1" width="31" style="88" customWidth="1"/>
    <col min="2" max="2" width="99.6640625" style="88" customWidth="1"/>
    <col min="3" max="16384" width="11.44140625" style="88"/>
  </cols>
  <sheetData>
    <row r="1" spans="1:13" x14ac:dyDescent="0.25">
      <c r="A1" s="841" t="s">
        <v>2</v>
      </c>
      <c r="B1" s="841" t="s">
        <v>3</v>
      </c>
      <c r="C1" s="841"/>
      <c r="D1" s="841"/>
      <c r="E1" s="839" t="s">
        <v>200</v>
      </c>
      <c r="F1" s="779" t="s">
        <v>0</v>
      </c>
      <c r="G1" s="779"/>
      <c r="H1" s="779"/>
      <c r="I1" s="779"/>
      <c r="J1" s="779" t="s">
        <v>1</v>
      </c>
      <c r="K1" s="779"/>
      <c r="L1" s="779"/>
      <c r="M1" s="779"/>
    </row>
    <row r="2" spans="1:13" x14ac:dyDescent="0.25">
      <c r="A2" s="841"/>
      <c r="B2" s="841"/>
      <c r="C2" s="841"/>
      <c r="D2" s="841"/>
      <c r="E2" s="839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5">
      <c r="A3" s="841"/>
      <c r="B3" s="841"/>
      <c r="C3" s="841"/>
      <c r="D3" s="841"/>
      <c r="E3" s="839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3.8" thickBot="1" x14ac:dyDescent="0.3">
      <c r="A4" s="842"/>
      <c r="B4" s="842"/>
      <c r="C4" s="842"/>
      <c r="D4" s="842"/>
      <c r="E4" s="840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8" thickTop="1" x14ac:dyDescent="0.25">
      <c r="A5" s="232" t="s">
        <v>16</v>
      </c>
      <c r="B5" s="136" t="s">
        <v>239</v>
      </c>
      <c r="C5" s="136">
        <v>8.1871345029239807E-3</v>
      </c>
      <c r="D5" s="136" t="s">
        <v>204</v>
      </c>
      <c r="E5" s="233">
        <v>100</v>
      </c>
      <c r="F5" s="224">
        <f>VLOOKUP($B5,Luxembourg,2,FALSE)</f>
        <v>4.8716599977915206E-2</v>
      </c>
      <c r="G5" s="224">
        <f>VLOOKUP($B5,Luxembourg,3,FALSE)</f>
        <v>16.805337573845765</v>
      </c>
      <c r="H5" s="224">
        <f>VLOOKUP($B5,Luxembourg,4,FALSE)</f>
        <v>0.57377959080702212</v>
      </c>
      <c r="I5" s="225">
        <f>VLOOKUP($B5,Luxembourg,5,FALSE)</f>
        <v>358.56083210789416</v>
      </c>
      <c r="J5" s="224">
        <f>F5*$E5%</f>
        <v>4.8716599977915206E-2</v>
      </c>
      <c r="K5" s="224">
        <f t="shared" ref="K5:M5" si="1">G5*$E5%</f>
        <v>16.805337573845765</v>
      </c>
      <c r="L5" s="224">
        <f t="shared" si="1"/>
        <v>0.57377959080702212</v>
      </c>
      <c r="M5" s="225">
        <f t="shared" si="1"/>
        <v>358.56083210789416</v>
      </c>
    </row>
    <row r="6" spans="1:13" x14ac:dyDescent="0.25">
      <c r="A6" s="234" t="s">
        <v>19</v>
      </c>
      <c r="B6" s="235"/>
      <c r="C6" s="235"/>
      <c r="D6" s="235"/>
      <c r="E6" s="236"/>
      <c r="F6" s="227" t="s">
        <v>240</v>
      </c>
      <c r="G6" s="227" t="s">
        <v>240</v>
      </c>
      <c r="H6" s="227" t="s">
        <v>240</v>
      </c>
      <c r="I6" s="228"/>
      <c r="J6" s="227"/>
      <c r="K6" s="227"/>
      <c r="L6" s="227"/>
      <c r="M6" s="228"/>
    </row>
    <row r="7" spans="1:13" x14ac:dyDescent="0.25">
      <c r="A7" s="234" t="s">
        <v>21</v>
      </c>
      <c r="B7" s="235"/>
      <c r="C7" s="235"/>
      <c r="D7" s="235"/>
      <c r="E7" s="236"/>
      <c r="F7" s="227" t="s">
        <v>240</v>
      </c>
      <c r="G7" s="227" t="s">
        <v>240</v>
      </c>
      <c r="H7" s="227" t="s">
        <v>240</v>
      </c>
      <c r="I7" s="228"/>
      <c r="J7" s="227"/>
      <c r="K7" s="227"/>
      <c r="L7" s="227"/>
      <c r="M7" s="228"/>
    </row>
    <row r="8" spans="1:13" x14ac:dyDescent="0.25">
      <c r="A8" s="237" t="s">
        <v>22</v>
      </c>
      <c r="B8" s="137" t="s">
        <v>241</v>
      </c>
      <c r="C8" s="137">
        <v>0.40857699805068198</v>
      </c>
      <c r="D8" s="137" t="s">
        <v>204</v>
      </c>
      <c r="E8" s="238">
        <f>C8/(C8+C9)%</f>
        <v>80.42977743668456</v>
      </c>
      <c r="F8" s="239">
        <f>VLOOKUP($B8,Luxembourg,2,FALSE)</f>
        <v>0.44411073133686607</v>
      </c>
      <c r="G8" s="240">
        <f>VLOOKUP($B8,Luxembourg,3,FALSE)</f>
        <v>7.9456120872778008E-3</v>
      </c>
      <c r="H8" s="240">
        <f>VLOOKUP($B8,Luxembourg,4,FALSE)</f>
        <v>8.2687359840703145</v>
      </c>
      <c r="I8" s="229">
        <f>VLOOKUP($B8,Luxembourg,5,FALSE)</f>
        <v>277.19937338795455</v>
      </c>
      <c r="J8" s="882">
        <f>F8*$E8%+F9*$E9%</f>
        <v>0.4947728404754631</v>
      </c>
      <c r="K8" s="848">
        <f t="shared" ref="K8:L8" si="2">G8*$E8%+G9*$E9%</f>
        <v>9.1151894243839543E-3</v>
      </c>
      <c r="L8" s="848">
        <f t="shared" si="2"/>
        <v>9.2085356047543101</v>
      </c>
      <c r="M8" s="851">
        <f>I8*$E8%+I9*$E9%</f>
        <v>310.57105645378641</v>
      </c>
    </row>
    <row r="9" spans="1:13" x14ac:dyDescent="0.25">
      <c r="A9" s="241"/>
      <c r="B9" s="242" t="s">
        <v>242</v>
      </c>
      <c r="C9" s="242">
        <v>9.9415204678362595E-2</v>
      </c>
      <c r="D9" s="242" t="s">
        <v>204</v>
      </c>
      <c r="E9" s="243">
        <f>C9/(C9+C8)%</f>
        <v>19.57022256331544</v>
      </c>
      <c r="F9" s="244">
        <f>VLOOKUP($B9,Luxembourg,2,FALSE)</f>
        <v>0.70298417528820678</v>
      </c>
      <c r="G9" s="245">
        <f>VLOOKUP($B9,Luxembourg,3,FALSE)</f>
        <v>1.3921922951000611E-2</v>
      </c>
      <c r="H9" s="245">
        <f>VLOOKUP($B9,Luxembourg,4,FALSE)</f>
        <v>13.070927771330105</v>
      </c>
      <c r="I9" s="226">
        <f>VLOOKUP($B9,Luxembourg,5,FALSE)</f>
        <v>447.72213038708747</v>
      </c>
      <c r="J9" s="883"/>
      <c r="K9" s="849"/>
      <c r="L9" s="849"/>
      <c r="M9" s="851"/>
    </row>
    <row r="10" spans="1:13" x14ac:dyDescent="0.25">
      <c r="A10" s="234" t="s">
        <v>27</v>
      </c>
      <c r="B10" s="235"/>
      <c r="C10" s="235"/>
      <c r="D10" s="235"/>
      <c r="E10" s="236"/>
      <c r="F10" s="227" t="s">
        <v>240</v>
      </c>
      <c r="G10" s="227" t="s">
        <v>240</v>
      </c>
      <c r="H10" s="227" t="s">
        <v>240</v>
      </c>
      <c r="I10" s="228"/>
      <c r="J10" s="227"/>
      <c r="K10" s="227"/>
      <c r="L10" s="227"/>
      <c r="M10" s="228"/>
    </row>
    <row r="11" spans="1:13" x14ac:dyDescent="0.25">
      <c r="A11" s="234" t="s">
        <v>30</v>
      </c>
      <c r="B11" s="235"/>
      <c r="C11" s="235"/>
      <c r="D11" s="235"/>
      <c r="E11" s="236"/>
      <c r="F11" s="227"/>
      <c r="G11" s="227"/>
      <c r="H11" s="227"/>
      <c r="I11" s="228"/>
      <c r="J11" s="227"/>
      <c r="K11" s="227"/>
      <c r="L11" s="227"/>
      <c r="M11" s="228"/>
    </row>
    <row r="12" spans="1:13" x14ac:dyDescent="0.25">
      <c r="A12" s="234" t="s">
        <v>33</v>
      </c>
      <c r="B12" s="235"/>
      <c r="C12" s="235"/>
      <c r="D12" s="235"/>
      <c r="E12" s="236"/>
      <c r="F12" s="227"/>
      <c r="G12" s="227"/>
      <c r="H12" s="227"/>
      <c r="I12" s="228"/>
      <c r="J12" s="227"/>
      <c r="K12" s="227"/>
      <c r="L12" s="227"/>
      <c r="M12" s="228"/>
    </row>
    <row r="13" spans="1:13" x14ac:dyDescent="0.25">
      <c r="A13" s="234" t="s">
        <v>34</v>
      </c>
      <c r="B13" s="235"/>
      <c r="C13" s="235"/>
      <c r="D13" s="235"/>
      <c r="E13" s="236"/>
      <c r="F13" s="227"/>
      <c r="G13" s="227"/>
      <c r="H13" s="227"/>
      <c r="I13" s="228"/>
      <c r="J13" s="227"/>
      <c r="K13" s="227"/>
      <c r="L13" s="227"/>
      <c r="M13" s="228"/>
    </row>
    <row r="14" spans="1:13" x14ac:dyDescent="0.25">
      <c r="A14" s="234" t="s">
        <v>35</v>
      </c>
      <c r="B14" s="235"/>
      <c r="C14" s="235"/>
      <c r="D14" s="235"/>
      <c r="E14" s="236"/>
      <c r="F14" s="227"/>
      <c r="G14" s="227"/>
      <c r="H14" s="227"/>
      <c r="I14" s="228"/>
      <c r="J14" s="227"/>
      <c r="K14" s="227"/>
      <c r="L14" s="227"/>
      <c r="M14" s="228"/>
    </row>
    <row r="15" spans="1:13" x14ac:dyDescent="0.25">
      <c r="A15" s="246" t="s">
        <v>38</v>
      </c>
      <c r="B15" s="135" t="s">
        <v>243</v>
      </c>
      <c r="C15" s="135">
        <v>0.41364522417153998</v>
      </c>
      <c r="D15" s="135" t="s">
        <v>204</v>
      </c>
      <c r="E15" s="247">
        <v>100</v>
      </c>
      <c r="F15" s="406">
        <f>VLOOKUP($B15,Luxembourg,2,FALSE)</f>
        <v>0.78410397299684154</v>
      </c>
      <c r="G15" s="407">
        <f>VLOOKUP($B15,Luxembourg,3,FALSE)</f>
        <v>1.3334595431285272</v>
      </c>
      <c r="H15" s="407">
        <f>VLOOKUP($B15,Luxembourg,4,FALSE)</f>
        <v>14.55234550643536</v>
      </c>
      <c r="I15" s="408">
        <f>VLOOKUP($B15,Luxembourg,5,FALSE)</f>
        <v>660.6970412322205</v>
      </c>
      <c r="J15" s="274">
        <f>F15*$E15%</f>
        <v>0.78410397299684154</v>
      </c>
      <c r="K15" s="217">
        <f t="shared" ref="K15:M16" si="3">G15*$E15%</f>
        <v>1.3334595431285272</v>
      </c>
      <c r="L15" s="217">
        <f t="shared" si="3"/>
        <v>14.55234550643536</v>
      </c>
      <c r="M15" s="218">
        <f t="shared" si="3"/>
        <v>660.6970412322205</v>
      </c>
    </row>
    <row r="16" spans="1:13" x14ac:dyDescent="0.25">
      <c r="A16" s="246" t="s">
        <v>40</v>
      </c>
      <c r="B16" s="135" t="s">
        <v>244</v>
      </c>
      <c r="C16" s="135">
        <v>3.9376218323586801E-2</v>
      </c>
      <c r="D16" s="135" t="s">
        <v>204</v>
      </c>
      <c r="E16" s="247">
        <v>100</v>
      </c>
      <c r="F16" s="406">
        <f>VLOOKUP($B16,Luxembourg,2,FALSE)</f>
        <v>4.3659807112993981E-3</v>
      </c>
      <c r="G16" s="407">
        <f>VLOOKUP($B16,Luxembourg,3,FALSE)</f>
        <v>3.7930767911374486</v>
      </c>
      <c r="H16" s="407">
        <f>VLOOKUP($B16,Luxembourg,4,FALSE)</f>
        <v>4.3332543006030573E-2</v>
      </c>
      <c r="I16" s="408">
        <f>VLOOKUP($B16,Luxembourg,5,FALSE)</f>
        <v>11.914127861359512</v>
      </c>
      <c r="J16" s="274">
        <f>F16*$E16%</f>
        <v>4.3659807112993981E-3</v>
      </c>
      <c r="K16" s="217">
        <f t="shared" si="3"/>
        <v>3.7930767911374486</v>
      </c>
      <c r="L16" s="217">
        <f t="shared" si="3"/>
        <v>4.3332543006030573E-2</v>
      </c>
      <c r="M16" s="218">
        <f t="shared" si="3"/>
        <v>11.914127861359512</v>
      </c>
    </row>
    <row r="17" spans="1:13" x14ac:dyDescent="0.25">
      <c r="A17" s="234" t="s">
        <v>42</v>
      </c>
      <c r="B17" s="235"/>
      <c r="C17" s="235"/>
      <c r="D17" s="235"/>
      <c r="E17" s="236"/>
      <c r="F17" s="227"/>
      <c r="G17" s="227"/>
      <c r="H17" s="227"/>
      <c r="I17" s="228"/>
      <c r="J17" s="227"/>
      <c r="K17" s="227"/>
      <c r="L17" s="227"/>
      <c r="M17" s="228"/>
    </row>
    <row r="18" spans="1:13" x14ac:dyDescent="0.25">
      <c r="A18" s="234" t="s">
        <v>44</v>
      </c>
      <c r="B18" s="235"/>
      <c r="C18" s="235"/>
      <c r="D18" s="235"/>
      <c r="E18" s="236"/>
      <c r="F18" s="227"/>
      <c r="G18" s="227"/>
      <c r="H18" s="227"/>
      <c r="I18" s="228"/>
      <c r="J18" s="227"/>
      <c r="K18" s="227"/>
      <c r="L18" s="227"/>
      <c r="M18" s="228"/>
    </row>
    <row r="19" spans="1:13" x14ac:dyDescent="0.25">
      <c r="A19" s="234" t="s">
        <v>45</v>
      </c>
      <c r="B19" s="235"/>
      <c r="C19" s="235"/>
      <c r="D19" s="235"/>
      <c r="E19" s="236"/>
      <c r="F19" s="227"/>
      <c r="G19" s="227"/>
      <c r="H19" s="227"/>
      <c r="I19" s="228"/>
      <c r="J19" s="227"/>
      <c r="K19" s="227"/>
      <c r="L19" s="227"/>
      <c r="M19" s="228"/>
    </row>
    <row r="20" spans="1:13" x14ac:dyDescent="0.25">
      <c r="A20" s="234" t="s">
        <v>46</v>
      </c>
      <c r="B20" s="235"/>
      <c r="C20" s="235"/>
      <c r="D20" s="235"/>
      <c r="E20" s="236"/>
      <c r="F20" s="227"/>
      <c r="G20" s="227"/>
      <c r="H20" s="227"/>
      <c r="I20" s="228"/>
      <c r="J20" s="227"/>
      <c r="K20" s="227"/>
      <c r="L20" s="227"/>
      <c r="M20" s="228"/>
    </row>
    <row r="21" spans="1:13" x14ac:dyDescent="0.25">
      <c r="A21" s="234" t="s">
        <v>47</v>
      </c>
      <c r="B21" s="235"/>
      <c r="C21" s="235"/>
      <c r="D21" s="235"/>
      <c r="E21" s="236"/>
      <c r="F21" s="227"/>
      <c r="G21" s="227"/>
      <c r="H21" s="227"/>
      <c r="I21" s="228"/>
      <c r="J21" s="227"/>
      <c r="K21" s="227"/>
      <c r="L21" s="227"/>
      <c r="M21" s="228"/>
    </row>
    <row r="22" spans="1:13" x14ac:dyDescent="0.25">
      <c r="A22" s="234" t="s">
        <v>48</v>
      </c>
      <c r="B22" s="235"/>
      <c r="C22" s="235"/>
      <c r="D22" s="235"/>
      <c r="E22" s="236"/>
      <c r="F22" s="227"/>
      <c r="G22" s="227"/>
      <c r="H22" s="227"/>
      <c r="I22" s="228"/>
      <c r="J22" s="227"/>
      <c r="K22" s="227"/>
      <c r="L22" s="227"/>
      <c r="M22" s="228"/>
    </row>
    <row r="23" spans="1:13" x14ac:dyDescent="0.25">
      <c r="A23" s="234" t="s">
        <v>50</v>
      </c>
      <c r="B23" s="235"/>
      <c r="C23" s="235"/>
      <c r="D23" s="235"/>
      <c r="E23" s="236"/>
      <c r="F23" s="227"/>
      <c r="G23" s="227"/>
      <c r="H23" s="227"/>
      <c r="I23" s="228"/>
      <c r="J23" s="227"/>
      <c r="K23" s="227"/>
      <c r="L23" s="227"/>
      <c r="M23" s="228"/>
    </row>
    <row r="24" spans="1:13" x14ac:dyDescent="0.25">
      <c r="A24" s="237" t="s">
        <v>51</v>
      </c>
      <c r="B24" s="137" t="s">
        <v>245</v>
      </c>
      <c r="C24" s="137">
        <v>6.2378167641325604E-3</v>
      </c>
      <c r="D24" s="137" t="s">
        <v>204</v>
      </c>
      <c r="E24" s="238">
        <f>C24/(C24+C25)%</f>
        <v>20.253164556962062</v>
      </c>
      <c r="F24" s="239">
        <f>VLOOKUP($B24,Luxembourg,2,FALSE)</f>
        <v>1.7555171607370412E-2</v>
      </c>
      <c r="G24" s="240">
        <f>VLOOKUP($B24,Luxembourg,3,FALSE)</f>
        <v>3.888239452067189</v>
      </c>
      <c r="H24" s="240">
        <f>VLOOKUP($B24,Luxembourg,4,FALSE)</f>
        <v>0.21943428350722555</v>
      </c>
      <c r="I24" s="229">
        <f>VLOOKUP($B24,Luxembourg,5,FALSE)</f>
        <v>40.944457759214444</v>
      </c>
      <c r="J24" s="882">
        <f>F24*$E24%+F25*$E25%</f>
        <v>1.8261511036001366E-2</v>
      </c>
      <c r="K24" s="848">
        <f t="shared" ref="K24:L24" si="4">G24*$E24%+G25*$E25%</f>
        <v>3.8866984057319152</v>
      </c>
      <c r="L24" s="848">
        <f t="shared" si="4"/>
        <v>0.24393356694948029</v>
      </c>
      <c r="M24" s="851">
        <f>I24*$E24%+I25*$E25%</f>
        <v>42.366684665783737</v>
      </c>
    </row>
    <row r="25" spans="1:13" x14ac:dyDescent="0.25">
      <c r="A25" s="241"/>
      <c r="B25" s="242" t="s">
        <v>246</v>
      </c>
      <c r="C25" s="242">
        <v>2.4561403508771899E-2</v>
      </c>
      <c r="D25" s="242" t="s">
        <v>204</v>
      </c>
      <c r="E25" s="243">
        <f>C25/(C25+C24)%</f>
        <v>79.746835443037938</v>
      </c>
      <c r="F25" s="244">
        <f>VLOOKUP($B25,Luxembourg,2,FALSE)</f>
        <v>1.8440898827399705E-2</v>
      </c>
      <c r="G25" s="245">
        <f>VLOOKUP($B25,Luxembourg,3,FALSE)</f>
        <v>3.8863070288848616</v>
      </c>
      <c r="H25" s="245">
        <f>VLOOKUP($B25,Luxembourg,4,FALSE)</f>
        <v>0.2501556071887831</v>
      </c>
      <c r="I25" s="226">
        <f>VLOOKUP($B25,Luxembourg,5,FALSE)</f>
        <v>42.72788514999182</v>
      </c>
      <c r="J25" s="883"/>
      <c r="K25" s="849"/>
      <c r="L25" s="849"/>
      <c r="M25" s="851"/>
    </row>
    <row r="26" spans="1:13" ht="13.8" thickBot="1" x14ac:dyDescent="0.3">
      <c r="A26" s="248" t="s">
        <v>55</v>
      </c>
      <c r="B26" s="249"/>
      <c r="C26" s="249"/>
      <c r="D26" s="249"/>
      <c r="E26" s="250"/>
      <c r="F26" s="251"/>
      <c r="G26" s="251"/>
      <c r="H26" s="251"/>
      <c r="I26" s="252"/>
      <c r="J26" s="251"/>
      <c r="K26" s="251"/>
      <c r="L26" s="251"/>
      <c r="M26" s="252"/>
    </row>
    <row r="27" spans="1:13" ht="13.8" thickTop="1" x14ac:dyDescent="0.25">
      <c r="A27" s="636"/>
      <c r="B27" s="636"/>
      <c r="C27" s="636">
        <f>SUM(C2:C26)</f>
        <v>0.99999999999999989</v>
      </c>
      <c r="D27" s="636"/>
      <c r="E27" s="636"/>
      <c r="F27" s="636"/>
      <c r="G27" s="636"/>
      <c r="H27" s="636"/>
      <c r="I27" s="636"/>
      <c r="J27" s="636"/>
      <c r="K27" s="636"/>
      <c r="L27" s="636"/>
      <c r="M27" s="636"/>
    </row>
    <row r="28" spans="1:13" x14ac:dyDescent="0.25">
      <c r="A28" s="1"/>
      <c r="B28" s="636"/>
      <c r="C28" s="636"/>
      <c r="D28" s="636"/>
      <c r="E28" s="636"/>
      <c r="F28" s="636"/>
      <c r="G28" s="636"/>
      <c r="H28" s="636"/>
      <c r="I28" s="636"/>
      <c r="J28" s="636"/>
      <c r="K28" s="636"/>
      <c r="L28" s="636"/>
      <c r="M28" s="636"/>
    </row>
    <row r="29" spans="1:13" x14ac:dyDescent="0.25">
      <c r="A29" s="91"/>
      <c r="B29" s="636"/>
      <c r="C29" s="636"/>
      <c r="D29" s="636"/>
      <c r="E29" s="636"/>
      <c r="F29" s="636"/>
      <c r="G29" s="636"/>
      <c r="H29" s="636"/>
      <c r="I29" s="636"/>
      <c r="J29" s="636"/>
      <c r="K29" s="636"/>
      <c r="L29" s="636"/>
      <c r="M29" s="636"/>
    </row>
    <row r="30" spans="1:13" x14ac:dyDescent="0.25">
      <c r="A30" s="91"/>
      <c r="B30" s="636"/>
      <c r="C30" s="636"/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5">
      <c r="A31" s="91"/>
      <c r="B31" s="636"/>
      <c r="C31" s="636"/>
      <c r="D31" s="636"/>
      <c r="E31" s="636"/>
      <c r="F31" s="636"/>
      <c r="G31" s="636"/>
      <c r="H31" s="636"/>
      <c r="I31" s="636"/>
      <c r="J31" s="636"/>
      <c r="K31" s="636"/>
      <c r="L31" s="636"/>
      <c r="M31" s="636"/>
    </row>
    <row r="32" spans="1:13" x14ac:dyDescent="0.25">
      <c r="A32" s="1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</row>
    <row r="33" spans="1:1" x14ac:dyDescent="0.25">
      <c r="A33" s="91"/>
    </row>
    <row r="34" spans="1:1" x14ac:dyDescent="0.25">
      <c r="A34" s="91"/>
    </row>
    <row r="35" spans="1:1" x14ac:dyDescent="0.25">
      <c r="A35" s="91"/>
    </row>
  </sheetData>
  <mergeCells count="13">
    <mergeCell ref="J24:J25"/>
    <mergeCell ref="K24:K25"/>
    <mergeCell ref="L24:L25"/>
    <mergeCell ref="M24:M25"/>
    <mergeCell ref="J8:J9"/>
    <mergeCell ref="K8:K9"/>
    <mergeCell ref="L8:L9"/>
    <mergeCell ref="M8:M9"/>
    <mergeCell ref="F1:I1"/>
    <mergeCell ref="A1:A4"/>
    <mergeCell ref="B1:D4"/>
    <mergeCell ref="E1:E4"/>
    <mergeCell ref="J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77C9AE981F6A4EAE1375FBA0B947E9" ma:contentTypeVersion="0" ma:contentTypeDescription="Crée un document." ma:contentTypeScope="" ma:versionID="c86b9917271ef01d7057a4fce846c28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09c1ba23edfaa45a5e9d385267c9b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711EA4-D7B1-4F54-90D3-CA4A05B638A1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95C17B3-2744-49D3-A869-5DA563480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DE86F6-9A7B-46A9-864C-6B7CA487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12</vt:i4>
      </vt:variant>
    </vt:vector>
  </HeadingPairs>
  <TitlesOfParts>
    <vt:vector size="33" baseType="lpstr">
      <vt:lpstr>AT</vt:lpstr>
      <vt:lpstr>CH</vt:lpstr>
      <vt:lpstr>DE</vt:lpstr>
      <vt:lpstr>FR</vt:lpstr>
      <vt:lpstr>IT</vt:lpstr>
      <vt:lpstr>CZ</vt:lpstr>
      <vt:lpstr>PT</vt:lpstr>
      <vt:lpstr>NL</vt:lpstr>
      <vt:lpstr>LU</vt:lpstr>
      <vt:lpstr>ES</vt:lpstr>
      <vt:lpstr>BE</vt:lpstr>
      <vt:lpstr>GB</vt:lpstr>
      <vt:lpstr>PL</vt:lpstr>
      <vt:lpstr>BG</vt:lpstr>
      <vt:lpstr>NO</vt:lpstr>
      <vt:lpstr>SE</vt:lpstr>
      <vt:lpstr>DK</vt:lpstr>
      <vt:lpstr>Residue</vt:lpstr>
      <vt:lpstr>ENTSOE_avg</vt:lpstr>
      <vt:lpstr>Analysis</vt:lpstr>
      <vt:lpstr>Pays_Simapro</vt:lpstr>
      <vt:lpstr>Autre_Source</vt:lpstr>
      <vt:lpstr>Belgique</vt:lpstr>
      <vt:lpstr>Bulgarie</vt:lpstr>
      <vt:lpstr>Denmark</vt:lpstr>
      <vt:lpstr>Espagne</vt:lpstr>
      <vt:lpstr>GB</vt:lpstr>
      <vt:lpstr>Luxembourg</vt:lpstr>
      <vt:lpstr>Norvege</vt:lpstr>
      <vt:lpstr>Pays_bas</vt:lpstr>
      <vt:lpstr>Pologne</vt:lpstr>
      <vt:lpstr>Portugal</vt:lpstr>
      <vt:lpstr>Suède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Beloin-Saint-Pierre, Didier</dc:creator>
  <cp:lastModifiedBy>Beloin-Saint-Pierre, Didier</cp:lastModifiedBy>
  <dcterms:created xsi:type="dcterms:W3CDTF">2019-01-25T16:18:20Z</dcterms:created>
  <dcterms:modified xsi:type="dcterms:W3CDTF">2021-11-26T15:12:20Z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0x010100CC77C9AE981F6A4EAE1375FBA0B947E9</vt:lpwstr>
  </property>
</Properties>
</file>