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nhkm/Documents/"/>
    </mc:Choice>
  </mc:AlternateContent>
  <xr:revisionPtr revIDLastSave="12" documentId="8_{4FC94B8C-1AC1-CE4D-97EC-7A4B1BF8CF14}" xr6:coauthVersionLast="47" xr6:coauthVersionMax="47" xr10:uidLastSave="{76276146-0D0C-41D2-8782-823801A4BD34}"/>
  <bookViews>
    <workbookView xWindow="0" yWindow="880" windowWidth="34560" windowHeight="21100" xr2:uid="{D00406CC-BFF0-43AA-A214-3AACDC858FAF}"/>
  </bookViews>
  <sheets>
    <sheet name="DCF" sheetId="10" r:id="rId1"/>
    <sheet name="WACC" sheetId="11" r:id="rId2"/>
    <sheet name="IS" sheetId="8" r:id="rId3"/>
    <sheet name="CFS" sheetId="9" r:id="rId4"/>
    <sheet name="Estimates" sheetId="7" r:id="rId5"/>
  </sheets>
  <definedNames>
    <definedName name="tgr">DCF!$E$19</definedName>
    <definedName name="wacc">DCF!$E$18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5" i="10" l="1"/>
  <c r="Z78" i="10"/>
  <c r="I79" i="10"/>
  <c r="J78" i="10" s="1"/>
  <c r="K78" i="10" s="1"/>
  <c r="L78" i="10" s="1"/>
  <c r="M78" i="10" s="1"/>
  <c r="N78" i="10" s="1"/>
  <c r="O78" i="10" s="1"/>
  <c r="P78" i="10" s="1"/>
  <c r="Q78" i="10" s="1"/>
  <c r="R78" i="10" s="1"/>
  <c r="E19" i="10"/>
  <c r="E18" i="10"/>
  <c r="F20" i="11"/>
  <c r="F9" i="11" s="1"/>
  <c r="F16" i="11"/>
  <c r="F10" i="11"/>
  <c r="H38" i="10"/>
  <c r="G38" i="10"/>
  <c r="G72" i="10" s="1"/>
  <c r="F38" i="10"/>
  <c r="F72" i="10" s="1"/>
  <c r="E38" i="10"/>
  <c r="H57" i="10"/>
  <c r="I55" i="10" s="1"/>
  <c r="R53" i="10"/>
  <c r="R51" i="10"/>
  <c r="R52" i="10"/>
  <c r="R50" i="10" s="1"/>
  <c r="R47" i="10"/>
  <c r="R46" i="10"/>
  <c r="R44" i="10" s="1"/>
  <c r="R45" i="10"/>
  <c r="Q11" i="10"/>
  <c r="L11" i="10"/>
  <c r="G11" i="10"/>
  <c r="F21" i="10"/>
  <c r="G21" i="10" s="1"/>
  <c r="H21" i="10" s="1"/>
  <c r="I21" i="10" s="1"/>
  <c r="J21" i="10" s="1"/>
  <c r="K21" i="10" s="1"/>
  <c r="L21" i="10" s="1"/>
  <c r="J41" i="10"/>
  <c r="K41" i="10" s="1"/>
  <c r="L41" i="10" s="1"/>
  <c r="M41" i="10" s="1"/>
  <c r="N41" i="10" s="1"/>
  <c r="O41" i="10" s="1"/>
  <c r="P41" i="10" s="1"/>
  <c r="Q41" i="10" s="1"/>
  <c r="R41" i="10" s="1"/>
  <c r="E42" i="10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E31" i="10"/>
  <c r="F31" i="10" s="1"/>
  <c r="G31" i="10" s="1"/>
  <c r="H31" i="10" s="1"/>
  <c r="I31" i="10" s="1"/>
  <c r="J31" i="10" s="1"/>
  <c r="K31" i="10" s="1"/>
  <c r="L31" i="10" s="1"/>
  <c r="H35" i="10"/>
  <c r="H69" i="10" s="1"/>
  <c r="G35" i="10"/>
  <c r="G69" i="10" s="1"/>
  <c r="F35" i="10"/>
  <c r="F69" i="10" s="1"/>
  <c r="E35" i="10"/>
  <c r="H32" i="10"/>
  <c r="H66" i="10" s="1"/>
  <c r="G32" i="10"/>
  <c r="G66" i="10" s="1"/>
  <c r="F32" i="10"/>
  <c r="F66" i="10" s="1"/>
  <c r="E32" i="10"/>
  <c r="L28" i="10"/>
  <c r="L29" i="10" s="1"/>
  <c r="K28" i="10"/>
  <c r="K29" i="10" s="1"/>
  <c r="J28" i="10"/>
  <c r="J29" i="10" s="1"/>
  <c r="I28" i="10"/>
  <c r="I29" i="10" s="1"/>
  <c r="H28" i="10"/>
  <c r="H29" i="10" s="1"/>
  <c r="H62" i="10" s="1"/>
  <c r="G28" i="10"/>
  <c r="G29" i="10" s="1"/>
  <c r="G62" i="10" s="1"/>
  <c r="F28" i="10"/>
  <c r="F29" i="10" s="1"/>
  <c r="F62" i="10" s="1"/>
  <c r="E28" i="10"/>
  <c r="E29" i="10" s="1"/>
  <c r="E62" i="10" s="1"/>
  <c r="L25" i="10"/>
  <c r="L26" i="10" s="1"/>
  <c r="K25" i="10"/>
  <c r="K26" i="10" s="1"/>
  <c r="J25" i="10"/>
  <c r="I25" i="10"/>
  <c r="H25" i="10"/>
  <c r="H49" i="10" s="1"/>
  <c r="G25" i="10"/>
  <c r="F25" i="10"/>
  <c r="F49" i="10" s="1"/>
  <c r="E25" i="10"/>
  <c r="E26" i="10" s="1"/>
  <c r="L22" i="10"/>
  <c r="K22" i="10"/>
  <c r="J22" i="10"/>
  <c r="I22" i="10"/>
  <c r="J23" i="10" s="1"/>
  <c r="J46" i="10" s="1"/>
  <c r="H22" i="10"/>
  <c r="H43" i="10" s="1"/>
  <c r="G22" i="10"/>
  <c r="H23" i="10" s="1"/>
  <c r="F22" i="10"/>
  <c r="E22" i="10"/>
  <c r="E43" i="10" s="1"/>
  <c r="F40" i="10" l="1"/>
  <c r="I78" i="10"/>
  <c r="E33" i="10"/>
  <c r="E67" i="10" s="1"/>
  <c r="K23" i="10"/>
  <c r="H39" i="10"/>
  <c r="H73" i="10" s="1"/>
  <c r="L23" i="10"/>
  <c r="E36" i="10"/>
  <c r="E70" i="10" s="1"/>
  <c r="J44" i="10"/>
  <c r="J45" i="10"/>
  <c r="K45" i="10" s="1"/>
  <c r="L45" i="10" s="1"/>
  <c r="M45" i="10" s="1"/>
  <c r="N45" i="10" s="1"/>
  <c r="O45" i="10" s="1"/>
  <c r="P45" i="10" s="1"/>
  <c r="Q45" i="10" s="1"/>
  <c r="K46" i="10"/>
  <c r="J47" i="10"/>
  <c r="K47" i="10" s="1"/>
  <c r="L47" i="10" s="1"/>
  <c r="M47" i="10" s="1"/>
  <c r="N47" i="10" s="1"/>
  <c r="O47" i="10" s="1"/>
  <c r="P47" i="10" s="1"/>
  <c r="Q47" i="10" s="1"/>
  <c r="E69" i="10"/>
  <c r="E66" i="10"/>
  <c r="E49" i="10"/>
  <c r="E50" i="10" s="1"/>
  <c r="E39" i="10"/>
  <c r="E73" i="10" s="1"/>
  <c r="G40" i="10"/>
  <c r="F22" i="11"/>
  <c r="H72" i="10"/>
  <c r="E72" i="10"/>
  <c r="E61" i="10"/>
  <c r="F23" i="10"/>
  <c r="F61" i="10"/>
  <c r="I26" i="10"/>
  <c r="I52" i="10" s="1"/>
  <c r="J26" i="10"/>
  <c r="J52" i="10" s="1"/>
  <c r="G26" i="10"/>
  <c r="G33" i="10"/>
  <c r="G67" i="10" s="1"/>
  <c r="G36" i="10"/>
  <c r="G70" i="10" s="1"/>
  <c r="H40" i="10"/>
  <c r="H50" i="10"/>
  <c r="H33" i="10"/>
  <c r="H67" i="10" s="1"/>
  <c r="H36" i="10"/>
  <c r="H70" i="10" s="1"/>
  <c r="H26" i="10"/>
  <c r="F43" i="10"/>
  <c r="G49" i="10"/>
  <c r="G61" i="10"/>
  <c r="G23" i="10"/>
  <c r="F33" i="10"/>
  <c r="F67" i="10" s="1"/>
  <c r="F39" i="10"/>
  <c r="F73" i="10" s="1"/>
  <c r="G39" i="10"/>
  <c r="G73" i="10" s="1"/>
  <c r="I73" i="10" s="1"/>
  <c r="G43" i="10"/>
  <c r="H61" i="10"/>
  <c r="I23" i="10"/>
  <c r="I46" i="10" s="1"/>
  <c r="F26" i="10"/>
  <c r="F36" i="10"/>
  <c r="F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J73" i="10" l="1"/>
  <c r="K73" i="10" s="1"/>
  <c r="L73" i="10" s="1"/>
  <c r="M73" i="10" s="1"/>
  <c r="N73" i="10" s="1"/>
  <c r="O73" i="10" s="1"/>
  <c r="P73" i="10" s="1"/>
  <c r="Q73" i="10" s="1"/>
  <c r="R73" i="10" s="1"/>
  <c r="I51" i="10"/>
  <c r="I50" i="10"/>
  <c r="I53" i="10"/>
  <c r="L46" i="10"/>
  <c r="K44" i="10"/>
  <c r="I44" i="10"/>
  <c r="I43" i="10" s="1"/>
  <c r="I72" i="10" s="1"/>
  <c r="I45" i="10"/>
  <c r="I47" i="10"/>
  <c r="J50" i="10"/>
  <c r="K52" i="10"/>
  <c r="J51" i="10"/>
  <c r="K51" i="10" s="1"/>
  <c r="L51" i="10" s="1"/>
  <c r="M51" i="10" s="1"/>
  <c r="N51" i="10" s="1"/>
  <c r="O51" i="10" s="1"/>
  <c r="P51" i="10" s="1"/>
  <c r="Q51" i="10" s="1"/>
  <c r="J53" i="10"/>
  <c r="K53" i="10" s="1"/>
  <c r="L53" i="10" s="1"/>
  <c r="M53" i="10" s="1"/>
  <c r="N53" i="10" s="1"/>
  <c r="O53" i="10" s="1"/>
  <c r="P53" i="10" s="1"/>
  <c r="Q53" i="10" s="1"/>
  <c r="I67" i="10"/>
  <c r="J67" i="10" s="1"/>
  <c r="K67" i="10" s="1"/>
  <c r="L67" i="10" s="1"/>
  <c r="M67" i="10" s="1"/>
  <c r="N67" i="10" s="1"/>
  <c r="O67" i="10" s="1"/>
  <c r="P67" i="10" s="1"/>
  <c r="Q67" i="10" s="1"/>
  <c r="R67" i="10" s="1"/>
  <c r="G44" i="10"/>
  <c r="H44" i="10"/>
  <c r="G50" i="10"/>
  <c r="F44" i="10"/>
  <c r="F50" i="10"/>
  <c r="I66" i="10" l="1"/>
  <c r="J43" i="10"/>
  <c r="J66" i="10" s="1"/>
  <c r="M46" i="10"/>
  <c r="L44" i="10"/>
  <c r="I69" i="10"/>
  <c r="K50" i="10"/>
  <c r="L52" i="10"/>
  <c r="I49" i="10"/>
  <c r="I56" i="10" s="1"/>
  <c r="I57" i="10" s="1"/>
  <c r="I59" i="10" s="1"/>
  <c r="I62" i="10" s="1"/>
  <c r="I61" i="10" s="1"/>
  <c r="I64" i="10" s="1"/>
  <c r="I75" i="10" l="1"/>
  <c r="I76" i="10" s="1"/>
  <c r="J55" i="10"/>
  <c r="N46" i="10"/>
  <c r="M44" i="10"/>
  <c r="J69" i="10"/>
  <c r="J72" i="10"/>
  <c r="K43" i="10"/>
  <c r="K49" i="10" s="1"/>
  <c r="J49" i="10"/>
  <c r="J56" i="10" s="1"/>
  <c r="J57" i="10" s="1"/>
  <c r="M52" i="10"/>
  <c r="L50" i="10"/>
  <c r="J59" i="10" l="1"/>
  <c r="J62" i="10" s="1"/>
  <c r="J61" i="10" s="1"/>
  <c r="J64" i="10" s="1"/>
  <c r="J75" i="10" s="1"/>
  <c r="J76" i="10" s="1"/>
  <c r="K55" i="10"/>
  <c r="K56" i="10" s="1"/>
  <c r="K57" i="10" s="1"/>
  <c r="K59" i="10" s="1"/>
  <c r="K62" i="10" s="1"/>
  <c r="K61" i="10" s="1"/>
  <c r="K64" i="10" s="1"/>
  <c r="O46" i="10"/>
  <c r="N44" i="10"/>
  <c r="N52" i="10"/>
  <c r="M50" i="10"/>
  <c r="K72" i="10"/>
  <c r="L43" i="10"/>
  <c r="K66" i="10"/>
  <c r="K69" i="10"/>
  <c r="K75" i="10" l="1"/>
  <c r="K76" i="10" s="1"/>
  <c r="O52" i="10"/>
  <c r="N50" i="10"/>
  <c r="P46" i="10"/>
  <c r="O44" i="10"/>
  <c r="L72" i="10"/>
  <c r="L69" i="10"/>
  <c r="L66" i="10"/>
  <c r="L49" i="10"/>
  <c r="M43" i="10"/>
  <c r="L55" i="10"/>
  <c r="L56" i="10" l="1"/>
  <c r="L57" i="10" s="1"/>
  <c r="M55" i="10" s="1"/>
  <c r="Q46" i="10"/>
  <c r="Q44" i="10" s="1"/>
  <c r="P44" i="10"/>
  <c r="M72" i="10"/>
  <c r="N43" i="10"/>
  <c r="M69" i="10"/>
  <c r="M66" i="10"/>
  <c r="P52" i="10"/>
  <c r="O50" i="10"/>
  <c r="M49" i="10"/>
  <c r="M56" i="10" l="1"/>
  <c r="M57" i="10" s="1"/>
  <c r="N55" i="10" s="1"/>
  <c r="Q52" i="10"/>
  <c r="Q50" i="10" s="1"/>
  <c r="P50" i="10"/>
  <c r="N72" i="10"/>
  <c r="O43" i="10"/>
  <c r="N66" i="10"/>
  <c r="N69" i="10"/>
  <c r="N49" i="10"/>
  <c r="L59" i="10"/>
  <c r="L62" i="10" s="1"/>
  <c r="L61" i="10" s="1"/>
  <c r="L64" i="10" s="1"/>
  <c r="L75" i="10" s="1"/>
  <c r="L76" i="10" s="1"/>
  <c r="N56" i="10" l="1"/>
  <c r="N57" i="10" s="1"/>
  <c r="O55" i="10" s="1"/>
  <c r="M59" i="10"/>
  <c r="M62" i="10" s="1"/>
  <c r="M61" i="10" s="1"/>
  <c r="M64" i="10" s="1"/>
  <c r="M75" i="10" s="1"/>
  <c r="M76" i="10" s="1"/>
  <c r="O72" i="10"/>
  <c r="O66" i="10"/>
  <c r="O69" i="10"/>
  <c r="P43" i="10"/>
  <c r="P49" i="10" s="1"/>
  <c r="O49" i="10"/>
  <c r="O56" i="10" l="1"/>
  <c r="O57" i="10" s="1"/>
  <c r="O59" i="10" s="1"/>
  <c r="O62" i="10" s="1"/>
  <c r="O61" i="10" s="1"/>
  <c r="O64" i="10" s="1"/>
  <c r="O75" i="10" s="1"/>
  <c r="O76" i="10" s="1"/>
  <c r="N59" i="10"/>
  <c r="N62" i="10" s="1"/>
  <c r="N61" i="10" s="1"/>
  <c r="N64" i="10" s="1"/>
  <c r="N75" i="10" s="1"/>
  <c r="N76" i="10" s="1"/>
  <c r="P72" i="10"/>
  <c r="P66" i="10"/>
  <c r="Q43" i="10"/>
  <c r="P69" i="10"/>
  <c r="P55" i="10" l="1"/>
  <c r="P56" i="10" s="1"/>
  <c r="P57" i="10" s="1"/>
  <c r="Q72" i="10"/>
  <c r="Q49" i="10"/>
  <c r="Q66" i="10"/>
  <c r="Q69" i="10"/>
  <c r="R43" i="10"/>
  <c r="R49" i="10" l="1"/>
  <c r="R66" i="10"/>
  <c r="R69" i="10"/>
  <c r="R72" i="10"/>
  <c r="P59" i="10"/>
  <c r="P62" i="10" s="1"/>
  <c r="P61" i="10" s="1"/>
  <c r="P64" i="10" s="1"/>
  <c r="P75" i="10" s="1"/>
  <c r="P76" i="10" s="1"/>
  <c r="Q55" i="10"/>
  <c r="Z81" i="10" l="1"/>
  <c r="Z83" i="10" s="1"/>
  <c r="Z84" i="10" s="1"/>
  <c r="Q56" i="10"/>
  <c r="Q57" i="10" s="1"/>
  <c r="Q59" i="10" l="1"/>
  <c r="Q62" i="10" s="1"/>
  <c r="Q61" i="10" s="1"/>
  <c r="Q64" i="10" s="1"/>
  <c r="Q75" i="10" s="1"/>
  <c r="Q76" i="10" s="1"/>
  <c r="R55" i="10"/>
  <c r="R56" i="10" l="1"/>
  <c r="R57" i="10" s="1"/>
  <c r="R59" i="10" s="1"/>
  <c r="R62" i="10" s="1"/>
  <c r="R61" i="10" s="1"/>
  <c r="R64" i="10" s="1"/>
  <c r="R75" i="10" s="1"/>
  <c r="R76" i="10" l="1"/>
  <c r="U81" i="10"/>
  <c r="R81" i="10" s="1"/>
  <c r="U82" i="10" l="1"/>
  <c r="R82" i="10" s="1"/>
  <c r="R84" i="10" s="1"/>
  <c r="R87" i="10" s="1"/>
  <c r="R90" i="10" s="1"/>
  <c r="J5" i="10" s="1"/>
  <c r="J6" i="10" s="1"/>
</calcChain>
</file>

<file path=xl/sharedStrings.xml><?xml version="1.0" encoding="utf-8"?>
<sst xmlns="http://schemas.openxmlformats.org/spreadsheetml/2006/main" count="245" uniqueCount="168">
  <si>
    <t>Reddit DCF</t>
  </si>
  <si>
    <t>Ticker</t>
  </si>
  <si>
    <t>RDDT</t>
  </si>
  <si>
    <t>Current share price</t>
  </si>
  <si>
    <t>Date</t>
  </si>
  <si>
    <t>Implied share price</t>
  </si>
  <si>
    <t>End of Year</t>
  </si>
  <si>
    <t>Implied upside (downside)</t>
  </si>
  <si>
    <t>x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</si>
  <si>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</si>
  <si>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</si>
  <si>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</si>
  <si>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</si>
  <si>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</si>
  <si>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</si>
  <si>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</si>
  <si>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</si>
  <si>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24-25</t>
  </si>
  <si>
    <t>EBIT</t>
  </si>
  <si>
    <t>WACC</t>
  </si>
  <si>
    <t>TGR</t>
  </si>
  <si>
    <t>Valuation</t>
  </si>
  <si>
    <t>Income Statement</t>
  </si>
  <si>
    <t xml:space="preserve">Revenue </t>
  </si>
  <si>
    <t>% growth</t>
  </si>
  <si>
    <t>--</t>
  </si>
  <si>
    <t>% of sales</t>
  </si>
  <si>
    <t>Taxes</t>
  </si>
  <si>
    <t>Tax rate</t>
  </si>
  <si>
    <t>Cash Flow Items</t>
  </si>
  <si>
    <t>D&amp;A</t>
  </si>
  <si>
    <t>CapEx</t>
  </si>
  <si>
    <t>Change in NWC</t>
  </si>
  <si>
    <t>% of change in sales</t>
  </si>
  <si>
    <t>DCF</t>
  </si>
  <si>
    <t>Conservative Case</t>
  </si>
  <si>
    <t>Base (Street) Case</t>
  </si>
  <si>
    <t>Optimistic Case</t>
  </si>
  <si>
    <t>Beginning Net Operating Losses</t>
  </si>
  <si>
    <t>Usage of NOLs</t>
  </si>
  <si>
    <t>Ending NOLs</t>
  </si>
  <si>
    <t>EBIT Applicable to Taxes</t>
  </si>
  <si>
    <t>EBIAT</t>
  </si>
  <si>
    <t>Unlevered FCF</t>
  </si>
  <si>
    <t>PV of FCF</t>
  </si>
  <si>
    <t>Discount Period</t>
  </si>
  <si>
    <t>% of Each Method</t>
  </si>
  <si>
    <t>Period</t>
  </si>
  <si>
    <t>Perpetuity Growth Method</t>
  </si>
  <si>
    <t>Exit Multiple Method</t>
  </si>
  <si>
    <t>Terminal Value</t>
  </si>
  <si>
    <t>TV</t>
  </si>
  <si>
    <t>EBITDA in 2033</t>
  </si>
  <si>
    <t>PV of Terminal Value</t>
  </si>
  <si>
    <t>PV of TV</t>
  </si>
  <si>
    <t>Multiple</t>
  </si>
  <si>
    <t>Enterprise Value</t>
  </si>
  <si>
    <t>(+) Cash</t>
  </si>
  <si>
    <t>(-) Debt</t>
  </si>
  <si>
    <t>Equity Value</t>
  </si>
  <si>
    <t>FDSO</t>
  </si>
  <si>
    <t>Implied Share Price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</si>
  <si>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</si>
  <si>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</si>
  <si>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</si>
  <si>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</si>
  <si>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</si>
  <si>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</si>
  <si>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</si>
  <si>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</si>
  <si>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</si>
  <si>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</si>
  <si>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</si>
  <si>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</si>
  <si>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</si>
  <si>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Reddit, Inc. Class A (RDDT)</t>
  </si>
  <si>
    <t>Reddit, Inc. Class A</t>
  </si>
  <si>
    <t xml:space="preserve">RDDT   75734B100   BMVNLY2   NYSE    Common stock    </t>
  </si>
  <si>
    <t>Source: FactSet Fundamentals</t>
  </si>
  <si>
    <t>DEC '20</t>
  </si>
  <si>
    <t>DEC '21</t>
  </si>
  <si>
    <t>DEC '22</t>
  </si>
  <si>
    <t>DEC '23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</si>
  <si>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</si>
  <si>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</si>
  <si>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</si>
  <si>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</si>
  <si>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</si>
  <si>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</si>
  <si>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</si>
  <si>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</si>
  <si>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</si>
  <si>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</si>
  <si>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</si>
  <si>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</si>
  <si>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Other Income (Expense)</t>
  </si>
  <si>
    <t>Unusual Expense - Net</t>
  </si>
  <si>
    <t>Impairments</t>
  </si>
  <si>
    <t>Other Intangibles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</si>
  <si>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</si>
  <si>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</si>
  <si>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</si>
  <si>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</si>
  <si>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</si>
  <si>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</si>
  <si>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</si>
  <si>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</si>
  <si>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</si>
  <si>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</si>
  <si>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</si>
  <si>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</si>
  <si>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</si>
  <si>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</si>
  <si>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</si>
  <si>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</si>
  <si>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</si>
  <si>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EBITDA</t>
  </si>
  <si>
    <t>All figures in millions of U.S. Dollar except per share items.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</si>
  <si>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</si>
  <si>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</si>
  <si>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</si>
  <si>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</si>
  <si>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</si>
  <si>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Other Funds</t>
  </si>
  <si>
    <t>Funds from Operations</t>
  </si>
  <si>
    <t>Changes in Working Capital</t>
  </si>
  <si>
    <t>Receivables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</si>
  <si>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</si>
  <si>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</si>
  <si>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</si>
  <si>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</si>
  <si>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</si>
  <si>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</si>
  <si>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</si>
  <si>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</si>
  <si>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</si>
  <si>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</si>
  <si>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</si>
  <si>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</si>
  <si>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</si>
  <si>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</si>
  <si>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</si>
  <si>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</si>
  <si>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</si>
  <si>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</si>
  <si>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</si>
  <si>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</si>
  <si>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</si>
  <si>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Net Financing Cash Flow</t>
  </si>
  <si>
    <t>All Activities</t>
  </si>
  <si>
    <t>Net Change in Cash</t>
  </si>
  <si>
    <t>Free Cash Flow</t>
  </si>
  <si>
    <t>Free Cash Flow per Share</t>
  </si>
  <si>
    <t>RDDT-US</t>
  </si>
  <si>
    <t>Income Statement (M)</t>
  </si>
  <si>
    <t>CY '23</t>
  </si>
  <si>
    <t>CY '24E</t>
  </si>
  <si>
    <t>CY '25E</t>
  </si>
  <si>
    <t>CY '26E</t>
  </si>
  <si>
    <t>CY '27E</t>
  </si>
  <si>
    <t>Dec '23</t>
  </si>
  <si>
    <t>Dec '24E</t>
  </si>
  <si>
    <t>Dec '25E</t>
  </si>
  <si>
    <t>Dec '26E</t>
  </si>
  <si>
    <t>Dec '27E</t>
  </si>
  <si>
    <t>Cost of Sales</t>
  </si>
  <si>
    <t>Operating Income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</si>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</sst>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#,##0.0"/>
    <numFmt numFmtId="165" formatCode="0.0%;\(0.0%\)"/>
    <numFmt numFmtId="166" formatCode="0.0%"/>
    <numFmt numFmtId="167" formatCode="0\A"/>
    <numFmt numFmtId="168" formatCode="0%;\(0%\)"/>
    <numFmt numFmtId="169" formatCode="0_);\(0\)"/>
    <numFmt numFmtId="170" formatCode="0&quot;E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86">
    <xf numFmtId="0" fontId="0" fillId="0" borderId="0" xfId="0"/>
    <xf numFmtId="0" fontId="5" fillId="0" borderId="0" xfId="2"/>
    <xf numFmtId="0" fontId="5" fillId="2" borderId="0" xfId="2" applyFill="1" applyAlignment="1">
      <alignment horizontal="left"/>
    </xf>
    <xf numFmtId="0" fontId="5" fillId="0" borderId="0" xfId="2" applyAlignment="1">
      <alignment horizontal="left"/>
    </xf>
    <xf numFmtId="0" fontId="7" fillId="3" borderId="0" xfId="2" applyFont="1" applyFill="1" applyAlignment="1">
      <alignment horizontal="left"/>
    </xf>
    <xf numFmtId="0" fontId="7" fillId="0" borderId="0" xfId="2" applyFont="1"/>
    <xf numFmtId="0" fontId="8" fillId="0" borderId="1" xfId="0" applyFont="1" applyBorder="1"/>
    <xf numFmtId="0" fontId="9" fillId="0" borderId="0" xfId="0" applyFont="1"/>
    <xf numFmtId="0" fontId="10" fillId="0" borderId="0" xfId="2" applyFont="1" applyAlignment="1">
      <alignment horizontal="left"/>
    </xf>
    <xf numFmtId="164" fontId="5" fillId="0" borderId="0" xfId="2" applyNumberFormat="1" applyAlignment="1">
      <alignment horizontal="right"/>
    </xf>
    <xf numFmtId="0" fontId="5" fillId="0" borderId="0" xfId="2" applyAlignment="1">
      <alignment horizontal="left" indent="4"/>
    </xf>
    <xf numFmtId="164" fontId="5" fillId="2" borderId="0" xfId="2" applyNumberFormat="1" applyFill="1" applyAlignment="1">
      <alignment horizontal="right"/>
    </xf>
    <xf numFmtId="164" fontId="6" fillId="2" borderId="0" xfId="2" applyNumberFormat="1" applyFont="1" applyFill="1" applyAlignment="1">
      <alignment horizontal="right"/>
    </xf>
    <xf numFmtId="0" fontId="5" fillId="2" borderId="0" xfId="2" applyFill="1" applyAlignment="1">
      <alignment horizontal="left" indent="4"/>
    </xf>
    <xf numFmtId="16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left" indent="3"/>
    </xf>
    <xf numFmtId="0" fontId="11" fillId="2" borderId="0" xfId="2" applyFont="1" applyFill="1" applyAlignment="1">
      <alignment horizontal="left"/>
    </xf>
    <xf numFmtId="4" fontId="5" fillId="0" borderId="0" xfId="2" applyNumberFormat="1" applyAlignment="1">
      <alignment horizontal="right"/>
    </xf>
    <xf numFmtId="0" fontId="5" fillId="0" borderId="0" xfId="2" applyAlignment="1">
      <alignment horizontal="left" indent="1"/>
    </xf>
    <xf numFmtId="4" fontId="5" fillId="2" borderId="0" xfId="2" applyNumberFormat="1" applyFill="1" applyAlignment="1">
      <alignment horizontal="right"/>
    </xf>
    <xf numFmtId="4" fontId="11" fillId="2" borderId="0" xfId="2" applyNumberFormat="1" applyFont="1" applyFill="1" applyAlignment="1">
      <alignment horizontal="right"/>
    </xf>
    <xf numFmtId="0" fontId="11" fillId="2" borderId="0" xfId="2" applyFont="1" applyFill="1" applyAlignment="1">
      <alignment horizontal="left" indent="3"/>
    </xf>
    <xf numFmtId="4" fontId="11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11" fillId="2" borderId="0" xfId="2" applyNumberFormat="1" applyFont="1" applyFill="1" applyAlignment="1">
      <alignment horizontal="right"/>
    </xf>
    <xf numFmtId="0" fontId="11" fillId="0" borderId="0" xfId="2" applyFont="1" applyAlignment="1">
      <alignment horizontal="left"/>
    </xf>
    <xf numFmtId="0" fontId="5" fillId="2" borderId="0" xfId="2" applyFill="1" applyAlignment="1">
      <alignment horizontal="left" indent="7"/>
    </xf>
    <xf numFmtId="0" fontId="11" fillId="0" borderId="0" xfId="2" applyFont="1" applyAlignment="1">
      <alignment horizontal="left" indent="6"/>
    </xf>
    <xf numFmtId="0" fontId="5" fillId="0" borderId="0" xfId="2" applyAlignment="1">
      <alignment horizontal="left" indent="7"/>
    </xf>
    <xf numFmtId="0" fontId="11" fillId="2" borderId="0" xfId="2" applyFont="1" applyFill="1" applyAlignment="1">
      <alignment horizontal="left" indent="6"/>
    </xf>
    <xf numFmtId="0" fontId="5" fillId="0" borderId="2" xfId="2" applyBorder="1"/>
    <xf numFmtId="4" fontId="6" fillId="0" borderId="0" xfId="2" applyNumberFormat="1" applyFont="1" applyAlignment="1">
      <alignment horizontal="right"/>
    </xf>
    <xf numFmtId="0" fontId="5" fillId="2" borderId="0" xfId="2" applyFill="1" applyAlignment="1">
      <alignment horizontal="left" indent="1"/>
    </xf>
    <xf numFmtId="0" fontId="0" fillId="0" borderId="1" xfId="0" applyBorder="1"/>
    <xf numFmtId="0" fontId="2" fillId="5" borderId="0" xfId="0" applyFont="1" applyFill="1"/>
    <xf numFmtId="0" fontId="3" fillId="5" borderId="0" xfId="0" applyFont="1" applyFill="1"/>
    <xf numFmtId="167" fontId="2" fillId="5" borderId="0" xfId="0" applyNumberFormat="1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0" xfId="0" applyFont="1" applyFill="1"/>
    <xf numFmtId="0" fontId="4" fillId="6" borderId="0" xfId="0" applyFont="1" applyFill="1"/>
    <xf numFmtId="0" fontId="12" fillId="0" borderId="0" xfId="0" applyFont="1"/>
    <xf numFmtId="0" fontId="9" fillId="0" borderId="0" xfId="0" applyFont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0" fontId="13" fillId="0" borderId="0" xfId="0" applyFont="1"/>
    <xf numFmtId="3" fontId="0" fillId="0" borderId="0" xfId="0" applyNumberFormat="1"/>
    <xf numFmtId="9" fontId="13" fillId="0" borderId="0" xfId="1" applyFont="1"/>
    <xf numFmtId="168" fontId="13" fillId="4" borderId="4" xfId="0" applyNumberFormat="1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2" fillId="7" borderId="0" xfId="0" applyFont="1" applyFill="1"/>
    <xf numFmtId="0" fontId="0" fillId="7" borderId="0" xfId="0" applyFill="1"/>
    <xf numFmtId="10" fontId="0" fillId="0" borderId="0" xfId="0" applyNumberFormat="1" applyAlignment="1">
      <alignment horizontal="right"/>
    </xf>
    <xf numFmtId="10" fontId="0" fillId="4" borderId="4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1" xfId="0" applyBorder="1"/>
    <xf numFmtId="4" fontId="6" fillId="2" borderId="0" xfId="2" applyNumberFormat="1" applyFont="1" applyFill="1" applyAlignment="1">
      <alignment horizontal="right"/>
    </xf>
    <xf numFmtId="169" fontId="14" fillId="0" borderId="0" xfId="0" applyNumberFormat="1" applyFont="1"/>
    <xf numFmtId="0" fontId="0" fillId="0" borderId="0" xfId="0" quotePrefix="1" applyAlignment="1">
      <alignment horizontal="right"/>
    </xf>
    <xf numFmtId="168" fontId="13" fillId="0" borderId="0" xfId="0" applyNumberFormat="1" applyFont="1"/>
    <xf numFmtId="0" fontId="3" fillId="0" borderId="0" xfId="0" applyFont="1"/>
    <xf numFmtId="0" fontId="2" fillId="0" borderId="0" xfId="0" applyFont="1"/>
    <xf numFmtId="170" fontId="2" fillId="5" borderId="0" xfId="0" applyNumberFormat="1" applyFont="1" applyFill="1"/>
    <xf numFmtId="169" fontId="0" fillId="0" borderId="0" xfId="0" applyNumberFormat="1"/>
    <xf numFmtId="169" fontId="15" fillId="0" borderId="0" xfId="0" applyNumberFormat="1" applyFont="1"/>
    <xf numFmtId="168" fontId="17" fillId="0" borderId="0" xfId="0" applyNumberFormat="1" applyFont="1"/>
    <xf numFmtId="169" fontId="14" fillId="8" borderId="0" xfId="0" applyNumberFormat="1" applyFont="1" applyFill="1"/>
    <xf numFmtId="168" fontId="13" fillId="8" borderId="0" xfId="0" applyNumberFormat="1" applyFont="1" applyFill="1"/>
    <xf numFmtId="0" fontId="0" fillId="0" borderId="0" xfId="0" quotePrefix="1" applyAlignment="1">
      <alignment horizontal="center"/>
    </xf>
    <xf numFmtId="169" fontId="16" fillId="0" borderId="0" xfId="0" applyNumberFormat="1" applyFont="1"/>
    <xf numFmtId="168" fontId="17" fillId="4" borderId="4" xfId="0" applyNumberFormat="1" applyFont="1" applyFill="1" applyBorder="1" applyAlignment="1">
      <alignment horizontal="right"/>
    </xf>
    <xf numFmtId="1" fontId="0" fillId="4" borderId="4" xfId="0" applyNumberFormat="1" applyFill="1" applyBorder="1" applyAlignment="1">
      <alignment horizontal="center"/>
    </xf>
    <xf numFmtId="1" fontId="0" fillId="0" borderId="0" xfId="0" applyNumberFormat="1"/>
    <xf numFmtId="169" fontId="0" fillId="0" borderId="6" xfId="0" applyNumberFormat="1" applyBorder="1"/>
    <xf numFmtId="169" fontId="0" fillId="0" borderId="7" xfId="0" applyNumberFormat="1" applyBorder="1"/>
    <xf numFmtId="169" fontId="0" fillId="0" borderId="9" xfId="0" applyNumberFormat="1" applyBorder="1"/>
    <xf numFmtId="169" fontId="0" fillId="0" borderId="10" xfId="0" applyNumberFormat="1" applyBorder="1"/>
    <xf numFmtId="169" fontId="0" fillId="0" borderId="1" xfId="0" applyNumberFormat="1" applyBorder="1"/>
    <xf numFmtId="169" fontId="0" fillId="0" borderId="12" xfId="0" applyNumberFormat="1" applyBorder="1"/>
    <xf numFmtId="8" fontId="5" fillId="0" borderId="3" xfId="2" applyNumberFormat="1" applyBorder="1" applyAlignment="1">
      <alignment horizontal="left"/>
    </xf>
  </cellXfs>
  <cellStyles count="3">
    <cellStyle name="Normal" xfId="0" builtinId="0"/>
    <cellStyle name="Normal 2" xfId="2" xr:uid="{C3909DD8-760C-4986-8D07-474882338B2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EF8A-7F72-440B-BAA4-C515033AB2BD}">
  <dimension ref="A2:Z90"/>
  <sheetViews>
    <sheetView showGridLines="0" tabSelected="1" topLeftCell="A32" zoomScaleNormal="100" workbookViewId="0">
      <selection activeCell="R84" sqref="R84"/>
    </sheetView>
  </sheetViews>
  <sheetFormatPr defaultColWidth="8.85546875" defaultRowHeight="15"/>
  <cols>
    <col min="1" max="1" width="3.7109375" customWidth="1"/>
    <col min="2" max="2" width="10.28515625" bestFit="1" customWidth="1"/>
    <col min="3" max="3" width="10.42578125" bestFit="1" customWidth="1"/>
    <col min="13" max="20" width="8.7109375"/>
  </cols>
  <sheetData>
    <row r="2" spans="1:21" s="33" customFormat="1" ht="21">
      <c r="B2" s="6" t="s">
        <v>0</v>
      </c>
    </row>
    <row r="4" spans="1:21">
      <c r="B4" t="s">
        <v>1</v>
      </c>
      <c r="C4" s="37" t="s">
        <v>2</v>
      </c>
      <c r="G4" t="s">
        <v>3</v>
      </c>
      <c r="J4" s="58">
        <v>58.49</v>
      </c>
    </row>
    <row r="5" spans="1:21">
      <c r="B5" t="s">
        <v>4</v>
      </c>
      <c r="C5" s="38">
        <v>45440</v>
      </c>
      <c r="G5" t="s">
        <v>5</v>
      </c>
      <c r="J5" s="58">
        <f ca="1">R90</f>
        <v>32.559075895473519</v>
      </c>
    </row>
    <row r="6" spans="1:21">
      <c r="B6" t="s">
        <v>6</v>
      </c>
      <c r="C6" s="38">
        <v>45657</v>
      </c>
      <c r="G6" t="s">
        <v>7</v>
      </c>
      <c r="J6" s="48">
        <f ca="1">J5/J4-1</f>
        <v>-0.44333944442685047</v>
      </c>
    </row>
    <row r="8" spans="1:21">
      <c r="A8" s="39" t="s">
        <v>8</v>
      </c>
      <c r="B8" s="34" t="s">
        <v>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1" ht="5.0999999999999996" customHeight="1">
      <c r="A9" s="39"/>
    </row>
    <row r="10" spans="1:21" ht="12.95" customHeight="1">
      <c r="A10" s="39"/>
      <c r="B10" s="40" t="s">
        <v>10</v>
      </c>
      <c r="C10" s="41"/>
      <c r="D10" s="41"/>
      <c r="E10" s="41"/>
      <c r="G10" s="40" t="s">
        <v>11</v>
      </c>
      <c r="H10" s="41"/>
      <c r="I10" s="41"/>
      <c r="J10" s="41"/>
      <c r="L10" s="40" t="s">
        <v>12</v>
      </c>
      <c r="M10" s="41"/>
      <c r="N10" s="41"/>
      <c r="O10" s="41"/>
      <c r="Q10" s="40" t="s">
        <v>13</v>
      </c>
      <c r="R10" s="41"/>
      <c r="S10" s="41"/>
      <c r="T10" s="41"/>
    </row>
    <row r="11" spans="1:21" ht="12.95" customHeight="1">
      <c r="A11" s="39"/>
      <c r="B11" s="7" t="s">
        <v>9</v>
      </c>
      <c r="G11" s="7" t="str">
        <f>$B11</f>
        <v>Assumptions</v>
      </c>
      <c r="H11" s="42"/>
      <c r="I11" s="43" t="s">
        <v>14</v>
      </c>
      <c r="J11" s="43" t="s">
        <v>15</v>
      </c>
      <c r="L11" s="7" t="str">
        <f>$B11</f>
        <v>Assumptions</v>
      </c>
      <c r="M11" s="42"/>
      <c r="N11" s="43" t="s">
        <v>14</v>
      </c>
      <c r="O11" s="43" t="s">
        <v>15</v>
      </c>
      <c r="Q11" s="7" t="str">
        <f>$B11</f>
        <v>Assumptions</v>
      </c>
      <c r="R11" s="42"/>
      <c r="S11" s="43" t="s">
        <v>14</v>
      </c>
      <c r="T11" s="43" t="s">
        <v>15</v>
      </c>
    </row>
    <row r="12" spans="1:21" ht="12.95" customHeight="1">
      <c r="A12" s="39"/>
      <c r="B12" t="s">
        <v>16</v>
      </c>
      <c r="E12" s="37">
        <v>2</v>
      </c>
      <c r="F12" s="39"/>
      <c r="G12" t="s">
        <v>16</v>
      </c>
      <c r="I12" s="74" t="s">
        <v>17</v>
      </c>
      <c r="J12" s="44">
        <v>0.9</v>
      </c>
      <c r="O12" s="39"/>
      <c r="Q12" t="s">
        <v>16</v>
      </c>
      <c r="S12" s="74" t="s">
        <v>17</v>
      </c>
      <c r="T12" s="44">
        <v>1.1000000000000001</v>
      </c>
    </row>
    <row r="13" spans="1:21" ht="12.95" customHeight="1">
      <c r="A13" s="39"/>
      <c r="B13" t="s">
        <v>18</v>
      </c>
      <c r="E13" s="37">
        <v>2</v>
      </c>
      <c r="F13" s="39"/>
      <c r="G13" t="s">
        <v>16</v>
      </c>
      <c r="I13" s="39">
        <v>2033</v>
      </c>
      <c r="J13" s="44">
        <v>0.03</v>
      </c>
      <c r="L13" t="s">
        <v>16</v>
      </c>
      <c r="N13" s="39">
        <v>2033</v>
      </c>
      <c r="O13" s="44">
        <v>0.08</v>
      </c>
      <c r="Q13" t="s">
        <v>16</v>
      </c>
      <c r="S13" s="39">
        <v>2033</v>
      </c>
      <c r="T13" s="44">
        <v>0.13</v>
      </c>
    </row>
    <row r="14" spans="1:21" ht="12.95" customHeight="1">
      <c r="A14" s="39"/>
      <c r="B14" t="s">
        <v>19</v>
      </c>
      <c r="E14" s="37">
        <v>2</v>
      </c>
      <c r="F14" s="39"/>
      <c r="G14" t="s">
        <v>18</v>
      </c>
      <c r="I14" s="74" t="s">
        <v>17</v>
      </c>
      <c r="J14" s="44">
        <v>0.95</v>
      </c>
      <c r="Q14" t="s">
        <v>18</v>
      </c>
      <c r="S14" s="74" t="s">
        <v>17</v>
      </c>
      <c r="T14" s="44">
        <v>1.05</v>
      </c>
    </row>
    <row r="15" spans="1:21" ht="12.95" customHeight="1">
      <c r="A15" s="39"/>
      <c r="B15" t="s">
        <v>20</v>
      </c>
      <c r="E15" s="37">
        <v>2</v>
      </c>
      <c r="F15" s="39"/>
      <c r="G15" t="s">
        <v>18</v>
      </c>
      <c r="I15" s="39">
        <v>2033</v>
      </c>
      <c r="J15" s="44">
        <v>0.2</v>
      </c>
      <c r="L15" t="s">
        <v>18</v>
      </c>
      <c r="N15" s="39">
        <v>2033</v>
      </c>
      <c r="O15" s="44">
        <v>0.25</v>
      </c>
      <c r="Q15" t="s">
        <v>18</v>
      </c>
      <c r="S15" s="39">
        <v>2033</v>
      </c>
      <c r="T15" s="44">
        <v>0.35</v>
      </c>
    </row>
    <row r="16" spans="1:21" ht="12.95" customHeight="1">
      <c r="A16" s="39"/>
      <c r="F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12.95" customHeight="1">
      <c r="A17" s="39"/>
      <c r="B17" s="7" t="s">
        <v>21</v>
      </c>
      <c r="F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12.95" customHeight="1">
      <c r="A18" s="39"/>
      <c r="B18" t="s">
        <v>19</v>
      </c>
      <c r="E18" s="45">
        <f>CHOOSE($E$14,J18,O18,T18)</f>
        <v>0.105</v>
      </c>
      <c r="F18" s="39"/>
      <c r="G18" t="s">
        <v>19</v>
      </c>
      <c r="J18" s="45">
        <v>0.115</v>
      </c>
      <c r="K18" s="39"/>
      <c r="L18" t="s">
        <v>19</v>
      </c>
      <c r="O18" s="45">
        <v>0.105</v>
      </c>
      <c r="P18" s="39"/>
      <c r="Q18" t="s">
        <v>19</v>
      </c>
      <c r="T18" s="45">
        <v>9.5000000000000001E-2</v>
      </c>
      <c r="U18" s="39"/>
    </row>
    <row r="19" spans="1:21" ht="12.95" customHeight="1">
      <c r="A19" s="39"/>
      <c r="B19" t="s">
        <v>20</v>
      </c>
      <c r="E19" s="45">
        <f>CHOOSE($E$15,J19,O19,T19)</f>
        <v>2.5000000000000001E-2</v>
      </c>
      <c r="G19" t="s">
        <v>20</v>
      </c>
      <c r="J19" s="45">
        <v>0.03</v>
      </c>
      <c r="K19" s="39"/>
      <c r="L19" t="s">
        <v>20</v>
      </c>
      <c r="O19" s="45">
        <v>2.5000000000000001E-2</v>
      </c>
      <c r="P19" s="39"/>
      <c r="Q19" t="s">
        <v>20</v>
      </c>
      <c r="T19" s="45">
        <v>0.02</v>
      </c>
    </row>
    <row r="21" spans="1:21" ht="12.95" customHeight="1">
      <c r="A21" s="39" t="s">
        <v>8</v>
      </c>
      <c r="B21" s="34" t="s">
        <v>22</v>
      </c>
      <c r="C21" s="35"/>
      <c r="D21" s="35"/>
      <c r="E21" s="36">
        <v>2020</v>
      </c>
      <c r="F21" s="36">
        <f>E21+1</f>
        <v>2021</v>
      </c>
      <c r="G21" s="36">
        <f t="shared" ref="G21:L21" si="0">F21+1</f>
        <v>2022</v>
      </c>
      <c r="H21" s="36">
        <f t="shared" si="0"/>
        <v>2023</v>
      </c>
      <c r="I21" s="68">
        <f t="shared" si="0"/>
        <v>2024</v>
      </c>
      <c r="J21" s="68">
        <f t="shared" si="0"/>
        <v>2025</v>
      </c>
      <c r="K21" s="68">
        <f t="shared" si="0"/>
        <v>2026</v>
      </c>
      <c r="L21" s="68">
        <f t="shared" si="0"/>
        <v>2027</v>
      </c>
      <c r="M21" s="67"/>
      <c r="N21" s="66"/>
      <c r="O21" s="66"/>
      <c r="P21" s="66"/>
      <c r="Q21" s="66"/>
      <c r="R21" s="66"/>
      <c r="S21" s="66"/>
      <c r="T21" s="66"/>
    </row>
    <row r="22" spans="1:21">
      <c r="B22" t="s">
        <v>23</v>
      </c>
      <c r="E22" s="63">
        <f>IS!B9</f>
        <v>228.90799999999999</v>
      </c>
      <c r="F22" s="63">
        <f>IS!C9</f>
        <v>484.916</v>
      </c>
      <c r="G22" s="63">
        <f>IS!D9</f>
        <v>666.70100000000002</v>
      </c>
      <c r="H22" s="63">
        <f>IS!E9</f>
        <v>804.029</v>
      </c>
      <c r="I22" s="63">
        <f>Estimates!C5</f>
        <v>995.99800000000005</v>
      </c>
      <c r="J22" s="63">
        <f>Estimates!D5</f>
        <v>1228.08</v>
      </c>
      <c r="K22" s="63">
        <f>Estimates!E5</f>
        <v>1529.29</v>
      </c>
      <c r="L22" s="72">
        <f>Estimates!F5</f>
        <v>1930.74</v>
      </c>
    </row>
    <row r="23" spans="1:21">
      <c r="B23" s="46" t="s">
        <v>24</v>
      </c>
      <c r="E23" s="64" t="s">
        <v>25</v>
      </c>
      <c r="F23" s="65">
        <f>F22/E22-1</f>
        <v>1.118388173414647</v>
      </c>
      <c r="G23" s="65">
        <f t="shared" ref="G23:L23" si="1">G22/F22-1</f>
        <v>0.37487936054904369</v>
      </c>
      <c r="H23" s="65">
        <f t="shared" si="1"/>
        <v>0.205981391958314</v>
      </c>
      <c r="I23" s="65">
        <f t="shared" si="1"/>
        <v>0.23875880098852154</v>
      </c>
      <c r="J23" s="65">
        <f t="shared" si="1"/>
        <v>0.23301452412555035</v>
      </c>
      <c r="K23" s="65">
        <f t="shared" si="1"/>
        <v>0.24526903784769716</v>
      </c>
      <c r="L23" s="73">
        <f t="shared" si="1"/>
        <v>0.26250743809218657</v>
      </c>
    </row>
    <row r="25" spans="1:21">
      <c r="B25" t="s">
        <v>18</v>
      </c>
      <c r="E25" s="63">
        <f>IS!B19</f>
        <v>-62.557000000000002</v>
      </c>
      <c r="F25" s="63">
        <f>IS!C19</f>
        <v>-126.334</v>
      </c>
      <c r="G25" s="63">
        <f>IS!D19</f>
        <v>-172.16200000000001</v>
      </c>
      <c r="H25" s="63">
        <f>IS!E19</f>
        <v>-140.161</v>
      </c>
      <c r="I25" s="63">
        <f>Estimates!C9</f>
        <v>1.9946900000000001</v>
      </c>
      <c r="J25" s="63">
        <f>Estimates!D9</f>
        <v>96.936599999999999</v>
      </c>
      <c r="K25" s="63">
        <f>Estimates!E9</f>
        <v>235.822</v>
      </c>
      <c r="L25" s="72">
        <f>Estimates!F9</f>
        <v>-4.9536699999999998</v>
      </c>
    </row>
    <row r="26" spans="1:21">
      <c r="B26" s="46" t="s">
        <v>26</v>
      </c>
      <c r="E26" s="65">
        <f>E25/E$22</f>
        <v>-0.27328446362730879</v>
      </c>
      <c r="F26" s="65">
        <f t="shared" ref="F26:L26" si="2">F25/F$22</f>
        <v>-0.26052759653218288</v>
      </c>
      <c r="G26" s="65">
        <f t="shared" si="2"/>
        <v>-0.25822970117038974</v>
      </c>
      <c r="H26" s="65">
        <f t="shared" si="2"/>
        <v>-0.17432331420881586</v>
      </c>
      <c r="I26" s="65">
        <f t="shared" si="2"/>
        <v>2.0027048247084835E-3</v>
      </c>
      <c r="J26" s="65">
        <f t="shared" si="2"/>
        <v>7.893345710377174E-2</v>
      </c>
      <c r="K26" s="65">
        <f t="shared" si="2"/>
        <v>0.15420358467001027</v>
      </c>
      <c r="L26" s="73">
        <f t="shared" si="2"/>
        <v>-2.5656846597677573E-3</v>
      </c>
    </row>
    <row r="28" spans="1:21">
      <c r="B28" t="s">
        <v>27</v>
      </c>
      <c r="E28" s="63">
        <f>IS!B26</f>
        <v>0.10199999999999999</v>
      </c>
      <c r="F28" s="63">
        <f>IS!C26</f>
        <v>0.34</v>
      </c>
      <c r="G28" s="63">
        <f>IS!D26</f>
        <v>0.622</v>
      </c>
      <c r="H28" s="63">
        <f>IS!E26</f>
        <v>3.8010000000000002</v>
      </c>
      <c r="I28" s="63">
        <f>Estimates!C11</f>
        <v>7.8953300000000004</v>
      </c>
      <c r="J28" s="63">
        <f>Estimates!D11</f>
        <v>5.9671799999999999</v>
      </c>
      <c r="K28" s="63">
        <f>Estimates!E11</f>
        <v>9.8618600000000001</v>
      </c>
      <c r="L28" s="72">
        <f>Estimates!F11</f>
        <v>12.98</v>
      </c>
    </row>
    <row r="29" spans="1:21">
      <c r="B29" s="46" t="s">
        <v>28</v>
      </c>
      <c r="E29" s="65">
        <f>IF(E28/IS!B25&lt;0,0,E28/IS!B25)</f>
        <v>0</v>
      </c>
      <c r="F29" s="65">
        <f>IF(F28/IS!C25&lt;0,0,F28/IS!C25)</f>
        <v>0</v>
      </c>
      <c r="G29" s="65">
        <f>IF(G28/IS!D25&lt;0,0,G28/IS!D25)</f>
        <v>0</v>
      </c>
      <c r="H29" s="65">
        <f>IF(H28/IS!E25&lt;0,0,H28/IS!E25)</f>
        <v>0</v>
      </c>
      <c r="I29" s="65">
        <f>IF(I28/Estimates!C10&lt;0,0,I28/Estimates!C10)</f>
        <v>0</v>
      </c>
      <c r="J29" s="65">
        <f>IF(J28/Estimates!D10&lt;0,0,J28/Estimates!D10)</f>
        <v>0</v>
      </c>
      <c r="K29" s="65">
        <f>IF(K28/Estimates!E10&lt;0,0,K28/Estimates!E10)</f>
        <v>0</v>
      </c>
      <c r="L29" s="73">
        <f>IF(L28/Estimates!F10&lt;0,0,L28/Estimates!F10)</f>
        <v>0.27349923091510564</v>
      </c>
    </row>
    <row r="31" spans="1:21">
      <c r="A31" s="39" t="s">
        <v>8</v>
      </c>
      <c r="B31" s="34" t="s">
        <v>29</v>
      </c>
      <c r="C31" s="35"/>
      <c r="D31" s="35"/>
      <c r="E31" s="36">
        <f>$E$21</f>
        <v>2020</v>
      </c>
      <c r="F31" s="36">
        <f>E31+1</f>
        <v>2021</v>
      </c>
      <c r="G31" s="36">
        <f t="shared" ref="G31:L31" si="3">F31+1</f>
        <v>2022</v>
      </c>
      <c r="H31" s="36">
        <f t="shared" si="3"/>
        <v>2023</v>
      </c>
      <c r="I31" s="68">
        <f t="shared" si="3"/>
        <v>2024</v>
      </c>
      <c r="J31" s="68">
        <f t="shared" si="3"/>
        <v>2025</v>
      </c>
      <c r="K31" s="68">
        <f t="shared" si="3"/>
        <v>2026</v>
      </c>
      <c r="L31" s="68">
        <f t="shared" si="3"/>
        <v>2027</v>
      </c>
      <c r="Q31" s="66"/>
      <c r="R31" s="66"/>
      <c r="S31" s="66"/>
      <c r="T31" s="66"/>
    </row>
    <row r="32" spans="1:21">
      <c r="B32" t="s">
        <v>30</v>
      </c>
      <c r="E32" s="63">
        <f>CFS!B11</f>
        <v>1.9339999999999999</v>
      </c>
      <c r="F32" s="63">
        <f>CFS!C11</f>
        <v>2.8130000000000002</v>
      </c>
      <c r="G32" s="63">
        <f>CFS!D11</f>
        <v>8</v>
      </c>
      <c r="H32" s="63">
        <f>CFS!E11</f>
        <v>13.702</v>
      </c>
    </row>
    <row r="33" spans="1:20">
      <c r="B33" s="46" t="s">
        <v>26</v>
      </c>
      <c r="E33" s="65">
        <f t="shared" ref="E33:H33" si="4">E32/E$22</f>
        <v>8.4488091285581986E-3</v>
      </c>
      <c r="F33" s="65">
        <f t="shared" si="4"/>
        <v>5.80100471009412E-3</v>
      </c>
      <c r="G33" s="65">
        <f t="shared" si="4"/>
        <v>1.1999382031825361E-2</v>
      </c>
      <c r="H33" s="65">
        <f t="shared" si="4"/>
        <v>1.7041673869972351E-2</v>
      </c>
    </row>
    <row r="35" spans="1:20">
      <c r="B35" t="s">
        <v>31</v>
      </c>
      <c r="E35" s="63">
        <f>-CFS!B23</f>
        <v>3.05</v>
      </c>
      <c r="F35" s="63">
        <f>-CFS!C23</f>
        <v>7.2949999999999999</v>
      </c>
      <c r="G35" s="63">
        <f>-CFS!D23</f>
        <v>6.2329999999999997</v>
      </c>
      <c r="H35" s="63">
        <f>-CFS!E23</f>
        <v>9.7240000000000002</v>
      </c>
    </row>
    <row r="36" spans="1:20">
      <c r="B36" s="46" t="s">
        <v>26</v>
      </c>
      <c r="E36" s="65">
        <f t="shared" ref="E36" si="5">E35/E$22</f>
        <v>1.3324130218253622E-2</v>
      </c>
      <c r="F36" s="65">
        <f t="shared" ref="F36" si="6">F35/F$22</f>
        <v>1.5043842644911695E-2</v>
      </c>
      <c r="G36" s="65">
        <f t="shared" ref="G36" si="7">G35/G$22</f>
        <v>9.3490185255459338E-3</v>
      </c>
      <c r="H36" s="65">
        <f t="shared" ref="H36" si="8">H35/H$22</f>
        <v>1.2094091133528766E-2</v>
      </c>
    </row>
    <row r="38" spans="1:20">
      <c r="B38" t="s">
        <v>32</v>
      </c>
      <c r="E38" s="63">
        <f>-CFS!B16</f>
        <v>35.561999999999998</v>
      </c>
      <c r="F38" s="63">
        <f>-CFS!C16</f>
        <v>63.741</v>
      </c>
      <c r="G38" s="63">
        <f>-CFS!D16</f>
        <v>10.08</v>
      </c>
      <c r="H38" s="63">
        <f>-CFS!E16</f>
        <v>29.991</v>
      </c>
    </row>
    <row r="39" spans="1:20">
      <c r="B39" s="46" t="s">
        <v>26</v>
      </c>
      <c r="E39" s="65">
        <f t="shared" ref="E39" si="9">E38/E$22</f>
        <v>0.15535498977755255</v>
      </c>
      <c r="F39" s="65">
        <f t="shared" ref="F39" si="10">F38/F$22</f>
        <v>0.13144750843445049</v>
      </c>
      <c r="G39" s="65">
        <f t="shared" ref="G39" si="11">G38/G$22</f>
        <v>1.5119221360099954E-2</v>
      </c>
      <c r="H39" s="65">
        <f t="shared" ref="H39" si="12">H38/H$22</f>
        <v>3.7300893375736451E-2</v>
      </c>
    </row>
    <row r="40" spans="1:20">
      <c r="B40" s="46" t="s">
        <v>33</v>
      </c>
      <c r="E40" s="64" t="s">
        <v>25</v>
      </c>
      <c r="F40" s="65">
        <f>F38/(F22-E22)</f>
        <v>0.24898050060935592</v>
      </c>
      <c r="G40" s="65">
        <f t="shared" ref="G40:H40" si="13">G38/(G22-F22)</f>
        <v>5.5450119646835543E-2</v>
      </c>
      <c r="H40" s="65">
        <f t="shared" si="13"/>
        <v>0.21838954910870328</v>
      </c>
    </row>
    <row r="41" spans="1:20">
      <c r="I41">
        <v>1</v>
      </c>
      <c r="J41">
        <f>I41+1</f>
        <v>2</v>
      </c>
      <c r="K41">
        <f t="shared" ref="K41:R41" si="14">J41+1</f>
        <v>3</v>
      </c>
      <c r="L41">
        <f t="shared" si="14"/>
        <v>4</v>
      </c>
      <c r="M41">
        <f t="shared" si="14"/>
        <v>5</v>
      </c>
      <c r="N41">
        <f t="shared" si="14"/>
        <v>6</v>
      </c>
      <c r="O41">
        <f t="shared" si="14"/>
        <v>7</v>
      </c>
      <c r="P41">
        <f t="shared" si="14"/>
        <v>8</v>
      </c>
      <c r="Q41">
        <f t="shared" si="14"/>
        <v>9</v>
      </c>
      <c r="R41">
        <f t="shared" si="14"/>
        <v>10</v>
      </c>
    </row>
    <row r="42" spans="1:20">
      <c r="A42" s="39" t="s">
        <v>8</v>
      </c>
      <c r="B42" s="34" t="s">
        <v>34</v>
      </c>
      <c r="C42" s="35"/>
      <c r="D42" s="35"/>
      <c r="E42" s="36">
        <f>$E$21</f>
        <v>2020</v>
      </c>
      <c r="F42" s="36">
        <f>E42+1</f>
        <v>2021</v>
      </c>
      <c r="G42" s="36">
        <f t="shared" ref="G42:P42" si="15">F42+1</f>
        <v>2022</v>
      </c>
      <c r="H42" s="36">
        <f t="shared" si="15"/>
        <v>2023</v>
      </c>
      <c r="I42" s="68">
        <f t="shared" si="15"/>
        <v>2024</v>
      </c>
      <c r="J42" s="68">
        <f t="shared" si="15"/>
        <v>2025</v>
      </c>
      <c r="K42" s="68">
        <f t="shared" si="15"/>
        <v>2026</v>
      </c>
      <c r="L42" s="68">
        <f t="shared" si="15"/>
        <v>2027</v>
      </c>
      <c r="M42" s="68">
        <f t="shared" si="15"/>
        <v>2028</v>
      </c>
      <c r="N42" s="68">
        <f t="shared" si="15"/>
        <v>2029</v>
      </c>
      <c r="O42" s="68">
        <f t="shared" si="15"/>
        <v>2030</v>
      </c>
      <c r="P42" s="68">
        <f t="shared" si="15"/>
        <v>2031</v>
      </c>
      <c r="Q42" s="68">
        <f t="shared" ref="Q42:R42" si="16">P42+1</f>
        <v>2032</v>
      </c>
      <c r="R42" s="68">
        <f t="shared" si="16"/>
        <v>2033</v>
      </c>
      <c r="S42" s="66"/>
      <c r="T42" s="66"/>
    </row>
    <row r="43" spans="1:20">
      <c r="B43" t="s">
        <v>23</v>
      </c>
      <c r="E43" s="70">
        <f>E22</f>
        <v>228.90799999999999</v>
      </c>
      <c r="F43" s="70">
        <f t="shared" ref="F43:H43" si="17">F22</f>
        <v>484.916</v>
      </c>
      <c r="G43" s="70">
        <f t="shared" si="17"/>
        <v>666.70100000000002</v>
      </c>
      <c r="H43" s="70">
        <f t="shared" si="17"/>
        <v>804.029</v>
      </c>
      <c r="I43" s="75">
        <f ca="1">H43*(1+I44)</f>
        <v>995.99799999999993</v>
      </c>
      <c r="J43" s="75">
        <f t="shared" ref="J43:R43" ca="1" si="18">I43*(1+J44)</f>
        <v>1228.08</v>
      </c>
      <c r="K43" s="75">
        <f t="shared" ca="1" si="18"/>
        <v>1490.7512171895926</v>
      </c>
      <c r="L43" s="75">
        <f t="shared" ca="1" si="18"/>
        <v>1781.0912556306478</v>
      </c>
      <c r="M43" s="75">
        <f t="shared" ca="1" si="18"/>
        <v>2093.9115753964138</v>
      </c>
      <c r="N43" s="75">
        <f t="shared" ca="1" si="18"/>
        <v>2421.623943063259</v>
      </c>
      <c r="O43" s="75">
        <f t="shared" ca="1" si="18"/>
        <v>2754.3077217303935</v>
      </c>
      <c r="P43" s="75">
        <f t="shared" ca="1" si="18"/>
        <v>3080.0146108028016</v>
      </c>
      <c r="Q43" s="75">
        <f t="shared" ca="1" si="18"/>
        <v>3385.3266509134928</v>
      </c>
      <c r="R43" s="75">
        <f t="shared" ca="1" si="18"/>
        <v>3656.1527829865727</v>
      </c>
    </row>
    <row r="44" spans="1:20">
      <c r="B44" s="46" t="s">
        <v>24</v>
      </c>
      <c r="E44" s="64" t="s">
        <v>25</v>
      </c>
      <c r="F44" s="65">
        <f>F43/E43-1</f>
        <v>1.118388173414647</v>
      </c>
      <c r="G44" s="65">
        <f t="shared" ref="G44:H44" si="19">G43/F43-1</f>
        <v>0.37487936054904369</v>
      </c>
      <c r="H44" s="65">
        <f t="shared" si="19"/>
        <v>0.205981391958314</v>
      </c>
      <c r="I44" s="65">
        <f ca="1">OFFSET(I44,$E$12,0)</f>
        <v>0.23875880098852154</v>
      </c>
      <c r="J44" s="65">
        <f t="shared" ref="J44:R44" ca="1" si="20">OFFSET(J44,$E$12,0)</f>
        <v>0.23301452412555035</v>
      </c>
      <c r="K44" s="65">
        <f t="shared" ca="1" si="20"/>
        <v>0.21388770860985656</v>
      </c>
      <c r="L44" s="65">
        <f t="shared" ca="1" si="20"/>
        <v>0.19476089309416278</v>
      </c>
      <c r="M44" s="65">
        <f t="shared" ca="1" si="20"/>
        <v>0.17563407757846899</v>
      </c>
      <c r="N44" s="65">
        <f t="shared" ca="1" si="20"/>
        <v>0.15650726206277521</v>
      </c>
      <c r="O44" s="65">
        <f t="shared" ca="1" si="20"/>
        <v>0.13738044654708143</v>
      </c>
      <c r="P44" s="65">
        <f t="shared" ca="1" si="20"/>
        <v>0.11825363103138764</v>
      </c>
      <c r="Q44" s="65">
        <f t="shared" ca="1" si="20"/>
        <v>9.9126815515693856E-2</v>
      </c>
      <c r="R44" s="65">
        <f t="shared" ca="1" si="20"/>
        <v>0.08</v>
      </c>
    </row>
    <row r="45" spans="1:20">
      <c r="B45" s="46" t="s">
        <v>35</v>
      </c>
      <c r="I45" s="49">
        <f>I46*$J$12</f>
        <v>0.2148829208896694</v>
      </c>
      <c r="J45" s="49">
        <f>J46*$J$12</f>
        <v>0.20971307171299533</v>
      </c>
      <c r="K45" s="49">
        <f>J45-($J45-$R45)/($R$42-$J$42)</f>
        <v>0.18724893774887091</v>
      </c>
      <c r="L45" s="49">
        <f t="shared" ref="L45:Q47" si="21">K45-($J45-$R45)/($R$42-$J$42)</f>
        <v>0.1647848037847465</v>
      </c>
      <c r="M45" s="49">
        <f t="shared" si="21"/>
        <v>0.14232066982062208</v>
      </c>
      <c r="N45" s="49">
        <f t="shared" si="21"/>
        <v>0.11985653585649766</v>
      </c>
      <c r="O45" s="49">
        <f t="shared" si="21"/>
        <v>9.7392401892373248E-2</v>
      </c>
      <c r="P45" s="49">
        <f t="shared" si="21"/>
        <v>7.4928267928248832E-2</v>
      </c>
      <c r="Q45" s="49">
        <f t="shared" si="21"/>
        <v>5.2464133964124415E-2</v>
      </c>
      <c r="R45" s="49">
        <f>J13</f>
        <v>0.03</v>
      </c>
    </row>
    <row r="46" spans="1:20">
      <c r="B46" s="46" t="s">
        <v>36</v>
      </c>
      <c r="I46" s="49">
        <f>I23</f>
        <v>0.23875880098852154</v>
      </c>
      <c r="J46" s="49">
        <f>J23</f>
        <v>0.23301452412555035</v>
      </c>
      <c r="K46" s="49">
        <f>J46-($J46-$R46)/($R$42-$J$42)</f>
        <v>0.21388770860985656</v>
      </c>
      <c r="L46" s="49">
        <f t="shared" si="21"/>
        <v>0.19476089309416278</v>
      </c>
      <c r="M46" s="49">
        <f t="shared" si="21"/>
        <v>0.17563407757846899</v>
      </c>
      <c r="N46" s="49">
        <f t="shared" si="21"/>
        <v>0.15650726206277521</v>
      </c>
      <c r="O46" s="49">
        <f t="shared" si="21"/>
        <v>0.13738044654708143</v>
      </c>
      <c r="P46" s="49">
        <f t="shared" si="21"/>
        <v>0.11825363103138764</v>
      </c>
      <c r="Q46" s="49">
        <f t="shared" si="21"/>
        <v>9.9126815515693856E-2</v>
      </c>
      <c r="R46" s="49">
        <f>O13</f>
        <v>0.08</v>
      </c>
    </row>
    <row r="47" spans="1:20">
      <c r="B47" s="46" t="s">
        <v>37</v>
      </c>
      <c r="I47" s="49">
        <f>I46*$T$12</f>
        <v>0.2626346810873737</v>
      </c>
      <c r="J47" s="49">
        <f>J46*$T$12</f>
        <v>0.25631597653810539</v>
      </c>
      <c r="K47" s="49">
        <f>J47-($J47-$R47)/($R$42-$J$42)</f>
        <v>0.24052647947084221</v>
      </c>
      <c r="L47" s="49">
        <f t="shared" si="21"/>
        <v>0.22473698240357903</v>
      </c>
      <c r="M47" s="49">
        <f t="shared" si="21"/>
        <v>0.20894748533631585</v>
      </c>
      <c r="N47" s="49">
        <f t="shared" si="21"/>
        <v>0.19315798826905267</v>
      </c>
      <c r="O47" s="49">
        <f t="shared" si="21"/>
        <v>0.17736849120178949</v>
      </c>
      <c r="P47" s="49">
        <f t="shared" si="21"/>
        <v>0.16157899413452631</v>
      </c>
      <c r="Q47" s="49">
        <f t="shared" si="21"/>
        <v>0.14578949706726313</v>
      </c>
      <c r="R47" s="49">
        <f>T13</f>
        <v>0.13</v>
      </c>
    </row>
    <row r="49" spans="2:18">
      <c r="B49" t="s">
        <v>18</v>
      </c>
      <c r="E49" s="70">
        <f>E25</f>
        <v>-62.557000000000002</v>
      </c>
      <c r="F49" s="70">
        <f>F25</f>
        <v>-126.334</v>
      </c>
      <c r="G49" s="70">
        <f>G25</f>
        <v>-172.16200000000001</v>
      </c>
      <c r="H49" s="70">
        <f>H25</f>
        <v>-140.161</v>
      </c>
      <c r="I49" s="75">
        <f ca="1">I50*I43</f>
        <v>1.9946900000000001</v>
      </c>
      <c r="J49" s="75">
        <f t="shared" ref="J49:R49" ca="1" si="22">J50*J43</f>
        <v>96.936599999999999</v>
      </c>
      <c r="K49" s="75">
        <f t="shared" ca="1" si="22"/>
        <v>149.5473543848012</v>
      </c>
      <c r="L49" s="75">
        <f t="shared" ca="1" si="22"/>
        <v>216.75897114508399</v>
      </c>
      <c r="M49" s="75">
        <f t="shared" ca="1" si="22"/>
        <v>299.60400989069126</v>
      </c>
      <c r="N49" s="75">
        <f t="shared" ca="1" si="22"/>
        <v>398.27656769853257</v>
      </c>
      <c r="O49" s="75">
        <f t="shared" ca="1" si="22"/>
        <v>511.88821792179647</v>
      </c>
      <c r="P49" s="75">
        <f t="shared" ca="1" si="22"/>
        <v>638.28178981572353</v>
      </c>
      <c r="Q49" s="75">
        <f t="shared" ca="1" si="22"/>
        <v>773.94214688509339</v>
      </c>
      <c r="R49" s="75">
        <f t="shared" ca="1" si="22"/>
        <v>914.03819574664317</v>
      </c>
    </row>
    <row r="50" spans="2:18">
      <c r="B50" s="46" t="s">
        <v>26</v>
      </c>
      <c r="E50" s="65">
        <f>E49/E43</f>
        <v>-0.27328446362730879</v>
      </c>
      <c r="F50" s="65">
        <f t="shared" ref="F50:H50" si="23">F49/F43</f>
        <v>-0.26052759653218288</v>
      </c>
      <c r="G50" s="65">
        <f t="shared" si="23"/>
        <v>-0.25822970117038974</v>
      </c>
      <c r="H50" s="65">
        <f t="shared" si="23"/>
        <v>-0.17432331420881586</v>
      </c>
      <c r="I50" s="65">
        <f ca="1">OFFSET(I50,$E$13,0)</f>
        <v>2.0027048247084835E-3</v>
      </c>
      <c r="J50" s="65">
        <f t="shared" ref="J50:R50" ca="1" si="24">OFFSET(J50,$E$13,0)</f>
        <v>7.893345710377174E-2</v>
      </c>
      <c r="K50" s="65">
        <f t="shared" ca="1" si="24"/>
        <v>0.10031677496580027</v>
      </c>
      <c r="L50" s="65">
        <f t="shared" ca="1" si="24"/>
        <v>0.1217000928278288</v>
      </c>
      <c r="M50" s="65">
        <f t="shared" ca="1" si="24"/>
        <v>0.14308341068985733</v>
      </c>
      <c r="N50" s="65">
        <f t="shared" ca="1" si="24"/>
        <v>0.16446672855188588</v>
      </c>
      <c r="O50" s="65">
        <f t="shared" ca="1" si="24"/>
        <v>0.18585004641391439</v>
      </c>
      <c r="P50" s="65">
        <f t="shared" ca="1" si="24"/>
        <v>0.20723336427594291</v>
      </c>
      <c r="Q50" s="65">
        <f t="shared" ca="1" si="24"/>
        <v>0.22861668213797143</v>
      </c>
      <c r="R50" s="65">
        <f t="shared" ca="1" si="24"/>
        <v>0.25</v>
      </c>
    </row>
    <row r="51" spans="2:18">
      <c r="B51" s="46" t="s">
        <v>35</v>
      </c>
      <c r="I51" s="49">
        <f>I52*$J$14</f>
        <v>1.9025695834730592E-3</v>
      </c>
      <c r="J51" s="49">
        <f>J52*$J$14</f>
        <v>7.4986784248583155E-2</v>
      </c>
      <c r="K51" s="49">
        <f>J51+($R51-$J51)/($R$42-$J$42)</f>
        <v>9.0613436217510265E-2</v>
      </c>
      <c r="L51" s="49">
        <f t="shared" ref="L51:Q53" si="25">K51+($R51-$J51)/($R$42-$J$42)</f>
        <v>0.10624008818643738</v>
      </c>
      <c r="M51" s="49">
        <f t="shared" si="25"/>
        <v>0.12186674015536449</v>
      </c>
      <c r="N51" s="49">
        <f t="shared" si="25"/>
        <v>0.1374933921242916</v>
      </c>
      <c r="O51" s="49">
        <f t="shared" si="25"/>
        <v>0.15312004409321869</v>
      </c>
      <c r="P51" s="49">
        <f t="shared" si="25"/>
        <v>0.16874669606214579</v>
      </c>
      <c r="Q51" s="49">
        <f t="shared" si="25"/>
        <v>0.18437334803107289</v>
      </c>
      <c r="R51" s="76">
        <f>J15</f>
        <v>0.2</v>
      </c>
    </row>
    <row r="52" spans="2:18">
      <c r="B52" s="46" t="s">
        <v>36</v>
      </c>
      <c r="I52" s="49">
        <f>I26</f>
        <v>2.0027048247084835E-3</v>
      </c>
      <c r="J52" s="49">
        <f t="shared" ref="J52" si="26">J26</f>
        <v>7.893345710377174E-2</v>
      </c>
      <c r="K52" s="49">
        <f>J52+($R52-$J52)/($R$42-$J$42)</f>
        <v>0.10031677496580027</v>
      </c>
      <c r="L52" s="49">
        <f t="shared" si="25"/>
        <v>0.1217000928278288</v>
      </c>
      <c r="M52" s="49">
        <f t="shared" si="25"/>
        <v>0.14308341068985733</v>
      </c>
      <c r="N52" s="49">
        <f t="shared" si="25"/>
        <v>0.16446672855188588</v>
      </c>
      <c r="O52" s="49">
        <f t="shared" si="25"/>
        <v>0.18585004641391439</v>
      </c>
      <c r="P52" s="49">
        <f t="shared" si="25"/>
        <v>0.20723336427594291</v>
      </c>
      <c r="Q52" s="49">
        <f t="shared" si="25"/>
        <v>0.22861668213797143</v>
      </c>
      <c r="R52" s="76">
        <f>O15</f>
        <v>0.25</v>
      </c>
    </row>
    <row r="53" spans="2:18">
      <c r="B53" s="46" t="s">
        <v>37</v>
      </c>
      <c r="I53" s="49">
        <f>I52*$T$14</f>
        <v>2.1028400659439078E-3</v>
      </c>
      <c r="J53" s="49">
        <f>J52*$T$14</f>
        <v>8.2880129958960325E-2</v>
      </c>
      <c r="K53" s="49">
        <f>J53+($R53-$J53)/($R$42-$J$42)</f>
        <v>0.11627011371409028</v>
      </c>
      <c r="L53" s="49">
        <f t="shared" si="25"/>
        <v>0.14966009746922024</v>
      </c>
      <c r="M53" s="49">
        <f t="shared" si="25"/>
        <v>0.18305008122435018</v>
      </c>
      <c r="N53" s="49">
        <f t="shared" si="25"/>
        <v>0.21644006497948015</v>
      </c>
      <c r="O53" s="49">
        <f t="shared" si="25"/>
        <v>0.24983004873461012</v>
      </c>
      <c r="P53" s="49">
        <f t="shared" si="25"/>
        <v>0.28322003248974009</v>
      </c>
      <c r="Q53" s="49">
        <f t="shared" si="25"/>
        <v>0.31661001624487006</v>
      </c>
      <c r="R53" s="76">
        <f>T15</f>
        <v>0.35</v>
      </c>
    </row>
    <row r="55" spans="2:18">
      <c r="B55" t="s">
        <v>38</v>
      </c>
      <c r="I55" s="78">
        <f>H57</f>
        <v>350.46000000000004</v>
      </c>
      <c r="J55" s="78">
        <f ca="1">I57</f>
        <v>348.46531000000004</v>
      </c>
      <c r="K55" s="78">
        <f t="shared" ref="K55:O55" ca="1" si="27">J57</f>
        <v>251.52871000000005</v>
      </c>
      <c r="L55" s="78">
        <f t="shared" ca="1" si="27"/>
        <v>101.98135561519885</v>
      </c>
      <c r="M55" s="78">
        <f t="shared" ca="1" si="27"/>
        <v>0</v>
      </c>
      <c r="N55" s="78">
        <f t="shared" ca="1" si="27"/>
        <v>0</v>
      </c>
      <c r="O55" s="78">
        <f t="shared" ca="1" si="27"/>
        <v>0</v>
      </c>
      <c r="P55" s="78">
        <f t="shared" ref="P55:R55" ca="1" si="28">O57</f>
        <v>0</v>
      </c>
      <c r="Q55" s="78">
        <f t="shared" ca="1" si="28"/>
        <v>0</v>
      </c>
      <c r="R55" s="78">
        <f t="shared" ca="1" si="28"/>
        <v>0</v>
      </c>
    </row>
    <row r="56" spans="2:18">
      <c r="B56" t="s">
        <v>39</v>
      </c>
      <c r="I56" s="78">
        <f ca="1">MIN(I49,I55)</f>
        <v>1.9946900000000001</v>
      </c>
      <c r="J56" s="78">
        <f t="shared" ref="J56:O56" ca="1" si="29">MIN(J49,J55)</f>
        <v>96.936599999999999</v>
      </c>
      <c r="K56" s="78">
        <f t="shared" ca="1" si="29"/>
        <v>149.5473543848012</v>
      </c>
      <c r="L56" s="78">
        <f t="shared" ca="1" si="29"/>
        <v>101.98135561519885</v>
      </c>
      <c r="M56" s="78">
        <f t="shared" ca="1" si="29"/>
        <v>0</v>
      </c>
      <c r="N56" s="78">
        <f t="shared" ca="1" si="29"/>
        <v>0</v>
      </c>
      <c r="O56" s="78">
        <f t="shared" ca="1" si="29"/>
        <v>0</v>
      </c>
      <c r="P56" s="78">
        <f t="shared" ref="P56" ca="1" si="30">MIN(P49,P55)</f>
        <v>0</v>
      </c>
      <c r="Q56" s="78">
        <f t="shared" ref="Q56" ca="1" si="31">MIN(Q49,Q55)</f>
        <v>0</v>
      </c>
      <c r="R56" s="78">
        <f t="shared" ref="R56" ca="1" si="32">MIN(R49,R55)</f>
        <v>0</v>
      </c>
    </row>
    <row r="57" spans="2:18">
      <c r="B57" t="s">
        <v>40</v>
      </c>
      <c r="H57" s="77">
        <f>0.8*216.7+177.1</f>
        <v>350.46000000000004</v>
      </c>
      <c r="I57" s="78">
        <f ca="1">I55-I56</f>
        <v>348.46531000000004</v>
      </c>
      <c r="J57" s="78">
        <f ca="1">J55-J56</f>
        <v>251.52871000000005</v>
      </c>
      <c r="K57" s="78">
        <f t="shared" ref="K57:O57" ca="1" si="33">K55-K56</f>
        <v>101.98135561519885</v>
      </c>
      <c r="L57" s="78">
        <f t="shared" ca="1" si="33"/>
        <v>0</v>
      </c>
      <c r="M57" s="78">
        <f t="shared" ca="1" si="33"/>
        <v>0</v>
      </c>
      <c r="N57" s="78">
        <f t="shared" ca="1" si="33"/>
        <v>0</v>
      </c>
      <c r="O57" s="78">
        <f t="shared" ca="1" si="33"/>
        <v>0</v>
      </c>
      <c r="P57" s="78">
        <f t="shared" ref="P57" ca="1" si="34">P55-P56</f>
        <v>0</v>
      </c>
      <c r="Q57" s="78">
        <f t="shared" ref="Q57" ca="1" si="35">Q55-Q56</f>
        <v>0</v>
      </c>
      <c r="R57" s="78">
        <f t="shared" ref="R57" ca="1" si="36">R55-R56</f>
        <v>0</v>
      </c>
    </row>
    <row r="59" spans="2:18">
      <c r="B59" t="s">
        <v>41</v>
      </c>
      <c r="I59" s="75">
        <f ca="1">IF(I57&gt;0,0,I49-I56)</f>
        <v>0</v>
      </c>
      <c r="J59" s="75">
        <f t="shared" ref="J59:O59" ca="1" si="37">IF(J57&gt;0,0,J49-J56)</f>
        <v>0</v>
      </c>
      <c r="K59" s="75">
        <f t="shared" ca="1" si="37"/>
        <v>0</v>
      </c>
      <c r="L59" s="75">
        <f t="shared" ca="1" si="37"/>
        <v>114.77761552988514</v>
      </c>
      <c r="M59" s="75">
        <f t="shared" ca="1" si="37"/>
        <v>299.60400989069126</v>
      </c>
      <c r="N59" s="75">
        <f t="shared" ca="1" si="37"/>
        <v>398.27656769853257</v>
      </c>
      <c r="O59" s="75">
        <f t="shared" ca="1" si="37"/>
        <v>511.88821792179647</v>
      </c>
      <c r="P59" s="75">
        <f t="shared" ref="P59:R59" ca="1" si="38">IF(P57&gt;0,0,P49-P56)</f>
        <v>638.28178981572353</v>
      </c>
      <c r="Q59" s="75">
        <f t="shared" ca="1" si="38"/>
        <v>773.94214688509339</v>
      </c>
      <c r="R59" s="75">
        <f t="shared" ca="1" si="38"/>
        <v>914.03819574664317</v>
      </c>
    </row>
    <row r="61" spans="2:18">
      <c r="B61" t="s">
        <v>27</v>
      </c>
      <c r="E61" s="70">
        <f t="shared" ref="E61:H62" si="39">E28</f>
        <v>0.10199999999999999</v>
      </c>
      <c r="F61" s="70">
        <f t="shared" si="39"/>
        <v>0.34</v>
      </c>
      <c r="G61" s="70">
        <f t="shared" si="39"/>
        <v>0.622</v>
      </c>
      <c r="H61" s="70">
        <f t="shared" si="39"/>
        <v>3.8010000000000002</v>
      </c>
      <c r="I61" s="75">
        <f ca="1">I62*I59</f>
        <v>0</v>
      </c>
      <c r="J61" s="75">
        <f t="shared" ref="J61:R61" ca="1" si="40">J62*J59</f>
        <v>0</v>
      </c>
      <c r="K61" s="75">
        <f t="shared" ca="1" si="40"/>
        <v>0</v>
      </c>
      <c r="L61" s="75">
        <f t="shared" ca="1" si="40"/>
        <v>24.103299261275879</v>
      </c>
      <c r="M61" s="75">
        <f t="shared" ca="1" si="40"/>
        <v>62.91684207704516</v>
      </c>
      <c r="N61" s="75">
        <f t="shared" ca="1" si="40"/>
        <v>83.638079216691835</v>
      </c>
      <c r="O61" s="75">
        <f t="shared" ca="1" si="40"/>
        <v>107.49652576357725</v>
      </c>
      <c r="P61" s="75">
        <f t="shared" ca="1" si="40"/>
        <v>134.03917586130194</v>
      </c>
      <c r="Q61" s="75">
        <f t="shared" ca="1" si="40"/>
        <v>162.52785084586961</v>
      </c>
      <c r="R61" s="75">
        <f t="shared" ca="1" si="40"/>
        <v>191.94802110679507</v>
      </c>
    </row>
    <row r="62" spans="2:18">
      <c r="B62" s="46" t="s">
        <v>28</v>
      </c>
      <c r="E62" s="71">
        <f t="shared" si="39"/>
        <v>0</v>
      </c>
      <c r="F62" s="71">
        <f t="shared" si="39"/>
        <v>0</v>
      </c>
      <c r="G62" s="71">
        <f t="shared" si="39"/>
        <v>0</v>
      </c>
      <c r="H62" s="71">
        <f t="shared" si="39"/>
        <v>0</v>
      </c>
      <c r="I62" s="49">
        <f ca="1">IF(I59=0,0,21%)</f>
        <v>0</v>
      </c>
      <c r="J62" s="49">
        <f t="shared" ref="J62:R62" ca="1" si="41">IF(J59=0,0,21%)</f>
        <v>0</v>
      </c>
      <c r="K62" s="49">
        <f t="shared" ca="1" si="41"/>
        <v>0</v>
      </c>
      <c r="L62" s="49">
        <f t="shared" ca="1" si="41"/>
        <v>0.21</v>
      </c>
      <c r="M62" s="49">
        <f t="shared" ca="1" si="41"/>
        <v>0.21</v>
      </c>
      <c r="N62" s="49">
        <f t="shared" ca="1" si="41"/>
        <v>0.21</v>
      </c>
      <c r="O62" s="49">
        <f t="shared" ca="1" si="41"/>
        <v>0.21</v>
      </c>
      <c r="P62" s="49">
        <f t="shared" ca="1" si="41"/>
        <v>0.21</v>
      </c>
      <c r="Q62" s="49">
        <f t="shared" ca="1" si="41"/>
        <v>0.21</v>
      </c>
      <c r="R62" s="49">
        <f t="shared" ca="1" si="41"/>
        <v>0.21</v>
      </c>
    </row>
    <row r="64" spans="2:18">
      <c r="B64" s="50" t="s">
        <v>42</v>
      </c>
      <c r="C64" s="51"/>
      <c r="D64" s="51"/>
      <c r="E64" s="51"/>
      <c r="F64" s="51"/>
      <c r="G64" s="51"/>
      <c r="H64" s="51"/>
      <c r="I64" s="79">
        <f ca="1">I49-I61</f>
        <v>1.9946900000000001</v>
      </c>
      <c r="J64" s="79">
        <f t="shared" ref="J64:R64" ca="1" si="42">J49-J61</f>
        <v>96.936599999999999</v>
      </c>
      <c r="K64" s="79">
        <f t="shared" ca="1" si="42"/>
        <v>149.5473543848012</v>
      </c>
      <c r="L64" s="79">
        <f t="shared" ca="1" si="42"/>
        <v>192.65567188380811</v>
      </c>
      <c r="M64" s="79">
        <f t="shared" ca="1" si="42"/>
        <v>236.68716781364611</v>
      </c>
      <c r="N64" s="79">
        <f t="shared" ca="1" si="42"/>
        <v>314.63848848184074</v>
      </c>
      <c r="O64" s="79">
        <f t="shared" ca="1" si="42"/>
        <v>404.3916921582192</v>
      </c>
      <c r="P64" s="79">
        <f t="shared" ca="1" si="42"/>
        <v>504.24261395442159</v>
      </c>
      <c r="Q64" s="79">
        <f t="shared" ca="1" si="42"/>
        <v>611.41429603922381</v>
      </c>
      <c r="R64" s="80">
        <f t="shared" ca="1" si="42"/>
        <v>722.0901746398481</v>
      </c>
    </row>
    <row r="66" spans="2:26">
      <c r="B66" t="s">
        <v>30</v>
      </c>
      <c r="E66" s="70">
        <f t="shared" ref="E66:H67" si="43">E32</f>
        <v>1.9339999999999999</v>
      </c>
      <c r="F66" s="70">
        <f t="shared" si="43"/>
        <v>2.8130000000000002</v>
      </c>
      <c r="G66" s="70">
        <f t="shared" si="43"/>
        <v>8</v>
      </c>
      <c r="H66" s="70">
        <f t="shared" si="43"/>
        <v>13.702</v>
      </c>
      <c r="I66" s="75">
        <f ca="1">I67*I$43</f>
        <v>11.567540895107681</v>
      </c>
      <c r="J66" s="75">
        <f t="shared" ref="J66:R66" ca="1" si="44">J67*J$43</f>
        <v>14.262945932084042</v>
      </c>
      <c r="K66" s="75">
        <f t="shared" ca="1" si="44"/>
        <v>17.313614755523773</v>
      </c>
      <c r="L66" s="75">
        <f t="shared" ca="1" si="44"/>
        <v>20.685629827997857</v>
      </c>
      <c r="M66" s="75">
        <f t="shared" ca="1" si="44"/>
        <v>24.318731341967926</v>
      </c>
      <c r="N66" s="75">
        <f t="shared" ca="1" si="44"/>
        <v>28.124789401139527</v>
      </c>
      <c r="O66" s="75">
        <f t="shared" ca="1" si="44"/>
        <v>31.988585528110693</v>
      </c>
      <c r="P66" s="75">
        <f t="shared" ca="1" si="44"/>
        <v>35.771351918367884</v>
      </c>
      <c r="Q66" s="75">
        <f t="shared" ca="1" si="44"/>
        <v>39.317252120726906</v>
      </c>
      <c r="R66" s="75">
        <f t="shared" ca="1" si="44"/>
        <v>42.462632290385059</v>
      </c>
    </row>
    <row r="67" spans="2:26">
      <c r="B67" s="46" t="s">
        <v>26</v>
      </c>
      <c r="E67" s="71">
        <f t="shared" si="43"/>
        <v>8.4488091285581986E-3</v>
      </c>
      <c r="F67" s="71">
        <f t="shared" si="43"/>
        <v>5.80100471009412E-3</v>
      </c>
      <c r="G67" s="71">
        <f t="shared" si="43"/>
        <v>1.1999382031825361E-2</v>
      </c>
      <c r="H67" s="71">
        <f t="shared" si="43"/>
        <v>1.7041673869972351E-2</v>
      </c>
      <c r="I67" s="49">
        <f>AVERAGE(F67:H67)</f>
        <v>1.1614020203963946E-2</v>
      </c>
      <c r="J67" s="49">
        <f>I67</f>
        <v>1.1614020203963946E-2</v>
      </c>
      <c r="K67" s="49">
        <f t="shared" ref="K67:R67" si="45">J67</f>
        <v>1.1614020203963946E-2</v>
      </c>
      <c r="L67" s="49">
        <f t="shared" si="45"/>
        <v>1.1614020203963946E-2</v>
      </c>
      <c r="M67" s="49">
        <f t="shared" si="45"/>
        <v>1.1614020203963946E-2</v>
      </c>
      <c r="N67" s="49">
        <f t="shared" si="45"/>
        <v>1.1614020203963946E-2</v>
      </c>
      <c r="O67" s="49">
        <f t="shared" si="45"/>
        <v>1.1614020203963946E-2</v>
      </c>
      <c r="P67" s="49">
        <f t="shared" si="45"/>
        <v>1.1614020203963946E-2</v>
      </c>
      <c r="Q67" s="49">
        <f t="shared" si="45"/>
        <v>1.1614020203963946E-2</v>
      </c>
      <c r="R67" s="49">
        <f t="shared" si="45"/>
        <v>1.1614020203963946E-2</v>
      </c>
    </row>
    <row r="69" spans="2:26">
      <c r="B69" t="s">
        <v>31</v>
      </c>
      <c r="E69" s="70">
        <f t="shared" ref="E69:H70" si="46">E35</f>
        <v>3.05</v>
      </c>
      <c r="F69" s="70">
        <f t="shared" si="46"/>
        <v>7.2949999999999999</v>
      </c>
      <c r="G69" s="70">
        <f t="shared" si="46"/>
        <v>6.2329999999999997</v>
      </c>
      <c r="H69" s="70">
        <f t="shared" si="46"/>
        <v>9.7240000000000002</v>
      </c>
      <c r="I69" s="75">
        <f ca="1">I70*I$43</f>
        <v>12.113643840288614</v>
      </c>
      <c r="J69" s="75">
        <f t="shared" ref="J69" ca="1" si="47">J70*J$43</f>
        <v>14.936298795159869</v>
      </c>
      <c r="K69" s="75">
        <f t="shared" ref="K69" ca="1" si="48">K70*K$43</f>
        <v>18.130989519568775</v>
      </c>
      <c r="L69" s="75">
        <f t="shared" ref="L69" ca="1" si="49">L70*L$43</f>
        <v>21.662197231080896</v>
      </c>
      <c r="M69" s="75">
        <f t="shared" ref="M69" ca="1" si="50">M70*M$43</f>
        <v>25.466817260084653</v>
      </c>
      <c r="N69" s="75">
        <f t="shared" ref="N69" ca="1" si="51">N70*N$43</f>
        <v>29.452559102913533</v>
      </c>
      <c r="O69" s="75">
        <f t="shared" ref="O69" ca="1" si="52">O70*O$43</f>
        <v>33.498764824426097</v>
      </c>
      <c r="P69" s="75">
        <f t="shared" ref="P69" ca="1" si="53">P70*P$43</f>
        <v>37.460115399981014</v>
      </c>
      <c r="Q69" s="75">
        <f t="shared" ref="Q69" ca="1" si="54">Q70*Q$43</f>
        <v>41.173417348431535</v>
      </c>
      <c r="R69" s="75">
        <f t="shared" ref="R69" ca="1" si="55">R70*R$43</f>
        <v>44.467290736306069</v>
      </c>
    </row>
    <row r="70" spans="2:26">
      <c r="B70" s="46" t="s">
        <v>26</v>
      </c>
      <c r="E70" s="71">
        <f t="shared" si="46"/>
        <v>1.3324130218253622E-2</v>
      </c>
      <c r="F70" s="71">
        <f t="shared" si="46"/>
        <v>1.5043842644911695E-2</v>
      </c>
      <c r="G70" s="71">
        <f t="shared" si="46"/>
        <v>9.3490185255459338E-3</v>
      </c>
      <c r="H70" s="71">
        <f t="shared" si="46"/>
        <v>1.2094091133528766E-2</v>
      </c>
      <c r="I70" s="49">
        <f>AVERAGE(F70:H70)</f>
        <v>1.2162317434662132E-2</v>
      </c>
      <c r="J70" s="49">
        <f>I70</f>
        <v>1.2162317434662132E-2</v>
      </c>
      <c r="K70" s="49">
        <f t="shared" ref="K70:R70" si="56">J70</f>
        <v>1.2162317434662132E-2</v>
      </c>
      <c r="L70" s="49">
        <f t="shared" si="56"/>
        <v>1.2162317434662132E-2</v>
      </c>
      <c r="M70" s="49">
        <f t="shared" si="56"/>
        <v>1.2162317434662132E-2</v>
      </c>
      <c r="N70" s="49">
        <f t="shared" si="56"/>
        <v>1.2162317434662132E-2</v>
      </c>
      <c r="O70" s="49">
        <f t="shared" si="56"/>
        <v>1.2162317434662132E-2</v>
      </c>
      <c r="P70" s="49">
        <f t="shared" si="56"/>
        <v>1.2162317434662132E-2</v>
      </c>
      <c r="Q70" s="49">
        <f t="shared" si="56"/>
        <v>1.2162317434662132E-2</v>
      </c>
      <c r="R70" s="49">
        <f t="shared" si="56"/>
        <v>1.2162317434662132E-2</v>
      </c>
    </row>
    <row r="72" spans="2:26">
      <c r="B72" t="s">
        <v>32</v>
      </c>
      <c r="E72" s="70">
        <f t="shared" ref="E72:H73" si="57">E38</f>
        <v>35.561999999999998</v>
      </c>
      <c r="F72" s="70">
        <f t="shared" si="57"/>
        <v>63.741</v>
      </c>
      <c r="G72" s="70">
        <f t="shared" si="57"/>
        <v>10.08</v>
      </c>
      <c r="H72" s="70">
        <f t="shared" si="57"/>
        <v>29.991</v>
      </c>
      <c r="I72" s="75">
        <f ca="1">I73*I$43</f>
        <v>26.105164718331793</v>
      </c>
      <c r="J72" s="75">
        <f t="shared" ref="J72" ca="1" si="58">J73*J$43</f>
        <v>32.188047252392984</v>
      </c>
      <c r="K72" s="75">
        <f t="shared" ref="K72" ca="1" si="59">K73*K$43</f>
        <v>39.072674923833105</v>
      </c>
      <c r="L72" s="75">
        <f t="shared" ref="L72" ca="1" si="60">L73*L$43</f>
        <v>46.682503987576737</v>
      </c>
      <c r="M72" s="75">
        <f t="shared" ref="M72" ca="1" si="61">M73*M$43</f>
        <v>54.881542514487982</v>
      </c>
      <c r="N72" s="75">
        <f t="shared" ref="N72" ca="1" si="62">N73*N$43</f>
        <v>63.470902471212298</v>
      </c>
      <c r="O72" s="75">
        <f t="shared" ref="O72" ca="1" si="63">O73*O$43</f>
        <v>72.190563395453694</v>
      </c>
      <c r="P72" s="75">
        <f t="shared" ref="P72" ca="1" si="64">P73*P$43</f>
        <v>80.727359643167688</v>
      </c>
      <c r="Q72" s="75">
        <f t="shared" ref="Q72" ca="1" si="65">Q73*Q$43</f>
        <v>88.729605729585046</v>
      </c>
      <c r="R72" s="75">
        <f t="shared" ref="R72" ca="1" si="66">R73*R$43</f>
        <v>95.827974187951853</v>
      </c>
    </row>
    <row r="73" spans="2:26">
      <c r="B73" s="46" t="s">
        <v>26</v>
      </c>
      <c r="E73" s="71">
        <f t="shared" si="57"/>
        <v>0.15535498977755255</v>
      </c>
      <c r="F73" s="71">
        <f t="shared" si="57"/>
        <v>0.13144750843445049</v>
      </c>
      <c r="G73" s="71">
        <f t="shared" si="57"/>
        <v>1.5119221360099954E-2</v>
      </c>
      <c r="H73" s="71">
        <f t="shared" si="57"/>
        <v>3.7300893375736451E-2</v>
      </c>
      <c r="I73" s="49">
        <f>AVERAGE(G73:H73)</f>
        <v>2.6210057367918201E-2</v>
      </c>
      <c r="J73" s="49">
        <f>I73</f>
        <v>2.6210057367918201E-2</v>
      </c>
      <c r="K73" s="49">
        <f t="shared" ref="K73:R73" si="67">J73</f>
        <v>2.6210057367918201E-2</v>
      </c>
      <c r="L73" s="49">
        <f t="shared" si="67"/>
        <v>2.6210057367918201E-2</v>
      </c>
      <c r="M73" s="49">
        <f t="shared" si="67"/>
        <v>2.6210057367918201E-2</v>
      </c>
      <c r="N73" s="49">
        <f t="shared" si="67"/>
        <v>2.6210057367918201E-2</v>
      </c>
      <c r="O73" s="49">
        <f t="shared" si="67"/>
        <v>2.6210057367918201E-2</v>
      </c>
      <c r="P73" s="49">
        <f t="shared" si="67"/>
        <v>2.6210057367918201E-2</v>
      </c>
      <c r="Q73" s="49">
        <f t="shared" si="67"/>
        <v>2.6210057367918201E-2</v>
      </c>
      <c r="R73" s="49">
        <f t="shared" si="67"/>
        <v>2.6210057367918201E-2</v>
      </c>
    </row>
    <row r="75" spans="2:26">
      <c r="B75" s="59" t="s">
        <v>43</v>
      </c>
      <c r="C75" s="60"/>
      <c r="D75" s="60"/>
      <c r="E75" s="60"/>
      <c r="F75" s="60"/>
      <c r="G75" s="60"/>
      <c r="H75" s="60"/>
      <c r="I75" s="81">
        <f ca="1">I64+I66-I69-I72</f>
        <v>-24.656577663512724</v>
      </c>
      <c r="J75" s="81">
        <f t="shared" ref="J75:R75" ca="1" si="68">J64+J66-J69-J72</f>
        <v>64.075199884531173</v>
      </c>
      <c r="K75" s="81">
        <f t="shared" ca="1" si="68"/>
        <v>109.65730469692311</v>
      </c>
      <c r="L75" s="81">
        <f t="shared" ca="1" si="68"/>
        <v>144.99660049314832</v>
      </c>
      <c r="M75" s="81">
        <f t="shared" ca="1" si="68"/>
        <v>180.65753938104137</v>
      </c>
      <c r="N75" s="81">
        <f t="shared" ca="1" si="68"/>
        <v>249.83981630885444</v>
      </c>
      <c r="O75" s="81">
        <f t="shared" ca="1" si="68"/>
        <v>330.69094946645015</v>
      </c>
      <c r="P75" s="81">
        <f t="shared" ca="1" si="68"/>
        <v>421.8264908296407</v>
      </c>
      <c r="Q75" s="81">
        <f t="shared" ca="1" si="68"/>
        <v>520.82852508193423</v>
      </c>
      <c r="R75" s="82">
        <f t="shared" ca="1" si="68"/>
        <v>624.25754200597521</v>
      </c>
    </row>
    <row r="76" spans="2:26">
      <c r="B76" s="61" t="s">
        <v>44</v>
      </c>
      <c r="C76" s="33"/>
      <c r="D76" s="33"/>
      <c r="E76" s="33"/>
      <c r="F76" s="33"/>
      <c r="G76" s="33"/>
      <c r="H76" s="33"/>
      <c r="I76" s="83">
        <f ca="1">(I75*I79)/(1+wacc)^I78</f>
        <v>-14.163868685789748</v>
      </c>
      <c r="J76" s="83">
        <f t="shared" ref="J76:R76" ca="1" si="69">J75/(1+wacc)^J78</f>
        <v>57.45830577238133</v>
      </c>
      <c r="K76" s="83">
        <f t="shared" ca="1" si="69"/>
        <v>88.989370673923929</v>
      </c>
      <c r="L76" s="83">
        <f t="shared" ca="1" si="69"/>
        <v>106.48688194343474</v>
      </c>
      <c r="M76" s="83">
        <f t="shared" ca="1" si="69"/>
        <v>120.06933439426081</v>
      </c>
      <c r="N76" s="83">
        <f t="shared" ca="1" si="69"/>
        <v>150.27107260318493</v>
      </c>
      <c r="O76" s="83">
        <f t="shared" ca="1" si="69"/>
        <v>180.00052237147241</v>
      </c>
      <c r="P76" s="83">
        <f t="shared" ca="1" si="69"/>
        <v>207.78922747494161</v>
      </c>
      <c r="Q76" s="83">
        <f t="shared" ca="1" si="69"/>
        <v>232.17831887211725</v>
      </c>
      <c r="R76" s="84">
        <f t="shared" ca="1" si="69"/>
        <v>251.84215117588153</v>
      </c>
    </row>
    <row r="78" spans="2:26">
      <c r="B78" t="s">
        <v>45</v>
      </c>
      <c r="I78" s="58">
        <f>I79/2</f>
        <v>0.29583333333333334</v>
      </c>
      <c r="J78" s="58">
        <f>I79+0.5</f>
        <v>1.0916666666666668</v>
      </c>
      <c r="K78" s="58">
        <f>J78+1</f>
        <v>2.0916666666666668</v>
      </c>
      <c r="L78" s="58">
        <f t="shared" ref="L78:R78" si="70">K78+1</f>
        <v>3.0916666666666668</v>
      </c>
      <c r="M78" s="58">
        <f t="shared" si="70"/>
        <v>4.0916666666666668</v>
      </c>
      <c r="N78" s="58">
        <f t="shared" si="70"/>
        <v>5.0916666666666668</v>
      </c>
      <c r="O78" s="58">
        <f t="shared" si="70"/>
        <v>6.0916666666666668</v>
      </c>
      <c r="P78" s="58">
        <f t="shared" si="70"/>
        <v>7.0916666666666668</v>
      </c>
      <c r="Q78" s="58">
        <f t="shared" si="70"/>
        <v>8.0916666666666668</v>
      </c>
      <c r="R78" s="58">
        <f t="shared" si="70"/>
        <v>9.0916666666666668</v>
      </c>
      <c r="T78" t="s">
        <v>46</v>
      </c>
      <c r="V78" s="49">
        <v>0.5</v>
      </c>
      <c r="Z78" s="49">
        <f>1-V78</f>
        <v>0.5</v>
      </c>
    </row>
    <row r="79" spans="2:26">
      <c r="B79" t="s">
        <v>47</v>
      </c>
      <c r="I79" s="58">
        <f>YEARFRAC(C5,C6)</f>
        <v>0.59166666666666667</v>
      </c>
    </row>
    <row r="80" spans="2:26">
      <c r="T80" s="7" t="s">
        <v>48</v>
      </c>
      <c r="X80" s="7" t="s">
        <v>49</v>
      </c>
    </row>
    <row r="81" spans="1:26">
      <c r="B81" t="s">
        <v>50</v>
      </c>
      <c r="R81" s="78">
        <f ca="1">(U81*$V$78)+(Z83*Z78)</f>
        <v>10599.005591931273</v>
      </c>
      <c r="T81" t="s">
        <v>51</v>
      </c>
      <c r="U81" s="78">
        <f ca="1">(R75*(1+tgr))/(wacc-tgr)</f>
        <v>7998.2997569515574</v>
      </c>
      <c r="X81" t="s">
        <v>52</v>
      </c>
      <c r="Z81" s="69">
        <f ca="1">R49+R66</f>
        <v>956.50082803702821</v>
      </c>
    </row>
    <row r="82" spans="1:26">
      <c r="B82" t="s">
        <v>53</v>
      </c>
      <c r="R82" s="78">
        <f ca="1">(U82*$V$78)+(Z84*Z78)</f>
        <v>4275.9216973491039</v>
      </c>
      <c r="T82" t="s">
        <v>54</v>
      </c>
      <c r="U82" s="78">
        <f ca="1">U81/(1+wacc)^R78</f>
        <v>3226.727561940982</v>
      </c>
      <c r="X82" t="s">
        <v>55</v>
      </c>
      <c r="Z82">
        <v>13.8</v>
      </c>
    </row>
    <row r="83" spans="1:26">
      <c r="X83" t="s">
        <v>51</v>
      </c>
      <c r="Z83" s="78">
        <f ca="1">Z81*Z82</f>
        <v>13199.71142691099</v>
      </c>
    </row>
    <row r="84" spans="1:26">
      <c r="B84" t="s">
        <v>56</v>
      </c>
      <c r="R84" s="69">
        <f ca="1">SUM(I76:R76,R82)</f>
        <v>5656.8430139449129</v>
      </c>
      <c r="X84" t="s">
        <v>54</v>
      </c>
      <c r="Z84" s="78">
        <f ca="1">Z83/(1+wacc)^R78</f>
        <v>5325.1158327572266</v>
      </c>
    </row>
    <row r="85" spans="1:26">
      <c r="B85" t="s">
        <v>57</v>
      </c>
      <c r="R85" s="78">
        <f>401.176+811.946</f>
        <v>1213.1220000000001</v>
      </c>
    </row>
    <row r="86" spans="1:26">
      <c r="B86" t="s">
        <v>58</v>
      </c>
      <c r="R86">
        <v>0</v>
      </c>
    </row>
    <row r="87" spans="1:26">
      <c r="B87" t="s">
        <v>59</v>
      </c>
      <c r="R87" s="69">
        <f ca="1">R84+R85-R86</f>
        <v>6869.9650139449132</v>
      </c>
    </row>
    <row r="89" spans="1:26">
      <c r="B89" t="s">
        <v>60</v>
      </c>
      <c r="R89">
        <v>211</v>
      </c>
    </row>
    <row r="90" spans="1:26">
      <c r="A90" t="s">
        <v>8</v>
      </c>
      <c r="B90" t="s">
        <v>61</v>
      </c>
      <c r="R90">
        <f ca="1">R87/R89</f>
        <v>32.559075895473519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45F2-FA48-46FB-8F1A-C1EA7CC8BFCC}">
  <dimension ref="B2:F22"/>
  <sheetViews>
    <sheetView showGridLines="0" zoomScaleNormal="100" workbookViewId="0">
      <selection activeCell="F12" sqref="F12"/>
    </sheetView>
  </sheetViews>
  <sheetFormatPr defaultColWidth="8.85546875" defaultRowHeight="15"/>
  <cols>
    <col min="1" max="1" width="3.7109375" customWidth="1"/>
    <col min="6" max="6" width="12.7109375" customWidth="1"/>
  </cols>
  <sheetData>
    <row r="2" spans="2:6" s="33" customFormat="1" ht="21">
      <c r="B2" s="6" t="s">
        <v>19</v>
      </c>
    </row>
    <row r="4" spans="2:6">
      <c r="B4" t="s">
        <v>62</v>
      </c>
    </row>
    <row r="5" spans="2:6">
      <c r="B5" t="s">
        <v>63</v>
      </c>
    </row>
    <row r="7" spans="2:6">
      <c r="B7" s="52" t="s">
        <v>19</v>
      </c>
      <c r="C7" s="53"/>
      <c r="D7" s="53"/>
      <c r="E7" s="53"/>
      <c r="F7" s="53"/>
    </row>
    <row r="8" spans="2:6">
      <c r="B8" t="s">
        <v>64</v>
      </c>
      <c r="F8" s="47">
        <v>8959</v>
      </c>
    </row>
    <row r="9" spans="2:6">
      <c r="B9" t="s">
        <v>65</v>
      </c>
      <c r="F9" s="54">
        <f>F8/F20</f>
        <v>1</v>
      </c>
    </row>
    <row r="10" spans="2:6">
      <c r="B10" t="s">
        <v>66</v>
      </c>
      <c r="F10" s="54">
        <f>F11+F12*F13</f>
        <v>0.10868</v>
      </c>
    </row>
    <row r="11" spans="2:6">
      <c r="B11" t="s">
        <v>67</v>
      </c>
      <c r="F11" s="55">
        <v>4.6730000000000001E-2</v>
      </c>
    </row>
    <row r="12" spans="2:6">
      <c r="B12" t="s">
        <v>68</v>
      </c>
      <c r="F12" s="56">
        <v>1.5</v>
      </c>
    </row>
    <row r="13" spans="2:6">
      <c r="B13" t="s">
        <v>69</v>
      </c>
      <c r="F13" s="55">
        <v>4.1300000000000003E-2</v>
      </c>
    </row>
    <row r="15" spans="2:6">
      <c r="B15" t="s">
        <v>70</v>
      </c>
      <c r="F15" s="57">
        <v>0</v>
      </c>
    </row>
    <row r="16" spans="2:6">
      <c r="B16" t="s">
        <v>71</v>
      </c>
      <c r="F16" s="54">
        <f>F15/F20</f>
        <v>0</v>
      </c>
    </row>
    <row r="17" spans="2:6">
      <c r="B17" t="s">
        <v>72</v>
      </c>
      <c r="F17" s="55">
        <v>0</v>
      </c>
    </row>
    <row r="18" spans="2:6">
      <c r="B18" t="s">
        <v>73</v>
      </c>
      <c r="F18" s="55">
        <v>0.21</v>
      </c>
    </row>
    <row r="20" spans="2:6">
      <c r="B20" t="s">
        <v>74</v>
      </c>
      <c r="F20" s="47">
        <f>F8+F15</f>
        <v>8959</v>
      </c>
    </row>
    <row r="22" spans="2:6">
      <c r="B22" t="s">
        <v>19</v>
      </c>
      <c r="F22" s="54">
        <f>(F9*F10)+(F16*F17*(1-F18))</f>
        <v>0.10868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386-D5BA-4DB4-868E-C2D8634A3513}">
  <sheetPr>
    <outlinePr summaryBelow="0" summaryRight="0"/>
  </sheetPr>
  <dimension ref="A1:E47"/>
  <sheetViews>
    <sheetView topLeftCell="A25" workbookViewId="0">
      <selection activeCell="A5" sqref="A5:E47"/>
    </sheetView>
  </sheetViews>
  <sheetFormatPr defaultColWidth="9.140625" defaultRowHeight="15" customHeight="1" outlineLevelRow="3"/>
  <cols>
    <col min="1" max="1" width="52.140625" style="1" customWidth="1"/>
    <col min="2" max="5" width="8" style="1" customWidth="1"/>
    <col min="6" max="16384" width="9.140625" style="1"/>
  </cols>
  <sheetData>
    <row r="1" spans="1:5" ht="15" customHeight="1">
      <c r="A1" s="5" t="s">
        <v>75</v>
      </c>
    </row>
    <row r="2" spans="1:5" ht="15" customHeight="1">
      <c r="A2" s="85">
        <v>58.49</v>
      </c>
    </row>
    <row r="3" spans="1:5" ht="15" customHeight="1">
      <c r="A3" s="30"/>
      <c r="B3" s="30"/>
      <c r="C3" s="30"/>
      <c r="D3" s="30"/>
      <c r="E3" s="30"/>
    </row>
    <row r="5" spans="1:5" ht="15" customHeight="1">
      <c r="A5" s="4" t="s">
        <v>76</v>
      </c>
      <c r="B5" s="4"/>
      <c r="C5" s="4"/>
      <c r="D5" s="4"/>
      <c r="E5" s="4"/>
    </row>
    <row r="6" spans="1:5" ht="15" customHeight="1">
      <c r="A6" s="4" t="s">
        <v>77</v>
      </c>
      <c r="B6" s="4"/>
      <c r="C6" s="4"/>
      <c r="D6" s="4"/>
      <c r="E6" s="4"/>
    </row>
    <row r="7" spans="1:5" ht="15" customHeight="1">
      <c r="A7" s="4" t="s">
        <v>78</v>
      </c>
      <c r="B7" s="4"/>
      <c r="C7" s="4"/>
      <c r="D7" s="4"/>
      <c r="E7" s="4"/>
    </row>
    <row r="8" spans="1:5" ht="15" customHeight="1">
      <c r="A8" s="4"/>
      <c r="B8" s="4" t="s">
        <v>79</v>
      </c>
      <c r="C8" s="4" t="s">
        <v>80</v>
      </c>
      <c r="D8" s="4" t="s">
        <v>81</v>
      </c>
      <c r="E8" s="4" t="s">
        <v>82</v>
      </c>
    </row>
    <row r="9" spans="1:5" ht="15" customHeight="1">
      <c r="A9" s="25" t="s">
        <v>83</v>
      </c>
      <c r="B9" s="14">
        <v>228.90799999999999</v>
      </c>
      <c r="C9" s="14">
        <v>484.916</v>
      </c>
      <c r="D9" s="14">
        <v>666.70100000000002</v>
      </c>
      <c r="E9" s="14">
        <v>804.029</v>
      </c>
    </row>
    <row r="10" spans="1:5" ht="15" customHeight="1" outlineLevel="1">
      <c r="A10" s="21" t="s">
        <v>84</v>
      </c>
      <c r="B10" s="24">
        <v>55.026000000000003</v>
      </c>
      <c r="C10" s="24">
        <v>72.564999999999998</v>
      </c>
      <c r="D10" s="24">
        <v>112.08499999999999</v>
      </c>
      <c r="E10" s="24">
        <v>124.56100000000001</v>
      </c>
    </row>
    <row r="11" spans="1:5" ht="15" customHeight="1" outlineLevel="2">
      <c r="A11" s="10" t="s">
        <v>85</v>
      </c>
      <c r="B11" s="9">
        <v>53.091999999999999</v>
      </c>
      <c r="C11" s="9">
        <v>69.751999999999995</v>
      </c>
      <c r="D11" s="9">
        <v>104.08499999999999</v>
      </c>
      <c r="E11" s="9">
        <v>110.85899999999999</v>
      </c>
    </row>
    <row r="12" spans="1:5" ht="15" customHeight="1" outlineLevel="2">
      <c r="A12" s="29" t="s">
        <v>86</v>
      </c>
      <c r="B12" s="24">
        <v>1.9339999999999999</v>
      </c>
      <c r="C12" s="24">
        <v>2.8130000000000002</v>
      </c>
      <c r="D12" s="24">
        <v>8</v>
      </c>
      <c r="E12" s="24">
        <v>13.702</v>
      </c>
    </row>
    <row r="13" spans="1:5" ht="15" customHeight="1" outlineLevel="3">
      <c r="A13" s="28" t="s">
        <v>87</v>
      </c>
      <c r="B13" s="9">
        <v>1.3</v>
      </c>
      <c r="C13" s="9">
        <v>2.2000000000000002</v>
      </c>
      <c r="D13" s="9">
        <v>3.7</v>
      </c>
      <c r="E13" s="9">
        <v>4.7</v>
      </c>
    </row>
    <row r="14" spans="1:5" ht="15" customHeight="1" outlineLevel="3">
      <c r="A14" s="26" t="s">
        <v>88</v>
      </c>
      <c r="B14" s="11">
        <v>0.63400000000000001</v>
      </c>
      <c r="C14" s="11">
        <v>0.61299999999999999</v>
      </c>
      <c r="D14" s="11">
        <v>4.3</v>
      </c>
      <c r="E14" s="11">
        <v>9.0020000000000007</v>
      </c>
    </row>
    <row r="15" spans="1:5" ht="15" customHeight="1">
      <c r="A15" s="25" t="s">
        <v>89</v>
      </c>
      <c r="B15" s="14">
        <v>173.88200000000001</v>
      </c>
      <c r="C15" s="14">
        <v>412.351</v>
      </c>
      <c r="D15" s="14">
        <v>554.61599999999999</v>
      </c>
      <c r="E15" s="14">
        <v>679.46799999999996</v>
      </c>
    </row>
    <row r="16" spans="1:5" ht="15" customHeight="1" outlineLevel="1">
      <c r="A16" s="21" t="s">
        <v>90</v>
      </c>
      <c r="B16" s="24">
        <v>236.43899999999999</v>
      </c>
      <c r="C16" s="24">
        <v>538.68499999999995</v>
      </c>
      <c r="D16" s="24">
        <v>726.77800000000002</v>
      </c>
      <c r="E16" s="24">
        <v>819.62900000000002</v>
      </c>
    </row>
    <row r="17" spans="1:5" ht="15" customHeight="1" outlineLevel="2">
      <c r="A17" s="10" t="s">
        <v>91</v>
      </c>
      <c r="B17" s="9">
        <v>117.526</v>
      </c>
      <c r="C17" s="9">
        <v>256.97500000000002</v>
      </c>
      <c r="D17" s="9">
        <v>360.47699999999998</v>
      </c>
      <c r="E17" s="9">
        <v>430.34500000000003</v>
      </c>
    </row>
    <row r="18" spans="1:5" ht="15" customHeight="1" outlineLevel="2">
      <c r="A18" s="13" t="s">
        <v>92</v>
      </c>
      <c r="B18" s="11">
        <v>118.913</v>
      </c>
      <c r="C18" s="11">
        <v>281.70999999999998</v>
      </c>
      <c r="D18" s="11">
        <v>366.30099999999999</v>
      </c>
      <c r="E18" s="11">
        <v>389.28399999999999</v>
      </c>
    </row>
    <row r="19" spans="1:5" ht="15" customHeight="1">
      <c r="A19" s="25" t="s">
        <v>93</v>
      </c>
      <c r="B19" s="14">
        <v>-62.557000000000002</v>
      </c>
      <c r="C19" s="14">
        <v>-126.334</v>
      </c>
      <c r="D19" s="14">
        <v>-172.16200000000001</v>
      </c>
      <c r="E19" s="14">
        <v>-140.161</v>
      </c>
    </row>
    <row r="20" spans="1:5" ht="15" customHeight="1" outlineLevel="1">
      <c r="A20" s="21" t="s">
        <v>94</v>
      </c>
      <c r="B20" s="24">
        <v>3.4860000000000002</v>
      </c>
      <c r="C20" s="24">
        <v>-0.34300000000000003</v>
      </c>
      <c r="D20" s="24">
        <v>14.234</v>
      </c>
      <c r="E20" s="24">
        <v>53.137999999999998</v>
      </c>
    </row>
    <row r="21" spans="1:5" ht="15" customHeight="1" outlineLevel="2">
      <c r="A21" s="10" t="s">
        <v>95</v>
      </c>
      <c r="B21" s="9">
        <v>3.4860000000000002</v>
      </c>
      <c r="C21" s="23">
        <v>-0.34300000000000003</v>
      </c>
      <c r="D21" s="9">
        <v>14.234</v>
      </c>
      <c r="E21" s="9">
        <v>53.137999999999998</v>
      </c>
    </row>
    <row r="22" spans="1:5" ht="15" customHeight="1" outlineLevel="1">
      <c r="A22" s="21" t="s">
        <v>96</v>
      </c>
      <c r="B22" s="24">
        <v>0</v>
      </c>
      <c r="C22" s="24">
        <v>0.879</v>
      </c>
      <c r="D22" s="24">
        <v>0</v>
      </c>
      <c r="E22" s="24">
        <v>0</v>
      </c>
    </row>
    <row r="23" spans="1:5" ht="15" customHeight="1" outlineLevel="2">
      <c r="A23" s="27" t="s">
        <v>97</v>
      </c>
      <c r="B23" s="14">
        <v>0</v>
      </c>
      <c r="C23" s="14">
        <v>0.879</v>
      </c>
      <c r="D23" s="25"/>
      <c r="E23" s="25"/>
    </row>
    <row r="24" spans="1:5" ht="15" customHeight="1" outlineLevel="3">
      <c r="A24" s="26" t="s">
        <v>98</v>
      </c>
      <c r="B24" s="11">
        <v>0</v>
      </c>
      <c r="C24" s="11">
        <v>0.879</v>
      </c>
      <c r="D24" s="11">
        <v>0</v>
      </c>
      <c r="E24" s="11">
        <v>0</v>
      </c>
    </row>
    <row r="25" spans="1:5" ht="15" customHeight="1">
      <c r="A25" s="25" t="s">
        <v>99</v>
      </c>
      <c r="B25" s="14">
        <v>-59.070999999999998</v>
      </c>
      <c r="C25" s="14">
        <v>-127.556</v>
      </c>
      <c r="D25" s="14">
        <v>-157.928</v>
      </c>
      <c r="E25" s="14">
        <v>-87.022999999999996</v>
      </c>
    </row>
    <row r="26" spans="1:5" ht="15" customHeight="1" outlineLevel="1">
      <c r="A26" s="21" t="s">
        <v>100</v>
      </c>
      <c r="B26" s="24">
        <v>0.10199999999999999</v>
      </c>
      <c r="C26" s="24">
        <v>0.34</v>
      </c>
      <c r="D26" s="24">
        <v>0.622</v>
      </c>
      <c r="E26" s="24">
        <v>3.8010000000000002</v>
      </c>
    </row>
    <row r="27" spans="1:5" ht="15" customHeight="1" outlineLevel="2">
      <c r="A27" s="10" t="s">
        <v>101</v>
      </c>
      <c r="B27" s="9">
        <v>7.6999999999999999E-2</v>
      </c>
      <c r="C27" s="9">
        <v>6.0999999999999999E-2</v>
      </c>
      <c r="D27" s="9">
        <v>1.4690000000000001</v>
      </c>
      <c r="E27" s="9">
        <v>2.423</v>
      </c>
    </row>
    <row r="28" spans="1:5" ht="15" customHeight="1" outlineLevel="2">
      <c r="A28" s="13" t="s">
        <v>102</v>
      </c>
      <c r="B28" s="11">
        <v>2.5000000000000001E-2</v>
      </c>
      <c r="C28" s="11">
        <v>0.27900000000000003</v>
      </c>
      <c r="D28" s="11">
        <v>1.2310000000000001</v>
      </c>
      <c r="E28" s="11">
        <v>1.468</v>
      </c>
    </row>
    <row r="29" spans="1:5" ht="15" customHeight="1" outlineLevel="2">
      <c r="A29" s="10" t="s">
        <v>103</v>
      </c>
      <c r="B29" s="9">
        <v>0</v>
      </c>
      <c r="C29" s="9">
        <v>0</v>
      </c>
      <c r="D29" s="23">
        <v>-1.7669999999999999</v>
      </c>
      <c r="E29" s="9">
        <v>0</v>
      </c>
    </row>
    <row r="30" spans="1:5" ht="15" customHeight="1" outlineLevel="2">
      <c r="A30" s="13" t="s">
        <v>104</v>
      </c>
      <c r="B30" s="11">
        <v>0</v>
      </c>
      <c r="C30" s="11">
        <v>0</v>
      </c>
      <c r="D30" s="12">
        <v>-0.311</v>
      </c>
      <c r="E30" s="12">
        <v>-0.09</v>
      </c>
    </row>
    <row r="31" spans="1:5" ht="15" customHeight="1">
      <c r="A31" s="3" t="s">
        <v>105</v>
      </c>
      <c r="B31" s="23">
        <v>-59.173000000000002</v>
      </c>
      <c r="C31" s="23">
        <v>-127.896</v>
      </c>
      <c r="D31" s="23">
        <v>-158.55000000000001</v>
      </c>
      <c r="E31" s="23">
        <v>-90.823999999999998</v>
      </c>
    </row>
    <row r="32" spans="1:5" ht="15" customHeight="1">
      <c r="A32" s="16" t="s">
        <v>106</v>
      </c>
      <c r="B32" s="24">
        <v>-59.173000000000002</v>
      </c>
      <c r="C32" s="24">
        <v>-127.896</v>
      </c>
      <c r="D32" s="24">
        <v>-158.55000000000001</v>
      </c>
      <c r="E32" s="24">
        <v>-90.823999999999998</v>
      </c>
    </row>
    <row r="33" spans="1:5" ht="15" customHeight="1" outlineLevel="1">
      <c r="A33" s="18" t="s">
        <v>107</v>
      </c>
      <c r="B33" s="23">
        <v>-59.173000000000002</v>
      </c>
      <c r="C33" s="23">
        <v>-127.896</v>
      </c>
      <c r="D33" s="23">
        <v>-158.55000000000001</v>
      </c>
      <c r="E33" s="23">
        <v>-90.823999999999998</v>
      </c>
    </row>
    <row r="34" spans="1:5" ht="15" customHeight="1">
      <c r="A34" s="16" t="s">
        <v>108</v>
      </c>
      <c r="B34" s="16"/>
      <c r="C34" s="16"/>
      <c r="D34" s="16"/>
      <c r="E34" s="16"/>
    </row>
    <row r="35" spans="1:5" ht="15" customHeight="1" outlineLevel="1">
      <c r="A35" s="18" t="s">
        <v>109</v>
      </c>
      <c r="B35" s="31">
        <v>-0.37217299999999998</v>
      </c>
      <c r="C35" s="31">
        <v>-0.80054199999999998</v>
      </c>
      <c r="D35" s="31">
        <v>-0.99721300000000002</v>
      </c>
      <c r="E35" s="31">
        <v>-0.571245</v>
      </c>
    </row>
    <row r="36" spans="1:5" ht="15" customHeight="1" outlineLevel="1">
      <c r="A36" s="21" t="s">
        <v>110</v>
      </c>
      <c r="B36" s="20">
        <v>-0.37219999999999998</v>
      </c>
      <c r="C36" s="20">
        <v>-0.8044</v>
      </c>
      <c r="D36" s="20">
        <v>-0.99719999999999998</v>
      </c>
      <c r="E36" s="20">
        <v>-0.57120000000000004</v>
      </c>
    </row>
    <row r="37" spans="1:5" ht="15" customHeight="1" outlineLevel="2">
      <c r="A37" s="10" t="s">
        <v>111</v>
      </c>
      <c r="B37" s="17">
        <v>158.99309</v>
      </c>
      <c r="C37" s="17">
        <v>158.99309</v>
      </c>
      <c r="D37" s="17">
        <v>158.99309</v>
      </c>
      <c r="E37" s="17">
        <v>158.99309</v>
      </c>
    </row>
    <row r="38" spans="1:5" ht="15" customHeight="1" outlineLevel="2">
      <c r="A38" s="13" t="s">
        <v>112</v>
      </c>
      <c r="B38" s="19">
        <v>158.99309</v>
      </c>
      <c r="C38" s="19">
        <v>158.99309</v>
      </c>
      <c r="D38" s="19">
        <v>158.99309</v>
      </c>
      <c r="E38" s="19">
        <v>158.99309</v>
      </c>
    </row>
    <row r="39" spans="1:5" ht="15" customHeight="1" outlineLevel="1">
      <c r="A39" s="15" t="s">
        <v>113</v>
      </c>
      <c r="B39" s="22">
        <v>-0.37219999999999998</v>
      </c>
      <c r="C39" s="22">
        <v>-0.8044</v>
      </c>
      <c r="D39" s="22">
        <v>-0.99719999999999998</v>
      </c>
      <c r="E39" s="22">
        <v>-0.57120000000000004</v>
      </c>
    </row>
    <row r="40" spans="1:5" ht="15" customHeight="1" outlineLevel="2">
      <c r="A40" s="13" t="s">
        <v>114</v>
      </c>
      <c r="B40" s="19">
        <v>158.99309</v>
      </c>
      <c r="C40" s="19">
        <v>158.99309</v>
      </c>
      <c r="D40" s="19">
        <v>158.99309</v>
      </c>
      <c r="E40" s="19">
        <v>158.99309</v>
      </c>
    </row>
    <row r="41" spans="1:5" ht="15" customHeight="1" outlineLevel="2">
      <c r="A41" s="10" t="s">
        <v>112</v>
      </c>
      <c r="B41" s="17">
        <v>158.99309</v>
      </c>
      <c r="C41" s="17">
        <v>158.99309</v>
      </c>
      <c r="D41" s="17">
        <v>158.99309</v>
      </c>
      <c r="E41" s="17">
        <v>158.99309</v>
      </c>
    </row>
    <row r="42" spans="1:5" ht="15" customHeight="1" outlineLevel="1">
      <c r="A42" s="32" t="s">
        <v>115</v>
      </c>
      <c r="B42" s="2"/>
      <c r="C42" s="19">
        <v>56.271000000000001</v>
      </c>
      <c r="D42" s="19">
        <v>29.097999999999999</v>
      </c>
      <c r="E42" s="19">
        <v>79.275000000000006</v>
      </c>
    </row>
    <row r="43" spans="1:5" ht="15" customHeight="1">
      <c r="A43" s="25" t="s">
        <v>116</v>
      </c>
      <c r="B43" s="25"/>
      <c r="C43" s="25"/>
      <c r="D43" s="25"/>
      <c r="E43" s="25"/>
    </row>
    <row r="44" spans="1:5" ht="15" customHeight="1" outlineLevel="1">
      <c r="A44" s="21" t="s">
        <v>116</v>
      </c>
      <c r="B44" s="20">
        <v>-60.622999999999998</v>
      </c>
      <c r="C44" s="20">
        <v>-123.521</v>
      </c>
      <c r="D44" s="20">
        <v>-164.16200000000001</v>
      </c>
      <c r="E44" s="20">
        <v>-126.459</v>
      </c>
    </row>
    <row r="45" spans="1:5" ht="15" customHeight="1" outlineLevel="2">
      <c r="A45" s="10" t="s">
        <v>18</v>
      </c>
      <c r="B45" s="31">
        <v>-62.557000000000002</v>
      </c>
      <c r="C45" s="31">
        <v>-126.334</v>
      </c>
      <c r="D45" s="31">
        <v>-172.16200000000001</v>
      </c>
      <c r="E45" s="31">
        <v>-140.161</v>
      </c>
    </row>
    <row r="46" spans="1:5" ht="15" customHeight="1" outlineLevel="2">
      <c r="A46" s="13" t="s">
        <v>86</v>
      </c>
      <c r="B46" s="19">
        <v>1.9339999999999999</v>
      </c>
      <c r="C46" s="19">
        <v>2.8130000000000002</v>
      </c>
      <c r="D46" s="19">
        <v>8</v>
      </c>
      <c r="E46" s="19">
        <v>13.702</v>
      </c>
    </row>
    <row r="47" spans="1:5" ht="15" customHeight="1">
      <c r="A47" s="8" t="s">
        <v>117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4FA1-7C53-4DA7-9FD2-9062CAE62ABD}">
  <sheetPr>
    <outlinePr summaryBelow="0" summaryRight="0"/>
  </sheetPr>
  <dimension ref="A1:E47"/>
  <sheetViews>
    <sheetView topLeftCell="A26" workbookViewId="0">
      <selection activeCell="A5" sqref="A5:E47"/>
    </sheetView>
  </sheetViews>
  <sheetFormatPr defaultColWidth="9.140625" defaultRowHeight="15" customHeight="1" outlineLevelRow="3"/>
  <cols>
    <col min="1" max="1" width="52.140625" style="1" customWidth="1"/>
    <col min="2" max="5" width="8" style="1" customWidth="1"/>
    <col min="6" max="16384" width="9.140625" style="1"/>
  </cols>
  <sheetData>
    <row r="1" spans="1:5" ht="15" customHeight="1">
      <c r="A1" s="5" t="s">
        <v>75</v>
      </c>
    </row>
    <row r="2" spans="1:5" ht="15" customHeight="1">
      <c r="A2" s="85">
        <v>58.49</v>
      </c>
    </row>
    <row r="3" spans="1:5" ht="15" customHeight="1">
      <c r="A3" s="30"/>
      <c r="B3" s="30"/>
      <c r="C3" s="30"/>
      <c r="D3" s="30"/>
      <c r="E3" s="30"/>
    </row>
    <row r="5" spans="1:5" ht="15" customHeight="1">
      <c r="A5" s="4" t="s">
        <v>76</v>
      </c>
      <c r="B5" s="4"/>
      <c r="C5" s="4"/>
      <c r="D5" s="4"/>
      <c r="E5" s="4"/>
    </row>
    <row r="6" spans="1:5" ht="15" customHeight="1">
      <c r="A6" s="4" t="s">
        <v>77</v>
      </c>
      <c r="B6" s="4"/>
      <c r="C6" s="4"/>
      <c r="D6" s="4"/>
      <c r="E6" s="4"/>
    </row>
    <row r="7" spans="1:5" ht="15" customHeight="1">
      <c r="A7" s="4" t="s">
        <v>78</v>
      </c>
      <c r="B7" s="4"/>
      <c r="C7" s="4"/>
      <c r="D7" s="4"/>
      <c r="E7" s="4"/>
    </row>
    <row r="8" spans="1:5" ht="15" customHeight="1">
      <c r="A8" s="4"/>
      <c r="B8" s="4" t="s">
        <v>79</v>
      </c>
      <c r="C8" s="4" t="s">
        <v>80</v>
      </c>
      <c r="D8" s="4" t="s">
        <v>81</v>
      </c>
      <c r="E8" s="4" t="s">
        <v>82</v>
      </c>
    </row>
    <row r="9" spans="1:5" ht="15" customHeight="1">
      <c r="A9" s="25" t="s">
        <v>118</v>
      </c>
      <c r="B9" s="25"/>
      <c r="C9" s="25"/>
      <c r="D9" s="25"/>
      <c r="E9" s="25"/>
    </row>
    <row r="10" spans="1:5" ht="15" customHeight="1" outlineLevel="1">
      <c r="A10" s="32" t="s">
        <v>119</v>
      </c>
      <c r="B10" s="62">
        <v>-59.173000000000002</v>
      </c>
      <c r="C10" s="62">
        <v>-127.896</v>
      </c>
      <c r="D10" s="62">
        <v>-158.55000000000001</v>
      </c>
      <c r="E10" s="62">
        <v>-90.823999999999998</v>
      </c>
    </row>
    <row r="11" spans="1:5" ht="15" customHeight="1" outlineLevel="1">
      <c r="A11" s="15" t="s">
        <v>120</v>
      </c>
      <c r="B11" s="22">
        <v>1.9339999999999999</v>
      </c>
      <c r="C11" s="22">
        <v>2.8130000000000002</v>
      </c>
      <c r="D11" s="22">
        <v>8</v>
      </c>
      <c r="E11" s="22">
        <v>13.702</v>
      </c>
    </row>
    <row r="12" spans="1:5" ht="15" customHeight="1" outlineLevel="2">
      <c r="A12" s="13" t="s">
        <v>121</v>
      </c>
      <c r="B12" s="19">
        <v>1.3</v>
      </c>
      <c r="C12" s="19">
        <v>2.2000000000000002</v>
      </c>
      <c r="D12" s="19">
        <v>3.7</v>
      </c>
      <c r="E12" s="19">
        <v>4.7</v>
      </c>
    </row>
    <row r="13" spans="1:5" ht="15" customHeight="1" outlineLevel="2">
      <c r="A13" s="10" t="s">
        <v>122</v>
      </c>
      <c r="B13" s="17">
        <v>0.63400000000000001</v>
      </c>
      <c r="C13" s="17">
        <v>0.61299999999999999</v>
      </c>
      <c r="D13" s="17">
        <v>4.3</v>
      </c>
      <c r="E13" s="17">
        <v>9.0020000000000007</v>
      </c>
    </row>
    <row r="14" spans="1:5" ht="15" customHeight="1" outlineLevel="1">
      <c r="A14" s="32" t="s">
        <v>123</v>
      </c>
      <c r="B14" s="19">
        <v>30.957999999999998</v>
      </c>
      <c r="C14" s="19">
        <v>57.274999999999999</v>
      </c>
      <c r="D14" s="19">
        <v>66.608999999999995</v>
      </c>
      <c r="E14" s="19">
        <v>31.998999999999999</v>
      </c>
    </row>
    <row r="15" spans="1:5" ht="15" customHeight="1" outlineLevel="1">
      <c r="A15" s="18" t="s">
        <v>124</v>
      </c>
      <c r="B15" s="31">
        <v>-26.280999999999999</v>
      </c>
      <c r="C15" s="31">
        <v>-67.808000000000007</v>
      </c>
      <c r="D15" s="31">
        <v>-83.941000000000003</v>
      </c>
      <c r="E15" s="31">
        <v>-45.122999999999998</v>
      </c>
    </row>
    <row r="16" spans="1:5" ht="15" customHeight="1" outlineLevel="1">
      <c r="A16" s="21" t="s">
        <v>125</v>
      </c>
      <c r="B16" s="20">
        <v>-35.561999999999998</v>
      </c>
      <c r="C16" s="20">
        <v>-63.741</v>
      </c>
      <c r="D16" s="20">
        <v>-10.08</v>
      </c>
      <c r="E16" s="20">
        <v>-29.991</v>
      </c>
    </row>
    <row r="17" spans="1:5" ht="15" customHeight="1" outlineLevel="2">
      <c r="A17" s="10" t="s">
        <v>126</v>
      </c>
      <c r="B17" s="31">
        <v>-43.284999999999997</v>
      </c>
      <c r="C17" s="31">
        <v>-74.992000000000004</v>
      </c>
      <c r="D17" s="31">
        <v>-30.23</v>
      </c>
      <c r="E17" s="31">
        <v>-53.317999999999998</v>
      </c>
    </row>
    <row r="18" spans="1:5" ht="15" customHeight="1" outlineLevel="2">
      <c r="A18" s="13" t="s">
        <v>127</v>
      </c>
      <c r="B18" s="19">
        <v>2.694</v>
      </c>
      <c r="C18" s="19">
        <v>11.731999999999999</v>
      </c>
      <c r="D18" s="19">
        <v>10.904999999999999</v>
      </c>
      <c r="E18" s="19">
        <v>12.47</v>
      </c>
    </row>
    <row r="19" spans="1:5" ht="15" customHeight="1" outlineLevel="2">
      <c r="A19" s="10" t="s">
        <v>128</v>
      </c>
      <c r="B19" s="17">
        <v>20.452999999999999</v>
      </c>
      <c r="C19" s="17">
        <v>5.3259999999999996</v>
      </c>
      <c r="D19" s="17">
        <v>21.481000000000002</v>
      </c>
      <c r="E19" s="17">
        <v>12.737</v>
      </c>
    </row>
    <row r="20" spans="1:5" ht="15" customHeight="1" outlineLevel="2">
      <c r="A20" s="13" t="s">
        <v>129</v>
      </c>
      <c r="B20" s="62">
        <v>-15.423999999999999</v>
      </c>
      <c r="C20" s="62">
        <v>-5.8070000000000004</v>
      </c>
      <c r="D20" s="62">
        <v>-12.236000000000001</v>
      </c>
      <c r="E20" s="62">
        <v>-1.88</v>
      </c>
    </row>
    <row r="21" spans="1:5" ht="15" customHeight="1" outlineLevel="1">
      <c r="A21" s="18" t="s">
        <v>130</v>
      </c>
      <c r="B21" s="31">
        <v>-61.843000000000004</v>
      </c>
      <c r="C21" s="31">
        <v>-131.54900000000001</v>
      </c>
      <c r="D21" s="31">
        <v>-94.021000000000001</v>
      </c>
      <c r="E21" s="31">
        <v>-75.114000000000004</v>
      </c>
    </row>
    <row r="22" spans="1:5" ht="15" customHeight="1">
      <c r="A22" s="16" t="s">
        <v>131</v>
      </c>
      <c r="B22" s="16"/>
      <c r="C22" s="16"/>
      <c r="D22" s="16"/>
      <c r="E22" s="16"/>
    </row>
    <row r="23" spans="1:5" ht="15" customHeight="1" outlineLevel="1">
      <c r="A23" s="15" t="s">
        <v>132</v>
      </c>
      <c r="B23" s="14">
        <v>-3.05</v>
      </c>
      <c r="C23" s="14">
        <v>-7.2949999999999999</v>
      </c>
      <c r="D23" s="14">
        <v>-6.2329999999999997</v>
      </c>
      <c r="E23" s="14">
        <v>-9.7240000000000002</v>
      </c>
    </row>
    <row r="24" spans="1:5" ht="15" customHeight="1" outlineLevel="2">
      <c r="A24" s="13" t="s">
        <v>133</v>
      </c>
      <c r="B24" s="12">
        <v>-3.05</v>
      </c>
      <c r="C24" s="12">
        <v>-2.2989999999999999</v>
      </c>
      <c r="D24" s="12">
        <v>-6.2329999999999997</v>
      </c>
      <c r="E24" s="12">
        <v>-9.7240000000000002</v>
      </c>
    </row>
    <row r="25" spans="1:5" ht="15" customHeight="1" outlineLevel="2">
      <c r="A25" s="10" t="s">
        <v>134</v>
      </c>
      <c r="B25" s="9">
        <v>0</v>
      </c>
      <c r="C25" s="23">
        <v>-4.9960000000000004</v>
      </c>
      <c r="D25" s="9">
        <v>0</v>
      </c>
      <c r="E25" s="9">
        <v>0</v>
      </c>
    </row>
    <row r="26" spans="1:5" ht="15" customHeight="1" outlineLevel="1">
      <c r="A26" s="32" t="s">
        <v>135</v>
      </c>
      <c r="B26" s="11">
        <v>0</v>
      </c>
      <c r="C26" s="11">
        <v>0</v>
      </c>
      <c r="D26" s="12">
        <v>-42.195999999999998</v>
      </c>
      <c r="E26" s="11">
        <v>0</v>
      </c>
    </row>
    <row r="27" spans="1:5" ht="15" customHeight="1" outlineLevel="1">
      <c r="A27" s="15" t="s">
        <v>136</v>
      </c>
      <c r="B27" s="14">
        <v>84.230999999999995</v>
      </c>
      <c r="C27" s="14">
        <v>177.97900000000001</v>
      </c>
      <c r="D27" s="14">
        <v>-755.69</v>
      </c>
      <c r="E27" s="14">
        <v>50.843000000000004</v>
      </c>
    </row>
    <row r="28" spans="1:5" ht="15" customHeight="1" outlineLevel="2">
      <c r="A28" s="13" t="s">
        <v>137</v>
      </c>
      <c r="B28" s="11">
        <v>309.93</v>
      </c>
      <c r="C28" s="11">
        <v>234.43600000000001</v>
      </c>
      <c r="D28" s="11">
        <v>1430.5889999999999</v>
      </c>
      <c r="E28" s="11">
        <v>1259.854</v>
      </c>
    </row>
    <row r="29" spans="1:5" ht="15" customHeight="1" outlineLevel="2">
      <c r="A29" s="10" t="s">
        <v>138</v>
      </c>
      <c r="B29" s="9">
        <v>394.161</v>
      </c>
      <c r="C29" s="9">
        <v>412.41500000000002</v>
      </c>
      <c r="D29" s="9">
        <v>674.899</v>
      </c>
      <c r="E29" s="9">
        <v>1310.6969999999999</v>
      </c>
    </row>
    <row r="30" spans="1:5" ht="15" customHeight="1" outlineLevel="1">
      <c r="A30" s="21" t="s">
        <v>123</v>
      </c>
      <c r="B30" s="24">
        <v>0</v>
      </c>
      <c r="C30" s="24">
        <v>0</v>
      </c>
      <c r="D30" s="24">
        <v>-6.4000000000000001E-2</v>
      </c>
      <c r="E30" s="24">
        <v>0.17199999999999999</v>
      </c>
    </row>
    <row r="31" spans="1:5" ht="15" customHeight="1" outlineLevel="2">
      <c r="A31" s="10" t="s">
        <v>139</v>
      </c>
      <c r="B31" s="9">
        <v>0</v>
      </c>
      <c r="C31" s="9">
        <v>0</v>
      </c>
      <c r="D31" s="23">
        <v>-6.4000000000000001E-2</v>
      </c>
      <c r="E31" s="9">
        <v>0</v>
      </c>
    </row>
    <row r="32" spans="1:5" ht="15" customHeight="1" outlineLevel="2">
      <c r="A32" s="13" t="s">
        <v>140</v>
      </c>
      <c r="B32" s="11">
        <v>0</v>
      </c>
      <c r="C32" s="11">
        <v>0</v>
      </c>
      <c r="D32" s="11">
        <v>0</v>
      </c>
      <c r="E32" s="11">
        <v>0.17199999999999999</v>
      </c>
    </row>
    <row r="33" spans="1:5" ht="15" customHeight="1" outlineLevel="1">
      <c r="A33" s="18" t="s">
        <v>141</v>
      </c>
      <c r="B33" s="9">
        <v>81.180999999999997</v>
      </c>
      <c r="C33" s="9">
        <v>170.684</v>
      </c>
      <c r="D33" s="23">
        <v>-804.18299999999999</v>
      </c>
      <c r="E33" s="9">
        <v>41.290999999999997</v>
      </c>
    </row>
    <row r="34" spans="1:5" ht="15" customHeight="1">
      <c r="A34" s="16" t="s">
        <v>142</v>
      </c>
      <c r="B34" s="16"/>
      <c r="C34" s="16"/>
      <c r="D34" s="16"/>
      <c r="E34" s="16"/>
    </row>
    <row r="35" spans="1:5" ht="15" customHeight="1" outlineLevel="1">
      <c r="A35" s="15" t="s">
        <v>143</v>
      </c>
      <c r="B35" s="14">
        <v>8.3330000000000002</v>
      </c>
      <c r="C35" s="14">
        <v>1183.556</v>
      </c>
      <c r="D35" s="14">
        <v>-2.762</v>
      </c>
      <c r="E35" s="14">
        <v>6.9870000000000001</v>
      </c>
    </row>
    <row r="36" spans="1:5" ht="15" customHeight="1" outlineLevel="2">
      <c r="A36" s="13" t="s">
        <v>144</v>
      </c>
      <c r="B36" s="11">
        <v>0</v>
      </c>
      <c r="C36" s="12">
        <v>-95.186000000000007</v>
      </c>
      <c r="D36" s="11">
        <v>0</v>
      </c>
      <c r="E36" s="11">
        <v>0</v>
      </c>
    </row>
    <row r="37" spans="1:5" ht="15" customHeight="1" outlineLevel="2">
      <c r="A37" s="27" t="s">
        <v>145</v>
      </c>
      <c r="B37" s="14">
        <v>8.3330000000000002</v>
      </c>
      <c r="C37" s="14">
        <v>1278.742</v>
      </c>
      <c r="D37" s="14">
        <v>-2.762</v>
      </c>
      <c r="E37" s="14">
        <v>6.9870000000000001</v>
      </c>
    </row>
    <row r="38" spans="1:5" ht="15" customHeight="1" outlineLevel="3">
      <c r="A38" s="26" t="s">
        <v>146</v>
      </c>
      <c r="B38" s="11">
        <v>0</v>
      </c>
      <c r="C38" s="11">
        <v>1239.761</v>
      </c>
      <c r="D38" s="12">
        <v>-9.7959999999999994</v>
      </c>
      <c r="E38" s="12">
        <v>-1.4410000000000001</v>
      </c>
    </row>
    <row r="39" spans="1:5" ht="15" customHeight="1" outlineLevel="3">
      <c r="A39" s="28" t="s">
        <v>147</v>
      </c>
      <c r="B39" s="9">
        <v>8.3330000000000002</v>
      </c>
      <c r="C39" s="9">
        <v>38.981000000000002</v>
      </c>
      <c r="D39" s="9">
        <v>7.0339999999999998</v>
      </c>
      <c r="E39" s="9">
        <v>8.4280000000000008</v>
      </c>
    </row>
    <row r="40" spans="1:5" ht="15" customHeight="1" outlineLevel="1">
      <c r="A40" s="21" t="s">
        <v>123</v>
      </c>
      <c r="B40" s="24">
        <v>0</v>
      </c>
      <c r="C40" s="24">
        <v>0</v>
      </c>
      <c r="D40" s="24">
        <v>-1.022</v>
      </c>
      <c r="E40" s="24">
        <v>-7.798</v>
      </c>
    </row>
    <row r="41" spans="1:5" ht="15" customHeight="1" outlineLevel="2">
      <c r="A41" s="10" t="s">
        <v>139</v>
      </c>
      <c r="B41" s="9">
        <v>0</v>
      </c>
      <c r="C41" s="9">
        <v>0</v>
      </c>
      <c r="D41" s="23">
        <v>-1.022</v>
      </c>
      <c r="E41" s="23">
        <v>-7.798</v>
      </c>
    </row>
    <row r="42" spans="1:5" ht="15" customHeight="1" outlineLevel="1">
      <c r="A42" s="32" t="s">
        <v>148</v>
      </c>
      <c r="B42" s="11">
        <v>8.3330000000000002</v>
      </c>
      <c r="C42" s="11">
        <v>1183.556</v>
      </c>
      <c r="D42" s="12">
        <v>-3.7839999999999998</v>
      </c>
      <c r="E42" s="12">
        <v>-0.81100000000000005</v>
      </c>
    </row>
    <row r="43" spans="1:5" ht="15" customHeight="1">
      <c r="A43" s="25" t="s">
        <v>149</v>
      </c>
      <c r="B43" s="25"/>
      <c r="C43" s="25"/>
      <c r="D43" s="25"/>
      <c r="E43" s="25"/>
    </row>
    <row r="44" spans="1:5" ht="15" customHeight="1" outlineLevel="1">
      <c r="A44" s="32" t="s">
        <v>150</v>
      </c>
      <c r="B44" s="11">
        <v>27.670999999999999</v>
      </c>
      <c r="C44" s="11">
        <v>1222.691</v>
      </c>
      <c r="D44" s="12">
        <v>-901.98800000000006</v>
      </c>
      <c r="E44" s="12">
        <v>-34.634</v>
      </c>
    </row>
    <row r="45" spans="1:5" ht="15" customHeight="1" outlineLevel="1">
      <c r="A45" s="15" t="s">
        <v>151</v>
      </c>
      <c r="B45" s="14">
        <v>-64.893000000000001</v>
      </c>
      <c r="C45" s="14">
        <v>-133.84800000000001</v>
      </c>
      <c r="D45" s="14">
        <v>-100.254</v>
      </c>
      <c r="E45" s="14">
        <v>-84.837999999999994</v>
      </c>
    </row>
    <row r="46" spans="1:5" ht="15" customHeight="1" outlineLevel="2">
      <c r="A46" s="13" t="s">
        <v>152</v>
      </c>
      <c r="B46" s="12">
        <v>-0.40815000000000001</v>
      </c>
      <c r="C46" s="12">
        <v>-0.84184800000000004</v>
      </c>
      <c r="D46" s="12">
        <v>-0.63055600000000001</v>
      </c>
      <c r="E46" s="12">
        <v>-0.53359599999999996</v>
      </c>
    </row>
    <row r="47" spans="1:5" ht="15" customHeight="1">
      <c r="A47" s="8" t="s">
        <v>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332A-468E-40EF-AC55-DA230376A1A6}">
  <sheetPr>
    <outlinePr summaryBelow="0" summaryRight="0"/>
  </sheetPr>
  <dimension ref="A1:F12"/>
  <sheetViews>
    <sheetView zoomScaleNormal="100" workbookViewId="0">
      <selection activeCell="A3" sqref="A3:F12"/>
    </sheetView>
  </sheetViews>
  <sheetFormatPr defaultColWidth="9.140625" defaultRowHeight="15" customHeight="1"/>
  <cols>
    <col min="1" max="1" width="19.7109375" style="1" customWidth="1"/>
    <col min="2" max="2" width="7.7109375" style="1" customWidth="1"/>
    <col min="3" max="6" width="8.85546875" style="1" customWidth="1"/>
    <col min="7" max="16384" width="9.140625" style="1"/>
  </cols>
  <sheetData>
    <row r="1" spans="1:6" ht="15" customHeight="1">
      <c r="A1" s="5" t="s">
        <v>153</v>
      </c>
    </row>
    <row r="2" spans="1:6" ht="15" customHeight="1">
      <c r="A2" s="1" t="s">
        <v>154</v>
      </c>
    </row>
    <row r="3" spans="1:6" ht="15" customHeight="1">
      <c r="A3" s="4"/>
      <c r="B3" s="4" t="s">
        <v>155</v>
      </c>
      <c r="C3" s="4" t="s">
        <v>156</v>
      </c>
      <c r="D3" s="4" t="s">
        <v>157</v>
      </c>
      <c r="E3" s="4" t="s">
        <v>158</v>
      </c>
      <c r="F3" s="4" t="s">
        <v>159</v>
      </c>
    </row>
    <row r="4" spans="1:6" ht="15" customHeight="1">
      <c r="A4" s="4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</row>
    <row r="5" spans="1:6" ht="15" customHeight="1">
      <c r="A5" s="3" t="s">
        <v>83</v>
      </c>
      <c r="B5" s="9">
        <v>804.01499999999999</v>
      </c>
      <c r="C5" s="9">
        <v>995.99800000000005</v>
      </c>
      <c r="D5" s="9">
        <v>1228.08</v>
      </c>
      <c r="E5" s="9">
        <v>1529.29</v>
      </c>
      <c r="F5" s="9">
        <v>1930.74</v>
      </c>
    </row>
    <row r="6" spans="1:6" ht="15" customHeight="1">
      <c r="A6" s="2" t="s">
        <v>165</v>
      </c>
      <c r="B6" s="11">
        <v>111</v>
      </c>
      <c r="C6" s="11">
        <v>142.54900000000001</v>
      </c>
      <c r="D6" s="11">
        <v>181.19399999999999</v>
      </c>
      <c r="E6" s="11">
        <v>231.864</v>
      </c>
      <c r="F6" s="11">
        <v>315.04399999999998</v>
      </c>
    </row>
    <row r="7" spans="1:6" ht="15" customHeight="1">
      <c r="A7" s="3" t="s">
        <v>89</v>
      </c>
      <c r="B7" s="9">
        <v>693.00900000000001</v>
      </c>
      <c r="C7" s="9">
        <v>864.06100000000004</v>
      </c>
      <c r="D7" s="9">
        <v>1070.25</v>
      </c>
      <c r="E7" s="9">
        <v>1324.51</v>
      </c>
      <c r="F7" s="9">
        <v>1672.66</v>
      </c>
    </row>
    <row r="8" spans="1:6" ht="15" customHeight="1">
      <c r="A8" s="2" t="s">
        <v>116</v>
      </c>
      <c r="B8" s="12">
        <v>-69.275000000000006</v>
      </c>
      <c r="C8" s="11">
        <v>5.8529099999999996</v>
      </c>
      <c r="D8" s="11">
        <v>98.602199999999996</v>
      </c>
      <c r="E8" s="11">
        <v>230.79499999999999</v>
      </c>
      <c r="F8" s="11">
        <v>351.64699999999999</v>
      </c>
    </row>
    <row r="9" spans="1:6" ht="15" customHeight="1">
      <c r="A9" s="3" t="s">
        <v>166</v>
      </c>
      <c r="B9" s="23">
        <v>-140.161</v>
      </c>
      <c r="C9" s="9">
        <v>1.9946900000000001</v>
      </c>
      <c r="D9" s="9">
        <v>96.936599999999999</v>
      </c>
      <c r="E9" s="9">
        <v>235.822</v>
      </c>
      <c r="F9" s="23">
        <v>-4.9536699999999998</v>
      </c>
    </row>
    <row r="10" spans="1:6" ht="15" customHeight="1">
      <c r="A10" s="2" t="s">
        <v>99</v>
      </c>
      <c r="B10" s="12">
        <v>-87.022999999999996</v>
      </c>
      <c r="C10" s="12">
        <v>-732.77800000000002</v>
      </c>
      <c r="D10" s="12">
        <v>-180.261</v>
      </c>
      <c r="E10" s="12">
        <v>-38.7776</v>
      </c>
      <c r="F10" s="11">
        <v>47.459000000000003</v>
      </c>
    </row>
    <row r="11" spans="1:6" ht="15" customHeight="1">
      <c r="A11" s="3" t="s">
        <v>167</v>
      </c>
      <c r="B11" s="9">
        <v>3.8</v>
      </c>
      <c r="C11" s="9">
        <v>7.8953300000000004</v>
      </c>
      <c r="D11" s="9">
        <v>5.9671799999999999</v>
      </c>
      <c r="E11" s="9">
        <v>9.8618600000000001</v>
      </c>
      <c r="F11" s="9">
        <v>12.98</v>
      </c>
    </row>
    <row r="12" spans="1:6" ht="15" customHeight="1">
      <c r="A12" s="2" t="s">
        <v>106</v>
      </c>
      <c r="B12" s="12">
        <v>-90.823999999999998</v>
      </c>
      <c r="C12" s="12">
        <v>-797.90099999999995</v>
      </c>
      <c r="D12" s="12">
        <v>-194.60400000000001</v>
      </c>
      <c r="E12" s="12">
        <v>-49.407600000000002</v>
      </c>
      <c r="F12" s="11">
        <v>37.918999999999997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Chon</dc:creator>
  <cp:keywords/>
  <dc:description/>
  <cp:lastModifiedBy>Vinay Kahar</cp:lastModifiedBy>
  <cp:revision/>
  <dcterms:created xsi:type="dcterms:W3CDTF">2024-03-01T18:13:57Z</dcterms:created>
  <dcterms:modified xsi:type="dcterms:W3CDTF">2024-08-16T09:28:55Z</dcterms:modified>
  <cp:category/>
  <cp:contentStatus/>
</cp:coreProperties>
</file>