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nhkm/Downloads/"/>
    </mc:Choice>
  </mc:AlternateContent>
  <xr:revisionPtr revIDLastSave="453" documentId="13_ncr:1_{1B91B2CB-E4C6-7A44-B497-2E69E7B994CB}" xr6:coauthVersionLast="47" xr6:coauthVersionMax="47" xr10:uidLastSave="{AF2C1D58-EF2D-4E37-B444-6C4F39450AD8}"/>
  <bookViews>
    <workbookView xWindow="20" yWindow="880" windowWidth="36000" windowHeight="21220" firstSheet="1" activeTab="4" xr2:uid="{DD9BB9AE-C679-4784-B6A1-3D8E814AEC2F}"/>
  </bookViews>
  <sheets>
    <sheet name="DCF" sheetId="5" r:id="rId1"/>
    <sheet name="WACC" sheetId="7" r:id="rId2"/>
    <sheet name="Product Segments" sheetId="3" r:id="rId3"/>
    <sheet name="Income Statement" sheetId="6" r:id="rId4"/>
    <sheet name="CFS" sheetId="4" r:id="rId5"/>
  </sheets>
  <definedNames>
    <definedName name="tgr">DCF!$E$31</definedName>
    <definedName name="wacc">DCF!$E$30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4" i="5" l="1"/>
  <c r="F62" i="5"/>
  <c r="G62" i="5"/>
  <c r="H62" i="5"/>
  <c r="I62" i="5"/>
  <c r="J62" i="5"/>
  <c r="K62" i="5"/>
  <c r="E62" i="5"/>
  <c r="F63" i="5"/>
  <c r="F127" i="5" s="1"/>
  <c r="G63" i="5"/>
  <c r="G127" i="5" s="1"/>
  <c r="H63" i="5"/>
  <c r="H127" i="5" s="1"/>
  <c r="I63" i="5"/>
  <c r="I127" i="5" s="1"/>
  <c r="J63" i="5"/>
  <c r="J127" i="5" s="1"/>
  <c r="K63" i="5"/>
  <c r="E63" i="5"/>
  <c r="F73" i="5"/>
  <c r="F138" i="5" s="1"/>
  <c r="G73" i="5"/>
  <c r="G138" i="5" s="1"/>
  <c r="H73" i="5"/>
  <c r="H138" i="5" s="1"/>
  <c r="I73" i="5"/>
  <c r="I138" i="5" s="1"/>
  <c r="J73" i="5"/>
  <c r="J138" i="5" s="1"/>
  <c r="K73" i="5"/>
  <c r="K138" i="5" s="1"/>
  <c r="F70" i="5"/>
  <c r="F135" i="5" s="1"/>
  <c r="G70" i="5"/>
  <c r="G135" i="5" s="1"/>
  <c r="H70" i="5"/>
  <c r="H135" i="5" s="1"/>
  <c r="I70" i="5"/>
  <c r="I135" i="5" s="1"/>
  <c r="J70" i="5"/>
  <c r="J135" i="5" s="1"/>
  <c r="K70" i="5"/>
  <c r="K135" i="5" s="1"/>
  <c r="F67" i="5"/>
  <c r="F132" i="5" s="1"/>
  <c r="G67" i="5"/>
  <c r="G132" i="5" s="1"/>
  <c r="H67" i="5"/>
  <c r="H132" i="5" s="1"/>
  <c r="I67" i="5"/>
  <c r="I132" i="5" s="1"/>
  <c r="J67" i="5"/>
  <c r="J132" i="5" s="1"/>
  <c r="K67" i="5"/>
  <c r="K132" i="5" s="1"/>
  <c r="E73" i="5"/>
  <c r="E70" i="5"/>
  <c r="E67" i="5"/>
  <c r="F55" i="5"/>
  <c r="F111" i="5" s="1"/>
  <c r="G55" i="5"/>
  <c r="G111" i="5" s="1"/>
  <c r="H55" i="5"/>
  <c r="H111" i="5" s="1"/>
  <c r="I55" i="5"/>
  <c r="I111" i="5" s="1"/>
  <c r="J55" i="5"/>
  <c r="J111" i="5" s="1"/>
  <c r="K55" i="5"/>
  <c r="K111" i="5" s="1"/>
  <c r="L55" i="5"/>
  <c r="M55" i="5"/>
  <c r="N55" i="5"/>
  <c r="O55" i="5"/>
  <c r="P55" i="5"/>
  <c r="F52" i="5"/>
  <c r="F105" i="5" s="1"/>
  <c r="G52" i="5"/>
  <c r="G105" i="5" s="1"/>
  <c r="H52" i="5"/>
  <c r="H105" i="5" s="1"/>
  <c r="I52" i="5"/>
  <c r="I105" i="5" s="1"/>
  <c r="J52" i="5"/>
  <c r="J105" i="5" s="1"/>
  <c r="K52" i="5"/>
  <c r="K105" i="5" s="1"/>
  <c r="L52" i="5"/>
  <c r="M52" i="5"/>
  <c r="N52" i="5"/>
  <c r="O52" i="5"/>
  <c r="P52" i="5"/>
  <c r="F49" i="5"/>
  <c r="F99" i="5" s="1"/>
  <c r="G49" i="5"/>
  <c r="G99" i="5" s="1"/>
  <c r="H49" i="5"/>
  <c r="H99" i="5" s="1"/>
  <c r="I49" i="5"/>
  <c r="I99" i="5" s="1"/>
  <c r="J49" i="5"/>
  <c r="J99" i="5" s="1"/>
  <c r="K49" i="5"/>
  <c r="K99" i="5" s="1"/>
  <c r="L49" i="5"/>
  <c r="M49" i="5"/>
  <c r="N49" i="5"/>
  <c r="O49" i="5"/>
  <c r="P49" i="5"/>
  <c r="P58" i="5" s="1"/>
  <c r="E55" i="5"/>
  <c r="E52" i="5"/>
  <c r="E49" i="5"/>
  <c r="S93" i="5"/>
  <c r="S92" i="5"/>
  <c r="S90" i="5" s="1"/>
  <c r="S91" i="5"/>
  <c r="S87" i="5"/>
  <c r="S85" i="5"/>
  <c r="S86" i="5"/>
  <c r="S84" i="5" s="1"/>
  <c r="S81" i="5"/>
  <c r="S79" i="5"/>
  <c r="Q80" i="5"/>
  <c r="Q78" i="5" s="1"/>
  <c r="L42" i="5"/>
  <c r="M42" i="5"/>
  <c r="N42" i="5"/>
  <c r="O42" i="5"/>
  <c r="P42" i="5"/>
  <c r="P43" i="5" s="1"/>
  <c r="L39" i="5"/>
  <c r="M39" i="5"/>
  <c r="N39" i="5"/>
  <c r="O39" i="5"/>
  <c r="P39" i="5"/>
  <c r="P40" i="5" s="1"/>
  <c r="L36" i="5"/>
  <c r="M36" i="5"/>
  <c r="N36" i="5"/>
  <c r="O36" i="5"/>
  <c r="P36" i="5"/>
  <c r="F42" i="5"/>
  <c r="F89" i="5" s="1"/>
  <c r="G42" i="5"/>
  <c r="G89" i="5" s="1"/>
  <c r="G90" i="5" s="1"/>
  <c r="H42" i="5"/>
  <c r="H89" i="5" s="1"/>
  <c r="H90" i="5" s="1"/>
  <c r="I42" i="5"/>
  <c r="I89" i="5" s="1"/>
  <c r="I90" i="5" s="1"/>
  <c r="J42" i="5"/>
  <c r="J89" i="5" s="1"/>
  <c r="J90" i="5" s="1"/>
  <c r="K42" i="5"/>
  <c r="K89" i="5" s="1"/>
  <c r="K90" i="5" s="1"/>
  <c r="E42" i="5"/>
  <c r="F39" i="5"/>
  <c r="F83" i="5" s="1"/>
  <c r="G39" i="5"/>
  <c r="G83" i="5" s="1"/>
  <c r="G84" i="5" s="1"/>
  <c r="H39" i="5"/>
  <c r="H83" i="5" s="1"/>
  <c r="H84" i="5" s="1"/>
  <c r="I39" i="5"/>
  <c r="I83" i="5" s="1"/>
  <c r="I84" i="5" s="1"/>
  <c r="J39" i="5"/>
  <c r="J83" i="5" s="1"/>
  <c r="J84" i="5" s="1"/>
  <c r="K39" i="5"/>
  <c r="K83" i="5" s="1"/>
  <c r="K84" i="5" s="1"/>
  <c r="E39" i="5"/>
  <c r="F36" i="5"/>
  <c r="F77" i="5" s="1"/>
  <c r="G36" i="5"/>
  <c r="G77" i="5" s="1"/>
  <c r="G78" i="5" s="1"/>
  <c r="H36" i="5"/>
  <c r="H77" i="5" s="1"/>
  <c r="H78" i="5" s="1"/>
  <c r="I36" i="5"/>
  <c r="I77" i="5" s="1"/>
  <c r="I78" i="5" s="1"/>
  <c r="J36" i="5"/>
  <c r="J77" i="5" s="1"/>
  <c r="J78" i="5" s="1"/>
  <c r="K36" i="5"/>
  <c r="K77" i="5" s="1"/>
  <c r="K78" i="5" s="1"/>
  <c r="E36" i="5"/>
  <c r="S133" i="5"/>
  <c r="S152" i="5"/>
  <c r="L145" i="5"/>
  <c r="M145" i="5"/>
  <c r="N145" i="5" s="1"/>
  <c r="O145" i="5" s="1"/>
  <c r="P145" i="5" s="1"/>
  <c r="Q145" i="5" s="1"/>
  <c r="R145" i="5" s="1"/>
  <c r="S145" i="5" s="1"/>
  <c r="E31" i="5"/>
  <c r="N144" i="5"/>
  <c r="O144" i="5" s="1"/>
  <c r="P144" i="5" s="1"/>
  <c r="Q144" i="5" s="1"/>
  <c r="R144" i="5" s="1"/>
  <c r="S144" i="5" s="1"/>
  <c r="F17" i="7"/>
  <c r="F20" i="7"/>
  <c r="F16" i="7" s="1"/>
  <c r="F10" i="7"/>
  <c r="L139" i="5"/>
  <c r="M139" i="5" s="1"/>
  <c r="N139" i="5" s="1"/>
  <c r="O139" i="5" s="1"/>
  <c r="P139" i="5" s="1"/>
  <c r="Q139" i="5" s="1"/>
  <c r="R139" i="5" s="1"/>
  <c r="S139" i="5" s="1"/>
  <c r="G31" i="5"/>
  <c r="M31" i="5" s="1"/>
  <c r="G30" i="5"/>
  <c r="M30" i="5" s="1"/>
  <c r="G29" i="5"/>
  <c r="M29" i="5" s="1"/>
  <c r="G28" i="5"/>
  <c r="S28" i="5" s="1"/>
  <c r="G27" i="5"/>
  <c r="S27" i="5" s="1"/>
  <c r="G26" i="5"/>
  <c r="S26" i="5" s="1"/>
  <c r="J64" i="5"/>
  <c r="J128" i="5" s="1"/>
  <c r="I64" i="5"/>
  <c r="E127" i="5"/>
  <c r="E135" i="5"/>
  <c r="E138" i="5"/>
  <c r="E132" i="5"/>
  <c r="F66" i="5"/>
  <c r="G66" i="5" s="1"/>
  <c r="H66" i="5" s="1"/>
  <c r="I66" i="5" s="1"/>
  <c r="J66" i="5" s="1"/>
  <c r="K66" i="5" s="1"/>
  <c r="V22" i="5"/>
  <c r="S22" i="5"/>
  <c r="V21" i="5"/>
  <c r="S21" i="5"/>
  <c r="V20" i="5"/>
  <c r="S20" i="5"/>
  <c r="E111" i="5"/>
  <c r="E105" i="5"/>
  <c r="E99" i="5"/>
  <c r="E76" i="5"/>
  <c r="F76" i="5" s="1"/>
  <c r="G76" i="5" s="1"/>
  <c r="H76" i="5" s="1"/>
  <c r="I76" i="5" s="1"/>
  <c r="J76" i="5" s="1"/>
  <c r="K76" i="5" s="1"/>
  <c r="F33" i="5"/>
  <c r="G33" i="5" s="1"/>
  <c r="H33" i="5" s="1"/>
  <c r="I33" i="5" s="1"/>
  <c r="J33" i="5" s="1"/>
  <c r="P17" i="5"/>
  <c r="M17" i="5"/>
  <c r="V17" i="5"/>
  <c r="S17" i="5"/>
  <c r="V16" i="5"/>
  <c r="S16" i="5"/>
  <c r="P15" i="5"/>
  <c r="M15" i="5"/>
  <c r="V15" i="5"/>
  <c r="S15" i="5"/>
  <c r="V14" i="5"/>
  <c r="S14" i="5"/>
  <c r="V13" i="5"/>
  <c r="S13" i="5"/>
  <c r="V12" i="5"/>
  <c r="S12" i="5"/>
  <c r="E89" i="5"/>
  <c r="E83" i="5"/>
  <c r="B42" i="5"/>
  <c r="B55" i="5" s="1"/>
  <c r="B39" i="5"/>
  <c r="B52" i="5" s="1"/>
  <c r="B36" i="5"/>
  <c r="B49" i="5" s="1"/>
  <c r="I128" i="5" l="1"/>
  <c r="K100" i="5"/>
  <c r="J100" i="5"/>
  <c r="I100" i="5"/>
  <c r="H100" i="5"/>
  <c r="G100" i="5"/>
  <c r="F100" i="5"/>
  <c r="K106" i="5"/>
  <c r="J106" i="5"/>
  <c r="I106" i="5"/>
  <c r="H106" i="5"/>
  <c r="G106" i="5"/>
  <c r="F106" i="5"/>
  <c r="K112" i="5"/>
  <c r="J112" i="5"/>
  <c r="I112" i="5"/>
  <c r="H112" i="5"/>
  <c r="G112" i="5"/>
  <c r="F112" i="5"/>
  <c r="K127" i="5"/>
  <c r="K64" i="5"/>
  <c r="K33" i="5"/>
  <c r="L33" i="5" s="1"/>
  <c r="M33" i="5" s="1"/>
  <c r="N33" i="5" s="1"/>
  <c r="O33" i="5" s="1"/>
  <c r="P33" i="5" s="1"/>
  <c r="F64" i="5"/>
  <c r="F128" i="5" s="1"/>
  <c r="P45" i="5"/>
  <c r="P59" i="5" s="1"/>
  <c r="P37" i="5"/>
  <c r="E64" i="5"/>
  <c r="E128" i="5" s="1"/>
  <c r="M26" i="5"/>
  <c r="M27" i="5"/>
  <c r="M28" i="5"/>
  <c r="S29" i="5"/>
  <c r="G64" i="5"/>
  <c r="S30" i="5"/>
  <c r="O53" i="5"/>
  <c r="H64" i="5"/>
  <c r="H128" i="5" s="1"/>
  <c r="S31" i="5"/>
  <c r="K56" i="5"/>
  <c r="F9" i="7"/>
  <c r="F43" i="5"/>
  <c r="M53" i="5"/>
  <c r="M108" i="5" s="1"/>
  <c r="M106" i="5" s="1"/>
  <c r="L58" i="5"/>
  <c r="N50" i="5"/>
  <c r="E45" i="5"/>
  <c r="E71" i="5" s="1"/>
  <c r="B89" i="5"/>
  <c r="F58" i="5"/>
  <c r="L50" i="5"/>
  <c r="L102" i="5" s="1"/>
  <c r="L100" i="5" s="1"/>
  <c r="J56" i="5"/>
  <c r="L56" i="5"/>
  <c r="G53" i="5"/>
  <c r="I43" i="5"/>
  <c r="B99" i="5"/>
  <c r="B83" i="5"/>
  <c r="F53" i="5"/>
  <c r="H43" i="5"/>
  <c r="M37" i="5"/>
  <c r="M80" i="5" s="1"/>
  <c r="M79" i="5" s="1"/>
  <c r="J53" i="5"/>
  <c r="I37" i="5"/>
  <c r="G58" i="5"/>
  <c r="O50" i="5"/>
  <c r="N53" i="5"/>
  <c r="M56" i="5"/>
  <c r="M114" i="5" s="1"/>
  <c r="M112" i="5" s="1"/>
  <c r="E106" i="5"/>
  <c r="E112" i="5"/>
  <c r="H53" i="5"/>
  <c r="H50" i="5"/>
  <c r="E58" i="5"/>
  <c r="G56" i="5"/>
  <c r="O56" i="5"/>
  <c r="H56" i="5"/>
  <c r="N58" i="5"/>
  <c r="J50" i="5"/>
  <c r="I53" i="5"/>
  <c r="G50" i="5"/>
  <c r="O58" i="5"/>
  <c r="B105" i="5"/>
  <c r="K50" i="5"/>
  <c r="I56" i="5"/>
  <c r="H58" i="5"/>
  <c r="B111" i="5"/>
  <c r="N56" i="5"/>
  <c r="M58" i="5"/>
  <c r="I50" i="5"/>
  <c r="O45" i="5"/>
  <c r="F50" i="5"/>
  <c r="I58" i="5"/>
  <c r="E98" i="5"/>
  <c r="L53" i="5"/>
  <c r="L108" i="5" s="1"/>
  <c r="J58" i="5"/>
  <c r="F56" i="5"/>
  <c r="K58" i="5"/>
  <c r="B77" i="5"/>
  <c r="I117" i="5"/>
  <c r="I124" i="5" s="1"/>
  <c r="E117" i="5"/>
  <c r="M50" i="5"/>
  <c r="M102" i="5" s="1"/>
  <c r="K53" i="5"/>
  <c r="F45" i="5"/>
  <c r="H40" i="5"/>
  <c r="N43" i="5"/>
  <c r="K37" i="5"/>
  <c r="F84" i="5"/>
  <c r="I40" i="5"/>
  <c r="H37" i="5"/>
  <c r="O37" i="5"/>
  <c r="M43" i="5"/>
  <c r="M92" i="5" s="1"/>
  <c r="E77" i="5"/>
  <c r="E95" i="5" s="1"/>
  <c r="E121" i="5" s="1"/>
  <c r="E133" i="5" s="1"/>
  <c r="J37" i="5"/>
  <c r="L40" i="5"/>
  <c r="L86" i="5" s="1"/>
  <c r="L84" i="5" s="1"/>
  <c r="O43" i="5"/>
  <c r="G37" i="5"/>
  <c r="N37" i="5"/>
  <c r="I45" i="5"/>
  <c r="M45" i="5"/>
  <c r="L43" i="5"/>
  <c r="L92" i="5" s="1"/>
  <c r="G40" i="5"/>
  <c r="J43" i="5"/>
  <c r="K45" i="5"/>
  <c r="O40" i="5"/>
  <c r="J40" i="5"/>
  <c r="L37" i="5"/>
  <c r="L80" i="5" s="1"/>
  <c r="G43" i="5"/>
  <c r="N40" i="5"/>
  <c r="L45" i="5"/>
  <c r="L59" i="5" s="1"/>
  <c r="N45" i="5"/>
  <c r="G45" i="5"/>
  <c r="J45" i="5"/>
  <c r="K40" i="5"/>
  <c r="H45" i="5"/>
  <c r="K43" i="5"/>
  <c r="F37" i="5"/>
  <c r="M40" i="5"/>
  <c r="M86" i="5" s="1"/>
  <c r="M84" i="5" s="1"/>
  <c r="F40" i="5"/>
  <c r="L76" i="5"/>
  <c r="M76" i="5" s="1"/>
  <c r="N76" i="5" s="1"/>
  <c r="O76" i="5" s="1"/>
  <c r="P76" i="5" s="1"/>
  <c r="Q76" i="5" s="1"/>
  <c r="R76" i="5" s="1"/>
  <c r="S76" i="5" s="1"/>
  <c r="W26" i="5" l="1"/>
  <c r="G128" i="5"/>
  <c r="K26" i="5"/>
  <c r="K128" i="5"/>
  <c r="Q26" i="5"/>
  <c r="H68" i="5"/>
  <c r="H71" i="5"/>
  <c r="H74" i="5"/>
  <c r="J68" i="5"/>
  <c r="J71" i="5"/>
  <c r="J74" i="5"/>
  <c r="G68" i="5"/>
  <c r="G71" i="5"/>
  <c r="G74" i="5"/>
  <c r="K68" i="5"/>
  <c r="K71" i="5"/>
  <c r="K74" i="5"/>
  <c r="I68" i="5"/>
  <c r="I71" i="5"/>
  <c r="I74" i="5"/>
  <c r="F68" i="5"/>
  <c r="F71" i="5"/>
  <c r="F74" i="5"/>
  <c r="M100" i="5"/>
  <c r="M101" i="5"/>
  <c r="N114" i="5"/>
  <c r="N112" i="5" s="1"/>
  <c r="L114" i="5"/>
  <c r="L113" i="5" s="1"/>
  <c r="L115" i="5"/>
  <c r="M90" i="5"/>
  <c r="M93" i="5"/>
  <c r="F59" i="5"/>
  <c r="N93" i="5"/>
  <c r="O93" i="5" s="1"/>
  <c r="P93" i="5" s="1"/>
  <c r="Q93" i="5" s="1"/>
  <c r="R93" i="5" s="1"/>
  <c r="N92" i="5"/>
  <c r="N86" i="5"/>
  <c r="N79" i="5"/>
  <c r="O79" i="5" s="1"/>
  <c r="P79" i="5" s="1"/>
  <c r="Q79" i="5" s="1"/>
  <c r="R79" i="5" s="1"/>
  <c r="L81" i="5"/>
  <c r="P46" i="5"/>
  <c r="E136" i="5"/>
  <c r="E139" i="5"/>
  <c r="E68" i="5"/>
  <c r="E74" i="5"/>
  <c r="M113" i="5"/>
  <c r="E118" i="5"/>
  <c r="E124" i="5"/>
  <c r="E125" i="5" s="1"/>
  <c r="M115" i="5"/>
  <c r="E59" i="5"/>
  <c r="N102" i="5"/>
  <c r="N100" i="5" s="1"/>
  <c r="M103" i="5"/>
  <c r="G46" i="5"/>
  <c r="F46" i="5"/>
  <c r="J117" i="5"/>
  <c r="F98" i="5"/>
  <c r="G98" i="5" s="1"/>
  <c r="H98" i="5" s="1"/>
  <c r="I98" i="5" s="1"/>
  <c r="J98" i="5" s="1"/>
  <c r="E120" i="5"/>
  <c r="F120" i="5" s="1"/>
  <c r="G120" i="5" s="1"/>
  <c r="H120" i="5" s="1"/>
  <c r="I120" i="5" s="1"/>
  <c r="J120" i="5" s="1"/>
  <c r="G59" i="5"/>
  <c r="L103" i="5"/>
  <c r="L101" i="5"/>
  <c r="N59" i="5"/>
  <c r="N113" i="5"/>
  <c r="O114" i="5"/>
  <c r="O112" i="5" s="1"/>
  <c r="N115" i="5"/>
  <c r="J95" i="5"/>
  <c r="J121" i="5" s="1"/>
  <c r="H117" i="5"/>
  <c r="H124" i="5" s="1"/>
  <c r="I59" i="5"/>
  <c r="M109" i="5"/>
  <c r="N108" i="5"/>
  <c r="N106" i="5" s="1"/>
  <c r="M107" i="5"/>
  <c r="L106" i="5"/>
  <c r="L107" i="5"/>
  <c r="L109" i="5"/>
  <c r="M85" i="5"/>
  <c r="N85" i="5" s="1"/>
  <c r="O85" i="5" s="1"/>
  <c r="P85" i="5" s="1"/>
  <c r="Q85" i="5" s="1"/>
  <c r="R85" i="5" s="1"/>
  <c r="G117" i="5"/>
  <c r="K59" i="5"/>
  <c r="H59" i="5"/>
  <c r="J59" i="5"/>
  <c r="M87" i="5"/>
  <c r="N87" i="5" s="1"/>
  <c r="O87" i="5" s="1"/>
  <c r="P87" i="5" s="1"/>
  <c r="Q87" i="5" s="1"/>
  <c r="R87" i="5" s="1"/>
  <c r="M59" i="5"/>
  <c r="F90" i="5"/>
  <c r="F117" i="5"/>
  <c r="O59" i="5"/>
  <c r="E100" i="5"/>
  <c r="M91" i="5"/>
  <c r="N91" i="5" s="1"/>
  <c r="O91" i="5" s="1"/>
  <c r="P91" i="5" s="1"/>
  <c r="Q91" i="5" s="1"/>
  <c r="R91" i="5" s="1"/>
  <c r="L79" i="5"/>
  <c r="L90" i="5"/>
  <c r="N46" i="5"/>
  <c r="H46" i="5"/>
  <c r="H95" i="5"/>
  <c r="H121" i="5" s="1"/>
  <c r="J46" i="5"/>
  <c r="L46" i="5"/>
  <c r="O46" i="5"/>
  <c r="G95" i="5"/>
  <c r="G121" i="5" s="1"/>
  <c r="L93" i="5"/>
  <c r="L91" i="5"/>
  <c r="N80" i="5"/>
  <c r="N78" i="5" s="1"/>
  <c r="M81" i="5"/>
  <c r="N81" i="5" s="1"/>
  <c r="O81" i="5" s="1"/>
  <c r="P81" i="5" s="1"/>
  <c r="Q81" i="5" s="1"/>
  <c r="R81" i="5" s="1"/>
  <c r="I46" i="5"/>
  <c r="L87" i="5"/>
  <c r="L85" i="5"/>
  <c r="M46" i="5"/>
  <c r="K46" i="5"/>
  <c r="I95" i="5"/>
  <c r="F95" i="5"/>
  <c r="F78" i="5"/>
  <c r="K120" i="5" l="1"/>
  <c r="L120" i="5" s="1"/>
  <c r="M120" i="5" s="1"/>
  <c r="N120" i="5" s="1"/>
  <c r="O120" i="5" s="1"/>
  <c r="P120" i="5" s="1"/>
  <c r="Q120" i="5" s="1"/>
  <c r="R120" i="5" s="1"/>
  <c r="S120" i="5" s="1"/>
  <c r="G133" i="5"/>
  <c r="G136" i="5"/>
  <c r="G139" i="5"/>
  <c r="H133" i="5"/>
  <c r="H136" i="5"/>
  <c r="H139" i="5"/>
  <c r="J133" i="5"/>
  <c r="J136" i="5"/>
  <c r="J139" i="5"/>
  <c r="K98" i="5"/>
  <c r="L98" i="5" s="1"/>
  <c r="M98" i="5" s="1"/>
  <c r="N98" i="5" s="1"/>
  <c r="O98" i="5" s="1"/>
  <c r="P98" i="5" s="1"/>
  <c r="Q98" i="5" s="1"/>
  <c r="R98" i="5" s="1"/>
  <c r="S98" i="5" s="1"/>
  <c r="O102" i="5"/>
  <c r="O100" i="5" s="1"/>
  <c r="N84" i="5"/>
  <c r="O86" i="5"/>
  <c r="O92" i="5"/>
  <c r="N90" i="5"/>
  <c r="L78" i="5"/>
  <c r="L128" i="5"/>
  <c r="M128" i="5" s="1"/>
  <c r="N128" i="5" s="1"/>
  <c r="O128" i="5" s="1"/>
  <c r="P128" i="5" s="1"/>
  <c r="Q128" i="5" s="1"/>
  <c r="R128" i="5" s="1"/>
  <c r="S128" i="5" s="1"/>
  <c r="F18" i="7"/>
  <c r="F22" i="7" s="1"/>
  <c r="Q30" i="5" s="1"/>
  <c r="H122" i="5"/>
  <c r="N101" i="5"/>
  <c r="N103" i="5"/>
  <c r="I118" i="5"/>
  <c r="I121" i="5"/>
  <c r="F118" i="5"/>
  <c r="F124" i="5"/>
  <c r="G118" i="5"/>
  <c r="G124" i="5"/>
  <c r="G125" i="5" s="1"/>
  <c r="H125" i="5"/>
  <c r="J118" i="5"/>
  <c r="J124" i="5"/>
  <c r="J125" i="5" s="1"/>
  <c r="F96" i="5"/>
  <c r="F121" i="5"/>
  <c r="H118" i="5"/>
  <c r="O108" i="5"/>
  <c r="O106" i="5" s="1"/>
  <c r="N107" i="5"/>
  <c r="N109" i="5"/>
  <c r="P114" i="5"/>
  <c r="P112" i="5" s="1"/>
  <c r="O115" i="5"/>
  <c r="O113" i="5"/>
  <c r="O103" i="5"/>
  <c r="P102" i="5"/>
  <c r="P100" i="5" s="1"/>
  <c r="O101" i="5"/>
  <c r="L83" i="5"/>
  <c r="L105" i="5" s="1"/>
  <c r="L77" i="5"/>
  <c r="L99" i="5" s="1"/>
  <c r="L89" i="5"/>
  <c r="I96" i="5"/>
  <c r="J96" i="5"/>
  <c r="M78" i="5"/>
  <c r="O80" i="5"/>
  <c r="O78" i="5" s="1"/>
  <c r="G96" i="5"/>
  <c r="H96" i="5"/>
  <c r="K95" i="5"/>
  <c r="F133" i="5" l="1"/>
  <c r="F136" i="5"/>
  <c r="F139" i="5"/>
  <c r="J122" i="5"/>
  <c r="I133" i="5"/>
  <c r="I136" i="5"/>
  <c r="I139" i="5"/>
  <c r="M89" i="5"/>
  <c r="P92" i="5"/>
  <c r="O90" i="5"/>
  <c r="O84" i="5"/>
  <c r="P86" i="5"/>
  <c r="M83" i="5"/>
  <c r="M77" i="5"/>
  <c r="W30" i="5"/>
  <c r="E30" i="5" s="1"/>
  <c r="K30" i="5"/>
  <c r="F122" i="5"/>
  <c r="G122" i="5"/>
  <c r="F125" i="5"/>
  <c r="I122" i="5"/>
  <c r="I125" i="5"/>
  <c r="K96" i="5"/>
  <c r="K121" i="5"/>
  <c r="P108" i="5"/>
  <c r="P106" i="5" s="1"/>
  <c r="O107" i="5"/>
  <c r="O109" i="5"/>
  <c r="Q114" i="5"/>
  <c r="P115" i="5"/>
  <c r="P113" i="5"/>
  <c r="Q102" i="5"/>
  <c r="P101" i="5"/>
  <c r="P103" i="5"/>
  <c r="L95" i="5"/>
  <c r="P80" i="5"/>
  <c r="P78" i="5" s="1"/>
  <c r="K133" i="5" l="1"/>
  <c r="L133" i="5" s="1"/>
  <c r="M133" i="5" s="1"/>
  <c r="N133" i="5" s="1"/>
  <c r="O133" i="5" s="1"/>
  <c r="P133" i="5" s="1"/>
  <c r="Q133" i="5" s="1"/>
  <c r="R133" i="5" s="1"/>
  <c r="K136" i="5"/>
  <c r="Q28" i="5" s="1"/>
  <c r="L136" i="5" s="1"/>
  <c r="M136" i="5" s="1"/>
  <c r="N136" i="5" s="1"/>
  <c r="O136" i="5" s="1"/>
  <c r="P136" i="5" s="1"/>
  <c r="Q136" i="5" s="1"/>
  <c r="R136" i="5" s="1"/>
  <c r="S136" i="5" s="1"/>
  <c r="K139" i="5"/>
  <c r="R102" i="5"/>
  <c r="R100" i="5" s="1"/>
  <c r="Q100" i="5"/>
  <c r="R114" i="5"/>
  <c r="R112" i="5" s="1"/>
  <c r="Q112" i="5"/>
  <c r="N77" i="5"/>
  <c r="N99" i="5" s="1"/>
  <c r="M99" i="5"/>
  <c r="N83" i="5"/>
  <c r="M105" i="5"/>
  <c r="N89" i="5"/>
  <c r="M111" i="5"/>
  <c r="R113" i="5"/>
  <c r="S114" i="5"/>
  <c r="S112" i="5" s="1"/>
  <c r="R115" i="5"/>
  <c r="R101" i="5"/>
  <c r="S102" i="5"/>
  <c r="S100" i="5" s="1"/>
  <c r="R103" i="5"/>
  <c r="P84" i="5"/>
  <c r="Q86" i="5"/>
  <c r="Q92" i="5"/>
  <c r="P90" i="5"/>
  <c r="O77" i="5"/>
  <c r="K122" i="5"/>
  <c r="L96" i="5"/>
  <c r="L121" i="5"/>
  <c r="L138" i="5" s="1"/>
  <c r="Q101" i="5"/>
  <c r="Q103" i="5"/>
  <c r="Q115" i="5"/>
  <c r="Q113" i="5"/>
  <c r="Q108" i="5"/>
  <c r="P107" i="5"/>
  <c r="P109" i="5"/>
  <c r="M95" i="5"/>
  <c r="L132" i="5" l="1"/>
  <c r="L135" i="5"/>
  <c r="R108" i="5"/>
  <c r="R106" i="5" s="1"/>
  <c r="Q106" i="5"/>
  <c r="P77" i="5"/>
  <c r="O99" i="5"/>
  <c r="O83" i="5"/>
  <c r="N105" i="5"/>
  <c r="N111" i="5"/>
  <c r="O89" i="5"/>
  <c r="S113" i="5"/>
  <c r="S115" i="5"/>
  <c r="R107" i="5"/>
  <c r="S108" i="5"/>
  <c r="S106" i="5" s="1"/>
  <c r="R109" i="5"/>
  <c r="S101" i="5"/>
  <c r="S103" i="5"/>
  <c r="R92" i="5"/>
  <c r="R90" i="5" s="1"/>
  <c r="Q90" i="5"/>
  <c r="Q84" i="5"/>
  <c r="R86" i="5"/>
  <c r="R84" i="5" s="1"/>
  <c r="R80" i="5"/>
  <c r="L122" i="5"/>
  <c r="M96" i="5"/>
  <c r="M121" i="5"/>
  <c r="M138" i="5" s="1"/>
  <c r="Q109" i="5"/>
  <c r="Q107" i="5"/>
  <c r="N95" i="5"/>
  <c r="M132" i="5" l="1"/>
  <c r="M135" i="5"/>
  <c r="Q77" i="5"/>
  <c r="Q99" i="5" s="1"/>
  <c r="P99" i="5"/>
  <c r="O105" i="5"/>
  <c r="P83" i="5"/>
  <c r="O111" i="5"/>
  <c r="P89" i="5"/>
  <c r="S107" i="5"/>
  <c r="S109" i="5"/>
  <c r="S80" i="5"/>
  <c r="S78" i="5" s="1"/>
  <c r="R78" i="5"/>
  <c r="R77" i="5" s="1"/>
  <c r="R99" i="5" s="1"/>
  <c r="S77" i="5"/>
  <c r="S99" i="5" s="1"/>
  <c r="M122" i="5"/>
  <c r="N96" i="5"/>
  <c r="N121" i="5"/>
  <c r="N138" i="5" s="1"/>
  <c r="O95" i="5"/>
  <c r="N132" i="5" l="1"/>
  <c r="N135" i="5"/>
  <c r="P105" i="5"/>
  <c r="Q83" i="5"/>
  <c r="P111" i="5"/>
  <c r="Q89" i="5"/>
  <c r="N122" i="5"/>
  <c r="O96" i="5"/>
  <c r="O121" i="5"/>
  <c r="O138" i="5" s="1"/>
  <c r="P95" i="5"/>
  <c r="O132" i="5" l="1"/>
  <c r="O135" i="5"/>
  <c r="R83" i="5"/>
  <c r="Q105" i="5"/>
  <c r="R89" i="5"/>
  <c r="Q111" i="5"/>
  <c r="Q95" i="5"/>
  <c r="Q121" i="5" s="1"/>
  <c r="Q138" i="5" s="1"/>
  <c r="P96" i="5"/>
  <c r="Q96" i="5"/>
  <c r="O122" i="5"/>
  <c r="P121" i="5"/>
  <c r="P138" i="5" s="1"/>
  <c r="P132" i="5" l="1"/>
  <c r="P135" i="5"/>
  <c r="Q132" i="5"/>
  <c r="Q135" i="5"/>
  <c r="Q122" i="5"/>
  <c r="Q117" i="5"/>
  <c r="S83" i="5"/>
  <c r="S105" i="5" s="1"/>
  <c r="R105" i="5"/>
  <c r="S89" i="5"/>
  <c r="R111" i="5"/>
  <c r="R95" i="5"/>
  <c r="P122" i="5"/>
  <c r="Q118" i="5" l="1"/>
  <c r="Q124" i="5"/>
  <c r="R96" i="5"/>
  <c r="R121" i="5"/>
  <c r="R117" i="5"/>
  <c r="S111" i="5"/>
  <c r="S117" i="5" s="1"/>
  <c r="S124" i="5" s="1"/>
  <c r="S95" i="5"/>
  <c r="L112" i="5"/>
  <c r="L111" i="5" s="1"/>
  <c r="R135" i="5" l="1"/>
  <c r="R138" i="5"/>
  <c r="R122" i="5"/>
  <c r="R132" i="5"/>
  <c r="S127" i="5"/>
  <c r="S130" i="5"/>
  <c r="Q127" i="5"/>
  <c r="Q130" i="5"/>
  <c r="Q141" i="5" s="1"/>
  <c r="Q142" i="5" s="1"/>
  <c r="Q125" i="5"/>
  <c r="R118" i="5"/>
  <c r="R124" i="5"/>
  <c r="S96" i="5"/>
  <c r="S121" i="5"/>
  <c r="S138" i="5" s="1"/>
  <c r="S118" i="5"/>
  <c r="O117" i="5"/>
  <c r="L117" i="5"/>
  <c r="M117" i="5"/>
  <c r="N117" i="5"/>
  <c r="P117" i="5"/>
  <c r="K117" i="5"/>
  <c r="S132" i="5" l="1"/>
  <c r="S135" i="5"/>
  <c r="R125" i="5"/>
  <c r="R127" i="5"/>
  <c r="R130" i="5" s="1"/>
  <c r="R141" i="5" s="1"/>
  <c r="R142" i="5" s="1"/>
  <c r="S122" i="5"/>
  <c r="S125" i="5"/>
  <c r="K118" i="5"/>
  <c r="K124" i="5"/>
  <c r="P118" i="5"/>
  <c r="P124" i="5"/>
  <c r="P127" i="5" s="1"/>
  <c r="N118" i="5"/>
  <c r="N124" i="5"/>
  <c r="N127" i="5" s="1"/>
  <c r="M118" i="5"/>
  <c r="M124" i="5"/>
  <c r="M127" i="5" s="1"/>
  <c r="L118" i="5"/>
  <c r="L124" i="5"/>
  <c r="L127" i="5" s="1"/>
  <c r="O118" i="5"/>
  <c r="O124" i="5"/>
  <c r="O127" i="5" s="1"/>
  <c r="S141" i="5" l="1"/>
  <c r="M125" i="5"/>
  <c r="M130" i="5"/>
  <c r="N125" i="5"/>
  <c r="N130" i="5"/>
  <c r="O125" i="5"/>
  <c r="O130" i="5"/>
  <c r="P125" i="5"/>
  <c r="P130" i="5"/>
  <c r="L125" i="5"/>
  <c r="L130" i="5"/>
  <c r="L141" i="5" s="1"/>
  <c r="K125" i="5"/>
  <c r="K130" i="5"/>
  <c r="S142" i="5" l="1"/>
  <c r="S147" i="5"/>
  <c r="S148" i="5" s="1"/>
  <c r="P141" i="5"/>
  <c r="P142" i="5" l="1"/>
  <c r="L142" i="5"/>
  <c r="M141" i="5"/>
  <c r="M142" i="5" s="1"/>
  <c r="N141" i="5"/>
  <c r="N142" i="5" s="1"/>
  <c r="O141" i="5"/>
  <c r="O142" i="5" s="1"/>
  <c r="S150" i="5" l="1"/>
  <c r="S153" i="5"/>
  <c r="S155" i="5" s="1"/>
  <c r="G5" i="5" s="1"/>
  <c r="G6" i="5" s="1"/>
</calcChain>
</file>

<file path=xl/sharedStrings.xml><?xml version="1.0" encoding="utf-8"?>
<sst xmlns="http://schemas.openxmlformats.org/spreadsheetml/2006/main" count="368" uniqueCount="203">
  <si>
    <t>DCF</t>
  </si>
  <si>
    <t>Ticker</t>
  </si>
  <si>
    <t>MSFT</t>
  </si>
  <si>
    <t>Current Share Price</t>
  </si>
  <si>
    <t>Conservative Case</t>
  </si>
  <si>
    <t>"My Base Case"</t>
  </si>
  <si>
    <t>Date</t>
  </si>
  <si>
    <t>Implied Share Price</t>
  </si>
  <si>
    <t>Base Case</t>
  </si>
  <si>
    <t>"My Optimistic Case"</t>
  </si>
  <si>
    <t>Year-End</t>
  </si>
  <si>
    <t>Upside / (Downside)</t>
  </si>
  <si>
    <t>Optimistic Case</t>
  </si>
  <si>
    <t>x</t>
  </si>
  <si>
    <t>Assumptions</t>
  </si>
  <si>
    <t>Switches</t>
  </si>
  <si>
    <t>Conservative</t>
  </si>
  <si>
    <t>Base</t>
  </si>
  <si>
    <t>Optimistic</t>
  </si>
  <si>
    <t>Revenue</t>
  </si>
  <si>
    <t>Year</t>
  </si>
  <si>
    <t>Metric</t>
  </si>
  <si>
    <t>Productivity and Business Processes</t>
  </si>
  <si>
    <t>Intelligent Cloud</t>
  </si>
  <si>
    <t>More Personal Computing</t>
  </si>
  <si>
    <t>EBIT</t>
  </si>
  <si>
    <t>2024-30</t>
  </si>
  <si>
    <t>Other Assumptions</t>
  </si>
  <si>
    <t>Taxes</t>
  </si>
  <si>
    <t>D&amp;A</t>
  </si>
  <si>
    <t>CapEx</t>
  </si>
  <si>
    <t>Change in NWC</t>
  </si>
  <si>
    <t>WACC</t>
  </si>
  <si>
    <t>TGR</t>
  </si>
  <si>
    <t>Valuation Assumptions</t>
  </si>
  <si>
    <t>Income Statement</t>
  </si>
  <si>
    <t>% growth</t>
  </si>
  <si>
    <t>--</t>
  </si>
  <si>
    <t>Total Revenue</t>
  </si>
  <si>
    <t>% of sales</t>
  </si>
  <si>
    <t>Total EBIT</t>
  </si>
  <si>
    <t>Pre-Tax Income</t>
  </si>
  <si>
    <t>Tax Rate</t>
  </si>
  <si>
    <t>Cash Flow Items</t>
  </si>
  <si>
    <t>Revenue Build</t>
  </si>
  <si>
    <t xml:space="preserve">  Conservative</t>
  </si>
  <si>
    <t xml:space="preserve">  Base</t>
  </si>
  <si>
    <t xml:space="preserve">  Optimistic</t>
  </si>
  <si>
    <t>EBIT Build</t>
  </si>
  <si>
    <t>Tax rate</t>
  </si>
  <si>
    <t>EBIAT</t>
  </si>
  <si>
    <t>Unlevered Free Cash Flow</t>
  </si>
  <si>
    <t>Present Value of UFCF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</si>
  <si>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</si>
  <si>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</si>
  <si>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</si>
  <si>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</si>
  <si>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</si>
  <si>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</si>
  <si>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</si>
  <si>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</si>
  <si>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</si>
  <si>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</si>
  <si>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</si>
  <si>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</si>
  <si>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</si>
  <si>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</si>
  <si>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</si>
  <si>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</si>
  <si>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</si>
  <si>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</si>
  <si>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</si>
  <si>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</si>
  <si>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</si>
  <si>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Total</t>
  </si>
  <si>
    <t>MSFT-US</t>
  </si>
  <si>
    <t>Product Segments (M)</t>
  </si>
  <si>
    <t>CY '16</t>
  </si>
  <si>
    <t>CY '17</t>
  </si>
  <si>
    <t>CY '18</t>
  </si>
  <si>
    <t>CY '19</t>
  </si>
  <si>
    <t>CY '20</t>
  </si>
  <si>
    <t>CY '21</t>
  </si>
  <si>
    <t>CY '22</t>
  </si>
  <si>
    <t>CY '23E</t>
  </si>
  <si>
    <t>CY '24E</t>
  </si>
  <si>
    <t>CY '25E</t>
  </si>
  <si>
    <t>CY '26E</t>
  </si>
  <si>
    <t>CY '27E</t>
  </si>
  <si>
    <t>Dec '16</t>
  </si>
  <si>
    <t>Dec '17</t>
  </si>
  <si>
    <t>Dec '18</t>
  </si>
  <si>
    <t>Dec '19</t>
  </si>
  <si>
    <t>Dec '20</t>
  </si>
  <si>
    <t>Dec '21</t>
  </si>
  <si>
    <t>Dec '22</t>
  </si>
  <si>
    <t>Dec '23E</t>
  </si>
  <si>
    <t>Dec '24E</t>
  </si>
  <si>
    <t>Dec '25E</t>
  </si>
  <si>
    <t>Dec '26E</t>
  </si>
  <si>
    <t>Dec '27E</t>
  </si>
  <si>
    <t>Sales</t>
  </si>
  <si>
    <t>Corporate and Other</t>
  </si>
  <si>
    <t>-</t>
  </si>
  <si>
    <t>Operating Income</t>
  </si>
  <si>
    <t>Microsoft Corporation (MSFT)</t>
  </si>
  <si>
    <t>Microsoft Corporation</t>
  </si>
  <si>
    <t xml:space="preserve">MSFT   594918104   2588173   NASDAQ    Common stock    </t>
  </si>
  <si>
    <t>Source: FactSet Fundamentals</t>
  </si>
  <si>
    <t>DEC '13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</si>
  <si>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</si>
  <si>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</si>
  <si>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</si>
  <si>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</si>
  <si>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</si>
  <si>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</si>
  <si>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</si>
  <si>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</si>
  <si>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</si>
  <si>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</si>
  <si>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</si>
  <si>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</si>
  <si>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</si>
  <si>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</si>
  <si>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Gross Income</t>
  </si>
  <si>
    <t>SG&amp;A Expense</t>
  </si>
  <si>
    <t>Research &amp; Development</t>
  </si>
  <si>
    <t>Other SG&amp;A</t>
  </si>
  <si>
    <t>EBIT (Operating Income)</t>
  </si>
  <si>
    <t>Nonoperating Income - Net</t>
  </si>
  <si>
    <t>Nonoperating Interest Income</t>
  </si>
  <si>
    <t>Other Income (Expense)</t>
  </si>
  <si>
    <t>Interest Expense</t>
  </si>
  <si>
    <t>Gross Interest Expense</t>
  </si>
  <si>
    <t>Unusual Expense - Net</t>
  </si>
  <si>
    <t>Impairments</t>
  </si>
  <si>
    <t>Goodwill</t>
  </si>
  <si>
    <t>Financial Fixed Assets</t>
  </si>
  <si>
    <t>Restructuring Expense</t>
  </si>
  <si>
    <t>Unrealized Valuation Gain/Loss</t>
  </si>
  <si>
    <t>Investments</t>
  </si>
  <si>
    <t>Hedges/Derivatives</t>
  </si>
  <si>
    <t>Pretax Income</t>
  </si>
  <si>
    <t>Income Taxes</t>
  </si>
  <si>
    <t>Consolidated Net Income</t>
  </si>
  <si>
    <t>Net Income</t>
  </si>
  <si>
    <t>Net Income available to Common</t>
  </si>
  <si>
    <t>Per Share</t>
  </si>
  <si>
    <t>EPS (recurring)</t>
  </si>
  <si>
    <t>Basic Shares Outstanding</t>
  </si>
  <si>
    <t>Total Shares Outstanding</t>
  </si>
  <si>
    <t>EPS (diluted)</t>
  </si>
  <si>
    <t>Diluted Shares Outstanding</t>
  </si>
  <si>
    <t>Earnings Persistence</t>
  </si>
  <si>
    <t>Dividends per Share</t>
  </si>
  <si>
    <t>Payout Ratio</t>
  </si>
  <si>
    <t>EBITDA</t>
  </si>
  <si>
    <t>All figures in millions of U.S. Dollar except per share items.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</si>
  <si>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</si>
  <si>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</si>
  <si>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</si>
  <si>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</si>
  <si>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</si>
  <si>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Deferred Taxes &amp; Investment Tax Credit</t>
  </si>
  <si>
    <t>Deferred Taxes</t>
  </si>
  <si>
    <t>Other Funds</t>
  </si>
  <si>
    <t>Funds from Operations</t>
  </si>
  <si>
    <t>Changes in Working Capital</t>
  </si>
  <si>
    <t>Receivables</t>
  </si>
  <si>
    <t>Inventories</t>
  </si>
  <si>
    <t>Accounts Payable</t>
  </si>
  <si>
    <t>Income Taxes Payable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</si>
  <si>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</si>
  <si>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</si>
  <si>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</si>
  <si>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</si>
  <si>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</si>
  <si>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Net Assets from Acquisitions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</si>
  <si>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</si>
  <si>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</si>
  <si>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</si>
  <si>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</si>
  <si>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</si>
  <si>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</si>
  <si>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Financing Activities</t>
  </si>
  <si>
    <t>Cash Dividends Paid</t>
  </si>
  <si>
    <t>Common Dividends</t>
  </si>
  <si>
    <t>Change in Capital Stock</t>
  </si>
  <si>
    <t>Repurchase of Common &amp; Preferred Stk.</t>
  </si>
  <si>
    <t>Sale of Common &amp; Preferred Stock</t>
  </si>
  <si>
    <t>Proceeds from Sale of Stock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</si>
  <si>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</si>
  <si>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</si>
  <si>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</si>
  <si>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</si>
  <si>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</si>
  <si>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Net Financing Cash Flow</t>
  </si>
  <si>
    <t>All Activities</t>
  </si>
  <si>
    <t>Exchange Rate Effect</t>
  </si>
  <si>
    <t>Net Change in Cash</t>
  </si>
  <si>
    <t>Free Cash Flow</t>
  </si>
  <si>
    <t>Free Cash Flow per Share</t>
  </si>
  <si>
    <t>Free Cash Flow Yield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</si>
</sst>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0.0%;\(0.0%\)"/>
    <numFmt numFmtId="165" formatCode="0.0%"/>
    <numFmt numFmtId="166" formatCode="0\A"/>
    <numFmt numFmtId="167" formatCode="0&quot;E&quot;"/>
    <numFmt numFmtId="168" formatCode="&quot;$&quot;#,##0.00"/>
    <numFmt numFmtId="169" formatCode="0%;\(0%\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7030A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548235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rgb="FF0432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/>
  </cellStyleXfs>
  <cellXfs count="120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3"/>
    <xf numFmtId="0" fontId="5" fillId="0" borderId="0" xfId="3" applyAlignment="1">
      <alignment horizontal="left"/>
    </xf>
    <xf numFmtId="3" fontId="5" fillId="0" borderId="0" xfId="3" applyNumberFormat="1" applyAlignment="1">
      <alignment horizontal="right"/>
    </xf>
    <xf numFmtId="3" fontId="6" fillId="0" borderId="0" xfId="3" applyNumberFormat="1" applyFont="1" applyAlignment="1">
      <alignment horizontal="right"/>
    </xf>
    <xf numFmtId="3" fontId="5" fillId="2" borderId="0" xfId="3" applyNumberFormat="1" applyFill="1" applyAlignment="1">
      <alignment horizontal="right"/>
    </xf>
    <xf numFmtId="0" fontId="5" fillId="2" borderId="0" xfId="3" applyFill="1" applyAlignment="1">
      <alignment horizontal="left"/>
    </xf>
    <xf numFmtId="3" fontId="6" fillId="2" borderId="0" xfId="3" applyNumberFormat="1" applyFont="1" applyFill="1" applyAlignment="1">
      <alignment horizontal="right"/>
    </xf>
    <xf numFmtId="0" fontId="7" fillId="3" borderId="0" xfId="3" applyFont="1" applyFill="1" applyAlignment="1">
      <alignment horizontal="left"/>
    </xf>
    <xf numFmtId="0" fontId="7" fillId="0" borderId="0" xfId="3" applyFont="1"/>
    <xf numFmtId="0" fontId="5" fillId="2" borderId="0" xfId="3" applyFill="1" applyAlignment="1">
      <alignment horizontal="right"/>
    </xf>
    <xf numFmtId="0" fontId="5" fillId="0" borderId="0" xfId="3" applyAlignment="1">
      <alignment horizontal="right"/>
    </xf>
    <xf numFmtId="0" fontId="8" fillId="0" borderId="0" xfId="3" applyFont="1" applyAlignment="1">
      <alignment horizontal="left"/>
    </xf>
    <xf numFmtId="4" fontId="5" fillId="0" borderId="0" xfId="3" applyNumberFormat="1" applyAlignment="1">
      <alignment horizontal="right"/>
    </xf>
    <xf numFmtId="0" fontId="5" fillId="0" borderId="0" xfId="3" applyAlignment="1">
      <alignment horizontal="left" indent="4"/>
    </xf>
    <xf numFmtId="0" fontId="5" fillId="2" borderId="0" xfId="3" applyFill="1" applyAlignment="1">
      <alignment horizontal="left" indent="4"/>
    </xf>
    <xf numFmtId="3" fontId="9" fillId="0" borderId="0" xfId="3" applyNumberFormat="1" applyFont="1" applyAlignment="1">
      <alignment horizontal="right"/>
    </xf>
    <xf numFmtId="0" fontId="9" fillId="0" borderId="0" xfId="3" applyFont="1" applyAlignment="1">
      <alignment horizontal="left" indent="3"/>
    </xf>
    <xf numFmtId="0" fontId="5" fillId="2" borderId="0" xfId="3" applyFill="1" applyAlignment="1">
      <alignment horizontal="left" indent="1"/>
    </xf>
    <xf numFmtId="0" fontId="5" fillId="0" borderId="0" xfId="3" applyAlignment="1">
      <alignment horizontal="left" indent="1"/>
    </xf>
    <xf numFmtId="0" fontId="9" fillId="2" borderId="0" xfId="3" applyFont="1" applyFill="1" applyAlignment="1">
      <alignment horizontal="left"/>
    </xf>
    <xf numFmtId="3" fontId="9" fillId="2" borderId="0" xfId="3" applyNumberFormat="1" applyFont="1" applyFill="1" applyAlignment="1">
      <alignment horizontal="right"/>
    </xf>
    <xf numFmtId="0" fontId="9" fillId="2" borderId="0" xfId="3" applyFont="1" applyFill="1" applyAlignment="1">
      <alignment horizontal="left" indent="3"/>
    </xf>
    <xf numFmtId="0" fontId="5" fillId="0" borderId="0" xfId="3" applyAlignment="1">
      <alignment horizontal="left" indent="7"/>
    </xf>
    <xf numFmtId="0" fontId="5" fillId="2" borderId="0" xfId="3" applyFill="1" applyAlignment="1">
      <alignment horizontal="left" indent="7"/>
    </xf>
    <xf numFmtId="0" fontId="9" fillId="0" borderId="0" xfId="3" applyFont="1" applyAlignment="1">
      <alignment horizontal="left" indent="6"/>
    </xf>
    <xf numFmtId="0" fontId="9" fillId="0" borderId="0" xfId="3" applyFont="1" applyAlignment="1">
      <alignment horizontal="left"/>
    </xf>
    <xf numFmtId="0" fontId="5" fillId="0" borderId="2" xfId="3" applyBorder="1"/>
    <xf numFmtId="3" fontId="5" fillId="0" borderId="0" xfId="3" applyNumberFormat="1"/>
    <xf numFmtId="9" fontId="5" fillId="0" borderId="0" xfId="1" applyFont="1"/>
    <xf numFmtId="0" fontId="0" fillId="0" borderId="1" xfId="0" applyBorder="1"/>
    <xf numFmtId="0" fontId="10" fillId="6" borderId="0" xfId="0" applyFont="1" applyFill="1"/>
    <xf numFmtId="0" fontId="11" fillId="0" borderId="0" xfId="0" applyFont="1"/>
    <xf numFmtId="0" fontId="3" fillId="4" borderId="4" xfId="0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9" fontId="13" fillId="4" borderId="4" xfId="0" applyNumberFormat="1" applyFont="1" applyFill="1" applyBorder="1" applyAlignment="1">
      <alignment horizontal="right"/>
    </xf>
    <xf numFmtId="9" fontId="14" fillId="4" borderId="4" xfId="0" applyNumberFormat="1" applyFont="1" applyFill="1" applyBorder="1"/>
    <xf numFmtId="0" fontId="16" fillId="7" borderId="5" xfId="0" applyFont="1" applyFill="1" applyBorder="1"/>
    <xf numFmtId="0" fontId="17" fillId="7" borderId="8" xfId="0" applyFont="1" applyFill="1" applyBorder="1"/>
    <xf numFmtId="3" fontId="3" fillId="0" borderId="0" xfId="0" applyNumberFormat="1" applyFont="1"/>
    <xf numFmtId="0" fontId="3" fillId="0" borderId="0" xfId="0" quotePrefix="1" applyFont="1" applyAlignment="1">
      <alignment horizontal="right"/>
    </xf>
    <xf numFmtId="9" fontId="13" fillId="0" borderId="0" xfId="1" applyFont="1"/>
    <xf numFmtId="0" fontId="3" fillId="0" borderId="0" xfId="0" applyFont="1" applyAlignment="1">
      <alignment horizontal="right"/>
    </xf>
    <xf numFmtId="0" fontId="16" fillId="7" borderId="6" xfId="0" applyFont="1" applyFill="1" applyBorder="1"/>
    <xf numFmtId="3" fontId="16" fillId="7" borderId="6" xfId="0" applyNumberFormat="1" applyFont="1" applyFill="1" applyBorder="1"/>
    <xf numFmtId="3" fontId="16" fillId="7" borderId="7" xfId="0" applyNumberFormat="1" applyFont="1" applyFill="1" applyBorder="1"/>
    <xf numFmtId="0" fontId="16" fillId="7" borderId="1" xfId="0" applyFont="1" applyFill="1" applyBorder="1"/>
    <xf numFmtId="0" fontId="16" fillId="7" borderId="1" xfId="0" quotePrefix="1" applyFont="1" applyFill="1" applyBorder="1" applyAlignment="1">
      <alignment horizontal="right"/>
    </xf>
    <xf numFmtId="9" fontId="17" fillId="7" borderId="1" xfId="1" applyFont="1" applyFill="1" applyBorder="1"/>
    <xf numFmtId="9" fontId="17" fillId="7" borderId="9" xfId="1" applyFont="1" applyFill="1" applyBorder="1"/>
    <xf numFmtId="3" fontId="0" fillId="0" borderId="0" xfId="0" applyNumberFormat="1"/>
    <xf numFmtId="9" fontId="14" fillId="4" borderId="4" xfId="1" applyFont="1" applyFill="1" applyBorder="1" applyAlignment="1">
      <alignment horizontal="right"/>
    </xf>
    <xf numFmtId="9" fontId="15" fillId="4" borderId="4" xfId="0" applyNumberFormat="1" applyFont="1" applyFill="1" applyBorder="1"/>
    <xf numFmtId="0" fontId="16" fillId="0" borderId="1" xfId="0" applyFont="1" applyBorder="1"/>
    <xf numFmtId="14" fontId="3" fillId="4" borderId="4" xfId="0" applyNumberFormat="1" applyFont="1" applyFill="1" applyBorder="1" applyAlignment="1">
      <alignment horizontal="center"/>
    </xf>
    <xf numFmtId="0" fontId="18" fillId="5" borderId="0" xfId="0" applyFont="1" applyFill="1"/>
    <xf numFmtId="0" fontId="18" fillId="0" borderId="0" xfId="0" applyFont="1"/>
    <xf numFmtId="0" fontId="18" fillId="6" borderId="0" xfId="0" applyFont="1" applyFill="1"/>
    <xf numFmtId="0" fontId="12" fillId="0" borderId="0" xfId="0" applyFont="1" applyAlignment="1">
      <alignment horizontal="center"/>
    </xf>
    <xf numFmtId="166" fontId="18" fillId="5" borderId="0" xfId="0" applyNumberFormat="1" applyFont="1" applyFill="1"/>
    <xf numFmtId="167" fontId="18" fillId="5" borderId="0" xfId="0" applyNumberFormat="1" applyFont="1" applyFill="1"/>
    <xf numFmtId="3" fontId="19" fillId="0" borderId="0" xfId="0" applyNumberFormat="1" applyFont="1"/>
    <xf numFmtId="166" fontId="18" fillId="0" borderId="0" xfId="0" applyNumberFormat="1" applyFont="1"/>
    <xf numFmtId="167" fontId="18" fillId="0" borderId="0" xfId="0" applyNumberFormat="1" applyFont="1"/>
    <xf numFmtId="3" fontId="20" fillId="0" borderId="0" xfId="0" applyNumberFormat="1" applyFont="1"/>
    <xf numFmtId="3" fontId="21" fillId="0" borderId="0" xfId="0" applyNumberFormat="1" applyFont="1"/>
    <xf numFmtId="9" fontId="22" fillId="0" borderId="0" xfId="1" applyFont="1"/>
    <xf numFmtId="9" fontId="17" fillId="7" borderId="1" xfId="1" quotePrefix="1" applyFont="1" applyFill="1" applyBorder="1" applyAlignment="1">
      <alignment horizontal="right"/>
    </xf>
    <xf numFmtId="9" fontId="13" fillId="0" borderId="0" xfId="1" quotePrefix="1" applyFont="1" applyAlignment="1">
      <alignment horizontal="right"/>
    </xf>
    <xf numFmtId="166" fontId="18" fillId="5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center"/>
    </xf>
    <xf numFmtId="37" fontId="19" fillId="0" borderId="0" xfId="0" applyNumberFormat="1" applyFont="1"/>
    <xf numFmtId="37" fontId="23" fillId="0" borderId="0" xfId="0" applyNumberFormat="1" applyFont="1"/>
    <xf numFmtId="4" fontId="9" fillId="2" borderId="0" xfId="3" applyNumberFormat="1" applyFont="1" applyFill="1" applyAlignment="1">
      <alignment horizontal="right"/>
    </xf>
    <xf numFmtId="4" fontId="5" fillId="2" borderId="0" xfId="3" applyNumberFormat="1" applyFill="1" applyAlignment="1">
      <alignment horizontal="right"/>
    </xf>
    <xf numFmtId="4" fontId="9" fillId="0" borderId="0" xfId="3" applyNumberFormat="1" applyFont="1" applyAlignment="1">
      <alignment horizontal="right"/>
    </xf>
    <xf numFmtId="0" fontId="9" fillId="2" borderId="0" xfId="3" applyFont="1" applyFill="1" applyAlignment="1">
      <alignment horizontal="left" indent="6"/>
    </xf>
    <xf numFmtId="9" fontId="14" fillId="4" borderId="11" xfId="1" applyFont="1" applyFill="1" applyBorder="1" applyAlignment="1">
      <alignment horizontal="right"/>
    </xf>
    <xf numFmtId="0" fontId="3" fillId="0" borderId="12" xfId="0" applyFont="1" applyBorder="1"/>
    <xf numFmtId="0" fontId="3" fillId="0" borderId="13" xfId="0" applyFont="1" applyBorder="1"/>
    <xf numFmtId="3" fontId="3" fillId="0" borderId="13" xfId="0" applyNumberFormat="1" applyFont="1" applyBorder="1"/>
    <xf numFmtId="9" fontId="24" fillId="0" borderId="0" xfId="1" applyFont="1" applyFill="1" applyBorder="1" applyAlignment="1"/>
    <xf numFmtId="9" fontId="22" fillId="4" borderId="11" xfId="1" applyFont="1" applyFill="1" applyBorder="1" applyAlignment="1">
      <alignment horizontal="right"/>
    </xf>
    <xf numFmtId="9" fontId="15" fillId="4" borderId="11" xfId="1" applyFont="1" applyFill="1" applyBorder="1" applyAlignment="1">
      <alignment horizontal="right"/>
    </xf>
    <xf numFmtId="0" fontId="2" fillId="8" borderId="0" xfId="0" applyFont="1" applyFill="1"/>
    <xf numFmtId="0" fontId="0" fillId="8" borderId="0" xfId="0" applyFill="1"/>
    <xf numFmtId="10" fontId="0" fillId="0" borderId="0" xfId="0" applyNumberFormat="1" applyAlignment="1">
      <alignment horizontal="right"/>
    </xf>
    <xf numFmtId="10" fontId="0" fillId="4" borderId="4" xfId="0" applyNumberFormat="1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3" fontId="0" fillId="4" borderId="4" xfId="0" applyNumberFormat="1" applyFill="1" applyBorder="1" applyAlignment="1">
      <alignment horizontal="right"/>
    </xf>
    <xf numFmtId="2" fontId="3" fillId="0" borderId="0" xfId="0" applyNumberFormat="1" applyFont="1"/>
    <xf numFmtId="165" fontId="3" fillId="4" borderId="4" xfId="1" applyNumberFormat="1" applyFont="1" applyFill="1" applyBorder="1" applyAlignment="1">
      <alignment horizontal="center"/>
    </xf>
    <xf numFmtId="0" fontId="16" fillId="0" borderId="5" xfId="0" applyFont="1" applyBorder="1"/>
    <xf numFmtId="0" fontId="16" fillId="0" borderId="6" xfId="0" applyFont="1" applyBorder="1"/>
    <xf numFmtId="3" fontId="16" fillId="0" borderId="6" xfId="0" applyNumberFormat="1" applyFont="1" applyBorder="1"/>
    <xf numFmtId="0" fontId="16" fillId="0" borderId="8" xfId="0" applyFont="1" applyBorder="1"/>
    <xf numFmtId="3" fontId="16" fillId="0" borderId="1" xfId="0" applyNumberFormat="1" applyFont="1" applyBorder="1"/>
    <xf numFmtId="168" fontId="3" fillId="0" borderId="0" xfId="0" applyNumberFormat="1" applyFont="1"/>
    <xf numFmtId="168" fontId="3" fillId="0" borderId="10" xfId="0" applyNumberFormat="1" applyFont="1" applyBorder="1" applyAlignment="1">
      <alignment horizontal="center"/>
    </xf>
    <xf numFmtId="169" fontId="3" fillId="0" borderId="10" xfId="1" applyNumberFormat="1" applyFont="1" applyBorder="1" applyAlignment="1">
      <alignment horizontal="center"/>
    </xf>
    <xf numFmtId="9" fontId="17" fillId="7" borderId="3" xfId="1" applyFont="1" applyFill="1" applyBorder="1"/>
    <xf numFmtId="3" fontId="16" fillId="7" borderId="2" xfId="0" applyNumberFormat="1" applyFont="1" applyFill="1" applyBorder="1"/>
    <xf numFmtId="3" fontId="16" fillId="7" borderId="14" xfId="0" applyNumberFormat="1" applyFont="1" applyFill="1" applyBorder="1"/>
    <xf numFmtId="9" fontId="17" fillId="7" borderId="15" xfId="1" applyFont="1" applyFill="1" applyBorder="1"/>
    <xf numFmtId="9" fontId="15" fillId="4" borderId="4" xfId="1" applyFont="1" applyFill="1" applyBorder="1" applyAlignment="1">
      <alignment horizontal="right"/>
    </xf>
    <xf numFmtId="9" fontId="17" fillId="7" borderId="3" xfId="1" quotePrefix="1" applyFont="1" applyFill="1" applyBorder="1" applyAlignment="1">
      <alignment horizontal="right"/>
    </xf>
    <xf numFmtId="9" fontId="17" fillId="7" borderId="15" xfId="1" quotePrefix="1" applyFont="1" applyFill="1" applyBorder="1" applyAlignment="1">
      <alignment horizontal="right"/>
    </xf>
    <xf numFmtId="3" fontId="19" fillId="9" borderId="0" xfId="0" applyNumberFormat="1" applyFont="1" applyFill="1"/>
    <xf numFmtId="3" fontId="3" fillId="0" borderId="16" xfId="0" applyNumberFormat="1" applyFont="1" applyBorder="1"/>
    <xf numFmtId="3" fontId="3" fillId="0" borderId="17" xfId="0" applyNumberFormat="1" applyFont="1" applyBorder="1"/>
    <xf numFmtId="3" fontId="16" fillId="0" borderId="2" xfId="0" applyNumberFormat="1" applyFont="1" applyBorder="1"/>
    <xf numFmtId="3" fontId="16" fillId="0" borderId="14" xfId="0" applyNumberFormat="1" applyFont="1" applyBorder="1"/>
    <xf numFmtId="3" fontId="16" fillId="0" borderId="18" xfId="0" applyNumberFormat="1" applyFont="1" applyBorder="1"/>
    <xf numFmtId="8" fontId="5" fillId="0" borderId="3" xfId="3" applyNumberFormat="1" applyBorder="1"/>
  </cellXfs>
  <cellStyles count="4">
    <cellStyle name="Hyperlink" xfId="2" builtinId="8" customBuiltin="1"/>
    <cellStyle name="Normal" xfId="0" builtinId="0"/>
    <cellStyle name="Normal 2" xfId="3" xr:uid="{990F64F3-A9F6-421A-9F0E-F92CEE392FAF}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5E93-2CD7-4B66-A674-B3917050C5C0}">
  <dimension ref="A2:W155"/>
  <sheetViews>
    <sheetView showGridLines="0" zoomScaleNormal="100" workbookViewId="0">
      <selection activeCell="E27" sqref="E27"/>
    </sheetView>
  </sheetViews>
  <sheetFormatPr defaultColWidth="10.7109375" defaultRowHeight="12.75" customHeight="1"/>
  <cols>
    <col min="1" max="1" width="3.7109375" style="3" customWidth="1"/>
    <col min="2" max="16384" width="10.7109375" style="4"/>
  </cols>
  <sheetData>
    <row r="2" spans="1:23" s="1" customFormat="1" ht="21">
      <c r="A2" s="76"/>
      <c r="B2" s="2" t="s">
        <v>0</v>
      </c>
    </row>
    <row r="4" spans="1:23">
      <c r="B4" s="4" t="s">
        <v>1</v>
      </c>
      <c r="C4" s="37" t="s">
        <v>2</v>
      </c>
      <c r="E4" s="4" t="s">
        <v>3</v>
      </c>
      <c r="G4" s="104">
        <v>370.62</v>
      </c>
      <c r="I4" s="4" t="s">
        <v>4</v>
      </c>
      <c r="K4" s="104">
        <v>241.69</v>
      </c>
      <c r="M4" s="4" t="s">
        <v>5</v>
      </c>
      <c r="O4" s="104">
        <v>414.8</v>
      </c>
    </row>
    <row r="5" spans="1:23">
      <c r="B5" s="4" t="s">
        <v>6</v>
      </c>
      <c r="C5" s="60">
        <v>45280</v>
      </c>
      <c r="E5" s="4" t="s">
        <v>7</v>
      </c>
      <c r="G5" s="104">
        <f ca="1">S155</f>
        <v>381.42590620850086</v>
      </c>
      <c r="I5" s="4" t="s">
        <v>8</v>
      </c>
      <c r="K5" s="104">
        <v>381.43</v>
      </c>
      <c r="M5" s="4" t="s">
        <v>9</v>
      </c>
      <c r="O5" s="104">
        <v>454.46</v>
      </c>
    </row>
    <row r="6" spans="1:23">
      <c r="B6" s="4" t="s">
        <v>10</v>
      </c>
      <c r="C6" s="60">
        <v>45291</v>
      </c>
      <c r="E6" s="4" t="s">
        <v>11</v>
      </c>
      <c r="G6" s="105">
        <f ca="1">G5/G4-1</f>
        <v>2.915629541983944E-2</v>
      </c>
      <c r="I6" s="4" t="s">
        <v>12</v>
      </c>
      <c r="K6" s="104">
        <v>569.34</v>
      </c>
    </row>
    <row r="8" spans="1:23" ht="12.95" customHeight="1">
      <c r="A8" s="3" t="s">
        <v>13</v>
      </c>
      <c r="B8" s="61" t="s">
        <v>14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</row>
    <row r="9" spans="1:23" ht="3" customHeight="1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</row>
    <row r="10" spans="1:23" ht="12.95" customHeight="1">
      <c r="B10" s="63" t="s">
        <v>15</v>
      </c>
      <c r="C10" s="35"/>
      <c r="D10" s="35"/>
      <c r="E10" s="35"/>
      <c r="G10" s="63" t="s">
        <v>16</v>
      </c>
      <c r="H10" s="35"/>
      <c r="I10" s="35"/>
      <c r="J10" s="35"/>
      <c r="K10" s="35"/>
      <c r="M10" s="63" t="s">
        <v>17</v>
      </c>
      <c r="N10" s="35"/>
      <c r="O10" s="35"/>
      <c r="P10" s="35"/>
      <c r="Q10" s="35"/>
      <c r="S10" s="63" t="s">
        <v>18</v>
      </c>
      <c r="T10" s="35"/>
      <c r="U10" s="35"/>
      <c r="V10" s="35"/>
      <c r="W10" s="35"/>
    </row>
    <row r="11" spans="1:23" ht="12.95" customHeight="1">
      <c r="B11" s="39" t="s">
        <v>19</v>
      </c>
      <c r="G11" s="39" t="s">
        <v>19</v>
      </c>
      <c r="H11" s="36"/>
      <c r="I11" s="36"/>
      <c r="J11" s="64" t="s">
        <v>20</v>
      </c>
      <c r="K11" s="64" t="s">
        <v>21</v>
      </c>
      <c r="M11" s="39" t="s">
        <v>19</v>
      </c>
      <c r="N11" s="36"/>
      <c r="O11" s="36"/>
      <c r="P11" s="64" t="s">
        <v>20</v>
      </c>
      <c r="Q11" s="64" t="s">
        <v>21</v>
      </c>
      <c r="S11" s="39" t="s">
        <v>19</v>
      </c>
      <c r="T11" s="36"/>
      <c r="U11" s="36"/>
      <c r="V11" s="64" t="s">
        <v>20</v>
      </c>
      <c r="W11" s="64" t="s">
        <v>21</v>
      </c>
    </row>
    <row r="12" spans="1:23" ht="12.95" customHeight="1">
      <c r="B12" s="4" t="s">
        <v>22</v>
      </c>
      <c r="E12" s="37">
        <v>2</v>
      </c>
      <c r="F12" s="3"/>
      <c r="G12" s="4" t="s">
        <v>22</v>
      </c>
      <c r="J12" s="3">
        <v>2024</v>
      </c>
      <c r="K12" s="38">
        <v>0.9</v>
      </c>
      <c r="P12" s="3"/>
      <c r="S12" s="4" t="str">
        <f>G12</f>
        <v>Productivity and Business Processes</v>
      </c>
      <c r="V12" s="3">
        <f>J12</f>
        <v>2024</v>
      </c>
      <c r="W12" s="38">
        <v>1.1200000000000001</v>
      </c>
    </row>
    <row r="13" spans="1:23" ht="12.95" customHeight="1">
      <c r="B13" s="4" t="s">
        <v>23</v>
      </c>
      <c r="E13" s="37">
        <v>2</v>
      </c>
      <c r="F13" s="3"/>
      <c r="G13" s="4" t="s">
        <v>22</v>
      </c>
      <c r="J13" s="3">
        <v>2030</v>
      </c>
      <c r="K13" s="38">
        <v>0.08</v>
      </c>
      <c r="P13" s="3"/>
      <c r="Q13" s="3"/>
      <c r="S13" s="4" t="str">
        <f>G13</f>
        <v>Productivity and Business Processes</v>
      </c>
      <c r="V13" s="3">
        <f>J13</f>
        <v>2030</v>
      </c>
      <c r="W13" s="38">
        <v>0.12</v>
      </c>
    </row>
    <row r="14" spans="1:23" ht="12.95" customHeight="1">
      <c r="B14" s="4" t="s">
        <v>24</v>
      </c>
      <c r="E14" s="37">
        <v>2</v>
      </c>
      <c r="F14" s="3"/>
      <c r="G14" s="4" t="s">
        <v>23</v>
      </c>
      <c r="J14" s="3">
        <v>2024</v>
      </c>
      <c r="K14" s="38">
        <v>0.9</v>
      </c>
      <c r="P14" s="3"/>
      <c r="S14" s="4" t="str">
        <f t="shared" ref="S14:S16" si="0">G14</f>
        <v>Intelligent Cloud</v>
      </c>
      <c r="V14" s="3">
        <f t="shared" ref="V14:V16" si="1">J14</f>
        <v>2024</v>
      </c>
      <c r="W14" s="38">
        <v>1.1200000000000001</v>
      </c>
    </row>
    <row r="15" spans="1:23" ht="12.95" customHeight="1">
      <c r="B15" s="39"/>
      <c r="F15" s="3"/>
      <c r="G15" s="4" t="s">
        <v>23</v>
      </c>
      <c r="J15" s="3">
        <v>2030</v>
      </c>
      <c r="K15" s="38">
        <v>0.13500000000000001</v>
      </c>
      <c r="M15" s="4" t="str">
        <f>G15</f>
        <v>Intelligent Cloud</v>
      </c>
      <c r="P15" s="3">
        <f>J15</f>
        <v>2030</v>
      </c>
      <c r="Q15" s="38">
        <v>0.16500000000000001</v>
      </c>
      <c r="S15" s="4" t="str">
        <f t="shared" si="0"/>
        <v>Intelligent Cloud</v>
      </c>
      <c r="V15" s="3">
        <f t="shared" si="1"/>
        <v>2030</v>
      </c>
      <c r="W15" s="38">
        <v>0.185</v>
      </c>
    </row>
    <row r="16" spans="1:23" ht="12.95" customHeight="1">
      <c r="B16" s="39" t="s">
        <v>25</v>
      </c>
      <c r="F16" s="3"/>
      <c r="G16" s="4" t="s">
        <v>24</v>
      </c>
      <c r="J16" s="3">
        <v>2024</v>
      </c>
      <c r="K16" s="38">
        <v>0.9</v>
      </c>
      <c r="P16" s="3"/>
      <c r="Q16" s="3"/>
      <c r="S16" s="4" t="str">
        <f t="shared" si="0"/>
        <v>More Personal Computing</v>
      </c>
      <c r="V16" s="3">
        <f t="shared" si="1"/>
        <v>2024</v>
      </c>
      <c r="W16" s="38">
        <v>1.1200000000000001</v>
      </c>
    </row>
    <row r="17" spans="2:23" ht="12.95" customHeight="1">
      <c r="B17" s="4" t="s">
        <v>22</v>
      </c>
      <c r="E17" s="37">
        <v>2</v>
      </c>
      <c r="F17" s="3"/>
      <c r="G17" s="4" t="s">
        <v>24</v>
      </c>
      <c r="J17" s="3">
        <v>2030</v>
      </c>
      <c r="K17" s="38">
        <v>0.04</v>
      </c>
      <c r="M17" s="4" t="str">
        <f>G17</f>
        <v>More Personal Computing</v>
      </c>
      <c r="P17" s="3">
        <f>J17</f>
        <v>2030</v>
      </c>
      <c r="Q17" s="38">
        <v>0.05</v>
      </c>
      <c r="S17" s="4" t="str">
        <f t="shared" ref="S17" si="2">G17</f>
        <v>More Personal Computing</v>
      </c>
      <c r="V17" s="3">
        <f t="shared" ref="V17" si="3">J17</f>
        <v>2030</v>
      </c>
      <c r="W17" s="38">
        <v>0.06</v>
      </c>
    </row>
    <row r="18" spans="2:23" ht="12.95" customHeight="1">
      <c r="B18" s="4" t="s">
        <v>23</v>
      </c>
      <c r="E18" s="37">
        <v>2</v>
      </c>
      <c r="F18" s="3"/>
    </row>
    <row r="19" spans="2:23" ht="12.95" customHeight="1">
      <c r="B19" s="4" t="s">
        <v>24</v>
      </c>
      <c r="E19" s="37">
        <v>2</v>
      </c>
      <c r="F19" s="3"/>
      <c r="G19" s="39" t="s">
        <v>25</v>
      </c>
      <c r="J19" s="64" t="s">
        <v>20</v>
      </c>
      <c r="K19" s="64" t="s">
        <v>21</v>
      </c>
      <c r="M19" s="39" t="s">
        <v>25</v>
      </c>
      <c r="P19" s="64" t="s">
        <v>20</v>
      </c>
      <c r="Q19" s="64" t="s">
        <v>21</v>
      </c>
      <c r="S19" s="39" t="s">
        <v>25</v>
      </c>
      <c r="V19" s="64" t="s">
        <v>20</v>
      </c>
      <c r="W19" s="64" t="s">
        <v>21</v>
      </c>
    </row>
    <row r="20" spans="2:23" ht="12.95" customHeight="1">
      <c r="G20" s="4" t="s">
        <v>22</v>
      </c>
      <c r="J20" s="3" t="s">
        <v>26</v>
      </c>
      <c r="K20" s="38">
        <v>-0.04</v>
      </c>
      <c r="P20" s="3"/>
      <c r="S20" s="4" t="str">
        <f t="shared" ref="S20" si="4">G20</f>
        <v>Productivity and Business Processes</v>
      </c>
      <c r="V20" s="3" t="str">
        <f t="shared" ref="V20" si="5">J20</f>
        <v>2024-30</v>
      </c>
      <c r="W20" s="38">
        <v>0.04</v>
      </c>
    </row>
    <row r="21" spans="2:23" ht="12.95" customHeight="1">
      <c r="B21" s="39" t="s">
        <v>27</v>
      </c>
      <c r="G21" s="4" t="s">
        <v>23</v>
      </c>
      <c r="J21" s="3" t="s">
        <v>26</v>
      </c>
      <c r="K21" s="38">
        <v>-0.04</v>
      </c>
      <c r="P21" s="3"/>
      <c r="S21" s="4" t="str">
        <f t="shared" ref="S21" si="6">G21</f>
        <v>Intelligent Cloud</v>
      </c>
      <c r="V21" s="3" t="str">
        <f t="shared" ref="V21" si="7">J21</f>
        <v>2024-30</v>
      </c>
      <c r="W21" s="38">
        <v>0.04</v>
      </c>
    </row>
    <row r="22" spans="2:23" ht="12.95" customHeight="1">
      <c r="B22" s="4" t="s">
        <v>28</v>
      </c>
      <c r="E22" s="37">
        <v>2</v>
      </c>
      <c r="F22" s="3"/>
      <c r="G22" s="4" t="s">
        <v>24</v>
      </c>
      <c r="J22" s="3" t="s">
        <v>26</v>
      </c>
      <c r="K22" s="38">
        <v>-0.04</v>
      </c>
      <c r="P22" s="3"/>
      <c r="S22" s="4" t="str">
        <f t="shared" ref="S22" si="8">G22</f>
        <v>More Personal Computing</v>
      </c>
      <c r="V22" s="3" t="str">
        <f t="shared" ref="V22" si="9">J22</f>
        <v>2024-30</v>
      </c>
      <c r="W22" s="38">
        <v>0.04</v>
      </c>
    </row>
    <row r="23" spans="2:23" ht="12.95" customHeight="1">
      <c r="B23" s="4" t="s">
        <v>29</v>
      </c>
      <c r="E23" s="37">
        <v>2</v>
      </c>
      <c r="F23" s="3"/>
      <c r="J23" s="3"/>
      <c r="K23" s="3"/>
      <c r="L23" s="3"/>
      <c r="M23" s="3"/>
      <c r="N23" s="3"/>
      <c r="O23" s="3"/>
      <c r="P23" s="3"/>
      <c r="Q23" s="3"/>
      <c r="V23" s="3"/>
    </row>
    <row r="24" spans="2:23" ht="12.95" customHeight="1">
      <c r="B24" s="4" t="s">
        <v>30</v>
      </c>
      <c r="E24" s="37">
        <v>2</v>
      </c>
      <c r="F24" s="3"/>
    </row>
    <row r="25" spans="2:23" ht="12.95" customHeight="1">
      <c r="B25" s="4" t="s">
        <v>31</v>
      </c>
      <c r="E25" s="37">
        <v>2</v>
      </c>
      <c r="F25" s="3"/>
      <c r="G25" s="39" t="s">
        <v>27</v>
      </c>
      <c r="J25" s="64"/>
      <c r="K25" s="64" t="s">
        <v>21</v>
      </c>
      <c r="M25" s="39" t="s">
        <v>27</v>
      </c>
      <c r="P25" s="64"/>
      <c r="Q25" s="64" t="s">
        <v>21</v>
      </c>
      <c r="S25" s="39" t="s">
        <v>27</v>
      </c>
      <c r="V25" s="64"/>
      <c r="W25" s="64" t="s">
        <v>21</v>
      </c>
    </row>
    <row r="26" spans="2:23" ht="12.95" customHeight="1">
      <c r="B26" s="4" t="s">
        <v>32</v>
      </c>
      <c r="E26" s="37">
        <v>2</v>
      </c>
      <c r="F26" s="3"/>
      <c r="G26" s="4" t="str">
        <f t="shared" ref="G26:G31" si="10">B22</f>
        <v>Taxes</v>
      </c>
      <c r="J26" s="3"/>
      <c r="K26" s="38">
        <f>K64</f>
        <v>0.18330750230057635</v>
      </c>
      <c r="M26" s="4" t="str">
        <f>G26</f>
        <v>Taxes</v>
      </c>
      <c r="P26" s="3"/>
      <c r="Q26" s="38">
        <f>AVERAGE(I64:K64)</f>
        <v>0.14832620001333915</v>
      </c>
      <c r="S26" s="4" t="str">
        <f>G26</f>
        <v>Taxes</v>
      </c>
      <c r="V26" s="3"/>
      <c r="W26" s="38">
        <f>AVERAGE(G64:K64)</f>
        <v>0.14316932335950461</v>
      </c>
    </row>
    <row r="27" spans="2:23" ht="12.95" customHeight="1">
      <c r="B27" s="4" t="s">
        <v>33</v>
      </c>
      <c r="E27" s="37">
        <v>2</v>
      </c>
      <c r="F27" s="3"/>
      <c r="G27" s="4" t="str">
        <f t="shared" si="10"/>
        <v>D&amp;A</v>
      </c>
      <c r="J27" s="3"/>
      <c r="K27" s="38">
        <v>8.5000000000000006E-2</v>
      </c>
      <c r="M27" s="4" t="str">
        <f t="shared" ref="M27:M31" si="11">G27</f>
        <v>D&amp;A</v>
      </c>
      <c r="P27" s="3"/>
      <c r="Q27" s="38">
        <v>0.1</v>
      </c>
      <c r="S27" s="4" t="str">
        <f t="shared" ref="S27:S31" si="12">G27</f>
        <v>D&amp;A</v>
      </c>
      <c r="V27" s="3"/>
      <c r="W27" s="38">
        <v>0.115</v>
      </c>
    </row>
    <row r="28" spans="2:23" ht="12.95" customHeight="1">
      <c r="G28" s="4" t="str">
        <f t="shared" si="10"/>
        <v>CapEx</v>
      </c>
      <c r="K28" s="38">
        <v>0.13500000000000001</v>
      </c>
      <c r="M28" s="4" t="str">
        <f t="shared" si="11"/>
        <v>CapEx</v>
      </c>
      <c r="P28" s="3"/>
      <c r="Q28" s="38">
        <f>AVERAGE(I136:K136)</f>
        <v>0.12008742906072768</v>
      </c>
      <c r="S28" s="4" t="str">
        <f t="shared" si="12"/>
        <v>CapEx</v>
      </c>
      <c r="W28" s="38">
        <v>0.105</v>
      </c>
    </row>
    <row r="29" spans="2:23" ht="12.95" customHeight="1">
      <c r="B29" s="63" t="s">
        <v>34</v>
      </c>
      <c r="C29" s="35"/>
      <c r="D29" s="35"/>
      <c r="E29" s="35"/>
      <c r="G29" s="4" t="str">
        <f t="shared" si="10"/>
        <v>Change in NWC</v>
      </c>
      <c r="K29" s="38">
        <v>0.02</v>
      </c>
      <c r="M29" s="4" t="str">
        <f t="shared" si="11"/>
        <v>Change in NWC</v>
      </c>
      <c r="P29" s="3"/>
      <c r="Q29" s="38">
        <v>0</v>
      </c>
      <c r="S29" s="4" t="str">
        <f t="shared" si="12"/>
        <v>Change in NWC</v>
      </c>
      <c r="W29" s="38">
        <v>-0.02</v>
      </c>
    </row>
    <row r="30" spans="2:23" ht="12.95" customHeight="1">
      <c r="B30" s="4" t="s">
        <v>32</v>
      </c>
      <c r="E30" s="97">
        <f>CHOOSE(E26,K30,Q30,W30)</f>
        <v>8.5751040898178671E-2</v>
      </c>
      <c r="G30" s="4" t="str">
        <f t="shared" si="10"/>
        <v>WACC</v>
      </c>
      <c r="K30" s="38">
        <f>Q30+0.5%</f>
        <v>9.0751040898178675E-2</v>
      </c>
      <c r="M30" s="4" t="str">
        <f t="shared" si="11"/>
        <v>WACC</v>
      </c>
      <c r="P30" s="3"/>
      <c r="Q30" s="38">
        <f>WACC!F22</f>
        <v>8.5751040898178671E-2</v>
      </c>
      <c r="S30" s="4" t="str">
        <f t="shared" si="12"/>
        <v>WACC</v>
      </c>
      <c r="W30" s="38">
        <f>Q30-0.5%</f>
        <v>8.0751040898178666E-2</v>
      </c>
    </row>
    <row r="31" spans="2:23" ht="12.95" customHeight="1">
      <c r="B31" s="4" t="s">
        <v>33</v>
      </c>
      <c r="E31" s="97">
        <f>CHOOSE(E27,K31,Q31,W31)</f>
        <v>2.5000000000000001E-2</v>
      </c>
      <c r="G31" s="4" t="str">
        <f t="shared" si="10"/>
        <v>TGR</v>
      </c>
      <c r="K31" s="38">
        <v>0.02</v>
      </c>
      <c r="M31" s="4" t="str">
        <f t="shared" si="11"/>
        <v>TGR</v>
      </c>
      <c r="P31" s="3"/>
      <c r="Q31" s="38">
        <v>2.5000000000000001E-2</v>
      </c>
      <c r="S31" s="4" t="str">
        <f t="shared" si="12"/>
        <v>TGR</v>
      </c>
      <c r="W31" s="38">
        <v>0.03</v>
      </c>
    </row>
    <row r="32" spans="2:23" ht="12.95" customHeight="1">
      <c r="M32" s="48"/>
      <c r="N32" s="48" t="s">
        <v>13</v>
      </c>
      <c r="O32" s="48" t="s">
        <v>13</v>
      </c>
      <c r="P32" s="48" t="s">
        <v>13</v>
      </c>
    </row>
    <row r="33" spans="1:19" ht="12.95" customHeight="1">
      <c r="A33" s="3" t="s">
        <v>13</v>
      </c>
      <c r="B33" s="61" t="s">
        <v>35</v>
      </c>
      <c r="C33" s="61"/>
      <c r="D33" s="61"/>
      <c r="E33" s="65">
        <v>2016</v>
      </c>
      <c r="F33" s="65">
        <f>E33+1</f>
        <v>2017</v>
      </c>
      <c r="G33" s="65">
        <f>F33+1</f>
        <v>2018</v>
      </c>
      <c r="H33" s="65">
        <f>G33+1</f>
        <v>2019</v>
      </c>
      <c r="I33" s="65">
        <f t="shared" ref="I33" si="13">H33+1</f>
        <v>2020</v>
      </c>
      <c r="J33" s="65">
        <f t="shared" ref="J33:K33" si="14">I33+1</f>
        <v>2021</v>
      </c>
      <c r="K33" s="65">
        <f t="shared" si="14"/>
        <v>2022</v>
      </c>
      <c r="L33" s="66">
        <f t="shared" ref="L33" si="15">K33+1</f>
        <v>2023</v>
      </c>
      <c r="M33" s="66">
        <f t="shared" ref="M33" si="16">L33+1</f>
        <v>2024</v>
      </c>
      <c r="N33" s="66">
        <f t="shared" ref="N33" si="17">M33+1</f>
        <v>2025</v>
      </c>
      <c r="O33" s="66">
        <f t="shared" ref="O33" si="18">N33+1</f>
        <v>2026</v>
      </c>
      <c r="P33" s="66">
        <f t="shared" ref="P33" si="19">O33+1</f>
        <v>2027</v>
      </c>
    </row>
    <row r="34" spans="1:19" ht="5.0999999999999996" customHeight="1">
      <c r="B34" s="62"/>
      <c r="C34" s="62"/>
      <c r="D34" s="62"/>
      <c r="E34" s="68"/>
      <c r="F34" s="68"/>
      <c r="G34" s="68"/>
      <c r="H34" s="68"/>
      <c r="I34" s="68"/>
      <c r="J34" s="68"/>
      <c r="K34" s="69"/>
      <c r="L34" s="69"/>
      <c r="M34" s="69"/>
      <c r="N34" s="69"/>
      <c r="O34" s="69"/>
      <c r="P34" s="67"/>
    </row>
    <row r="35" spans="1:19" ht="12.95" customHeight="1">
      <c r="B35" s="63" t="s">
        <v>19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9" ht="12.95" customHeight="1">
      <c r="B36" s="4" t="str">
        <f>'Product Segments'!A6</f>
        <v>Productivity and Business Processes</v>
      </c>
      <c r="E36" s="67">
        <f>'Product Segments'!B6</f>
        <v>28518.2</v>
      </c>
      <c r="F36" s="67">
        <f>'Product Segments'!C6</f>
        <v>33176.800000000003</v>
      </c>
      <c r="G36" s="67">
        <f>'Product Segments'!D6</f>
        <v>38534.300000000003</v>
      </c>
      <c r="H36" s="67">
        <f>'Product Segments'!E6</f>
        <v>43736.6</v>
      </c>
      <c r="I36" s="67">
        <f>'Product Segments'!F6</f>
        <v>50251.3</v>
      </c>
      <c r="J36" s="67">
        <f>'Product Segments'!G6</f>
        <v>58678.3</v>
      </c>
      <c r="K36" s="67">
        <f>'Product Segments'!H6</f>
        <v>66343.3</v>
      </c>
      <c r="L36" s="67">
        <f>'Product Segments'!I6</f>
        <v>73267.100000000006</v>
      </c>
      <c r="M36" s="67">
        <f>'Product Segments'!J6</f>
        <v>82236.5</v>
      </c>
      <c r="N36" s="113">
        <f>'Product Segments'!K6</f>
        <v>91674.1</v>
      </c>
      <c r="O36" s="113">
        <f>'Product Segments'!L6</f>
        <v>106178</v>
      </c>
      <c r="P36" s="113">
        <f>'Product Segments'!M6</f>
        <v>123372</v>
      </c>
    </row>
    <row r="37" spans="1:19" ht="12.95" customHeight="1">
      <c r="B37" s="40" t="s">
        <v>36</v>
      </c>
      <c r="E37" s="46" t="s">
        <v>37</v>
      </c>
      <c r="F37" s="47">
        <f>F36/E36-1</f>
        <v>0.16335533098161892</v>
      </c>
      <c r="G37" s="47">
        <f>G36/F36-1</f>
        <v>0.16148332569747526</v>
      </c>
      <c r="H37" s="47">
        <f>H36/G36-1</f>
        <v>0.13500439867857983</v>
      </c>
      <c r="I37" s="47">
        <f>I36/H36-1</f>
        <v>0.1489530507629766</v>
      </c>
      <c r="J37" s="47">
        <f>J36/I36-1</f>
        <v>0.16769715410347596</v>
      </c>
      <c r="K37" s="47">
        <f t="shared" ref="K37:O37" si="20">K36/J36-1</f>
        <v>0.13062750625018116</v>
      </c>
      <c r="L37" s="47">
        <f t="shared" si="20"/>
        <v>0.10436321376838364</v>
      </c>
      <c r="M37" s="47">
        <f t="shared" si="20"/>
        <v>0.12242056803121715</v>
      </c>
      <c r="N37" s="47">
        <f t="shared" si="20"/>
        <v>0.11476169340864462</v>
      </c>
      <c r="O37" s="47">
        <f t="shared" si="20"/>
        <v>0.15821153411923317</v>
      </c>
      <c r="P37" s="47">
        <f t="shared" ref="P37" si="21">P36/O36-1</f>
        <v>0.16193561754789121</v>
      </c>
      <c r="Q37" s="47"/>
    </row>
    <row r="38" spans="1:19" ht="12.95" customHeight="1"/>
    <row r="39" spans="1:19" ht="12.95" customHeight="1">
      <c r="B39" s="4" t="str">
        <f>'Product Segments'!A7</f>
        <v>Intelligent Cloud</v>
      </c>
      <c r="E39" s="67">
        <f>'Product Segments'!B7</f>
        <v>26285.3</v>
      </c>
      <c r="F39" s="67">
        <f>'Product Segments'!C7</f>
        <v>29849.1</v>
      </c>
      <c r="G39" s="67">
        <f>'Product Segments'!D7</f>
        <v>35629.800000000003</v>
      </c>
      <c r="H39" s="67">
        <f>'Product Segments'!E7</f>
        <v>43647.4</v>
      </c>
      <c r="I39" s="67">
        <f>'Product Segments'!F7</f>
        <v>54337.8</v>
      </c>
      <c r="J39" s="67">
        <f>'Product Segments'!G7</f>
        <v>67727.8</v>
      </c>
      <c r="K39" s="67">
        <f>'Product Segments'!H7</f>
        <v>81631</v>
      </c>
      <c r="L39" s="67">
        <f>'Product Segments'!I7</f>
        <v>95651.7</v>
      </c>
      <c r="M39" s="67">
        <f>'Product Segments'!J7</f>
        <v>112898</v>
      </c>
      <c r="N39" s="113">
        <f>'Product Segments'!K7</f>
        <v>133610</v>
      </c>
      <c r="O39" s="113">
        <f>'Product Segments'!L7</f>
        <v>162216</v>
      </c>
      <c r="P39" s="113">
        <f>'Product Segments'!M7</f>
        <v>200481</v>
      </c>
      <c r="Q39" s="67"/>
      <c r="R39" s="67"/>
      <c r="S39" s="67"/>
    </row>
    <row r="40" spans="1:19" ht="12.95" customHeight="1">
      <c r="B40" s="40" t="s">
        <v>36</v>
      </c>
      <c r="E40" s="46" t="s">
        <v>37</v>
      </c>
      <c r="F40" s="47">
        <f>F39/E39-1</f>
        <v>0.13558148470818288</v>
      </c>
      <c r="G40" s="47">
        <f>G39/F39-1</f>
        <v>0.19366413057680143</v>
      </c>
      <c r="H40" s="47">
        <f t="shared" ref="H40" si="22">H39/G39-1</f>
        <v>0.22502511942250591</v>
      </c>
      <c r="I40" s="47">
        <f t="shared" ref="I40" si="23">I39/H39-1</f>
        <v>0.24492638736786154</v>
      </c>
      <c r="J40" s="47">
        <f t="shared" ref="J40" si="24">J39/I39-1</f>
        <v>0.24642145983090957</v>
      </c>
      <c r="K40" s="47">
        <f t="shared" ref="K40" si="25">K39/J39-1</f>
        <v>0.20528054949370866</v>
      </c>
      <c r="L40" s="47">
        <f t="shared" ref="L40" si="26">L39/K39-1</f>
        <v>0.17175705308032474</v>
      </c>
      <c r="M40" s="47">
        <f t="shared" ref="M40" si="27">M39/L39-1</f>
        <v>0.1803031205927339</v>
      </c>
      <c r="N40" s="47">
        <f t="shared" ref="N40" si="28">N39/M39-1</f>
        <v>0.18345763432478868</v>
      </c>
      <c r="O40" s="47">
        <f t="shared" ref="O40" si="29">O39/N39-1</f>
        <v>0.21410074096250287</v>
      </c>
      <c r="P40" s="47">
        <f t="shared" ref="P40" si="30">P39/O39-1</f>
        <v>0.23588918479064946</v>
      </c>
      <c r="Q40" s="47"/>
    </row>
    <row r="41" spans="1:19" ht="12.95" customHeight="1"/>
    <row r="42" spans="1:19" ht="12.95" customHeight="1">
      <c r="B42" s="4" t="str">
        <f>'Product Segments'!A8</f>
        <v>More Personal Computing</v>
      </c>
      <c r="E42" s="67">
        <f>'Product Segments'!B8</f>
        <v>39665.300000000003</v>
      </c>
      <c r="F42" s="67">
        <f>'Product Segments'!C8</f>
        <v>40538.9</v>
      </c>
      <c r="G42" s="67">
        <f>'Product Segments'!D8</f>
        <v>44001.1</v>
      </c>
      <c r="H42" s="67">
        <f>'Product Segments'!E8</f>
        <v>46918.5</v>
      </c>
      <c r="I42" s="67">
        <f>'Product Segments'!F8</f>
        <v>51262.5</v>
      </c>
      <c r="J42" s="67">
        <f>'Product Segments'!G8</f>
        <v>56896.9</v>
      </c>
      <c r="K42" s="67">
        <f>'Product Segments'!H8</f>
        <v>57174.3</v>
      </c>
      <c r="L42" s="67">
        <f>'Product Segments'!I8</f>
        <v>58133.9</v>
      </c>
      <c r="M42" s="67">
        <f>'Product Segments'!J8</f>
        <v>64143.4</v>
      </c>
      <c r="N42" s="113">
        <f>'Product Segments'!K8</f>
        <v>69043.100000000006</v>
      </c>
      <c r="O42" s="113">
        <f>'Product Segments'!L8</f>
        <v>76290.399999999994</v>
      </c>
      <c r="P42" s="113">
        <f>'Product Segments'!M8</f>
        <v>84004.6</v>
      </c>
      <c r="Q42" s="67"/>
      <c r="R42" s="67"/>
      <c r="S42" s="67"/>
    </row>
    <row r="43" spans="1:19" ht="12.95" customHeight="1">
      <c r="B43" s="40" t="s">
        <v>36</v>
      </c>
      <c r="E43" s="46" t="s">
        <v>37</v>
      </c>
      <c r="F43" s="47">
        <f>F42/E42-1</f>
        <v>2.2024288231779376E-2</v>
      </c>
      <c r="G43" s="47">
        <f>G42/F42-1</f>
        <v>8.5404389364289512E-2</v>
      </c>
      <c r="H43" s="47">
        <f t="shared" ref="H43" si="31">H42/G42-1</f>
        <v>6.6302887882348394E-2</v>
      </c>
      <c r="I43" s="47">
        <f t="shared" ref="I43" si="32">I42/H42-1</f>
        <v>9.2586080117650793E-2</v>
      </c>
      <c r="J43" s="47">
        <f t="shared" ref="J43" si="33">J42/I42-1</f>
        <v>0.10991270421848331</v>
      </c>
      <c r="K43" s="47">
        <f t="shared" ref="K43" si="34">K42/J42-1</f>
        <v>4.8754853076353744E-3</v>
      </c>
      <c r="L43" s="47">
        <f t="shared" ref="L43" si="35">L42/K42-1</f>
        <v>1.6783764733455442E-2</v>
      </c>
      <c r="M43" s="47">
        <f t="shared" ref="M43" si="36">M42/L42-1</f>
        <v>0.10337341895176477</v>
      </c>
      <c r="N43" s="47">
        <f t="shared" ref="N43" si="37">N42/M42-1</f>
        <v>7.6386658642978222E-2</v>
      </c>
      <c r="O43" s="47">
        <f t="shared" ref="O43:P43" si="38">O42/N42-1</f>
        <v>0.1049677665110631</v>
      </c>
      <c r="P43" s="47">
        <f t="shared" si="38"/>
        <v>0.10111626102366755</v>
      </c>
    </row>
    <row r="44" spans="1:19" ht="12.95" customHeight="1"/>
    <row r="45" spans="1:19" ht="12.95" customHeight="1">
      <c r="B45" s="43" t="s">
        <v>38</v>
      </c>
      <c r="C45" s="49"/>
      <c r="D45" s="49"/>
      <c r="E45" s="50">
        <f>E36+E39+E42</f>
        <v>94468.800000000003</v>
      </c>
      <c r="F45" s="50">
        <f t="shared" ref="F45:P45" si="39">F36+F39+F42</f>
        <v>103564.8</v>
      </c>
      <c r="G45" s="50">
        <f t="shared" si="39"/>
        <v>118165.20000000001</v>
      </c>
      <c r="H45" s="50">
        <f t="shared" si="39"/>
        <v>134302.5</v>
      </c>
      <c r="I45" s="50">
        <f t="shared" si="39"/>
        <v>155851.6</v>
      </c>
      <c r="J45" s="50">
        <f t="shared" si="39"/>
        <v>183303</v>
      </c>
      <c r="K45" s="50">
        <f t="shared" si="39"/>
        <v>205148.59999999998</v>
      </c>
      <c r="L45" s="50">
        <f t="shared" si="39"/>
        <v>227052.69999999998</v>
      </c>
      <c r="M45" s="50">
        <f t="shared" si="39"/>
        <v>259277.9</v>
      </c>
      <c r="N45" s="50">
        <f t="shared" si="39"/>
        <v>294327.2</v>
      </c>
      <c r="O45" s="50">
        <f t="shared" si="39"/>
        <v>344684.4</v>
      </c>
      <c r="P45" s="108">
        <f t="shared" si="39"/>
        <v>407857.6</v>
      </c>
    </row>
    <row r="46" spans="1:19" ht="12.95" customHeight="1">
      <c r="B46" s="44" t="s">
        <v>36</v>
      </c>
      <c r="C46" s="52"/>
      <c r="D46" s="52"/>
      <c r="E46" s="53" t="s">
        <v>37</v>
      </c>
      <c r="F46" s="54">
        <f>F45/E45-1</f>
        <v>9.6285757837508257E-2</v>
      </c>
      <c r="G46" s="54">
        <f t="shared" ref="G46:P46" si="40">G45/F45-1</f>
        <v>0.14097840192806821</v>
      </c>
      <c r="H46" s="54">
        <f t="shared" si="40"/>
        <v>0.13656558783804362</v>
      </c>
      <c r="I46" s="54">
        <f t="shared" si="40"/>
        <v>0.1604519647809981</v>
      </c>
      <c r="J46" s="54">
        <f t="shared" si="40"/>
        <v>0.17613806980486557</v>
      </c>
      <c r="K46" s="54">
        <f t="shared" si="40"/>
        <v>0.11917753664697228</v>
      </c>
      <c r="L46" s="54">
        <f t="shared" si="40"/>
        <v>0.1067718717066557</v>
      </c>
      <c r="M46" s="54">
        <f t="shared" si="40"/>
        <v>0.14192828360992849</v>
      </c>
      <c r="N46" s="54">
        <f t="shared" si="40"/>
        <v>0.13518043766938881</v>
      </c>
      <c r="O46" s="54">
        <f t="shared" si="40"/>
        <v>0.17109257995863114</v>
      </c>
      <c r="P46" s="109">
        <f t="shared" si="40"/>
        <v>0.18327838451638634</v>
      </c>
    </row>
    <row r="47" spans="1:19" ht="12.95" customHeight="1"/>
    <row r="48" spans="1:19" ht="12.95" customHeight="1">
      <c r="B48" s="63" t="s">
        <v>25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ht="12.95" customHeight="1">
      <c r="B49" s="4" t="str">
        <f>B36</f>
        <v>Productivity and Business Processes</v>
      </c>
      <c r="E49" s="67">
        <f>'Product Segments'!B11</f>
        <v>12186</v>
      </c>
      <c r="F49" s="67">
        <f>'Product Segments'!C11</f>
        <v>12422.7</v>
      </c>
      <c r="G49" s="67">
        <f>'Product Segments'!D11</f>
        <v>14585</v>
      </c>
      <c r="H49" s="67">
        <f>'Product Segments'!E11</f>
        <v>17456</v>
      </c>
      <c r="I49" s="67">
        <f>'Product Segments'!F11</f>
        <v>21586.400000000001</v>
      </c>
      <c r="J49" s="67">
        <f>'Product Segments'!G11</f>
        <v>27040.9</v>
      </c>
      <c r="K49" s="67">
        <f>'Product Segments'!H11</f>
        <v>31956.5</v>
      </c>
      <c r="L49" s="67">
        <f>'Product Segments'!I11</f>
        <v>36685.699999999997</v>
      </c>
      <c r="M49" s="67">
        <f>'Product Segments'!J11</f>
        <v>41708.5</v>
      </c>
      <c r="N49" s="113">
        <f>'Product Segments'!K11</f>
        <v>47141.2</v>
      </c>
      <c r="O49" s="113">
        <f>'Product Segments'!L11</f>
        <v>53538.1</v>
      </c>
      <c r="P49" s="113">
        <f>'Product Segments'!M11</f>
        <v>60575.6</v>
      </c>
    </row>
    <row r="50" spans="1:16" ht="12.95" customHeight="1">
      <c r="B50" s="40" t="s">
        <v>39</v>
      </c>
      <c r="E50" s="74" t="s">
        <v>37</v>
      </c>
      <c r="F50" s="74">
        <f>F49/E36</f>
        <v>0.43560603404141918</v>
      </c>
      <c r="G50" s="74">
        <f t="shared" ref="G50:O50" si="41">G49/F36</f>
        <v>0.43961442936027584</v>
      </c>
      <c r="H50" s="74">
        <f t="shared" si="41"/>
        <v>0.45299901646065971</v>
      </c>
      <c r="I50" s="74">
        <f t="shared" si="41"/>
        <v>0.49355459729379975</v>
      </c>
      <c r="J50" s="74">
        <f t="shared" si="41"/>
        <v>0.53811344184130561</v>
      </c>
      <c r="K50" s="74">
        <f t="shared" si="41"/>
        <v>0.54460507547082992</v>
      </c>
      <c r="L50" s="74">
        <f t="shared" si="41"/>
        <v>0.55296766968179145</v>
      </c>
      <c r="M50" s="74">
        <f t="shared" si="41"/>
        <v>0.56926642381096015</v>
      </c>
      <c r="N50" s="74">
        <f t="shared" si="41"/>
        <v>0.57323937667580693</v>
      </c>
      <c r="O50" s="74">
        <f t="shared" si="41"/>
        <v>0.58400464253262363</v>
      </c>
    </row>
    <row r="51" spans="1:16" ht="12.95" customHeight="1"/>
    <row r="52" spans="1:16" ht="12.95" customHeight="1">
      <c r="B52" s="4" t="str">
        <f>B39</f>
        <v>Intelligent Cloud</v>
      </c>
      <c r="E52" s="67">
        <f>'Product Segments'!B12</f>
        <v>9259.99</v>
      </c>
      <c r="F52" s="67">
        <f>'Product Segments'!C12</f>
        <v>10340.799999999999</v>
      </c>
      <c r="G52" s="67">
        <f>'Product Segments'!D12</f>
        <v>12731.8</v>
      </c>
      <c r="H52" s="67">
        <f>'Product Segments'!E12</f>
        <v>16114.9</v>
      </c>
      <c r="I52" s="67">
        <f>'Product Segments'!F12</f>
        <v>22282.3</v>
      </c>
      <c r="J52" s="67">
        <f>'Product Segments'!G12</f>
        <v>29450.6</v>
      </c>
      <c r="K52" s="67">
        <f>'Product Segments'!H12</f>
        <v>35323.699999999997</v>
      </c>
      <c r="L52" s="67">
        <f>'Product Segments'!I12</f>
        <v>42414.400000000001</v>
      </c>
      <c r="M52" s="67">
        <f>'Product Segments'!J12</f>
        <v>50996.4</v>
      </c>
      <c r="N52" s="113">
        <f>'Product Segments'!K12</f>
        <v>60782.7</v>
      </c>
      <c r="O52" s="113">
        <f>'Product Segments'!L12</f>
        <v>73651.399999999994</v>
      </c>
      <c r="P52" s="113">
        <f>'Product Segments'!M12</f>
        <v>90216.4</v>
      </c>
    </row>
    <row r="53" spans="1:16" ht="12.95" customHeight="1">
      <c r="B53" s="40" t="s">
        <v>39</v>
      </c>
      <c r="E53" s="74" t="s">
        <v>37</v>
      </c>
      <c r="F53" s="74">
        <f>F52/E39</f>
        <v>0.39340620042381103</v>
      </c>
      <c r="G53" s="74">
        <f t="shared" ref="G53:O53" si="42">G52/F39</f>
        <v>0.42653882361612244</v>
      </c>
      <c r="H53" s="74">
        <f t="shared" si="42"/>
        <v>0.4522871304357588</v>
      </c>
      <c r="I53" s="74">
        <f t="shared" si="42"/>
        <v>0.51050692595664349</v>
      </c>
      <c r="J53" s="74">
        <f t="shared" si="42"/>
        <v>0.54199102650456954</v>
      </c>
      <c r="K53" s="74">
        <f t="shared" si="42"/>
        <v>0.5215539261573533</v>
      </c>
      <c r="L53" s="74">
        <f t="shared" si="42"/>
        <v>0.51958692163516318</v>
      </c>
      <c r="M53" s="74">
        <f t="shared" si="42"/>
        <v>0.53314682331835195</v>
      </c>
      <c r="N53" s="74">
        <f t="shared" si="42"/>
        <v>0.53838597672235111</v>
      </c>
      <c r="O53" s="74">
        <f t="shared" si="42"/>
        <v>0.55124167352743059</v>
      </c>
    </row>
    <row r="54" spans="1:16" ht="12.95" customHeight="1"/>
    <row r="55" spans="1:16" ht="12.95" customHeight="1">
      <c r="B55" s="4" t="str">
        <f>B42</f>
        <v>More Personal Computing</v>
      </c>
      <c r="E55" s="67">
        <f>'Product Segments'!B13</f>
        <v>7236.75</v>
      </c>
      <c r="F55" s="67">
        <f>'Product Segments'!C13</f>
        <v>9458.5400000000009</v>
      </c>
      <c r="G55" s="67">
        <f>'Product Segments'!D13</f>
        <v>11724.1</v>
      </c>
      <c r="H55" s="67">
        <f>'Product Segments'!E13</f>
        <v>14356.3</v>
      </c>
      <c r="I55" s="67">
        <f>'Product Segments'!F13</f>
        <v>17711.400000000001</v>
      </c>
      <c r="J55" s="67">
        <f>'Product Segments'!G13</f>
        <v>20213.3</v>
      </c>
      <c r="K55" s="67">
        <f>'Product Segments'!H13</f>
        <v>18693.900000000001</v>
      </c>
      <c r="L55" s="67">
        <f>'Product Segments'!I13</f>
        <v>17250.2</v>
      </c>
      <c r="M55" s="67">
        <f>'Product Segments'!J13</f>
        <v>18576.900000000001</v>
      </c>
      <c r="N55" s="113">
        <f>'Product Segments'!K13</f>
        <v>20444.2</v>
      </c>
      <c r="O55" s="113">
        <f>'Product Segments'!L13</f>
        <v>22726.9</v>
      </c>
      <c r="P55" s="113">
        <f>'Product Segments'!M13</f>
        <v>23975.3</v>
      </c>
    </row>
    <row r="56" spans="1:16" ht="12.95" customHeight="1">
      <c r="B56" s="40" t="s">
        <v>39</v>
      </c>
      <c r="E56" s="74" t="s">
        <v>37</v>
      </c>
      <c r="F56" s="74">
        <f>F55/E42</f>
        <v>0.23845880404282838</v>
      </c>
      <c r="G56" s="74">
        <f t="shared" ref="G56:O56" si="43">G55/F42</f>
        <v>0.28920616987634101</v>
      </c>
      <c r="H56" s="74">
        <f t="shared" si="43"/>
        <v>0.32627138866982869</v>
      </c>
      <c r="I56" s="74">
        <f t="shared" si="43"/>
        <v>0.37749288660123409</v>
      </c>
      <c r="J56" s="74">
        <f t="shared" si="43"/>
        <v>0.39430968056571569</v>
      </c>
      <c r="K56" s="74">
        <f t="shared" si="43"/>
        <v>0.32855744337564968</v>
      </c>
      <c r="L56" s="74">
        <f t="shared" si="43"/>
        <v>0.30171248270639078</v>
      </c>
      <c r="M56" s="74">
        <f t="shared" si="43"/>
        <v>0.3195536511398685</v>
      </c>
      <c r="N56" s="74">
        <f t="shared" si="43"/>
        <v>0.31872647848414648</v>
      </c>
      <c r="O56" s="74">
        <f t="shared" si="43"/>
        <v>0.32916975048918717</v>
      </c>
    </row>
    <row r="57" spans="1:16" ht="12.95" customHeight="1">
      <c r="B57" s="40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</row>
    <row r="58" spans="1:16" ht="12.95" customHeight="1">
      <c r="B58" s="43" t="s">
        <v>40</v>
      </c>
      <c r="C58" s="49"/>
      <c r="D58" s="49"/>
      <c r="E58" s="50">
        <f>E49+E52+E55</f>
        <v>28682.739999999998</v>
      </c>
      <c r="F58" s="50">
        <f t="shared" ref="F58:O58" si="44">F49+F52+F55</f>
        <v>32222.04</v>
      </c>
      <c r="G58" s="50">
        <f t="shared" si="44"/>
        <v>39040.9</v>
      </c>
      <c r="H58" s="50">
        <f t="shared" si="44"/>
        <v>47927.199999999997</v>
      </c>
      <c r="I58" s="50">
        <f t="shared" si="44"/>
        <v>61580.1</v>
      </c>
      <c r="J58" s="50">
        <f t="shared" si="44"/>
        <v>76704.800000000003</v>
      </c>
      <c r="K58" s="50">
        <f t="shared" si="44"/>
        <v>85974.1</v>
      </c>
      <c r="L58" s="50">
        <f t="shared" si="44"/>
        <v>96350.3</v>
      </c>
      <c r="M58" s="50">
        <f t="shared" si="44"/>
        <v>111281.79999999999</v>
      </c>
      <c r="N58" s="50">
        <f t="shared" si="44"/>
        <v>128368.09999999999</v>
      </c>
      <c r="O58" s="107">
        <f t="shared" si="44"/>
        <v>149916.4</v>
      </c>
      <c r="P58" s="51">
        <f t="shared" ref="P58" si="45">P49+P52+P55</f>
        <v>174767.3</v>
      </c>
    </row>
    <row r="59" spans="1:16" ht="12.95" customHeight="1">
      <c r="A59" s="3" t="s">
        <v>13</v>
      </c>
      <c r="B59" s="44" t="s">
        <v>39</v>
      </c>
      <c r="C59" s="52"/>
      <c r="D59" s="52"/>
      <c r="E59" s="54">
        <f>E58/E45</f>
        <v>0.30362130142438559</v>
      </c>
      <c r="F59" s="54">
        <f>F58/F45</f>
        <v>0.31112926399703372</v>
      </c>
      <c r="G59" s="54">
        <f t="shared" ref="G59:O59" si="46">G58/G45</f>
        <v>0.33039253519648759</v>
      </c>
      <c r="H59" s="54">
        <f t="shared" si="46"/>
        <v>0.35686007334189607</v>
      </c>
      <c r="I59" s="54">
        <f t="shared" si="46"/>
        <v>0.39512010142982168</v>
      </c>
      <c r="J59" s="54">
        <f t="shared" si="46"/>
        <v>0.41845905413441137</v>
      </c>
      <c r="K59" s="54">
        <f t="shared" si="46"/>
        <v>0.41908207026516398</v>
      </c>
      <c r="L59" s="54">
        <f t="shared" si="46"/>
        <v>0.42435214379745323</v>
      </c>
      <c r="M59" s="54">
        <f t="shared" si="46"/>
        <v>0.42919894059617109</v>
      </c>
      <c r="N59" s="54">
        <f t="shared" si="46"/>
        <v>0.43614079840395309</v>
      </c>
      <c r="O59" s="106">
        <f t="shared" si="46"/>
        <v>0.43493816372310434</v>
      </c>
      <c r="P59" s="55">
        <f t="shared" ref="P59" si="47">P58/P45</f>
        <v>0.4285007806646241</v>
      </c>
    </row>
    <row r="60" spans="1:16" ht="12.95" customHeight="1">
      <c r="B60" s="40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</row>
    <row r="61" spans="1:16" ht="12.95" customHeight="1">
      <c r="B61" s="63" t="s">
        <v>28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2.95" customHeight="1">
      <c r="B62" s="4" t="s">
        <v>41</v>
      </c>
      <c r="E62" s="67">
        <f>'Income Statement'!E33</f>
        <v>20071</v>
      </c>
      <c r="F62" s="67">
        <f>'Income Statement'!F33</f>
        <v>28614</v>
      </c>
      <c r="G62" s="67">
        <f>'Income Statement'!G33</f>
        <v>39927</v>
      </c>
      <c r="H62" s="67">
        <f>'Income Statement'!H33</f>
        <v>49853</v>
      </c>
      <c r="I62" s="67">
        <f>'Income Statement'!I33</f>
        <v>60726</v>
      </c>
      <c r="J62" s="67">
        <f>'Income Statement'!J33</f>
        <v>79680</v>
      </c>
      <c r="K62" s="67">
        <f>'Income Statement'!K33</f>
        <v>82588</v>
      </c>
      <c r="L62" s="74"/>
      <c r="M62" s="74"/>
      <c r="N62" s="74"/>
      <c r="O62" s="74"/>
    </row>
    <row r="63" spans="1:16" ht="12.95" customHeight="1">
      <c r="B63" s="4" t="s">
        <v>28</v>
      </c>
      <c r="E63" s="67">
        <f>'Income Statement'!E34</f>
        <v>3303</v>
      </c>
      <c r="F63" s="67">
        <f>'Income Statement'!F34</f>
        <v>17026</v>
      </c>
      <c r="G63" s="67">
        <f>'Income Statement'!G34</f>
        <v>6386</v>
      </c>
      <c r="H63" s="67">
        <f>'Income Statement'!H34</f>
        <v>5530</v>
      </c>
      <c r="I63" s="67">
        <f>'Income Statement'!I34</f>
        <v>9416</v>
      </c>
      <c r="J63" s="67">
        <f>'Income Statement'!J34</f>
        <v>8495</v>
      </c>
      <c r="K63" s="67">
        <f>'Income Statement'!K34</f>
        <v>15139</v>
      </c>
      <c r="L63" s="74"/>
      <c r="M63" s="74"/>
      <c r="N63" s="74"/>
      <c r="O63" s="74"/>
    </row>
    <row r="64" spans="1:16" ht="12.95" customHeight="1">
      <c r="B64" s="40" t="s">
        <v>42</v>
      </c>
      <c r="E64" s="74">
        <f>E63/E62</f>
        <v>0.16456579144038663</v>
      </c>
      <c r="F64" s="74">
        <f t="shared" ref="F64:K64" si="48">F63/F62</f>
        <v>0.59502341511148393</v>
      </c>
      <c r="G64" s="74">
        <f t="shared" si="48"/>
        <v>0.15994189395647057</v>
      </c>
      <c r="H64" s="74">
        <f t="shared" si="48"/>
        <v>0.11092612280103505</v>
      </c>
      <c r="I64" s="74">
        <f t="shared" si="48"/>
        <v>0.15505714191614794</v>
      </c>
      <c r="J64" s="74">
        <f t="shared" si="48"/>
        <v>0.10661395582329317</v>
      </c>
      <c r="K64" s="74">
        <f t="shared" si="48"/>
        <v>0.18330750230057635</v>
      </c>
      <c r="L64" s="74"/>
      <c r="M64" s="74"/>
      <c r="N64" s="74"/>
      <c r="O64" s="74"/>
    </row>
    <row r="65" spans="1:19" ht="12.95" customHeight="1">
      <c r="B65" s="40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</row>
    <row r="66" spans="1:19" ht="12.95" customHeight="1">
      <c r="A66" s="3" t="s">
        <v>13</v>
      </c>
      <c r="B66" s="61" t="s">
        <v>43</v>
      </c>
      <c r="C66" s="61"/>
      <c r="D66" s="61"/>
      <c r="E66" s="65">
        <v>2016</v>
      </c>
      <c r="F66" s="65">
        <f>E66+1</f>
        <v>2017</v>
      </c>
      <c r="G66" s="65">
        <f>F66+1</f>
        <v>2018</v>
      </c>
      <c r="H66" s="65">
        <f>G66+1</f>
        <v>2019</v>
      </c>
      <c r="I66" s="65">
        <f t="shared" ref="I66" si="49">H66+1</f>
        <v>2020</v>
      </c>
      <c r="J66" s="65">
        <f t="shared" ref="J66:K66" si="50">I66+1</f>
        <v>2021</v>
      </c>
      <c r="K66" s="65">
        <f t="shared" si="50"/>
        <v>2022</v>
      </c>
      <c r="L66" s="74"/>
      <c r="M66" s="74"/>
      <c r="N66" s="74"/>
      <c r="O66" s="74"/>
      <c r="P66" s="74"/>
      <c r="Q66" s="74"/>
    </row>
    <row r="67" spans="1:19" ht="12.95" customHeight="1">
      <c r="B67" s="4" t="s">
        <v>29</v>
      </c>
      <c r="E67" s="67">
        <f>CFS!E11</f>
        <v>7599</v>
      </c>
      <c r="F67" s="67">
        <f>CFS!F11</f>
        <v>9831</v>
      </c>
      <c r="G67" s="67">
        <f>CFS!G11</f>
        <v>11058</v>
      </c>
      <c r="H67" s="67">
        <f>CFS!H11</f>
        <v>12024</v>
      </c>
      <c r="I67" s="67">
        <f>CFS!I11</f>
        <v>11532</v>
      </c>
      <c r="J67" s="67">
        <f>CFS!J11</f>
        <v>12202</v>
      </c>
      <c r="K67" s="67">
        <f>CFS!K11</f>
        <v>14190</v>
      </c>
      <c r="L67" s="74"/>
      <c r="M67" s="74"/>
      <c r="N67" s="74"/>
      <c r="O67" s="74"/>
      <c r="P67" s="74"/>
      <c r="Q67" s="74"/>
    </row>
    <row r="68" spans="1:19" ht="12.95" customHeight="1">
      <c r="B68" s="40" t="s">
        <v>39</v>
      </c>
      <c r="E68" s="74">
        <f t="shared" ref="E68:K68" si="51">E67/E45</f>
        <v>8.0439256135358975E-2</v>
      </c>
      <c r="F68" s="74">
        <f t="shared" si="51"/>
        <v>9.4926075268817203E-2</v>
      </c>
      <c r="G68" s="74">
        <f t="shared" si="51"/>
        <v>9.3580851215078545E-2</v>
      </c>
      <c r="H68" s="74">
        <f t="shared" si="51"/>
        <v>8.9529234377617686E-2</v>
      </c>
      <c r="I68" s="74">
        <f t="shared" si="51"/>
        <v>7.3993465578794188E-2</v>
      </c>
      <c r="J68" s="74">
        <f t="shared" si="51"/>
        <v>6.6567377511551909E-2</v>
      </c>
      <c r="K68" s="74">
        <f t="shared" si="51"/>
        <v>6.916937283510588E-2</v>
      </c>
      <c r="L68" s="74"/>
      <c r="M68" s="74"/>
      <c r="N68" s="74"/>
      <c r="O68" s="74"/>
    </row>
    <row r="69" spans="1:19" ht="12.95" customHeight="1"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</row>
    <row r="70" spans="1:19" ht="12.95" customHeight="1">
      <c r="B70" s="4" t="s">
        <v>30</v>
      </c>
      <c r="E70" s="78">
        <f>-CFS!E26</f>
        <v>9114</v>
      </c>
      <c r="F70" s="78">
        <f>-CFS!F26</f>
        <v>8696</v>
      </c>
      <c r="G70" s="78">
        <f>-CFS!G26</f>
        <v>14223</v>
      </c>
      <c r="H70" s="78">
        <f>-CFS!H26</f>
        <v>13546</v>
      </c>
      <c r="I70" s="78">
        <f>-CFS!I26</f>
        <v>17592</v>
      </c>
      <c r="J70" s="78">
        <f>-CFS!J26</f>
        <v>23216</v>
      </c>
      <c r="K70" s="78">
        <f>-CFS!K26</f>
        <v>24768</v>
      </c>
      <c r="L70" s="74"/>
      <c r="M70" s="74"/>
      <c r="N70" s="74"/>
      <c r="O70" s="74"/>
    </row>
    <row r="71" spans="1:19" ht="12.95" customHeight="1">
      <c r="B71" s="40" t="s">
        <v>39</v>
      </c>
      <c r="E71" s="74">
        <f t="shared" ref="E71:K71" si="52">E70/E45</f>
        <v>9.6476296936131287E-2</v>
      </c>
      <c r="F71" s="74">
        <f t="shared" si="52"/>
        <v>8.3966753182548509E-2</v>
      </c>
      <c r="G71" s="74">
        <f t="shared" si="52"/>
        <v>0.12036538676361568</v>
      </c>
      <c r="H71" s="74">
        <f t="shared" si="52"/>
        <v>0.10086186035256231</v>
      </c>
      <c r="I71" s="74">
        <f t="shared" si="52"/>
        <v>0.11287660826067875</v>
      </c>
      <c r="J71" s="74">
        <f t="shared" si="52"/>
        <v>0.12665368270022859</v>
      </c>
      <c r="K71" s="74">
        <f t="shared" si="52"/>
        <v>0.12073199622127571</v>
      </c>
      <c r="L71" s="74"/>
      <c r="M71" s="74"/>
      <c r="N71" s="74"/>
      <c r="O71" s="74"/>
    </row>
    <row r="72" spans="1:19" ht="12.95" customHeight="1"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</row>
    <row r="73" spans="1:19" ht="12.95" customHeight="1">
      <c r="B73" s="4" t="s">
        <v>31</v>
      </c>
      <c r="E73" s="77">
        <f>CFS!E18</f>
        <v>931</v>
      </c>
      <c r="F73" s="77">
        <f>CFS!F18</f>
        <v>14404</v>
      </c>
      <c r="G73" s="77">
        <f>CFS!G18</f>
        <v>1841</v>
      </c>
      <c r="H73" s="77">
        <f>CFS!H18</f>
        <v>-303</v>
      </c>
      <c r="I73" s="77">
        <f>CFS!I18</f>
        <v>-723</v>
      </c>
      <c r="J73" s="77">
        <f>CFS!J18</f>
        <v>388</v>
      </c>
      <c r="K73" s="77">
        <f>CFS!K18</f>
        <v>-3929</v>
      </c>
      <c r="L73" s="74"/>
      <c r="M73" s="74"/>
      <c r="N73" s="74"/>
      <c r="O73" s="74"/>
    </row>
    <row r="74" spans="1:19" ht="12.95" customHeight="1">
      <c r="B74" s="40" t="s">
        <v>39</v>
      </c>
      <c r="E74" s="74">
        <f t="shared" ref="E74:K74" si="53">E73/E45</f>
        <v>9.8551056010026585E-3</v>
      </c>
      <c r="F74" s="74">
        <f t="shared" si="53"/>
        <v>0.13908200469657644</v>
      </c>
      <c r="G74" s="74">
        <f t="shared" si="53"/>
        <v>1.5579883078943715E-2</v>
      </c>
      <c r="H74" s="74">
        <f t="shared" si="53"/>
        <v>-2.2561009661026415E-3</v>
      </c>
      <c r="I74" s="74">
        <f t="shared" si="53"/>
        <v>-4.6390284090763265E-3</v>
      </c>
      <c r="J74" s="74">
        <f t="shared" si="53"/>
        <v>2.1167138562925864E-3</v>
      </c>
      <c r="K74" s="74">
        <f t="shared" si="53"/>
        <v>-1.9151970815301692E-2</v>
      </c>
      <c r="L74" s="74"/>
      <c r="M74" s="74"/>
      <c r="N74" s="74"/>
      <c r="O74" s="74"/>
    </row>
    <row r="75" spans="1:19" ht="12.95" customHeight="1">
      <c r="B75" s="40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</row>
    <row r="76" spans="1:19" ht="12.95" customHeight="1">
      <c r="A76" s="3" t="s">
        <v>13</v>
      </c>
      <c r="B76" s="61" t="s">
        <v>44</v>
      </c>
      <c r="C76" s="61"/>
      <c r="D76" s="61"/>
      <c r="E76" s="75">
        <f>E33</f>
        <v>2016</v>
      </c>
      <c r="F76" s="65">
        <f>E76+1</f>
        <v>2017</v>
      </c>
      <c r="G76" s="65">
        <f>F76+1</f>
        <v>2018</v>
      </c>
      <c r="H76" s="65">
        <f>G76+1</f>
        <v>2019</v>
      </c>
      <c r="I76" s="65">
        <f t="shared" ref="I76:P76" si="54">H76+1</f>
        <v>2020</v>
      </c>
      <c r="J76" s="65">
        <f t="shared" si="54"/>
        <v>2021</v>
      </c>
      <c r="K76" s="65">
        <f t="shared" si="54"/>
        <v>2022</v>
      </c>
      <c r="L76" s="66">
        <f t="shared" si="54"/>
        <v>2023</v>
      </c>
      <c r="M76" s="66">
        <f t="shared" si="54"/>
        <v>2024</v>
      </c>
      <c r="N76" s="66">
        <f t="shared" si="54"/>
        <v>2025</v>
      </c>
      <c r="O76" s="66">
        <f t="shared" si="54"/>
        <v>2026</v>
      </c>
      <c r="P76" s="66">
        <f t="shared" si="54"/>
        <v>2027</v>
      </c>
      <c r="Q76" s="66">
        <f t="shared" ref="Q76" si="55">P76+1</f>
        <v>2028</v>
      </c>
      <c r="R76" s="66">
        <f t="shared" ref="R76" si="56">Q76+1</f>
        <v>2029</v>
      </c>
      <c r="S76" s="66">
        <f t="shared" ref="S76" si="57">R76+1</f>
        <v>2030</v>
      </c>
    </row>
    <row r="77" spans="1:19">
      <c r="B77" s="4" t="str">
        <f>$B$36</f>
        <v>Productivity and Business Processes</v>
      </c>
      <c r="E77" s="70">
        <f t="shared" ref="E77:K77" si="58">E36</f>
        <v>28518.2</v>
      </c>
      <c r="F77" s="70">
        <f t="shared" si="58"/>
        <v>33176.800000000003</v>
      </c>
      <c r="G77" s="70">
        <f t="shared" si="58"/>
        <v>38534.300000000003</v>
      </c>
      <c r="H77" s="70">
        <f t="shared" si="58"/>
        <v>43736.6</v>
      </c>
      <c r="I77" s="70">
        <f t="shared" si="58"/>
        <v>50251.3</v>
      </c>
      <c r="J77" s="70">
        <f t="shared" si="58"/>
        <v>58678.3</v>
      </c>
      <c r="K77" s="70">
        <f t="shared" si="58"/>
        <v>66343.3</v>
      </c>
      <c r="L77" s="71">
        <f t="shared" ref="L77:P77" ca="1" si="59">K77*(1+L78)</f>
        <v>73267.100000000006</v>
      </c>
      <c r="M77" s="71">
        <f ca="1">L77*(1+M78)</f>
        <v>82236.5</v>
      </c>
      <c r="N77" s="71">
        <f ca="1">M77*(1+N78)</f>
        <v>92303.93904289919</v>
      </c>
      <c r="O77" s="71">
        <f t="shared" ref="O77" ca="1" si="60">N77*(1+O78)</f>
        <v>103603.83969204975</v>
      </c>
      <c r="P77" s="71">
        <f t="shared" ref="P77" ca="1" si="61">O77*(1+P78)</f>
        <v>116287.08059736564</v>
      </c>
      <c r="Q77" s="71">
        <f t="shared" ref="Q77" ca="1" si="62">P77*(1+Q78)</f>
        <v>129078.65946307588</v>
      </c>
      <c r="R77" s="71">
        <f t="shared" ref="R77" ca="1" si="63">Q77*(1+R78)</f>
        <v>143277.31200401424</v>
      </c>
      <c r="S77" s="71">
        <f t="shared" ref="S77" ca="1" si="64">R77*(1+S78)</f>
        <v>159037.81632445581</v>
      </c>
    </row>
    <row r="78" spans="1:19">
      <c r="B78" s="40" t="s">
        <v>36</v>
      </c>
      <c r="E78" s="46" t="s">
        <v>37</v>
      </c>
      <c r="F78" s="47">
        <f>F77/E77-1</f>
        <v>0.16335533098161892</v>
      </c>
      <c r="G78" s="47">
        <f t="shared" ref="G78:K78" si="65">G77/F77-1</f>
        <v>0.16148332569747526</v>
      </c>
      <c r="H78" s="47">
        <f t="shared" si="65"/>
        <v>0.13500439867857983</v>
      </c>
      <c r="I78" s="47">
        <f t="shared" si="65"/>
        <v>0.1489530507629766</v>
      </c>
      <c r="J78" s="47">
        <f t="shared" si="65"/>
        <v>0.16769715410347596</v>
      </c>
      <c r="K78" s="47">
        <f t="shared" si="65"/>
        <v>0.13062750625018116</v>
      </c>
      <c r="L78" s="72">
        <f t="shared" ref="L78:S78" ca="1" si="66">OFFSET(L78,$E$12,0)</f>
        <v>0.10436321376838364</v>
      </c>
      <c r="M78" s="72">
        <f t="shared" ca="1" si="66"/>
        <v>0.12242056803121715</v>
      </c>
      <c r="N78" s="72">
        <f t="shared" ca="1" si="66"/>
        <v>0.12242056803121715</v>
      </c>
      <c r="O78" s="72">
        <f t="shared" ca="1" si="66"/>
        <v>0.12242056803121715</v>
      </c>
      <c r="P78" s="72">
        <f t="shared" ca="1" si="66"/>
        <v>0.12242056803121715</v>
      </c>
      <c r="Q78" s="72">
        <f t="shared" ca="1" si="66"/>
        <v>0.11</v>
      </c>
      <c r="R78" s="72">
        <f t="shared" ca="1" si="66"/>
        <v>0.11</v>
      </c>
      <c r="S78" s="72">
        <f t="shared" ca="1" si="66"/>
        <v>0.11</v>
      </c>
    </row>
    <row r="79" spans="1:19">
      <c r="B79" s="40" t="s">
        <v>45</v>
      </c>
      <c r="L79" s="58">
        <f>L80</f>
        <v>0.10436321376838364</v>
      </c>
      <c r="M79" s="41">
        <f>M80*K12</f>
        <v>0.11017851122809544</v>
      </c>
      <c r="N79" s="41">
        <f>M79-($M79-$S79)/($S$76-$M$76)</f>
        <v>0.1051487593567462</v>
      </c>
      <c r="O79" s="41">
        <f t="shared" ref="O79:R79" si="67">N79-($M79-$S79)/($S$76-$M$76)</f>
        <v>0.10011900748539695</v>
      </c>
      <c r="P79" s="41">
        <f t="shared" si="67"/>
        <v>9.5089255614047713E-2</v>
      </c>
      <c r="Q79" s="41">
        <f t="shared" si="67"/>
        <v>9.0059503742698471E-2</v>
      </c>
      <c r="R79" s="41">
        <f t="shared" si="67"/>
        <v>8.502975187134923E-2</v>
      </c>
      <c r="S79" s="42">
        <f>K13</f>
        <v>0.08</v>
      </c>
    </row>
    <row r="80" spans="1:19">
      <c r="B80" s="40" t="s">
        <v>46</v>
      </c>
      <c r="L80" s="57">
        <f>L37</f>
        <v>0.10436321376838364</v>
      </c>
      <c r="M80" s="57">
        <f>M37</f>
        <v>0.12242056803121715</v>
      </c>
      <c r="N80" s="58">
        <f>M80</f>
        <v>0.12242056803121715</v>
      </c>
      <c r="O80" s="57">
        <f>N80</f>
        <v>0.12242056803121715</v>
      </c>
      <c r="P80" s="57">
        <f t="shared" ref="P80" si="68">O80</f>
        <v>0.12242056803121715</v>
      </c>
      <c r="Q80" s="110">
        <f>0.11</f>
        <v>0.11</v>
      </c>
      <c r="R80" s="57">
        <f t="shared" ref="R80" si="69">Q80</f>
        <v>0.11</v>
      </c>
      <c r="S80" s="57">
        <f t="shared" ref="S80" si="70">R80</f>
        <v>0.11</v>
      </c>
    </row>
    <row r="81" spans="1:19">
      <c r="B81" s="40" t="s">
        <v>47</v>
      </c>
      <c r="G81" s="67"/>
      <c r="H81" s="67"/>
      <c r="I81" s="67"/>
      <c r="J81" s="67"/>
      <c r="L81" s="58">
        <f>L80</f>
        <v>0.10436321376838364</v>
      </c>
      <c r="M81" s="41">
        <f>M80*W12</f>
        <v>0.13711103619496323</v>
      </c>
      <c r="N81" s="41">
        <f>M81-($M81-$S81)/($S$76-$M$76)</f>
        <v>0.13425919682913603</v>
      </c>
      <c r="O81" s="41">
        <f t="shared" ref="O81:R81" si="71">N81-($M81-$S81)/($S$76-$M$76)</f>
        <v>0.13140735746330884</v>
      </c>
      <c r="P81" s="41">
        <f t="shared" si="71"/>
        <v>0.12855551809748164</v>
      </c>
      <c r="Q81" s="41">
        <f t="shared" si="71"/>
        <v>0.12570367873165444</v>
      </c>
      <c r="R81" s="41">
        <f t="shared" si="71"/>
        <v>0.12285183936582723</v>
      </c>
      <c r="S81" s="42">
        <f>W13</f>
        <v>0.12</v>
      </c>
    </row>
    <row r="82" spans="1:19">
      <c r="G82" s="67"/>
      <c r="H82" s="67"/>
      <c r="I82" s="67"/>
      <c r="J82" s="67"/>
      <c r="K82" s="67"/>
    </row>
    <row r="83" spans="1:19">
      <c r="B83" s="4" t="str">
        <f>$B$39</f>
        <v>Intelligent Cloud</v>
      </c>
      <c r="E83" s="70">
        <f t="shared" ref="E83:K83" si="72">E39</f>
        <v>26285.3</v>
      </c>
      <c r="F83" s="70">
        <f t="shared" si="72"/>
        <v>29849.1</v>
      </c>
      <c r="G83" s="70">
        <f t="shared" si="72"/>
        <v>35629.800000000003</v>
      </c>
      <c r="H83" s="70">
        <f t="shared" si="72"/>
        <v>43647.4</v>
      </c>
      <c r="I83" s="70">
        <f t="shared" si="72"/>
        <v>54337.8</v>
      </c>
      <c r="J83" s="70">
        <f t="shared" si="72"/>
        <v>67727.8</v>
      </c>
      <c r="K83" s="70">
        <f t="shared" si="72"/>
        <v>81631</v>
      </c>
      <c r="L83" s="71">
        <f t="shared" ref="L83:P83" ca="1" si="73">K83*(1+L84)</f>
        <v>95651.699999999983</v>
      </c>
      <c r="M83" s="71">
        <f ca="1">L83*(1+M84)</f>
        <v>112897.99999999999</v>
      </c>
      <c r="N83" s="71">
        <f t="shared" ref="N83" ca="1" si="74">M83*(1+N84)</f>
        <v>132965.91309056539</v>
      </c>
      <c r="O83" s="71">
        <f t="shared" ref="O83" ca="1" si="75">N83*(1+O84)</f>
        <v>156261.81768567394</v>
      </c>
      <c r="P83" s="71">
        <f t="shared" ref="P83" ca="1" si="76">O83*(1+P84)</f>
        <v>183240.66432385199</v>
      </c>
      <c r="Q83" s="71">
        <f t="shared" ref="Q83" ca="1" si="77">P83*(1+Q84)</f>
        <v>214410.09193183444</v>
      </c>
      <c r="R83" s="71">
        <f t="shared" ref="R83" ca="1" si="78">Q83*(1+R84)</f>
        <v>250334.61434944248</v>
      </c>
      <c r="S83" s="71">
        <f t="shared" ref="S83" ca="1" si="79">R83*(1+S84)</f>
        <v>291639.82571710047</v>
      </c>
    </row>
    <row r="84" spans="1:19">
      <c r="B84" s="40" t="s">
        <v>36</v>
      </c>
      <c r="E84" s="46" t="s">
        <v>37</v>
      </c>
      <c r="F84" s="47">
        <f>F83/E83-1</f>
        <v>0.13558148470818288</v>
      </c>
      <c r="G84" s="47">
        <f t="shared" ref="G84:K84" si="80">G83/F83-1</f>
        <v>0.19366413057680143</v>
      </c>
      <c r="H84" s="47">
        <f t="shared" si="80"/>
        <v>0.22502511942250591</v>
      </c>
      <c r="I84" s="47">
        <f t="shared" si="80"/>
        <v>0.24492638736786154</v>
      </c>
      <c r="J84" s="47">
        <f t="shared" si="80"/>
        <v>0.24642145983090957</v>
      </c>
      <c r="K84" s="47">
        <f t="shared" si="80"/>
        <v>0.20528054949370866</v>
      </c>
      <c r="L84" s="72">
        <f ca="1">OFFSET(L84,$E$13,0)</f>
        <v>0.17175705308032474</v>
      </c>
      <c r="M84" s="72">
        <f t="shared" ref="M84:S84" ca="1" si="81">OFFSET(M84,$E$13,0)</f>
        <v>0.1803031205927339</v>
      </c>
      <c r="N84" s="72">
        <f t="shared" ca="1" si="81"/>
        <v>0.17775260049394492</v>
      </c>
      <c r="O84" s="72">
        <f t="shared" ca="1" si="81"/>
        <v>0.17520208039515595</v>
      </c>
      <c r="P84" s="72">
        <f t="shared" ca="1" si="81"/>
        <v>0.17265156029636697</v>
      </c>
      <c r="Q84" s="72">
        <f t="shared" ca="1" si="81"/>
        <v>0.17010104019757799</v>
      </c>
      <c r="R84" s="72">
        <f t="shared" ca="1" si="81"/>
        <v>0.16755052009878901</v>
      </c>
      <c r="S84" s="72">
        <f t="shared" ca="1" si="81"/>
        <v>0.16500000000000001</v>
      </c>
    </row>
    <row r="85" spans="1:19">
      <c r="B85" s="40" t="s">
        <v>45</v>
      </c>
      <c r="L85" s="58">
        <f>L86</f>
        <v>0.17175705308032474</v>
      </c>
      <c r="M85" s="41">
        <f>M86*K14</f>
        <v>0.16227280853346052</v>
      </c>
      <c r="N85" s="41">
        <f>M85-($M85-$S85)/($S$76-$M$76)</f>
        <v>0.15772734044455045</v>
      </c>
      <c r="O85" s="41">
        <f t="shared" ref="O85:R85" si="82">N85-($M85-$S85)/($S$76-$M$76)</f>
        <v>0.15318187235564035</v>
      </c>
      <c r="P85" s="41">
        <f t="shared" si="82"/>
        <v>0.14863640426673025</v>
      </c>
      <c r="Q85" s="41">
        <f t="shared" si="82"/>
        <v>0.14409093617782015</v>
      </c>
      <c r="R85" s="41">
        <f t="shared" si="82"/>
        <v>0.13954546808891005</v>
      </c>
      <c r="S85" s="42">
        <f>K15</f>
        <v>0.13500000000000001</v>
      </c>
    </row>
    <row r="86" spans="1:19">
      <c r="B86" s="40" t="s">
        <v>46</v>
      </c>
      <c r="L86" s="57">
        <f>L40</f>
        <v>0.17175705308032474</v>
      </c>
      <c r="M86" s="57">
        <f>M40</f>
        <v>0.1803031205927339</v>
      </c>
      <c r="N86" s="41">
        <f t="shared" ref="N86:R86" si="83">M86-($M86-$S86)/($S$76-$M$76)</f>
        <v>0.17775260049394492</v>
      </c>
      <c r="O86" s="41">
        <f t="shared" si="83"/>
        <v>0.17520208039515595</v>
      </c>
      <c r="P86" s="41">
        <f t="shared" si="83"/>
        <v>0.17265156029636697</v>
      </c>
      <c r="Q86" s="41">
        <f t="shared" si="83"/>
        <v>0.17010104019757799</v>
      </c>
      <c r="R86" s="41">
        <f t="shared" si="83"/>
        <v>0.16755052009878901</v>
      </c>
      <c r="S86" s="42">
        <f>Q15</f>
        <v>0.16500000000000001</v>
      </c>
    </row>
    <row r="87" spans="1:19">
      <c r="B87" s="40" t="s">
        <v>47</v>
      </c>
      <c r="E87" s="70"/>
      <c r="F87" s="70"/>
      <c r="G87" s="70"/>
      <c r="H87" s="70"/>
      <c r="I87" s="70"/>
      <c r="J87" s="70"/>
      <c r="L87" s="58">
        <f>L86</f>
        <v>0.17175705308032474</v>
      </c>
      <c r="M87" s="41">
        <f>M86*W14</f>
        <v>0.201939495063862</v>
      </c>
      <c r="N87" s="41">
        <f t="shared" ref="N87:R87" si="84">M87-($M87-$S87)/($S$76-$M$76)</f>
        <v>0.19911624588655166</v>
      </c>
      <c r="O87" s="41">
        <f t="shared" si="84"/>
        <v>0.19629299670924133</v>
      </c>
      <c r="P87" s="41">
        <f t="shared" si="84"/>
        <v>0.193469747531931</v>
      </c>
      <c r="Q87" s="41">
        <f t="shared" si="84"/>
        <v>0.19064649835462066</v>
      </c>
      <c r="R87" s="41">
        <f t="shared" si="84"/>
        <v>0.18782324917731033</v>
      </c>
      <c r="S87" s="42">
        <f>W15</f>
        <v>0.185</v>
      </c>
    </row>
    <row r="88" spans="1:19">
      <c r="B88" s="40"/>
      <c r="E88" s="70"/>
      <c r="F88" s="70"/>
      <c r="G88" s="70"/>
      <c r="H88" s="70"/>
      <c r="I88" s="70"/>
      <c r="J88" s="70"/>
    </row>
    <row r="89" spans="1:19">
      <c r="B89" s="4" t="str">
        <f>$B$42</f>
        <v>More Personal Computing</v>
      </c>
      <c r="E89" s="70">
        <f t="shared" ref="E89:K89" si="85">E42</f>
        <v>39665.300000000003</v>
      </c>
      <c r="F89" s="70">
        <f t="shared" si="85"/>
        <v>40538.9</v>
      </c>
      <c r="G89" s="70">
        <f t="shared" si="85"/>
        <v>44001.1</v>
      </c>
      <c r="H89" s="70">
        <f t="shared" si="85"/>
        <v>46918.5</v>
      </c>
      <c r="I89" s="70">
        <f t="shared" si="85"/>
        <v>51262.5</v>
      </c>
      <c r="J89" s="70">
        <f t="shared" si="85"/>
        <v>56896.9</v>
      </c>
      <c r="K89" s="70">
        <f t="shared" si="85"/>
        <v>57174.3</v>
      </c>
      <c r="L89" s="71">
        <f t="shared" ref="L89" ca="1" si="86">K89*(1+L90)</f>
        <v>58133.9</v>
      </c>
      <c r="M89" s="71">
        <f t="shared" ref="M89" ca="1" si="87">L89*(1+M90)</f>
        <v>64143.4</v>
      </c>
      <c r="N89" s="71">
        <f t="shared" ref="N89" ca="1" si="88">M89*(1+N90)</f>
        <v>70203.530467658857</v>
      </c>
      <c r="O89" s="71">
        <f t="shared" ref="O89" ca="1" si="89">N89*(1+O90)</f>
        <v>76211.708620070684</v>
      </c>
      <c r="P89" s="71">
        <f t="shared" ref="P89" ca="1" si="90">O89*(1+P90)</f>
        <v>82056.133777678639</v>
      </c>
      <c r="Q89" s="71">
        <f t="shared" ref="Q89" ca="1" si="91">P89*(1+Q90)</f>
        <v>87618.812601788595</v>
      </c>
      <c r="R89" s="71">
        <f t="shared" ref="R89" ca="1" si="92">Q89*(1+R90)</f>
        <v>92779.172497386608</v>
      </c>
      <c r="S89" s="71">
        <f t="shared" ref="S89" ca="1" si="93">R89*(1+S90)</f>
        <v>97418.131122255945</v>
      </c>
    </row>
    <row r="90" spans="1:19">
      <c r="B90" s="40" t="s">
        <v>36</v>
      </c>
      <c r="E90" s="46" t="s">
        <v>37</v>
      </c>
      <c r="F90" s="47">
        <f>F89/E89-1</f>
        <v>2.2024288231779376E-2</v>
      </c>
      <c r="G90" s="47">
        <f t="shared" ref="G90:K90" si="94">G89/F89-1</f>
        <v>8.5404389364289512E-2</v>
      </c>
      <c r="H90" s="47">
        <f t="shared" si="94"/>
        <v>6.6302887882348394E-2</v>
      </c>
      <c r="I90" s="47">
        <f t="shared" si="94"/>
        <v>9.2586080117650793E-2</v>
      </c>
      <c r="J90" s="47">
        <f t="shared" si="94"/>
        <v>0.10991270421848331</v>
      </c>
      <c r="K90" s="47">
        <f t="shared" si="94"/>
        <v>4.8754853076353744E-3</v>
      </c>
      <c r="L90" s="72">
        <f t="shared" ref="L90:S90" ca="1" si="95">OFFSET(L90,$E$14,0)</f>
        <v>1.6783764733455442E-2</v>
      </c>
      <c r="M90" s="72">
        <f t="shared" ca="1" si="95"/>
        <v>0.10337341895176477</v>
      </c>
      <c r="N90" s="72">
        <f t="shared" ca="1" si="95"/>
        <v>9.4477849126470642E-2</v>
      </c>
      <c r="O90" s="72">
        <f t="shared" ca="1" si="95"/>
        <v>8.5582279301176511E-2</v>
      </c>
      <c r="P90" s="72">
        <f t="shared" ca="1" si="95"/>
        <v>7.6686709475882381E-2</v>
      </c>
      <c r="Q90" s="72">
        <f t="shared" ca="1" si="95"/>
        <v>6.779113965058825E-2</v>
      </c>
      <c r="R90" s="72">
        <f t="shared" ca="1" si="95"/>
        <v>5.889556982529412E-2</v>
      </c>
      <c r="S90" s="72">
        <f t="shared" ca="1" si="95"/>
        <v>0.05</v>
      </c>
    </row>
    <row r="91" spans="1:19">
      <c r="B91" s="40" t="s">
        <v>45</v>
      </c>
      <c r="L91" s="58">
        <f>L92</f>
        <v>1.6783764733455442E-2</v>
      </c>
      <c r="M91" s="41">
        <f>M92*K16</f>
        <v>9.3036077056588298E-2</v>
      </c>
      <c r="N91" s="41">
        <f>M91-($M91-$S91)/($S$76-$M$76)</f>
        <v>8.4196730880490248E-2</v>
      </c>
      <c r="O91" s="41">
        <f t="shared" ref="O91:R91" si="96">N91-($M91-$S91)/($S$76-$M$76)</f>
        <v>7.5357384704392197E-2</v>
      </c>
      <c r="P91" s="41">
        <f t="shared" si="96"/>
        <v>6.6518038528294146E-2</v>
      </c>
      <c r="Q91" s="41">
        <f t="shared" si="96"/>
        <v>5.7678692352196095E-2</v>
      </c>
      <c r="R91" s="41">
        <f t="shared" si="96"/>
        <v>4.8839346176098045E-2</v>
      </c>
      <c r="S91" s="42">
        <f>K17</f>
        <v>0.04</v>
      </c>
    </row>
    <row r="92" spans="1:19">
      <c r="B92" s="40" t="s">
        <v>46</v>
      </c>
      <c r="L92" s="57">
        <f>L43</f>
        <v>1.6783764733455442E-2</v>
      </c>
      <c r="M92" s="57">
        <f>M43</f>
        <v>0.10337341895176477</v>
      </c>
      <c r="N92" s="41">
        <f t="shared" ref="N92:R92" si="97">M92-($M92-$S92)/($S$76-$M$76)</f>
        <v>9.4477849126470642E-2</v>
      </c>
      <c r="O92" s="41">
        <f t="shared" si="97"/>
        <v>8.5582279301176511E-2</v>
      </c>
      <c r="P92" s="41">
        <f t="shared" si="97"/>
        <v>7.6686709475882381E-2</v>
      </c>
      <c r="Q92" s="41">
        <f t="shared" si="97"/>
        <v>6.779113965058825E-2</v>
      </c>
      <c r="R92" s="41">
        <f t="shared" si="97"/>
        <v>5.889556982529412E-2</v>
      </c>
      <c r="S92" s="42">
        <f>Q17</f>
        <v>0.05</v>
      </c>
    </row>
    <row r="93" spans="1:19">
      <c r="B93" s="40" t="s">
        <v>47</v>
      </c>
      <c r="L93" s="58">
        <f>L92</f>
        <v>1.6783764733455442E-2</v>
      </c>
      <c r="M93" s="41">
        <f>M92*W16</f>
        <v>0.11577822922597655</v>
      </c>
      <c r="N93" s="41">
        <f t="shared" ref="N93:R93" si="98">M93-($M93-$S93)/($S$76-$M$76)</f>
        <v>0.10648185768831379</v>
      </c>
      <c r="O93" s="41">
        <f t="shared" si="98"/>
        <v>9.7185486150651035E-2</v>
      </c>
      <c r="P93" s="41">
        <f t="shared" si="98"/>
        <v>8.7889114612988276E-2</v>
      </c>
      <c r="Q93" s="41">
        <f t="shared" si="98"/>
        <v>7.8592743075325516E-2</v>
      </c>
      <c r="R93" s="41">
        <f t="shared" si="98"/>
        <v>6.9296371537662757E-2</v>
      </c>
      <c r="S93" s="42">
        <f>W17</f>
        <v>0.06</v>
      </c>
    </row>
    <row r="95" spans="1:19">
      <c r="B95" s="43" t="s">
        <v>38</v>
      </c>
      <c r="C95" s="49"/>
      <c r="D95" s="49"/>
      <c r="E95" s="50">
        <f>E77+E83+E89</f>
        <v>94468.800000000003</v>
      </c>
      <c r="F95" s="50">
        <f t="shared" ref="F95:P96" si="99">F77+F83+F89</f>
        <v>103564.8</v>
      </c>
      <c r="G95" s="50">
        <f t="shared" si="99"/>
        <v>118165.20000000001</v>
      </c>
      <c r="H95" s="50">
        <f t="shared" si="99"/>
        <v>134302.5</v>
      </c>
      <c r="I95" s="50">
        <f t="shared" si="99"/>
        <v>155851.6</v>
      </c>
      <c r="J95" s="50">
        <f t="shared" si="99"/>
        <v>183303</v>
      </c>
      <c r="K95" s="50">
        <f t="shared" si="99"/>
        <v>205148.59999999998</v>
      </c>
      <c r="L95" s="50">
        <f t="shared" ca="1" si="99"/>
        <v>227052.69999999998</v>
      </c>
      <c r="M95" s="50">
        <f t="shared" ca="1" si="99"/>
        <v>259277.9</v>
      </c>
      <c r="N95" s="50">
        <f t="shared" ca="1" si="99"/>
        <v>295473.38260112342</v>
      </c>
      <c r="O95" s="50">
        <f t="shared" ca="1" si="99"/>
        <v>336077.36599779438</v>
      </c>
      <c r="P95" s="50">
        <f t="shared" ca="1" si="99"/>
        <v>381583.87869889627</v>
      </c>
      <c r="Q95" s="107">
        <f t="shared" ref="Q95:S95" ca="1" si="100">Q77+Q83+Q89</f>
        <v>431107.56399669894</v>
      </c>
      <c r="R95" s="107">
        <f t="shared" ca="1" si="100"/>
        <v>486391.09885084326</v>
      </c>
      <c r="S95" s="108">
        <f t="shared" ca="1" si="100"/>
        <v>548095.77316381223</v>
      </c>
    </row>
    <row r="96" spans="1:19">
      <c r="A96" s="3" t="s">
        <v>13</v>
      </c>
      <c r="B96" s="44" t="s">
        <v>36</v>
      </c>
      <c r="C96" s="52"/>
      <c r="D96" s="52"/>
      <c r="E96" s="53" t="s">
        <v>37</v>
      </c>
      <c r="F96" s="73">
        <f>F95/E95-1</f>
        <v>9.6285757837508257E-2</v>
      </c>
      <c r="G96" s="73">
        <f t="shared" ref="G96:P96" si="101">G95/F95-1</f>
        <v>0.14097840192806821</v>
      </c>
      <c r="H96" s="73">
        <f t="shared" si="101"/>
        <v>0.13656558783804362</v>
      </c>
      <c r="I96" s="73">
        <f t="shared" si="101"/>
        <v>0.1604519647809981</v>
      </c>
      <c r="J96" s="73">
        <f t="shared" si="101"/>
        <v>0.17613806980486557</v>
      </c>
      <c r="K96" s="73">
        <f t="shared" si="101"/>
        <v>0.11917753664697228</v>
      </c>
      <c r="L96" s="73">
        <f t="shared" ca="1" si="101"/>
        <v>0.1067718717066557</v>
      </c>
      <c r="M96" s="73">
        <f t="shared" ca="1" si="101"/>
        <v>0.14192828360992849</v>
      </c>
      <c r="N96" s="73">
        <f t="shared" ca="1" si="101"/>
        <v>0.13960110985596308</v>
      </c>
      <c r="O96" s="73">
        <f t="shared" ca="1" si="101"/>
        <v>0.13742010545662109</v>
      </c>
      <c r="P96" s="73">
        <f t="shared" ca="1" si="101"/>
        <v>0.13540487192880635</v>
      </c>
      <c r="Q96" s="111">
        <f t="shared" ref="Q96" ca="1" si="102">Q95/P95-1</f>
        <v>0.12978453247727817</v>
      </c>
      <c r="R96" s="111">
        <f t="shared" ref="R96" ca="1" si="103">R95/Q95-1</f>
        <v>0.1282360586337743</v>
      </c>
      <c r="S96" s="112">
        <f t="shared" ref="S96" ca="1" si="104">S95/R95-1</f>
        <v>0.12686226055278071</v>
      </c>
    </row>
    <row r="98" spans="1:19" ht="12.95" customHeight="1">
      <c r="A98" s="3" t="s">
        <v>13</v>
      </c>
      <c r="B98" s="61" t="s">
        <v>48</v>
      </c>
      <c r="C98" s="61"/>
      <c r="D98" s="61"/>
      <c r="E98" s="75">
        <f>E76</f>
        <v>2016</v>
      </c>
      <c r="F98" s="65">
        <f>E98+1</f>
        <v>2017</v>
      </c>
      <c r="G98" s="65">
        <f>F98+1</f>
        <v>2018</v>
      </c>
      <c r="H98" s="65">
        <f>G98+1</f>
        <v>2019</v>
      </c>
      <c r="I98" s="65">
        <f t="shared" ref="I98" si="105">H98+1</f>
        <v>2020</v>
      </c>
      <c r="J98" s="65">
        <f t="shared" ref="J98:K98" si="106">I98+1</f>
        <v>2021</v>
      </c>
      <c r="K98" s="65">
        <f t="shared" si="106"/>
        <v>2022</v>
      </c>
      <c r="L98" s="66">
        <f t="shared" ref="L98" si="107">K98+1</f>
        <v>2023</v>
      </c>
      <c r="M98" s="66">
        <f t="shared" ref="M98" si="108">L98+1</f>
        <v>2024</v>
      </c>
      <c r="N98" s="66">
        <f t="shared" ref="N98" si="109">M98+1</f>
        <v>2025</v>
      </c>
      <c r="O98" s="66">
        <f t="shared" ref="O98" si="110">N98+1</f>
        <v>2026</v>
      </c>
      <c r="P98" s="66">
        <f t="shared" ref="P98" si="111">O98+1</f>
        <v>2027</v>
      </c>
      <c r="Q98" s="66">
        <f t="shared" ref="Q98" si="112">P98+1</f>
        <v>2028</v>
      </c>
      <c r="R98" s="66">
        <f t="shared" ref="R98" si="113">Q98+1</f>
        <v>2029</v>
      </c>
      <c r="S98" s="66">
        <f t="shared" ref="S98" si="114">R98+1</f>
        <v>2030</v>
      </c>
    </row>
    <row r="99" spans="1:19">
      <c r="B99" s="4" t="str">
        <f>$B$36</f>
        <v>Productivity and Business Processes</v>
      </c>
      <c r="E99" s="70">
        <f t="shared" ref="E99:P99" si="115">E49</f>
        <v>12186</v>
      </c>
      <c r="F99" s="70">
        <f t="shared" si="115"/>
        <v>12422.7</v>
      </c>
      <c r="G99" s="70">
        <f t="shared" si="115"/>
        <v>14585</v>
      </c>
      <c r="H99" s="70">
        <f t="shared" si="115"/>
        <v>17456</v>
      </c>
      <c r="I99" s="70">
        <f t="shared" si="115"/>
        <v>21586.400000000001</v>
      </c>
      <c r="J99" s="70">
        <f t="shared" si="115"/>
        <v>27040.9</v>
      </c>
      <c r="K99" s="70">
        <f t="shared" si="115"/>
        <v>31956.5</v>
      </c>
      <c r="L99" s="70">
        <f ca="1">L100*L77</f>
        <v>40514.337551342789</v>
      </c>
      <c r="M99" s="70">
        <f t="shared" ref="M99:S99" ca="1" si="116">M100*M77</f>
        <v>46814.478261730022</v>
      </c>
      <c r="N99" s="70">
        <f t="shared" ca="1" si="116"/>
        <v>52545.533282616081</v>
      </c>
      <c r="O99" s="70">
        <f t="shared" ca="1" si="116"/>
        <v>58978.187314577168</v>
      </c>
      <c r="P99" s="70">
        <f t="shared" ca="1" si="116"/>
        <v>66198.330507079227</v>
      </c>
      <c r="Q99" s="70">
        <f t="shared" ca="1" si="116"/>
        <v>73480.146862857961</v>
      </c>
      <c r="R99" s="70">
        <f t="shared" ca="1" si="116"/>
        <v>81562.963017772345</v>
      </c>
      <c r="S99" s="70">
        <f t="shared" ca="1" si="116"/>
        <v>90534.888949727305</v>
      </c>
    </row>
    <row r="100" spans="1:19">
      <c r="B100" s="40" t="s">
        <v>39</v>
      </c>
      <c r="E100" s="74">
        <f>E99/E77</f>
        <v>0.42730607121066544</v>
      </c>
      <c r="F100" s="74">
        <f t="shared" ref="F100:K100" si="117">F99/F77</f>
        <v>0.37443936726869376</v>
      </c>
      <c r="G100" s="74">
        <f t="shared" si="117"/>
        <v>0.37849396511679201</v>
      </c>
      <c r="H100" s="74">
        <f t="shared" si="117"/>
        <v>0.39911652940557796</v>
      </c>
      <c r="I100" s="74">
        <f t="shared" si="117"/>
        <v>0.42956898627498197</v>
      </c>
      <c r="J100" s="74">
        <f t="shared" si="117"/>
        <v>0.46083305071891995</v>
      </c>
      <c r="K100" s="74">
        <f t="shared" si="117"/>
        <v>0.48168390779475845</v>
      </c>
      <c r="L100" s="72">
        <f t="shared" ref="K100:S100" ca="1" si="118">OFFSET(L100,$E$17,0)</f>
        <v>0.55296766968179145</v>
      </c>
      <c r="M100" s="72">
        <f t="shared" ca="1" si="118"/>
        <v>0.56926642381096015</v>
      </c>
      <c r="N100" s="72">
        <f t="shared" ca="1" si="118"/>
        <v>0.56926642381096015</v>
      </c>
      <c r="O100" s="72">
        <f t="shared" ca="1" si="118"/>
        <v>0.56926642381096015</v>
      </c>
      <c r="P100" s="72">
        <f t="shared" ca="1" si="118"/>
        <v>0.56926642381096015</v>
      </c>
      <c r="Q100" s="72">
        <f t="shared" ca="1" si="118"/>
        <v>0.56926642381096015</v>
      </c>
      <c r="R100" s="72">
        <f t="shared" ca="1" si="118"/>
        <v>0.56926642381096015</v>
      </c>
      <c r="S100" s="72">
        <f t="shared" ca="1" si="118"/>
        <v>0.56926642381096015</v>
      </c>
    </row>
    <row r="101" spans="1:19">
      <c r="B101" s="40" t="s">
        <v>45</v>
      </c>
      <c r="L101" s="58">
        <f>L102</f>
        <v>0.55296766968179145</v>
      </c>
      <c r="M101" s="41">
        <f>M102*(1+$K$20)</f>
        <v>0.54649576685852175</v>
      </c>
      <c r="N101" s="41">
        <f t="shared" ref="N101:S101" si="119">N102*(1+$K$20)</f>
        <v>0.54649576685852175</v>
      </c>
      <c r="O101" s="41">
        <f t="shared" si="119"/>
        <v>0.54649576685852175</v>
      </c>
      <c r="P101" s="41">
        <f t="shared" si="119"/>
        <v>0.54649576685852175</v>
      </c>
      <c r="Q101" s="41">
        <f t="shared" si="119"/>
        <v>0.54649576685852175</v>
      </c>
      <c r="R101" s="41">
        <f t="shared" si="119"/>
        <v>0.54649576685852175</v>
      </c>
      <c r="S101" s="41">
        <f t="shared" si="119"/>
        <v>0.54649576685852175</v>
      </c>
    </row>
    <row r="102" spans="1:19">
      <c r="B102" s="40" t="s">
        <v>46</v>
      </c>
      <c r="L102" s="57">
        <f>L50</f>
        <v>0.55296766968179145</v>
      </c>
      <c r="M102" s="57">
        <f>M50</f>
        <v>0.56926642381096015</v>
      </c>
      <c r="N102" s="58">
        <f>M102</f>
        <v>0.56926642381096015</v>
      </c>
      <c r="O102" s="57">
        <f>N102</f>
        <v>0.56926642381096015</v>
      </c>
      <c r="P102" s="57">
        <f t="shared" ref="P102:Q102" si="120">O102</f>
        <v>0.56926642381096015</v>
      </c>
      <c r="Q102" s="57">
        <f t="shared" si="120"/>
        <v>0.56926642381096015</v>
      </c>
      <c r="R102" s="57">
        <f t="shared" ref="R102" si="121">Q102</f>
        <v>0.56926642381096015</v>
      </c>
      <c r="S102" s="57">
        <f t="shared" ref="S102" si="122">R102</f>
        <v>0.56926642381096015</v>
      </c>
    </row>
    <row r="103" spans="1:19">
      <c r="B103" s="40" t="s">
        <v>47</v>
      </c>
      <c r="G103" s="67"/>
      <c r="H103" s="67"/>
      <c r="I103" s="67"/>
      <c r="J103" s="67"/>
      <c r="L103" s="58">
        <f>L102</f>
        <v>0.55296766968179145</v>
      </c>
      <c r="M103" s="41">
        <f>M102*(1+$W$20)</f>
        <v>0.59203708076339856</v>
      </c>
      <c r="N103" s="41">
        <f t="shared" ref="N103:Q103" si="123">N102*(1+$W$20)</f>
        <v>0.59203708076339856</v>
      </c>
      <c r="O103" s="41">
        <f t="shared" si="123"/>
        <v>0.59203708076339856</v>
      </c>
      <c r="P103" s="41">
        <f t="shared" si="123"/>
        <v>0.59203708076339856</v>
      </c>
      <c r="Q103" s="41">
        <f t="shared" si="123"/>
        <v>0.59203708076339856</v>
      </c>
      <c r="R103" s="41">
        <f t="shared" ref="R103:S103" si="124">R102*(1+$W$20)</f>
        <v>0.59203708076339856</v>
      </c>
      <c r="S103" s="41">
        <f t="shared" si="124"/>
        <v>0.59203708076339856</v>
      </c>
    </row>
    <row r="104" spans="1:19">
      <c r="G104" s="67"/>
      <c r="H104" s="67"/>
      <c r="I104" s="67"/>
      <c r="J104" s="67"/>
      <c r="K104" s="67"/>
    </row>
    <row r="105" spans="1:19">
      <c r="B105" s="4" t="str">
        <f>$B$39</f>
        <v>Intelligent Cloud</v>
      </c>
      <c r="E105" s="70">
        <f t="shared" ref="E105:P105" si="125">E52</f>
        <v>9259.99</v>
      </c>
      <c r="F105" s="70">
        <f t="shared" si="125"/>
        <v>10340.799999999999</v>
      </c>
      <c r="G105" s="70">
        <f t="shared" si="125"/>
        <v>12731.8</v>
      </c>
      <c r="H105" s="70">
        <f t="shared" si="125"/>
        <v>16114.9</v>
      </c>
      <c r="I105" s="70">
        <f t="shared" si="125"/>
        <v>22282.3</v>
      </c>
      <c r="J105" s="70">
        <f t="shared" si="125"/>
        <v>29450.6</v>
      </c>
      <c r="K105" s="70">
        <f t="shared" si="125"/>
        <v>35323.699999999997</v>
      </c>
      <c r="L105" s="70">
        <f ca="1">L106*L83</f>
        <v>49699.372352170132</v>
      </c>
      <c r="M105" s="70">
        <f t="shared" ref="M105:S105" ca="1" si="126">M106*M83</f>
        <v>60191.21005899529</v>
      </c>
      <c r="N105" s="70">
        <f t="shared" ca="1" si="126"/>
        <v>70890.354173858999</v>
      </c>
      <c r="O105" s="70">
        <f t="shared" ca="1" si="126"/>
        <v>83310.491705068533</v>
      </c>
      <c r="P105" s="70">
        <f t="shared" ca="1" si="126"/>
        <v>97694.178087006148</v>
      </c>
      <c r="Q105" s="70">
        <f t="shared" ca="1" si="126"/>
        <v>114312.05940085334</v>
      </c>
      <c r="R105" s="70">
        <f t="shared" ca="1" si="126"/>
        <v>133465.10440702998</v>
      </c>
      <c r="S105" s="70">
        <f t="shared" ca="1" si="126"/>
        <v>155486.84663418992</v>
      </c>
    </row>
    <row r="106" spans="1:19">
      <c r="B106" s="40" t="s">
        <v>39</v>
      </c>
      <c r="E106" s="74">
        <f>E105/E83</f>
        <v>0.35228778062262939</v>
      </c>
      <c r="F106" s="74">
        <f t="shared" ref="F106:K106" si="127">F105/F83</f>
        <v>0.34643590594021262</v>
      </c>
      <c r="G106" s="74">
        <f t="shared" si="127"/>
        <v>0.3573357133635327</v>
      </c>
      <c r="H106" s="74">
        <f t="shared" si="127"/>
        <v>0.3692064132113253</v>
      </c>
      <c r="I106" s="74">
        <f t="shared" si="127"/>
        <v>0.41006996970801168</v>
      </c>
      <c r="J106" s="74">
        <f t="shared" si="127"/>
        <v>0.43483768851195514</v>
      </c>
      <c r="K106" s="74">
        <f t="shared" si="127"/>
        <v>0.43272408766277515</v>
      </c>
      <c r="L106" s="72">
        <f t="shared" ref="K106:S106" ca="1" si="128">OFFSET(L106,$E$18,0)</f>
        <v>0.51958692163516318</v>
      </c>
      <c r="M106" s="72">
        <f t="shared" ca="1" si="128"/>
        <v>0.53314682331835195</v>
      </c>
      <c r="N106" s="72">
        <f t="shared" ca="1" si="128"/>
        <v>0.53314682331835195</v>
      </c>
      <c r="O106" s="72">
        <f t="shared" ca="1" si="128"/>
        <v>0.53314682331835195</v>
      </c>
      <c r="P106" s="72">
        <f t="shared" ca="1" si="128"/>
        <v>0.53314682331835195</v>
      </c>
      <c r="Q106" s="72">
        <f t="shared" ca="1" si="128"/>
        <v>0.53314682331835195</v>
      </c>
      <c r="R106" s="72">
        <f t="shared" ca="1" si="128"/>
        <v>0.53314682331835195</v>
      </c>
      <c r="S106" s="72">
        <f t="shared" ca="1" si="128"/>
        <v>0.53314682331835195</v>
      </c>
    </row>
    <row r="107" spans="1:19">
      <c r="B107" s="40" t="s">
        <v>45</v>
      </c>
      <c r="L107" s="58">
        <f>L108</f>
        <v>0.51958692163516318</v>
      </c>
      <c r="M107" s="41">
        <f>M108*(1+$K$21)</f>
        <v>0.51182095038561781</v>
      </c>
      <c r="N107" s="41">
        <f t="shared" ref="N107:S107" si="129">N108*(1+$K$21)</f>
        <v>0.51182095038561781</v>
      </c>
      <c r="O107" s="41">
        <f t="shared" si="129"/>
        <v>0.51182095038561781</v>
      </c>
      <c r="P107" s="41">
        <f t="shared" si="129"/>
        <v>0.51182095038561781</v>
      </c>
      <c r="Q107" s="41">
        <f t="shared" si="129"/>
        <v>0.51182095038561781</v>
      </c>
      <c r="R107" s="41">
        <f t="shared" si="129"/>
        <v>0.51182095038561781</v>
      </c>
      <c r="S107" s="41">
        <f t="shared" si="129"/>
        <v>0.51182095038561781</v>
      </c>
    </row>
    <row r="108" spans="1:19">
      <c r="B108" s="40" t="s">
        <v>46</v>
      </c>
      <c r="L108" s="57">
        <f>L53</f>
        <v>0.51958692163516318</v>
      </c>
      <c r="M108" s="57">
        <f>M53</f>
        <v>0.53314682331835195</v>
      </c>
      <c r="N108" s="58">
        <f>M108</f>
        <v>0.53314682331835195</v>
      </c>
      <c r="O108" s="57">
        <f>N108</f>
        <v>0.53314682331835195</v>
      </c>
      <c r="P108" s="57">
        <f t="shared" ref="P108:Q108" si="130">O108</f>
        <v>0.53314682331835195</v>
      </c>
      <c r="Q108" s="57">
        <f t="shared" si="130"/>
        <v>0.53314682331835195</v>
      </c>
      <c r="R108" s="57">
        <f t="shared" ref="R108" si="131">Q108</f>
        <v>0.53314682331835195</v>
      </c>
      <c r="S108" s="57">
        <f t="shared" ref="S108" si="132">R108</f>
        <v>0.53314682331835195</v>
      </c>
    </row>
    <row r="109" spans="1:19">
      <c r="B109" s="40" t="s">
        <v>47</v>
      </c>
      <c r="E109" s="70"/>
      <c r="F109" s="70"/>
      <c r="G109" s="70"/>
      <c r="H109" s="70"/>
      <c r="I109" s="70"/>
      <c r="J109" s="70"/>
      <c r="L109" s="58">
        <f>L108</f>
        <v>0.51958692163516318</v>
      </c>
      <c r="M109" s="41">
        <f>M108*(1+$W$21)</f>
        <v>0.55447269625108608</v>
      </c>
      <c r="N109" s="41">
        <f t="shared" ref="N109:Q109" si="133">N108*(1+$W$21)</f>
        <v>0.55447269625108608</v>
      </c>
      <c r="O109" s="41">
        <f t="shared" si="133"/>
        <v>0.55447269625108608</v>
      </c>
      <c r="P109" s="41">
        <f t="shared" si="133"/>
        <v>0.55447269625108608</v>
      </c>
      <c r="Q109" s="41">
        <f t="shared" si="133"/>
        <v>0.55447269625108608</v>
      </c>
      <c r="R109" s="41">
        <f t="shared" ref="R109:S109" si="134">R108*(1+$W$21)</f>
        <v>0.55447269625108608</v>
      </c>
      <c r="S109" s="41">
        <f t="shared" si="134"/>
        <v>0.55447269625108608</v>
      </c>
    </row>
    <row r="110" spans="1:19">
      <c r="B110" s="40"/>
      <c r="E110" s="70"/>
      <c r="F110" s="70"/>
      <c r="G110" s="70"/>
      <c r="H110" s="70"/>
      <c r="I110" s="70"/>
      <c r="J110" s="70"/>
    </row>
    <row r="111" spans="1:19">
      <c r="B111" s="4" t="str">
        <f>$B$42</f>
        <v>More Personal Computing</v>
      </c>
      <c r="E111" s="70">
        <f t="shared" ref="E111:P111" si="135">E55</f>
        <v>7236.75</v>
      </c>
      <c r="F111" s="70">
        <f t="shared" si="135"/>
        <v>9458.5400000000009</v>
      </c>
      <c r="G111" s="70">
        <f t="shared" si="135"/>
        <v>11724.1</v>
      </c>
      <c r="H111" s="70">
        <f t="shared" si="135"/>
        <v>14356.3</v>
      </c>
      <c r="I111" s="70">
        <f t="shared" si="135"/>
        <v>17711.400000000001</v>
      </c>
      <c r="J111" s="70">
        <f t="shared" si="135"/>
        <v>20213.3</v>
      </c>
      <c r="K111" s="70">
        <f t="shared" si="135"/>
        <v>18693.900000000001</v>
      </c>
      <c r="L111" s="70">
        <f ca="1">L89*L112</f>
        <v>17539.723298405053</v>
      </c>
      <c r="M111" s="70">
        <f t="shared" ref="M111:S111" ca="1" si="136">M89*M112</f>
        <v>20497.257666525042</v>
      </c>
      <c r="N111" s="70">
        <f t="shared" ca="1" si="136"/>
        <v>22433.794483849386</v>
      </c>
      <c r="O111" s="70">
        <f t="shared" ca="1" si="136"/>
        <v>24353.729749151375</v>
      </c>
      <c r="P111" s="70">
        <f t="shared" ca="1" si="136"/>
        <v>26221.337147078699</v>
      </c>
      <c r="Q111" s="70">
        <f t="shared" ca="1" si="136"/>
        <v>27998.911475441466</v>
      </c>
      <c r="R111" s="70">
        <f t="shared" ca="1" si="136"/>
        <v>29647.923321275561</v>
      </c>
      <c r="S111" s="70">
        <f t="shared" ca="1" si="136"/>
        <v>31130.319487339344</v>
      </c>
    </row>
    <row r="112" spans="1:19">
      <c r="B112" s="40" t="s">
        <v>39</v>
      </c>
      <c r="E112" s="74">
        <f>E111/E89</f>
        <v>0.18244536156287736</v>
      </c>
      <c r="F112" s="74">
        <f t="shared" ref="F112:K112" si="137">F111/F89</f>
        <v>0.23332009501984516</v>
      </c>
      <c r="G112" s="74">
        <f t="shared" si="137"/>
        <v>0.26645015692789498</v>
      </c>
      <c r="H112" s="74">
        <f t="shared" si="137"/>
        <v>0.30598378038513591</v>
      </c>
      <c r="I112" s="74">
        <f t="shared" si="137"/>
        <v>0.34550402340892467</v>
      </c>
      <c r="J112" s="74">
        <f t="shared" si="137"/>
        <v>0.35526188597269798</v>
      </c>
      <c r="K112" s="74">
        <f t="shared" si="137"/>
        <v>0.32696333842303271</v>
      </c>
      <c r="L112" s="72">
        <f t="shared" ref="K112:S112" ca="1" si="138">OFFSET(L112,$E$19,0)</f>
        <v>0.30171248270639078</v>
      </c>
      <c r="M112" s="72">
        <f t="shared" ca="1" si="138"/>
        <v>0.3195536511398685</v>
      </c>
      <c r="N112" s="72">
        <f t="shared" ca="1" si="138"/>
        <v>0.3195536511398685</v>
      </c>
      <c r="O112" s="72">
        <f t="shared" ca="1" si="138"/>
        <v>0.3195536511398685</v>
      </c>
      <c r="P112" s="72">
        <f t="shared" ca="1" si="138"/>
        <v>0.3195536511398685</v>
      </c>
      <c r="Q112" s="72">
        <f t="shared" ca="1" si="138"/>
        <v>0.3195536511398685</v>
      </c>
      <c r="R112" s="72">
        <f t="shared" ca="1" si="138"/>
        <v>0.3195536511398685</v>
      </c>
      <c r="S112" s="72">
        <f t="shared" ca="1" si="138"/>
        <v>0.3195536511398685</v>
      </c>
    </row>
    <row r="113" spans="1:19">
      <c r="B113" s="40" t="s">
        <v>45</v>
      </c>
      <c r="L113" s="58">
        <f>L114</f>
        <v>0.30171248270639078</v>
      </c>
      <c r="M113" s="41">
        <f>M114*(1+$K$22)</f>
        <v>0.30677150509427376</v>
      </c>
      <c r="N113" s="41">
        <f t="shared" ref="N113:S113" si="139">N114*(1+$K$22)</f>
        <v>0.30677150509427376</v>
      </c>
      <c r="O113" s="41">
        <f t="shared" si="139"/>
        <v>0.30677150509427376</v>
      </c>
      <c r="P113" s="41">
        <f t="shared" si="139"/>
        <v>0.30677150509427376</v>
      </c>
      <c r="Q113" s="41">
        <f t="shared" si="139"/>
        <v>0.30677150509427376</v>
      </c>
      <c r="R113" s="41">
        <f t="shared" si="139"/>
        <v>0.30677150509427376</v>
      </c>
      <c r="S113" s="41">
        <f t="shared" si="139"/>
        <v>0.30677150509427376</v>
      </c>
    </row>
    <row r="114" spans="1:19">
      <c r="B114" s="40" t="s">
        <v>46</v>
      </c>
      <c r="L114" s="57">
        <f>L56</f>
        <v>0.30171248270639078</v>
      </c>
      <c r="M114" s="57">
        <f>M56</f>
        <v>0.3195536511398685</v>
      </c>
      <c r="N114" s="58">
        <f>M114</f>
        <v>0.3195536511398685</v>
      </c>
      <c r="O114" s="57">
        <f>N114</f>
        <v>0.3195536511398685</v>
      </c>
      <c r="P114" s="57">
        <f t="shared" ref="P114:Q114" si="140">O114</f>
        <v>0.3195536511398685</v>
      </c>
      <c r="Q114" s="57">
        <f t="shared" si="140"/>
        <v>0.3195536511398685</v>
      </c>
      <c r="R114" s="57">
        <f t="shared" ref="R114" si="141">Q114</f>
        <v>0.3195536511398685</v>
      </c>
      <c r="S114" s="57">
        <f t="shared" ref="S114" si="142">R114</f>
        <v>0.3195536511398685</v>
      </c>
    </row>
    <row r="115" spans="1:19">
      <c r="B115" s="40" t="s">
        <v>47</v>
      </c>
      <c r="L115" s="58">
        <f>L114</f>
        <v>0.30171248270639078</v>
      </c>
      <c r="M115" s="41">
        <f>M114*(1+$W$22)</f>
        <v>0.33233579718546324</v>
      </c>
      <c r="N115" s="41">
        <f t="shared" ref="N115:Q115" si="143">N114*(1+$W$22)</f>
        <v>0.33233579718546324</v>
      </c>
      <c r="O115" s="41">
        <f t="shared" si="143"/>
        <v>0.33233579718546324</v>
      </c>
      <c r="P115" s="41">
        <f t="shared" si="143"/>
        <v>0.33233579718546324</v>
      </c>
      <c r="Q115" s="41">
        <f t="shared" si="143"/>
        <v>0.33233579718546324</v>
      </c>
      <c r="R115" s="41">
        <f t="shared" ref="R115:S115" si="144">R114*(1+$W$22)</f>
        <v>0.33233579718546324</v>
      </c>
      <c r="S115" s="41">
        <f t="shared" si="144"/>
        <v>0.33233579718546324</v>
      </c>
    </row>
    <row r="117" spans="1:19">
      <c r="B117" s="43" t="s">
        <v>40</v>
      </c>
      <c r="C117" s="49"/>
      <c r="D117" s="49"/>
      <c r="E117" s="50">
        <f>E99+E105+E111</f>
        <v>28682.739999999998</v>
      </c>
      <c r="F117" s="50">
        <f t="shared" ref="F117:P117" si="145">F99+F105+F111</f>
        <v>32222.04</v>
      </c>
      <c r="G117" s="50">
        <f t="shared" si="145"/>
        <v>39040.9</v>
      </c>
      <c r="H117" s="50">
        <f t="shared" si="145"/>
        <v>47927.199999999997</v>
      </c>
      <c r="I117" s="50">
        <f t="shared" si="145"/>
        <v>61580.1</v>
      </c>
      <c r="J117" s="50">
        <f t="shared" si="145"/>
        <v>76704.800000000003</v>
      </c>
      <c r="K117" s="50">
        <f t="shared" si="145"/>
        <v>85974.1</v>
      </c>
      <c r="L117" s="50">
        <f t="shared" ca="1" si="145"/>
        <v>107753.43320191797</v>
      </c>
      <c r="M117" s="50">
        <f t="shared" ca="1" si="145"/>
        <v>127502.94598725035</v>
      </c>
      <c r="N117" s="50">
        <f t="shared" ca="1" si="145"/>
        <v>145869.68194032449</v>
      </c>
      <c r="O117" s="50">
        <f t="shared" ca="1" si="145"/>
        <v>166642.40876879706</v>
      </c>
      <c r="P117" s="107">
        <f t="shared" ca="1" si="145"/>
        <v>190113.84574116408</v>
      </c>
      <c r="Q117" s="107">
        <f t="shared" ref="Q117:S117" ca="1" si="146">Q99+Q105+Q111</f>
        <v>215791.11773915277</v>
      </c>
      <c r="R117" s="107">
        <f t="shared" ca="1" si="146"/>
        <v>244675.99074607791</v>
      </c>
      <c r="S117" s="108">
        <f t="shared" ca="1" si="146"/>
        <v>277152.05507125659</v>
      </c>
    </row>
    <row r="118" spans="1:19">
      <c r="A118" s="3" t="s">
        <v>13</v>
      </c>
      <c r="B118" s="44" t="s">
        <v>36</v>
      </c>
      <c r="C118" s="52"/>
      <c r="D118" s="52"/>
      <c r="E118" s="73">
        <f t="shared" ref="E118:P118" si="147">E117/E95</f>
        <v>0.30362130142438559</v>
      </c>
      <c r="F118" s="73">
        <f t="shared" si="147"/>
        <v>0.31112926399703372</v>
      </c>
      <c r="G118" s="73">
        <f t="shared" si="147"/>
        <v>0.33039253519648759</v>
      </c>
      <c r="H118" s="73">
        <f t="shared" si="147"/>
        <v>0.35686007334189607</v>
      </c>
      <c r="I118" s="73">
        <f t="shared" si="147"/>
        <v>0.39512010142982168</v>
      </c>
      <c r="J118" s="73">
        <f t="shared" si="147"/>
        <v>0.41845905413441137</v>
      </c>
      <c r="K118" s="73">
        <f t="shared" si="147"/>
        <v>0.41908207026516398</v>
      </c>
      <c r="L118" s="73">
        <f t="shared" ca="1" si="147"/>
        <v>0.47457455120294972</v>
      </c>
      <c r="M118" s="73">
        <f t="shared" ca="1" si="147"/>
        <v>0.49176171971174693</v>
      </c>
      <c r="N118" s="73">
        <f t="shared" ca="1" si="147"/>
        <v>0.49368129425465845</v>
      </c>
      <c r="O118" s="73">
        <f t="shared" ca="1" si="147"/>
        <v>0.49584537856051486</v>
      </c>
      <c r="P118" s="111">
        <f t="shared" ca="1" si="147"/>
        <v>0.49822295006121281</v>
      </c>
      <c r="Q118" s="111">
        <f t="shared" ref="Q118:S118" ca="1" si="148">Q117/Q95</f>
        <v>0.50055052557789292</v>
      </c>
      <c r="R118" s="111">
        <f t="shared" ca="1" si="148"/>
        <v>0.50304372617869442</v>
      </c>
      <c r="S118" s="112">
        <f t="shared" ca="1" si="148"/>
        <v>0.50566355122834106</v>
      </c>
    </row>
    <row r="120" spans="1:19" ht="12.95" customHeight="1">
      <c r="A120" s="3" t="s">
        <v>13</v>
      </c>
      <c r="B120" s="61" t="s">
        <v>0</v>
      </c>
      <c r="C120" s="61"/>
      <c r="D120" s="61"/>
      <c r="E120" s="75">
        <f>E98</f>
        <v>2016</v>
      </c>
      <c r="F120" s="65">
        <f>E120+1</f>
        <v>2017</v>
      </c>
      <c r="G120" s="65">
        <f>F120+1</f>
        <v>2018</v>
      </c>
      <c r="H120" s="65">
        <f>G120+1</f>
        <v>2019</v>
      </c>
      <c r="I120" s="65">
        <f t="shared" ref="I120" si="149">H120+1</f>
        <v>2020</v>
      </c>
      <c r="J120" s="65">
        <f t="shared" ref="J120:K120" si="150">I120+1</f>
        <v>2021</v>
      </c>
      <c r="K120" s="65">
        <f t="shared" si="150"/>
        <v>2022</v>
      </c>
      <c r="L120" s="66">
        <f t="shared" ref="L120" si="151">K120+1</f>
        <v>2023</v>
      </c>
      <c r="M120" s="66">
        <f t="shared" ref="M120" si="152">L120+1</f>
        <v>2024</v>
      </c>
      <c r="N120" s="66">
        <f t="shared" ref="N120" si="153">M120+1</f>
        <v>2025</v>
      </c>
      <c r="O120" s="66">
        <f t="shared" ref="O120" si="154">N120+1</f>
        <v>2026</v>
      </c>
      <c r="P120" s="66">
        <f t="shared" ref="P120" si="155">O120+1</f>
        <v>2027</v>
      </c>
      <c r="Q120" s="66">
        <f t="shared" ref="Q120" si="156">P120+1</f>
        <v>2028</v>
      </c>
      <c r="R120" s="66">
        <f t="shared" ref="R120" si="157">Q120+1</f>
        <v>2029</v>
      </c>
      <c r="S120" s="66">
        <f t="shared" ref="S120" si="158">R120+1</f>
        <v>2030</v>
      </c>
    </row>
    <row r="121" spans="1:19">
      <c r="B121" s="4" t="s">
        <v>19</v>
      </c>
      <c r="E121" s="70">
        <f>E95</f>
        <v>94468.800000000003</v>
      </c>
      <c r="F121" s="70">
        <f t="shared" ref="F121:S121" si="159">F95</f>
        <v>103564.8</v>
      </c>
      <c r="G121" s="70">
        <f t="shared" si="159"/>
        <v>118165.20000000001</v>
      </c>
      <c r="H121" s="70">
        <f t="shared" si="159"/>
        <v>134302.5</v>
      </c>
      <c r="I121" s="70">
        <f t="shared" si="159"/>
        <v>155851.6</v>
      </c>
      <c r="J121" s="70">
        <f t="shared" si="159"/>
        <v>183303</v>
      </c>
      <c r="K121" s="70">
        <f t="shared" si="159"/>
        <v>205148.59999999998</v>
      </c>
      <c r="L121" s="70">
        <f t="shared" ca="1" si="159"/>
        <v>227052.69999999998</v>
      </c>
      <c r="M121" s="70">
        <f t="shared" ca="1" si="159"/>
        <v>259277.9</v>
      </c>
      <c r="N121" s="70">
        <f t="shared" ca="1" si="159"/>
        <v>295473.38260112342</v>
      </c>
      <c r="O121" s="70">
        <f t="shared" ca="1" si="159"/>
        <v>336077.36599779438</v>
      </c>
      <c r="P121" s="70">
        <f t="shared" ca="1" si="159"/>
        <v>381583.87869889627</v>
      </c>
      <c r="Q121" s="70">
        <f t="shared" ca="1" si="159"/>
        <v>431107.56399669894</v>
      </c>
      <c r="R121" s="70">
        <f t="shared" ca="1" si="159"/>
        <v>486391.09885084326</v>
      </c>
      <c r="S121" s="70">
        <f t="shared" ca="1" si="159"/>
        <v>548095.77316381223</v>
      </c>
    </row>
    <row r="122" spans="1:19">
      <c r="B122" s="40" t="s">
        <v>36</v>
      </c>
      <c r="E122" s="46" t="s">
        <v>37</v>
      </c>
      <c r="F122" s="47">
        <f>F121/E121-1</f>
        <v>9.6285757837508257E-2</v>
      </c>
      <c r="G122" s="47">
        <f t="shared" ref="G122:P122" si="160">G121/F121-1</f>
        <v>0.14097840192806821</v>
      </c>
      <c r="H122" s="47">
        <f t="shared" si="160"/>
        <v>0.13656558783804362</v>
      </c>
      <c r="I122" s="47">
        <f t="shared" si="160"/>
        <v>0.1604519647809981</v>
      </c>
      <c r="J122" s="47">
        <f t="shared" si="160"/>
        <v>0.17613806980486557</v>
      </c>
      <c r="K122" s="47">
        <f t="shared" si="160"/>
        <v>0.11917753664697228</v>
      </c>
      <c r="L122" s="47">
        <f t="shared" ca="1" si="160"/>
        <v>0.1067718717066557</v>
      </c>
      <c r="M122" s="47">
        <f t="shared" ca="1" si="160"/>
        <v>0.14192828360992849</v>
      </c>
      <c r="N122" s="47">
        <f t="shared" ca="1" si="160"/>
        <v>0.13960110985596308</v>
      </c>
      <c r="O122" s="47">
        <f t="shared" ca="1" si="160"/>
        <v>0.13742010545662109</v>
      </c>
      <c r="P122" s="47">
        <f t="shared" ca="1" si="160"/>
        <v>0.13540487192880635</v>
      </c>
      <c r="Q122" s="47">
        <f t="shared" ref="Q122" ca="1" si="161">Q121/P121-1</f>
        <v>0.12978453247727817</v>
      </c>
      <c r="R122" s="47">
        <f t="shared" ref="R122" ca="1" si="162">R121/Q121-1</f>
        <v>0.1282360586337743</v>
      </c>
      <c r="S122" s="47">
        <f t="shared" ref="S122" ca="1" si="163">S121/R121-1</f>
        <v>0.12686226055278071</v>
      </c>
    </row>
    <row r="124" spans="1:19">
      <c r="B124" s="4" t="s">
        <v>25</v>
      </c>
      <c r="E124" s="70">
        <f>E117</f>
        <v>28682.739999999998</v>
      </c>
      <c r="F124" s="70">
        <f t="shared" ref="F124:S124" si="164">F117</f>
        <v>32222.04</v>
      </c>
      <c r="G124" s="70">
        <f t="shared" si="164"/>
        <v>39040.9</v>
      </c>
      <c r="H124" s="70">
        <f t="shared" si="164"/>
        <v>47927.199999999997</v>
      </c>
      <c r="I124" s="70">
        <f t="shared" si="164"/>
        <v>61580.1</v>
      </c>
      <c r="J124" s="70">
        <f t="shared" si="164"/>
        <v>76704.800000000003</v>
      </c>
      <c r="K124" s="70">
        <f t="shared" si="164"/>
        <v>85974.1</v>
      </c>
      <c r="L124" s="70">
        <f t="shared" ca="1" si="164"/>
        <v>107753.43320191797</v>
      </c>
      <c r="M124" s="70">
        <f t="shared" ca="1" si="164"/>
        <v>127502.94598725035</v>
      </c>
      <c r="N124" s="70">
        <f t="shared" ca="1" si="164"/>
        <v>145869.68194032449</v>
      </c>
      <c r="O124" s="70">
        <f t="shared" ca="1" si="164"/>
        <v>166642.40876879706</v>
      </c>
      <c r="P124" s="70">
        <f t="shared" ca="1" si="164"/>
        <v>190113.84574116408</v>
      </c>
      <c r="Q124" s="70">
        <f t="shared" ca="1" si="164"/>
        <v>215791.11773915277</v>
      </c>
      <c r="R124" s="70">
        <f t="shared" ca="1" si="164"/>
        <v>244675.99074607791</v>
      </c>
      <c r="S124" s="70">
        <f t="shared" ca="1" si="164"/>
        <v>277152.05507125659</v>
      </c>
    </row>
    <row r="125" spans="1:19">
      <c r="B125" s="40" t="s">
        <v>39</v>
      </c>
      <c r="E125" s="47">
        <f>E124/E121</f>
        <v>0.30362130142438559</v>
      </c>
      <c r="F125" s="47">
        <f t="shared" ref="F125:S125" si="165">F124/F121</f>
        <v>0.31112926399703372</v>
      </c>
      <c r="G125" s="47">
        <f t="shared" si="165"/>
        <v>0.33039253519648759</v>
      </c>
      <c r="H125" s="47">
        <f t="shared" si="165"/>
        <v>0.35686007334189607</v>
      </c>
      <c r="I125" s="47">
        <f t="shared" si="165"/>
        <v>0.39512010142982168</v>
      </c>
      <c r="J125" s="47">
        <f t="shared" si="165"/>
        <v>0.41845905413441137</v>
      </c>
      <c r="K125" s="47">
        <f t="shared" si="165"/>
        <v>0.41908207026516398</v>
      </c>
      <c r="L125" s="47">
        <f t="shared" ca="1" si="165"/>
        <v>0.47457455120294972</v>
      </c>
      <c r="M125" s="47">
        <f t="shared" ca="1" si="165"/>
        <v>0.49176171971174693</v>
      </c>
      <c r="N125" s="47">
        <f t="shared" ca="1" si="165"/>
        <v>0.49368129425465845</v>
      </c>
      <c r="O125" s="47">
        <f t="shared" ca="1" si="165"/>
        <v>0.49584537856051486</v>
      </c>
      <c r="P125" s="47">
        <f t="shared" ca="1" si="165"/>
        <v>0.49822295006121281</v>
      </c>
      <c r="Q125" s="47">
        <f t="shared" ca="1" si="165"/>
        <v>0.50055052557789292</v>
      </c>
      <c r="R125" s="47">
        <f t="shared" ca="1" si="165"/>
        <v>0.50304372617869442</v>
      </c>
      <c r="S125" s="47">
        <f t="shared" ca="1" si="165"/>
        <v>0.50566355122834106</v>
      </c>
    </row>
    <row r="127" spans="1:19">
      <c r="B127" s="4" t="s">
        <v>28</v>
      </c>
      <c r="E127" s="70">
        <f>E63</f>
        <v>3303</v>
      </c>
      <c r="F127" s="70">
        <f t="shared" ref="F127:K127" si="166">F63</f>
        <v>17026</v>
      </c>
      <c r="G127" s="70">
        <f t="shared" si="166"/>
        <v>6386</v>
      </c>
      <c r="H127" s="70">
        <f t="shared" si="166"/>
        <v>5530</v>
      </c>
      <c r="I127" s="70">
        <f t="shared" si="166"/>
        <v>9416</v>
      </c>
      <c r="J127" s="70">
        <f t="shared" si="166"/>
        <v>8495</v>
      </c>
      <c r="K127" s="70">
        <f t="shared" si="166"/>
        <v>15139</v>
      </c>
      <c r="L127" s="45">
        <f ca="1">L124*L128</f>
        <v>15982.657285231666</v>
      </c>
      <c r="M127" s="45">
        <f t="shared" ref="M127:Q127" ca="1" si="167">M124*M128</f>
        <v>18912.027468794873</v>
      </c>
      <c r="N127" s="45">
        <f t="shared" ca="1" si="167"/>
        <v>21636.295619362736</v>
      </c>
      <c r="O127" s="45">
        <f t="shared" ca="1" si="167"/>
        <v>24717.435253745214</v>
      </c>
      <c r="P127" s="45">
        <f t="shared" ca="1" si="167"/>
        <v>28198.864308709009</v>
      </c>
      <c r="Q127" s="45">
        <f t="shared" ca="1" si="167"/>
        <v>32007.476490879595</v>
      </c>
      <c r="R127" s="45">
        <f t="shared" ref="R127" ca="1" si="168">R124*R128</f>
        <v>36291.85994186467</v>
      </c>
      <c r="S127" s="45">
        <f t="shared" ref="S127" ca="1" si="169">S124*S128</f>
        <v>41108.911154607194</v>
      </c>
    </row>
    <row r="128" spans="1:19" ht="12.95" customHeight="1">
      <c r="B128" s="40" t="s">
        <v>49</v>
      </c>
      <c r="E128" s="47">
        <f>E64</f>
        <v>0.16456579144038663</v>
      </c>
      <c r="F128" s="47">
        <f t="shared" ref="F128:K128" si="170">F64</f>
        <v>0.59502341511148393</v>
      </c>
      <c r="G128" s="47">
        <f t="shared" si="170"/>
        <v>0.15994189395647057</v>
      </c>
      <c r="H128" s="47">
        <f t="shared" si="170"/>
        <v>0.11092612280103505</v>
      </c>
      <c r="I128" s="47">
        <f t="shared" si="170"/>
        <v>0.15505714191614794</v>
      </c>
      <c r="J128" s="47">
        <f t="shared" si="170"/>
        <v>0.10661395582329317</v>
      </c>
      <c r="K128" s="47">
        <f t="shared" si="170"/>
        <v>0.18330750230057635</v>
      </c>
      <c r="L128" s="83">
        <f>CHOOSE($E$22,K26,Q26,W26)</f>
        <v>0.14832620001333915</v>
      </c>
      <c r="M128" s="83">
        <f>L128</f>
        <v>0.14832620001333915</v>
      </c>
      <c r="N128" s="83">
        <f t="shared" ref="N128:Q128" si="171">M128</f>
        <v>0.14832620001333915</v>
      </c>
      <c r="O128" s="83">
        <f t="shared" si="171"/>
        <v>0.14832620001333915</v>
      </c>
      <c r="P128" s="83">
        <f t="shared" si="171"/>
        <v>0.14832620001333915</v>
      </c>
      <c r="Q128" s="57">
        <f t="shared" si="171"/>
        <v>0.14832620001333915</v>
      </c>
      <c r="R128" s="57">
        <f t="shared" ref="R128" si="172">Q128</f>
        <v>0.14832620001333915</v>
      </c>
      <c r="S128" s="57">
        <f t="shared" ref="S128" si="173">R128</f>
        <v>0.14832620001333915</v>
      </c>
    </row>
    <row r="130" spans="2:19">
      <c r="B130" s="84" t="s">
        <v>50</v>
      </c>
      <c r="C130" s="85"/>
      <c r="D130" s="85"/>
      <c r="E130" s="85"/>
      <c r="F130" s="85"/>
      <c r="G130" s="85"/>
      <c r="H130" s="85"/>
      <c r="I130" s="85"/>
      <c r="J130" s="85"/>
      <c r="K130" s="86">
        <f>K124-K127</f>
        <v>70835.100000000006</v>
      </c>
      <c r="L130" s="86">
        <f t="shared" ref="L130:S130" ca="1" si="174">L124-L127</f>
        <v>91770.775916686311</v>
      </c>
      <c r="M130" s="86">
        <f t="shared" ca="1" si="174"/>
        <v>108590.91851845548</v>
      </c>
      <c r="N130" s="86">
        <f t="shared" ca="1" si="174"/>
        <v>124233.38632096176</v>
      </c>
      <c r="O130" s="86">
        <f t="shared" ca="1" si="174"/>
        <v>141924.97351505185</v>
      </c>
      <c r="P130" s="114">
        <f t="shared" ca="1" si="174"/>
        <v>161914.98143245507</v>
      </c>
      <c r="Q130" s="114">
        <f t="shared" ca="1" si="174"/>
        <v>183783.64124827317</v>
      </c>
      <c r="R130" s="114">
        <f t="shared" ca="1" si="174"/>
        <v>208384.13080421323</v>
      </c>
      <c r="S130" s="115">
        <f t="shared" ca="1" si="174"/>
        <v>236043.14391664939</v>
      </c>
    </row>
    <row r="132" spans="2:19">
      <c r="B132" s="4" t="s">
        <v>29</v>
      </c>
      <c r="E132" s="70">
        <f>E67</f>
        <v>7599</v>
      </c>
      <c r="F132" s="70">
        <f t="shared" ref="F132:K132" si="175">F67</f>
        <v>9831</v>
      </c>
      <c r="G132" s="70">
        <f t="shared" si="175"/>
        <v>11058</v>
      </c>
      <c r="H132" s="70">
        <f t="shared" si="175"/>
        <v>12024</v>
      </c>
      <c r="I132" s="70">
        <f t="shared" si="175"/>
        <v>11532</v>
      </c>
      <c r="J132" s="70">
        <f t="shared" si="175"/>
        <v>12202</v>
      </c>
      <c r="K132" s="70">
        <f t="shared" si="175"/>
        <v>14190</v>
      </c>
      <c r="L132" s="45">
        <f ca="1">L133*L121</f>
        <v>16580.115002077764</v>
      </c>
      <c r="M132" s="45">
        <f t="shared" ref="M132:S132" ca="1" si="176">M133*M121</f>
        <v>19932.514799752476</v>
      </c>
      <c r="N132" s="45">
        <f t="shared" ca="1" si="176"/>
        <v>23853.819700034001</v>
      </c>
      <c r="O132" s="45">
        <f t="shared" ca="1" si="176"/>
        <v>28426.998614960612</v>
      </c>
      <c r="P132" s="45">
        <f t="shared" ca="1" si="176"/>
        <v>33746.711508777189</v>
      </c>
      <c r="Q132" s="45">
        <f t="shared" ca="1" si="176"/>
        <v>39787.927256282914</v>
      </c>
      <c r="R132" s="45">
        <f t="shared" ca="1" si="176"/>
        <v>46764.642056960154</v>
      </c>
      <c r="S132" s="45">
        <f t="shared" ca="1" si="176"/>
        <v>54809.577316381226</v>
      </c>
    </row>
    <row r="133" spans="2:19" ht="12.95" customHeight="1">
      <c r="B133" s="40" t="s">
        <v>39</v>
      </c>
      <c r="E133" s="87">
        <f>E132/E$121</f>
        <v>8.0439256135358975E-2</v>
      </c>
      <c r="F133" s="87">
        <f t="shared" ref="F133:K133" si="177">F132/F$121</f>
        <v>9.4926075268817203E-2</v>
      </c>
      <c r="G133" s="87">
        <f t="shared" si="177"/>
        <v>9.3580851215078545E-2</v>
      </c>
      <c r="H133" s="87">
        <f t="shared" si="177"/>
        <v>8.9529234377617686E-2</v>
      </c>
      <c r="I133" s="87">
        <f t="shared" si="177"/>
        <v>7.3993465578794188E-2</v>
      </c>
      <c r="J133" s="87">
        <f t="shared" si="177"/>
        <v>6.6567377511551909E-2</v>
      </c>
      <c r="K133" s="87">
        <f t="shared" si="177"/>
        <v>6.916937283510588E-2</v>
      </c>
      <c r="L133" s="88">
        <f>K133+($S$133-$K$133)/($S$120-$K$120)</f>
        <v>7.3023201230717649E-2</v>
      </c>
      <c r="M133" s="88">
        <f t="shared" ref="M133:R133" si="178">L133+($S$133-$K$133)/($S$120-$K$120)</f>
        <v>7.6877029626329418E-2</v>
      </c>
      <c r="N133" s="88">
        <f t="shared" si="178"/>
        <v>8.0730858021941188E-2</v>
      </c>
      <c r="O133" s="88">
        <f t="shared" si="178"/>
        <v>8.4584686417552957E-2</v>
      </c>
      <c r="P133" s="88">
        <f t="shared" si="178"/>
        <v>8.8438514813164726E-2</v>
      </c>
      <c r="Q133" s="88">
        <f t="shared" si="178"/>
        <v>9.2292343208776495E-2</v>
      </c>
      <c r="R133" s="88">
        <f t="shared" si="178"/>
        <v>9.6146171604388264E-2</v>
      </c>
      <c r="S133" s="57">
        <f>CHOOSE($E$23,K27,Q27,W27)</f>
        <v>0.1</v>
      </c>
    </row>
    <row r="135" spans="2:19">
      <c r="B135" s="4" t="s">
        <v>30</v>
      </c>
      <c r="E135" s="70">
        <f>E70</f>
        <v>9114</v>
      </c>
      <c r="F135" s="70">
        <f t="shared" ref="F135:K135" si="179">F70</f>
        <v>8696</v>
      </c>
      <c r="G135" s="70">
        <f t="shared" si="179"/>
        <v>14223</v>
      </c>
      <c r="H135" s="70">
        <f t="shared" si="179"/>
        <v>13546</v>
      </c>
      <c r="I135" s="70">
        <f t="shared" si="179"/>
        <v>17592</v>
      </c>
      <c r="J135" s="70">
        <f t="shared" si="179"/>
        <v>23216</v>
      </c>
      <c r="K135" s="70">
        <f t="shared" si="179"/>
        <v>24768</v>
      </c>
      <c r="L135" s="45">
        <f ca="1">L136*L$121</f>
        <v>27266.175004296681</v>
      </c>
      <c r="M135" s="45">
        <f t="shared" ref="M135:S135" ca="1" si="180">M136*M$121</f>
        <v>31136.016423264446</v>
      </c>
      <c r="N135" s="45">
        <f t="shared" ca="1" si="180"/>
        <v>35482.638872445656</v>
      </c>
      <c r="O135" s="45">
        <f t="shared" ca="1" si="180"/>
        <v>40358.666848176348</v>
      </c>
      <c r="P135" s="45">
        <f t="shared" ca="1" si="180"/>
        <v>45823.426963971026</v>
      </c>
      <c r="Q135" s="45">
        <f t="shared" ca="1" si="180"/>
        <v>51770.599008996702</v>
      </c>
      <c r="R135" s="45">
        <f t="shared" ca="1" si="180"/>
        <v>58409.456579020029</v>
      </c>
      <c r="S135" s="45">
        <f t="shared" ca="1" si="180"/>
        <v>65819.412278293996</v>
      </c>
    </row>
    <row r="136" spans="2:19">
      <c r="B136" s="40" t="s">
        <v>39</v>
      </c>
      <c r="E136" s="87">
        <f>E135/E$121</f>
        <v>9.6476296936131287E-2</v>
      </c>
      <c r="F136" s="87">
        <f t="shared" ref="F136:K136" si="181">F135/F$121</f>
        <v>8.3966753182548509E-2</v>
      </c>
      <c r="G136" s="87">
        <f t="shared" si="181"/>
        <v>0.12036538676361568</v>
      </c>
      <c r="H136" s="87">
        <f t="shared" si="181"/>
        <v>0.10086186035256231</v>
      </c>
      <c r="I136" s="87">
        <f t="shared" si="181"/>
        <v>0.11287660826067875</v>
      </c>
      <c r="J136" s="87">
        <f t="shared" si="181"/>
        <v>0.12665368270022859</v>
      </c>
      <c r="K136" s="87">
        <f t="shared" si="181"/>
        <v>0.12073199622127571</v>
      </c>
      <c r="L136" s="89">
        <f>CHOOSE($E$24,K28,Q28,W28)</f>
        <v>0.12008742906072768</v>
      </c>
      <c r="M136" s="83">
        <f>L136</f>
        <v>0.12008742906072768</v>
      </c>
      <c r="N136" s="83">
        <f t="shared" ref="N136:Q136" si="182">M136</f>
        <v>0.12008742906072768</v>
      </c>
      <c r="O136" s="83">
        <f t="shared" si="182"/>
        <v>0.12008742906072768</v>
      </c>
      <c r="P136" s="83">
        <f t="shared" si="182"/>
        <v>0.12008742906072768</v>
      </c>
      <c r="Q136" s="57">
        <f t="shared" si="182"/>
        <v>0.12008742906072768</v>
      </c>
      <c r="R136" s="57">
        <f t="shared" ref="R136" si="183">Q136</f>
        <v>0.12008742906072768</v>
      </c>
      <c r="S136" s="57">
        <f t="shared" ref="S136" si="184">R136</f>
        <v>0.12008742906072768</v>
      </c>
    </row>
    <row r="138" spans="2:19">
      <c r="B138" s="4" t="s">
        <v>31</v>
      </c>
      <c r="E138" s="70">
        <f>E73</f>
        <v>931</v>
      </c>
      <c r="F138" s="70">
        <f t="shared" ref="F138:K138" si="185">F73</f>
        <v>14404</v>
      </c>
      <c r="G138" s="70">
        <f t="shared" si="185"/>
        <v>1841</v>
      </c>
      <c r="H138" s="70">
        <f t="shared" si="185"/>
        <v>-303</v>
      </c>
      <c r="I138" s="70">
        <f t="shared" si="185"/>
        <v>-723</v>
      </c>
      <c r="J138" s="70">
        <f t="shared" si="185"/>
        <v>388</v>
      </c>
      <c r="K138" s="70">
        <f t="shared" si="185"/>
        <v>-3929</v>
      </c>
      <c r="L138" s="45">
        <f ca="1">L139*L$121</f>
        <v>0</v>
      </c>
      <c r="M138" s="45">
        <f t="shared" ref="M138:S138" ca="1" si="186">M139*M$121</f>
        <v>0</v>
      </c>
      <c r="N138" s="45">
        <f t="shared" ca="1" si="186"/>
        <v>0</v>
      </c>
      <c r="O138" s="45">
        <f t="shared" ca="1" si="186"/>
        <v>0</v>
      </c>
      <c r="P138" s="45">
        <f t="shared" ca="1" si="186"/>
        <v>0</v>
      </c>
      <c r="Q138" s="45">
        <f t="shared" ca="1" si="186"/>
        <v>0</v>
      </c>
      <c r="R138" s="45">
        <f t="shared" ca="1" si="186"/>
        <v>0</v>
      </c>
      <c r="S138" s="45">
        <f t="shared" ca="1" si="186"/>
        <v>0</v>
      </c>
    </row>
    <row r="139" spans="2:19">
      <c r="B139" s="40" t="s">
        <v>39</v>
      </c>
      <c r="E139" s="87">
        <f>E138/E$121</f>
        <v>9.8551056010026585E-3</v>
      </c>
      <c r="F139" s="87">
        <f t="shared" ref="F139:K139" si="187">F138/F$121</f>
        <v>0.13908200469657644</v>
      </c>
      <c r="G139" s="87">
        <f t="shared" si="187"/>
        <v>1.5579883078943715E-2</v>
      </c>
      <c r="H139" s="87">
        <f t="shared" si="187"/>
        <v>-2.2561009661026415E-3</v>
      </c>
      <c r="I139" s="87">
        <f t="shared" si="187"/>
        <v>-4.6390284090763265E-3</v>
      </c>
      <c r="J139" s="87">
        <f t="shared" si="187"/>
        <v>2.1167138562925864E-3</v>
      </c>
      <c r="K139" s="87">
        <f t="shared" si="187"/>
        <v>-1.9151970815301692E-2</v>
      </c>
      <c r="L139" s="89">
        <f>CHOOSE(E25,K29,Q29,W29)</f>
        <v>0</v>
      </c>
      <c r="M139" s="83">
        <f>L139</f>
        <v>0</v>
      </c>
      <c r="N139" s="83">
        <f t="shared" ref="N139:S139" si="188">M139</f>
        <v>0</v>
      </c>
      <c r="O139" s="83">
        <f t="shared" si="188"/>
        <v>0</v>
      </c>
      <c r="P139" s="83">
        <f t="shared" si="188"/>
        <v>0</v>
      </c>
      <c r="Q139" s="83">
        <f t="shared" si="188"/>
        <v>0</v>
      </c>
      <c r="R139" s="83">
        <f t="shared" si="188"/>
        <v>0</v>
      </c>
      <c r="S139" s="57">
        <f t="shared" si="188"/>
        <v>0</v>
      </c>
    </row>
    <row r="141" spans="2:19">
      <c r="B141" s="98" t="s">
        <v>51</v>
      </c>
      <c r="C141" s="99"/>
      <c r="D141" s="99"/>
      <c r="E141" s="99"/>
      <c r="F141" s="99"/>
      <c r="G141" s="99"/>
      <c r="H141" s="99"/>
      <c r="I141" s="99"/>
      <c r="J141" s="99"/>
      <c r="K141" s="100"/>
      <c r="L141" s="100">
        <f ca="1">(L130+L132-L135-L138)*YEARFRAC(C5,C6)</f>
        <v>2477.5885418309485</v>
      </c>
      <c r="M141" s="100">
        <f t="shared" ref="M141:P141" ca="1" si="189">M130+M132-M135-M138</f>
        <v>97387.416894943512</v>
      </c>
      <c r="N141" s="100">
        <f t="shared" ca="1" si="189"/>
        <v>112604.56714855009</v>
      </c>
      <c r="O141" s="100">
        <f t="shared" ca="1" si="189"/>
        <v>129993.30528183612</v>
      </c>
      <c r="P141" s="116">
        <f t="shared" ca="1" si="189"/>
        <v>149838.26597726124</v>
      </c>
      <c r="Q141" s="116">
        <f t="shared" ref="Q141:S141" ca="1" si="190">Q130+Q132-Q135-Q138</f>
        <v>171800.96949555937</v>
      </c>
      <c r="R141" s="116">
        <f t="shared" ca="1" si="190"/>
        <v>196739.31628215336</v>
      </c>
      <c r="S141" s="117">
        <f t="shared" ca="1" si="190"/>
        <v>225033.30895473663</v>
      </c>
    </row>
    <row r="142" spans="2:19">
      <c r="B142" s="101" t="s">
        <v>52</v>
      </c>
      <c r="C142" s="59"/>
      <c r="D142" s="59"/>
      <c r="E142" s="59"/>
      <c r="F142" s="59"/>
      <c r="G142" s="59"/>
      <c r="H142" s="59"/>
      <c r="I142" s="59"/>
      <c r="J142" s="59"/>
      <c r="K142" s="102"/>
      <c r="L142" s="102">
        <f ca="1">L141/(1+wacc)^L145</f>
        <v>2474.4763363825032</v>
      </c>
      <c r="M142" s="102">
        <f ca="1">M141/(1+wacc)^M145</f>
        <v>93227.912908451879</v>
      </c>
      <c r="N142" s="102">
        <f ca="1">N141/(1+wacc)^N145</f>
        <v>99281.622541453864</v>
      </c>
      <c r="O142" s="102">
        <f ca="1">O141/(1+wacc)^O145</f>
        <v>105561.02358673148</v>
      </c>
      <c r="P142" s="102">
        <f ca="1">P141/(1+wacc)^P145</f>
        <v>112066.31468418294</v>
      </c>
      <c r="Q142" s="102">
        <f ca="1">Q141/(1+wacc)^Q145</f>
        <v>118344.3988060328</v>
      </c>
      <c r="R142" s="102">
        <f ca="1">R141/(1+wacc)^R145</f>
        <v>124819.66161200026</v>
      </c>
      <c r="S142" s="118">
        <f ca="1">S141/(1+wacc)^S145</f>
        <v>131494.74430740078</v>
      </c>
    </row>
    <row r="144" spans="2:19">
      <c r="B144" s="4" t="s">
        <v>53</v>
      </c>
      <c r="L144" s="4">
        <v>1</v>
      </c>
      <c r="M144" s="4">
        <f>L144+1</f>
        <v>2</v>
      </c>
      <c r="N144" s="4">
        <f t="shared" ref="N144:P144" si="191">M144+1</f>
        <v>3</v>
      </c>
      <c r="O144" s="4">
        <f t="shared" si="191"/>
        <v>4</v>
      </c>
      <c r="P144" s="4">
        <f t="shared" si="191"/>
        <v>5</v>
      </c>
      <c r="Q144" s="4">
        <f t="shared" ref="Q144" si="192">P144+1</f>
        <v>6</v>
      </c>
      <c r="R144" s="4">
        <f t="shared" ref="R144:R145" si="193">Q144+1</f>
        <v>7</v>
      </c>
      <c r="S144" s="4">
        <f t="shared" ref="S144:S145" si="194">R144+1</f>
        <v>8</v>
      </c>
    </row>
    <row r="145" spans="1:19">
      <c r="B145" s="4" t="s">
        <v>54</v>
      </c>
      <c r="L145" s="96">
        <f>YEARFRAC(C5,C6)/2</f>
        <v>1.5277777777777777E-2</v>
      </c>
      <c r="M145" s="96">
        <f>YEARFRAC(C5,C6)+0.5</f>
        <v>0.53055555555555556</v>
      </c>
      <c r="N145" s="96">
        <f>M145+1</f>
        <v>1.5305555555555554</v>
      </c>
      <c r="O145" s="96">
        <f>N145+1</f>
        <v>2.5305555555555554</v>
      </c>
      <c r="P145" s="96">
        <f t="shared" ref="P145:Q145" si="195">O145+1</f>
        <v>3.5305555555555554</v>
      </c>
      <c r="Q145" s="96">
        <f t="shared" si="195"/>
        <v>4.530555555555555</v>
      </c>
      <c r="R145" s="96">
        <f t="shared" si="193"/>
        <v>5.530555555555555</v>
      </c>
      <c r="S145" s="96">
        <f t="shared" si="194"/>
        <v>6.530555555555555</v>
      </c>
    </row>
    <row r="147" spans="1:19">
      <c r="B147" s="4" t="s">
        <v>55</v>
      </c>
      <c r="S147" s="45">
        <f ca="1">(S141*(1+tgr))/(wacc-tgr)</f>
        <v>3796793.2445009388</v>
      </c>
    </row>
    <row r="148" spans="1:19">
      <c r="B148" s="4" t="s">
        <v>56</v>
      </c>
      <c r="S148" s="45">
        <f ca="1">S147/(1+wacc)^S144</f>
        <v>1965961.0671549579</v>
      </c>
    </row>
    <row r="150" spans="1:19">
      <c r="B150" s="4" t="s">
        <v>57</v>
      </c>
      <c r="S150" s="45">
        <f ca="1">SUM(K142:S142,S148)</f>
        <v>2753231.2219375945</v>
      </c>
    </row>
    <row r="151" spans="1:19">
      <c r="B151" s="4" t="s">
        <v>58</v>
      </c>
      <c r="S151" s="45">
        <v>143951</v>
      </c>
    </row>
    <row r="152" spans="1:19">
      <c r="B152" s="4" t="s">
        <v>59</v>
      </c>
      <c r="S152" s="45">
        <f>WACC!F15</f>
        <v>25808</v>
      </c>
    </row>
    <row r="153" spans="1:19">
      <c r="B153" s="4" t="s">
        <v>60</v>
      </c>
      <c r="S153" s="45">
        <f ca="1">S150+S151-S152</f>
        <v>2871374.2219375945</v>
      </c>
    </row>
    <row r="154" spans="1:19">
      <c r="B154" s="4" t="s">
        <v>61</v>
      </c>
      <c r="S154" s="45">
        <v>7528</v>
      </c>
    </row>
    <row r="155" spans="1:19">
      <c r="A155" s="3" t="s">
        <v>13</v>
      </c>
      <c r="B155" s="4" t="s">
        <v>62</v>
      </c>
      <c r="S155" s="103">
        <f ca="1">S153/S154</f>
        <v>381.42590620850086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16DA-6924-4AF6-83CE-F91CC9DB1A70}">
  <dimension ref="B2:F22"/>
  <sheetViews>
    <sheetView showGridLines="0" zoomScaleNormal="100" workbookViewId="0"/>
  </sheetViews>
  <sheetFormatPr defaultColWidth="8.85546875" defaultRowHeight="15"/>
  <cols>
    <col min="1" max="1" width="3.7109375" customWidth="1"/>
    <col min="6" max="6" width="12.7109375" customWidth="1"/>
  </cols>
  <sheetData>
    <row r="2" spans="2:6" s="34" customFormat="1" ht="21">
      <c r="B2" s="2" t="s">
        <v>32</v>
      </c>
    </row>
    <row r="4" spans="2:6">
      <c r="B4" t="s">
        <v>63</v>
      </c>
    </row>
    <row r="5" spans="2:6">
      <c r="B5" t="s">
        <v>64</v>
      </c>
    </row>
    <row r="7" spans="2:6">
      <c r="B7" s="90" t="s">
        <v>32</v>
      </c>
      <c r="C7" s="91"/>
      <c r="D7" s="91"/>
      <c r="E7" s="91"/>
      <c r="F7" s="91"/>
    </row>
    <row r="8" spans="2:6">
      <c r="B8" t="s">
        <v>65</v>
      </c>
      <c r="F8" s="56">
        <v>2759600</v>
      </c>
    </row>
    <row r="9" spans="2:6">
      <c r="B9" t="s">
        <v>66</v>
      </c>
      <c r="F9" s="92">
        <f>F8/F20</f>
        <v>0.99073457102155227</v>
      </c>
    </row>
    <row r="10" spans="2:6">
      <c r="B10" t="s">
        <v>67</v>
      </c>
      <c r="F10" s="92">
        <f>F11+F12*F13</f>
        <v>8.6323999999999998E-2</v>
      </c>
    </row>
    <row r="11" spans="2:6">
      <c r="B11" t="s">
        <v>68</v>
      </c>
      <c r="F11" s="93">
        <v>4.1930000000000002E-2</v>
      </c>
    </row>
    <row r="12" spans="2:6">
      <c r="B12" t="s">
        <v>69</v>
      </c>
      <c r="F12" s="94">
        <v>0.98</v>
      </c>
    </row>
    <row r="13" spans="2:6">
      <c r="B13" t="s">
        <v>70</v>
      </c>
      <c r="F13" s="93">
        <v>4.53E-2</v>
      </c>
    </row>
    <row r="15" spans="2:6">
      <c r="B15" t="s">
        <v>71</v>
      </c>
      <c r="F15" s="95">
        <v>25808</v>
      </c>
    </row>
    <row r="16" spans="2:6">
      <c r="B16" t="s">
        <v>72</v>
      </c>
      <c r="F16" s="92">
        <f>F15/F20</f>
        <v>9.2654289784476814E-3</v>
      </c>
    </row>
    <row r="17" spans="2:6">
      <c r="B17" t="s">
        <v>73</v>
      </c>
      <c r="F17" s="93">
        <f>AVERAGE(3.125%,2.625%)</f>
        <v>2.8749999999999998E-2</v>
      </c>
    </row>
    <row r="18" spans="2:6">
      <c r="B18" t="s">
        <v>42</v>
      </c>
      <c r="F18" s="93">
        <f>DCF!Q26</f>
        <v>0.14832620001333915</v>
      </c>
    </row>
    <row r="20" spans="2:6">
      <c r="B20" t="s">
        <v>74</v>
      </c>
      <c r="F20" s="56">
        <f>F8+F15</f>
        <v>2785408</v>
      </c>
    </row>
    <row r="22" spans="2:6">
      <c r="B22" t="s">
        <v>32</v>
      </c>
      <c r="F22" s="92">
        <f>(F9*F10)+(F16*F17*(1-F18))</f>
        <v>8.5751040898178671E-2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A744-9422-4FEA-945A-6E566CC8C1F1}">
  <sheetPr>
    <outlinePr summaryBelow="0" summaryRight="0"/>
  </sheetPr>
  <dimension ref="A1:M22"/>
  <sheetViews>
    <sheetView zoomScaleNormal="100" workbookViewId="0">
      <selection activeCell="B6" sqref="B6"/>
    </sheetView>
  </sheetViews>
  <sheetFormatPr defaultColWidth="9.140625" defaultRowHeight="15" customHeight="1"/>
  <cols>
    <col min="1" max="1" width="32.140625" style="5" customWidth="1"/>
    <col min="2" max="2" width="7.7109375" style="5" customWidth="1"/>
    <col min="3" max="8" width="7.85546875" style="5" customWidth="1"/>
    <col min="9" max="13" width="8.85546875" style="5" customWidth="1"/>
    <col min="14" max="16384" width="9.140625" style="5"/>
  </cols>
  <sheetData>
    <row r="1" spans="1:13" ht="15" customHeight="1">
      <c r="A1" s="13" t="s">
        <v>75</v>
      </c>
    </row>
    <row r="2" spans="1:13" ht="15" customHeight="1">
      <c r="A2" s="5" t="s">
        <v>76</v>
      </c>
    </row>
    <row r="3" spans="1:13" ht="15" customHeight="1">
      <c r="A3" s="12"/>
      <c r="B3" s="12" t="s">
        <v>77</v>
      </c>
      <c r="C3" s="12" t="s">
        <v>78</v>
      </c>
      <c r="D3" s="12" t="s">
        <v>79</v>
      </c>
      <c r="E3" s="12" t="s">
        <v>80</v>
      </c>
      <c r="F3" s="12" t="s">
        <v>81</v>
      </c>
      <c r="G3" s="12" t="s">
        <v>82</v>
      </c>
      <c r="H3" s="12" t="s">
        <v>83</v>
      </c>
      <c r="I3" s="12" t="s">
        <v>84</v>
      </c>
      <c r="J3" s="12" t="s">
        <v>85</v>
      </c>
      <c r="K3" s="12" t="s">
        <v>86</v>
      </c>
      <c r="L3" s="12" t="s">
        <v>87</v>
      </c>
      <c r="M3" s="12" t="s">
        <v>88</v>
      </c>
    </row>
    <row r="4" spans="1:13" ht="15" customHeight="1">
      <c r="A4" s="12"/>
      <c r="B4" s="12" t="s">
        <v>89</v>
      </c>
      <c r="C4" s="12" t="s">
        <v>90</v>
      </c>
      <c r="D4" s="12" t="s">
        <v>91</v>
      </c>
      <c r="E4" s="12" t="s">
        <v>92</v>
      </c>
      <c r="F4" s="12" t="s">
        <v>93</v>
      </c>
      <c r="G4" s="12" t="s">
        <v>94</v>
      </c>
      <c r="H4" s="12" t="s">
        <v>95</v>
      </c>
      <c r="I4" s="12" t="s">
        <v>96</v>
      </c>
      <c r="J4" s="12" t="s">
        <v>97</v>
      </c>
      <c r="K4" s="12" t="s">
        <v>98</v>
      </c>
      <c r="L4" s="12" t="s">
        <v>99</v>
      </c>
      <c r="M4" s="12" t="s">
        <v>100</v>
      </c>
    </row>
    <row r="5" spans="1:13" ht="15" customHeight="1">
      <c r="A5" s="6" t="s">
        <v>101</v>
      </c>
      <c r="B5" s="7">
        <v>94531.3</v>
      </c>
      <c r="C5" s="7">
        <v>103586</v>
      </c>
      <c r="D5" s="7">
        <v>118165</v>
      </c>
      <c r="E5" s="7">
        <v>134303</v>
      </c>
      <c r="F5" s="7">
        <v>155852</v>
      </c>
      <c r="G5" s="7">
        <v>183303</v>
      </c>
      <c r="H5" s="7">
        <v>205149</v>
      </c>
      <c r="I5" s="7">
        <v>227274</v>
      </c>
      <c r="J5" s="7">
        <v>260464</v>
      </c>
      <c r="K5" s="7">
        <v>296482</v>
      </c>
      <c r="L5" s="7">
        <v>350582</v>
      </c>
      <c r="M5" s="7">
        <v>412495</v>
      </c>
    </row>
    <row r="6" spans="1:13" ht="15" customHeight="1">
      <c r="A6" s="10" t="s">
        <v>22</v>
      </c>
      <c r="B6" s="9">
        <v>28518.2</v>
      </c>
      <c r="C6" s="9">
        <v>33176.800000000003</v>
      </c>
      <c r="D6" s="9">
        <v>38534.300000000003</v>
      </c>
      <c r="E6" s="9">
        <v>43736.6</v>
      </c>
      <c r="F6" s="9">
        <v>50251.3</v>
      </c>
      <c r="G6" s="9">
        <v>58678.3</v>
      </c>
      <c r="H6" s="9">
        <v>66343.3</v>
      </c>
      <c r="I6" s="9">
        <v>73267.100000000006</v>
      </c>
      <c r="J6" s="9">
        <v>82236.5</v>
      </c>
      <c r="K6" s="9">
        <v>91674.1</v>
      </c>
      <c r="L6" s="9">
        <v>106178</v>
      </c>
      <c r="M6" s="9">
        <v>123372</v>
      </c>
    </row>
    <row r="7" spans="1:13" ht="15" customHeight="1">
      <c r="A7" s="6" t="s">
        <v>23</v>
      </c>
      <c r="B7" s="7">
        <v>26285.3</v>
      </c>
      <c r="C7" s="7">
        <v>29849.1</v>
      </c>
      <c r="D7" s="7">
        <v>35629.800000000003</v>
      </c>
      <c r="E7" s="7">
        <v>43647.4</v>
      </c>
      <c r="F7" s="7">
        <v>54337.8</v>
      </c>
      <c r="G7" s="7">
        <v>67727.8</v>
      </c>
      <c r="H7" s="7">
        <v>81631</v>
      </c>
      <c r="I7" s="7">
        <v>95651.7</v>
      </c>
      <c r="J7" s="7">
        <v>112898</v>
      </c>
      <c r="K7" s="7">
        <v>133610</v>
      </c>
      <c r="L7" s="7">
        <v>162216</v>
      </c>
      <c r="M7" s="7">
        <v>200481</v>
      </c>
    </row>
    <row r="8" spans="1:13" ht="15" customHeight="1">
      <c r="A8" s="10" t="s">
        <v>24</v>
      </c>
      <c r="B8" s="9">
        <v>39665.300000000003</v>
      </c>
      <c r="C8" s="9">
        <v>40538.9</v>
      </c>
      <c r="D8" s="9">
        <v>44001.1</v>
      </c>
      <c r="E8" s="9">
        <v>46918.5</v>
      </c>
      <c r="F8" s="9">
        <v>51262.5</v>
      </c>
      <c r="G8" s="9">
        <v>56896.9</v>
      </c>
      <c r="H8" s="9">
        <v>57174.3</v>
      </c>
      <c r="I8" s="9">
        <v>58133.9</v>
      </c>
      <c r="J8" s="9">
        <v>64143.4</v>
      </c>
      <c r="K8" s="9">
        <v>69043.100000000006</v>
      </c>
      <c r="L8" s="9">
        <v>76290.399999999994</v>
      </c>
      <c r="M8" s="9">
        <v>84004.6</v>
      </c>
    </row>
    <row r="9" spans="1:13" ht="15" customHeight="1">
      <c r="A9" s="6" t="s">
        <v>102</v>
      </c>
      <c r="B9" s="8">
        <v>-6697.34</v>
      </c>
      <c r="C9" s="8">
        <v>-3325.94</v>
      </c>
      <c r="D9" s="7">
        <v>0</v>
      </c>
      <c r="E9" s="7">
        <v>0</v>
      </c>
      <c r="F9" s="15" t="s">
        <v>103</v>
      </c>
      <c r="G9" s="15" t="s">
        <v>103</v>
      </c>
      <c r="H9" s="15" t="s">
        <v>103</v>
      </c>
      <c r="I9" s="15" t="s">
        <v>103</v>
      </c>
      <c r="J9" s="15" t="s">
        <v>103</v>
      </c>
      <c r="K9" s="15" t="s">
        <v>103</v>
      </c>
      <c r="L9" s="15" t="s">
        <v>103</v>
      </c>
      <c r="M9" s="15" t="s">
        <v>103</v>
      </c>
    </row>
    <row r="10" spans="1:13" ht="15" customHeight="1">
      <c r="A10" s="10" t="s">
        <v>104</v>
      </c>
      <c r="B10" s="9">
        <v>28735</v>
      </c>
      <c r="C10" s="9">
        <v>32222</v>
      </c>
      <c r="D10" s="9">
        <v>39041</v>
      </c>
      <c r="E10" s="9">
        <v>47927.199999999997</v>
      </c>
      <c r="F10" s="9">
        <v>61580.1</v>
      </c>
      <c r="G10" s="9">
        <v>76704.800000000003</v>
      </c>
      <c r="H10" s="9">
        <v>85974.1</v>
      </c>
      <c r="I10" s="9">
        <v>95966.1</v>
      </c>
      <c r="J10" s="9">
        <v>111324</v>
      </c>
      <c r="K10" s="9">
        <v>129208</v>
      </c>
      <c r="L10" s="9">
        <v>152524</v>
      </c>
      <c r="M10" s="9">
        <v>176922</v>
      </c>
    </row>
    <row r="11" spans="1:13" ht="15" customHeight="1">
      <c r="A11" s="6" t="s">
        <v>22</v>
      </c>
      <c r="B11" s="7">
        <v>12186</v>
      </c>
      <c r="C11" s="7">
        <v>12422.7</v>
      </c>
      <c r="D11" s="7">
        <v>14585</v>
      </c>
      <c r="E11" s="7">
        <v>17456</v>
      </c>
      <c r="F11" s="7">
        <v>21586.400000000001</v>
      </c>
      <c r="G11" s="7">
        <v>27040.9</v>
      </c>
      <c r="H11" s="7">
        <v>31956.5</v>
      </c>
      <c r="I11" s="7">
        <v>36685.699999999997</v>
      </c>
      <c r="J11" s="7">
        <v>41708.5</v>
      </c>
      <c r="K11" s="7">
        <v>47141.2</v>
      </c>
      <c r="L11" s="7">
        <v>53538.1</v>
      </c>
      <c r="M11" s="7">
        <v>60575.6</v>
      </c>
    </row>
    <row r="12" spans="1:13" ht="15" customHeight="1">
      <c r="A12" s="10" t="s">
        <v>23</v>
      </c>
      <c r="B12" s="9">
        <v>9259.99</v>
      </c>
      <c r="C12" s="9">
        <v>10340.799999999999</v>
      </c>
      <c r="D12" s="9">
        <v>12731.8</v>
      </c>
      <c r="E12" s="9">
        <v>16114.9</v>
      </c>
      <c r="F12" s="9">
        <v>22282.3</v>
      </c>
      <c r="G12" s="9">
        <v>29450.6</v>
      </c>
      <c r="H12" s="9">
        <v>35323.699999999997</v>
      </c>
      <c r="I12" s="9">
        <v>42414.400000000001</v>
      </c>
      <c r="J12" s="9">
        <v>50996.4</v>
      </c>
      <c r="K12" s="9">
        <v>60782.7</v>
      </c>
      <c r="L12" s="9">
        <v>73651.399999999994</v>
      </c>
      <c r="M12" s="9">
        <v>90216.4</v>
      </c>
    </row>
    <row r="13" spans="1:13" ht="15" customHeight="1">
      <c r="A13" s="6" t="s">
        <v>24</v>
      </c>
      <c r="B13" s="7">
        <v>7236.75</v>
      </c>
      <c r="C13" s="7">
        <v>9458.5400000000009</v>
      </c>
      <c r="D13" s="7">
        <v>11724.1</v>
      </c>
      <c r="E13" s="7">
        <v>14356.3</v>
      </c>
      <c r="F13" s="7">
        <v>17711.400000000001</v>
      </c>
      <c r="G13" s="7">
        <v>20213.3</v>
      </c>
      <c r="H13" s="7">
        <v>18693.900000000001</v>
      </c>
      <c r="I13" s="7">
        <v>17250.2</v>
      </c>
      <c r="J13" s="7">
        <v>18576.900000000001</v>
      </c>
      <c r="K13" s="7">
        <v>20444.2</v>
      </c>
      <c r="L13" s="7">
        <v>22726.9</v>
      </c>
      <c r="M13" s="7">
        <v>23975.3</v>
      </c>
    </row>
    <row r="14" spans="1:13" ht="15" customHeight="1">
      <c r="A14" s="10" t="s">
        <v>102</v>
      </c>
      <c r="B14" s="11">
        <v>-7403.07</v>
      </c>
      <c r="C14" s="11">
        <v>-3477.68</v>
      </c>
      <c r="D14" s="9">
        <v>0</v>
      </c>
      <c r="E14" s="14" t="s">
        <v>103</v>
      </c>
      <c r="F14" s="14" t="s">
        <v>103</v>
      </c>
      <c r="G14" s="14" t="s">
        <v>103</v>
      </c>
      <c r="H14" s="14" t="s">
        <v>103</v>
      </c>
      <c r="I14" s="14" t="s">
        <v>103</v>
      </c>
      <c r="J14" s="14" t="s">
        <v>103</v>
      </c>
      <c r="K14" s="14" t="s">
        <v>103</v>
      </c>
      <c r="L14" s="14" t="s">
        <v>103</v>
      </c>
      <c r="M14" s="14" t="s">
        <v>103</v>
      </c>
    </row>
    <row r="15" spans="1:13" ht="15" customHeight="1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</row>
    <row r="16" spans="1:13" ht="15" customHeight="1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2:13" ht="15" customHeight="1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2:13" ht="15" customHeight="1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20" spans="2:13" ht="15" customHeight="1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2:13" ht="15" customHeight="1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</row>
    <row r="22" spans="2:13" ht="15" customHeight="1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41D2-21B9-4BEE-A718-9E6B7CEBACF9}">
  <sheetPr>
    <outlinePr summaryBelow="0" summaryRight="0"/>
  </sheetPr>
  <dimension ref="A1:K52"/>
  <sheetViews>
    <sheetView zoomScaleNormal="100" workbookViewId="0">
      <selection activeCell="A3" sqref="A3"/>
    </sheetView>
  </sheetViews>
  <sheetFormatPr defaultColWidth="9.140625" defaultRowHeight="15" customHeight="1" outlineLevelRow="3"/>
  <cols>
    <col min="1" max="1" width="53.28515625" style="5" customWidth="1"/>
    <col min="2" max="11" width="8.42578125" style="5" customWidth="1"/>
    <col min="12" max="16384" width="9.140625" style="5"/>
  </cols>
  <sheetData>
    <row r="1" spans="1:11" ht="15" customHeight="1">
      <c r="A1" s="13" t="s">
        <v>105</v>
      </c>
    </row>
    <row r="2" spans="1:11" ht="15" customHeight="1">
      <c r="A2" s="119">
        <v>370.62</v>
      </c>
    </row>
    <row r="3" spans="1:11" ht="1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1" ht="15" customHeight="1">
      <c r="A5" s="12" t="s">
        <v>106</v>
      </c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ht="15" customHeight="1">
      <c r="A6" s="12" t="s">
        <v>107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ht="15" customHeight="1">
      <c r="A7" s="12" t="s">
        <v>108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ht="15" customHeight="1">
      <c r="A8" s="12"/>
      <c r="B8" s="12" t="s">
        <v>109</v>
      </c>
      <c r="C8" s="12" t="s">
        <v>110</v>
      </c>
      <c r="D8" s="12" t="s">
        <v>111</v>
      </c>
      <c r="E8" s="12" t="s">
        <v>112</v>
      </c>
      <c r="F8" s="12" t="s">
        <v>113</v>
      </c>
      <c r="G8" s="12" t="s">
        <v>114</v>
      </c>
      <c r="H8" s="12" t="s">
        <v>115</v>
      </c>
      <c r="I8" s="12" t="s">
        <v>116</v>
      </c>
      <c r="J8" s="12" t="s">
        <v>117</v>
      </c>
      <c r="K8" s="12" t="s">
        <v>118</v>
      </c>
    </row>
    <row r="9" spans="1:11" ht="15" customHeight="1">
      <c r="A9" s="30" t="s">
        <v>101</v>
      </c>
      <c r="B9" s="20">
        <v>83263</v>
      </c>
      <c r="C9" s="20">
        <v>93268</v>
      </c>
      <c r="D9" s="20">
        <v>87314</v>
      </c>
      <c r="E9" s="20">
        <v>85106</v>
      </c>
      <c r="F9" s="20">
        <v>98425</v>
      </c>
      <c r="G9" s="20">
        <v>118224</v>
      </c>
      <c r="H9" s="20">
        <v>134088</v>
      </c>
      <c r="I9" s="20">
        <v>153284</v>
      </c>
      <c r="J9" s="20">
        <v>184903</v>
      </c>
      <c r="K9" s="20">
        <v>204094</v>
      </c>
    </row>
    <row r="10" spans="1:11" ht="15" customHeight="1" outlineLevel="1">
      <c r="A10" s="26" t="s">
        <v>119</v>
      </c>
      <c r="B10" s="25">
        <v>23787</v>
      </c>
      <c r="C10" s="25">
        <v>31945</v>
      </c>
      <c r="D10" s="25">
        <v>31708</v>
      </c>
      <c r="E10" s="25">
        <v>33446</v>
      </c>
      <c r="F10" s="25">
        <v>36134</v>
      </c>
      <c r="G10" s="25">
        <v>41648</v>
      </c>
      <c r="H10" s="25">
        <v>43346</v>
      </c>
      <c r="I10" s="25">
        <v>48510</v>
      </c>
      <c r="J10" s="25">
        <v>57642</v>
      </c>
      <c r="K10" s="25">
        <v>64984</v>
      </c>
    </row>
    <row r="11" spans="1:11" ht="15" customHeight="1" outlineLevel="2">
      <c r="A11" s="18" t="s">
        <v>120</v>
      </c>
      <c r="B11" s="7">
        <v>19536</v>
      </c>
      <c r="C11" s="7">
        <v>25999</v>
      </c>
      <c r="D11" s="7">
        <v>25695</v>
      </c>
      <c r="E11" s="7">
        <v>25847</v>
      </c>
      <c r="F11" s="7">
        <v>26303</v>
      </c>
      <c r="G11" s="7">
        <v>30590</v>
      </c>
      <c r="H11" s="7">
        <v>31322</v>
      </c>
      <c r="I11" s="7">
        <v>36482</v>
      </c>
      <c r="J11" s="7">
        <v>44654</v>
      </c>
      <c r="K11" s="7">
        <v>50794</v>
      </c>
    </row>
    <row r="12" spans="1:11" ht="15" customHeight="1" outlineLevel="2">
      <c r="A12" s="82" t="s">
        <v>121</v>
      </c>
      <c r="B12" s="25">
        <v>4251</v>
      </c>
      <c r="C12" s="25">
        <v>5946</v>
      </c>
      <c r="D12" s="25">
        <v>6013</v>
      </c>
      <c r="E12" s="25">
        <v>7599</v>
      </c>
      <c r="F12" s="25">
        <v>9831</v>
      </c>
      <c r="G12" s="25">
        <v>11058</v>
      </c>
      <c r="H12" s="25">
        <v>12024</v>
      </c>
      <c r="I12" s="25">
        <v>12028</v>
      </c>
      <c r="J12" s="25">
        <v>12988</v>
      </c>
      <c r="K12" s="25">
        <v>14190</v>
      </c>
    </row>
    <row r="13" spans="1:11" ht="15" customHeight="1" outlineLevel="3">
      <c r="A13" s="27" t="s">
        <v>122</v>
      </c>
      <c r="B13" s="7">
        <v>3355</v>
      </c>
      <c r="C13" s="7">
        <v>10865</v>
      </c>
      <c r="D13" s="7">
        <v>4901</v>
      </c>
      <c r="E13" s="7">
        <v>6523</v>
      </c>
      <c r="F13" s="7">
        <v>7519</v>
      </c>
      <c r="G13" s="7">
        <v>8912</v>
      </c>
      <c r="H13" s="7">
        <v>10348</v>
      </c>
      <c r="I13" s="7">
        <v>10511</v>
      </c>
      <c r="J13" s="7">
        <v>11298</v>
      </c>
      <c r="K13" s="7">
        <v>11823</v>
      </c>
    </row>
    <row r="14" spans="1:11" ht="15" customHeight="1" outlineLevel="3">
      <c r="A14" s="28" t="s">
        <v>123</v>
      </c>
      <c r="B14" s="9">
        <v>896</v>
      </c>
      <c r="C14" s="9">
        <v>1377</v>
      </c>
      <c r="D14" s="9">
        <v>1112</v>
      </c>
      <c r="E14" s="9">
        <v>1076</v>
      </c>
      <c r="F14" s="9">
        <v>2312</v>
      </c>
      <c r="G14" s="9">
        <v>2146</v>
      </c>
      <c r="H14" s="9">
        <v>1676</v>
      </c>
      <c r="I14" s="9">
        <v>1517</v>
      </c>
      <c r="J14" s="9">
        <v>1690</v>
      </c>
      <c r="K14" s="9">
        <v>2367</v>
      </c>
    </row>
    <row r="15" spans="1:11" ht="15" customHeight="1">
      <c r="A15" s="30" t="s">
        <v>124</v>
      </c>
      <c r="B15" s="20">
        <v>59476</v>
      </c>
      <c r="C15" s="20">
        <v>61323</v>
      </c>
      <c r="D15" s="20">
        <v>55606</v>
      </c>
      <c r="E15" s="20">
        <v>51660</v>
      </c>
      <c r="F15" s="20">
        <v>62291</v>
      </c>
      <c r="G15" s="20">
        <v>76576</v>
      </c>
      <c r="H15" s="20">
        <v>90742</v>
      </c>
      <c r="I15" s="20">
        <v>104774</v>
      </c>
      <c r="J15" s="20">
        <v>127261</v>
      </c>
      <c r="K15" s="20">
        <v>139110</v>
      </c>
    </row>
    <row r="16" spans="1:11" ht="15" customHeight="1" outlineLevel="1">
      <c r="A16" s="26" t="s">
        <v>125</v>
      </c>
      <c r="B16" s="25">
        <v>31658</v>
      </c>
      <c r="C16" s="25">
        <v>32925</v>
      </c>
      <c r="D16" s="25">
        <v>31388</v>
      </c>
      <c r="E16" s="25">
        <v>31191</v>
      </c>
      <c r="F16" s="25">
        <v>33565</v>
      </c>
      <c r="G16" s="25">
        <v>37927</v>
      </c>
      <c r="H16" s="25">
        <v>41580</v>
      </c>
      <c r="I16" s="25">
        <v>44619</v>
      </c>
      <c r="J16" s="25">
        <v>48633</v>
      </c>
      <c r="K16" s="25">
        <v>56295</v>
      </c>
    </row>
    <row r="17" spans="1:11" ht="15" customHeight="1" outlineLevel="2">
      <c r="A17" s="18" t="s">
        <v>126</v>
      </c>
      <c r="B17" s="7">
        <v>10938</v>
      </c>
      <c r="C17" s="7">
        <v>11834</v>
      </c>
      <c r="D17" s="7">
        <v>11940</v>
      </c>
      <c r="E17" s="7">
        <v>12294</v>
      </c>
      <c r="F17" s="7">
        <v>13604</v>
      </c>
      <c r="G17" s="7">
        <v>15695</v>
      </c>
      <c r="H17" s="7">
        <v>17997</v>
      </c>
      <c r="I17" s="7">
        <v>19926</v>
      </c>
      <c r="J17" s="7">
        <v>22248</v>
      </c>
      <c r="K17" s="7">
        <v>26627</v>
      </c>
    </row>
    <row r="18" spans="1:11" ht="15" customHeight="1" outlineLevel="2">
      <c r="A18" s="19" t="s">
        <v>127</v>
      </c>
      <c r="B18" s="9">
        <v>20720</v>
      </c>
      <c r="C18" s="9">
        <v>21091</v>
      </c>
      <c r="D18" s="9">
        <v>19448</v>
      </c>
      <c r="E18" s="9">
        <v>18897</v>
      </c>
      <c r="F18" s="9">
        <v>19961</v>
      </c>
      <c r="G18" s="9">
        <v>22232</v>
      </c>
      <c r="H18" s="9">
        <v>23583</v>
      </c>
      <c r="I18" s="9">
        <v>24693</v>
      </c>
      <c r="J18" s="9">
        <v>26385</v>
      </c>
      <c r="K18" s="9">
        <v>29668</v>
      </c>
    </row>
    <row r="19" spans="1:11" ht="15" customHeight="1">
      <c r="A19" s="30" t="s">
        <v>128</v>
      </c>
      <c r="B19" s="20">
        <v>27818</v>
      </c>
      <c r="C19" s="20">
        <v>28398</v>
      </c>
      <c r="D19" s="20">
        <v>24218</v>
      </c>
      <c r="E19" s="20">
        <v>20469</v>
      </c>
      <c r="F19" s="20">
        <v>28726</v>
      </c>
      <c r="G19" s="20">
        <v>38649</v>
      </c>
      <c r="H19" s="20">
        <v>49162</v>
      </c>
      <c r="I19" s="20">
        <v>60155</v>
      </c>
      <c r="J19" s="20">
        <v>78628</v>
      </c>
      <c r="K19" s="20">
        <v>82815</v>
      </c>
    </row>
    <row r="20" spans="1:11" ht="15" customHeight="1" outlineLevel="1">
      <c r="A20" s="26" t="s">
        <v>129</v>
      </c>
      <c r="B20" s="25">
        <v>1180</v>
      </c>
      <c r="C20" s="25">
        <v>1531</v>
      </c>
      <c r="D20" s="25">
        <v>2275</v>
      </c>
      <c r="E20" s="25">
        <v>3054</v>
      </c>
      <c r="F20" s="25">
        <v>4925</v>
      </c>
      <c r="G20" s="25">
        <v>3838</v>
      </c>
      <c r="H20" s="25">
        <v>2846</v>
      </c>
      <c r="I20" s="25">
        <v>2595</v>
      </c>
      <c r="J20" s="25">
        <v>2074</v>
      </c>
      <c r="K20" s="25">
        <v>2245</v>
      </c>
    </row>
    <row r="21" spans="1:11" ht="15" customHeight="1" outlineLevel="2">
      <c r="A21" s="18" t="s">
        <v>130</v>
      </c>
      <c r="B21" s="7">
        <v>750</v>
      </c>
      <c r="C21" s="7">
        <v>893</v>
      </c>
      <c r="D21" s="7">
        <v>757</v>
      </c>
      <c r="E21" s="7">
        <v>1108</v>
      </c>
      <c r="F21" s="7">
        <v>1786</v>
      </c>
      <c r="G21" s="7">
        <v>2596</v>
      </c>
      <c r="H21" s="7">
        <v>2789</v>
      </c>
      <c r="I21" s="7">
        <v>2383</v>
      </c>
      <c r="J21" s="7">
        <v>2039</v>
      </c>
      <c r="K21" s="7">
        <v>2412</v>
      </c>
    </row>
    <row r="22" spans="1:11" ht="15" customHeight="1" outlineLevel="2">
      <c r="A22" s="19" t="s">
        <v>131</v>
      </c>
      <c r="B22" s="9">
        <v>430</v>
      </c>
      <c r="C22" s="9">
        <v>638</v>
      </c>
      <c r="D22" s="9">
        <v>1518</v>
      </c>
      <c r="E22" s="9">
        <v>1946</v>
      </c>
      <c r="F22" s="9">
        <v>3139</v>
      </c>
      <c r="G22" s="9">
        <v>1242</v>
      </c>
      <c r="H22" s="9">
        <v>57</v>
      </c>
      <c r="I22" s="9">
        <v>212</v>
      </c>
      <c r="J22" s="9">
        <v>35</v>
      </c>
      <c r="K22" s="11">
        <v>-167</v>
      </c>
    </row>
    <row r="23" spans="1:11" ht="15" customHeight="1" outlineLevel="1">
      <c r="A23" s="21" t="s">
        <v>132</v>
      </c>
      <c r="B23" s="20">
        <v>482</v>
      </c>
      <c r="C23" s="20">
        <v>667</v>
      </c>
      <c r="D23" s="20">
        <v>1016</v>
      </c>
      <c r="E23" s="20">
        <v>1643</v>
      </c>
      <c r="F23" s="20">
        <v>2634</v>
      </c>
      <c r="G23" s="20">
        <v>2709</v>
      </c>
      <c r="H23" s="20">
        <v>2631</v>
      </c>
      <c r="I23" s="20">
        <v>2460</v>
      </c>
      <c r="J23" s="20">
        <v>2250</v>
      </c>
      <c r="K23" s="20">
        <v>1989</v>
      </c>
    </row>
    <row r="24" spans="1:11" ht="15" customHeight="1" outlineLevel="2">
      <c r="A24" s="19" t="s">
        <v>133</v>
      </c>
      <c r="B24" s="9">
        <v>482</v>
      </c>
      <c r="C24" s="9">
        <v>667</v>
      </c>
      <c r="D24" s="9">
        <v>1016</v>
      </c>
      <c r="E24" s="9">
        <v>1643</v>
      </c>
      <c r="F24" s="9">
        <v>2634</v>
      </c>
      <c r="G24" s="9">
        <v>2709</v>
      </c>
      <c r="H24" s="9">
        <v>2631</v>
      </c>
      <c r="I24" s="9">
        <v>2460</v>
      </c>
      <c r="J24" s="9">
        <v>2250</v>
      </c>
      <c r="K24" s="9">
        <v>1989</v>
      </c>
    </row>
    <row r="25" spans="1:11" ht="15" customHeight="1" outlineLevel="1">
      <c r="A25" s="21" t="s">
        <v>134</v>
      </c>
      <c r="B25" s="20">
        <v>482</v>
      </c>
      <c r="C25" s="20">
        <v>1982</v>
      </c>
      <c r="D25" s="20">
        <v>9348</v>
      </c>
      <c r="E25" s="20">
        <v>1809</v>
      </c>
      <c r="F25" s="20">
        <v>2403</v>
      </c>
      <c r="G25" s="20">
        <v>-149</v>
      </c>
      <c r="H25" s="20">
        <v>-476</v>
      </c>
      <c r="I25" s="20">
        <v>-436</v>
      </c>
      <c r="J25" s="20">
        <v>-1228</v>
      </c>
      <c r="K25" s="20">
        <v>483</v>
      </c>
    </row>
    <row r="26" spans="1:11" ht="15" customHeight="1" outlineLevel="2">
      <c r="A26" s="82" t="s">
        <v>135</v>
      </c>
      <c r="B26" s="25">
        <v>144</v>
      </c>
      <c r="C26" s="25">
        <v>75</v>
      </c>
      <c r="D26" s="25">
        <v>5410</v>
      </c>
      <c r="E26" s="25">
        <v>199</v>
      </c>
      <c r="F26" s="25">
        <v>46</v>
      </c>
      <c r="G26" s="24"/>
      <c r="H26" s="25">
        <v>52</v>
      </c>
      <c r="I26" s="25">
        <v>105</v>
      </c>
      <c r="J26" s="25">
        <v>13</v>
      </c>
      <c r="K26" s="25">
        <v>122</v>
      </c>
    </row>
    <row r="27" spans="1:11" ht="15" customHeight="1" outlineLevel="3">
      <c r="A27" s="27" t="s">
        <v>136</v>
      </c>
      <c r="B27" s="7">
        <v>0</v>
      </c>
      <c r="C27" s="7">
        <v>0</v>
      </c>
      <c r="D27" s="7">
        <v>5100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ht="15" customHeight="1" outlineLevel="3">
      <c r="A28" s="28" t="s">
        <v>137</v>
      </c>
      <c r="B28" s="9">
        <v>144</v>
      </c>
      <c r="C28" s="9">
        <v>75</v>
      </c>
      <c r="D28" s="9">
        <v>310</v>
      </c>
      <c r="E28" s="9">
        <v>199</v>
      </c>
      <c r="F28" s="9">
        <v>46</v>
      </c>
      <c r="G28" s="10"/>
      <c r="H28" s="9">
        <v>52</v>
      </c>
      <c r="I28" s="9">
        <v>105</v>
      </c>
      <c r="J28" s="9">
        <v>13</v>
      </c>
      <c r="K28" s="9">
        <v>122</v>
      </c>
    </row>
    <row r="29" spans="1:11" ht="15" customHeight="1" outlineLevel="2">
      <c r="A29" s="18" t="s">
        <v>138</v>
      </c>
      <c r="B29" s="7">
        <v>0</v>
      </c>
      <c r="C29" s="7">
        <v>1510</v>
      </c>
      <c r="D29" s="7">
        <v>3528</v>
      </c>
      <c r="E29" s="7">
        <v>1286</v>
      </c>
      <c r="F29" s="7">
        <v>1853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</row>
    <row r="30" spans="1:11" ht="15" customHeight="1" outlineLevel="2">
      <c r="A30" s="82" t="s">
        <v>139</v>
      </c>
      <c r="B30" s="25">
        <v>-338</v>
      </c>
      <c r="C30" s="25">
        <v>-397</v>
      </c>
      <c r="D30" s="25">
        <v>-410</v>
      </c>
      <c r="E30" s="25">
        <v>-324</v>
      </c>
      <c r="F30" s="25">
        <v>-504</v>
      </c>
      <c r="G30" s="25">
        <v>176</v>
      </c>
      <c r="H30" s="25">
        <v>528</v>
      </c>
      <c r="I30" s="25">
        <v>541</v>
      </c>
      <c r="J30" s="25">
        <v>1241</v>
      </c>
      <c r="K30" s="25">
        <v>-361</v>
      </c>
    </row>
    <row r="31" spans="1:11" ht="15" customHeight="1" outlineLevel="3">
      <c r="A31" s="27" t="s">
        <v>140</v>
      </c>
      <c r="B31" s="6"/>
      <c r="C31" s="6"/>
      <c r="D31" s="6"/>
      <c r="E31" s="6"/>
      <c r="F31" s="6"/>
      <c r="G31" s="6"/>
      <c r="H31" s="7">
        <v>343</v>
      </c>
      <c r="I31" s="7">
        <v>440</v>
      </c>
      <c r="J31" s="7">
        <v>1224</v>
      </c>
      <c r="K31" s="8">
        <v>-119</v>
      </c>
    </row>
    <row r="32" spans="1:11" ht="15" customHeight="1" outlineLevel="3">
      <c r="A32" s="28" t="s">
        <v>141</v>
      </c>
      <c r="B32" s="11">
        <v>-338</v>
      </c>
      <c r="C32" s="11">
        <v>-397</v>
      </c>
      <c r="D32" s="11">
        <v>-410</v>
      </c>
      <c r="E32" s="11">
        <v>-324</v>
      </c>
      <c r="F32" s="11">
        <v>-504</v>
      </c>
      <c r="G32" s="11">
        <v>-15</v>
      </c>
      <c r="H32" s="9">
        <v>185</v>
      </c>
      <c r="I32" s="9">
        <v>101</v>
      </c>
      <c r="J32" s="9">
        <v>17</v>
      </c>
      <c r="K32" s="11">
        <v>-242</v>
      </c>
    </row>
    <row r="33" spans="1:11" ht="15" customHeight="1">
      <c r="A33" s="30" t="s">
        <v>142</v>
      </c>
      <c r="B33" s="20">
        <v>28034</v>
      </c>
      <c r="C33" s="20">
        <v>27280</v>
      </c>
      <c r="D33" s="20">
        <v>16129</v>
      </c>
      <c r="E33" s="20">
        <v>20071</v>
      </c>
      <c r="F33" s="20">
        <v>28614</v>
      </c>
      <c r="G33" s="20">
        <v>39927</v>
      </c>
      <c r="H33" s="20">
        <v>49853</v>
      </c>
      <c r="I33" s="20">
        <v>60726</v>
      </c>
      <c r="J33" s="20">
        <v>79680</v>
      </c>
      <c r="K33" s="20">
        <v>82588</v>
      </c>
    </row>
    <row r="34" spans="1:11" ht="15" customHeight="1" outlineLevel="1">
      <c r="A34" s="22" t="s">
        <v>143</v>
      </c>
      <c r="B34" s="9">
        <v>5212</v>
      </c>
      <c r="C34" s="9">
        <v>6605</v>
      </c>
      <c r="D34" s="9">
        <v>4721</v>
      </c>
      <c r="E34" s="9">
        <v>3303</v>
      </c>
      <c r="F34" s="9">
        <v>17026</v>
      </c>
      <c r="G34" s="9">
        <v>6386</v>
      </c>
      <c r="H34" s="9">
        <v>5530</v>
      </c>
      <c r="I34" s="9">
        <v>9416</v>
      </c>
      <c r="J34" s="9">
        <v>8495</v>
      </c>
      <c r="K34" s="9">
        <v>15139</v>
      </c>
    </row>
    <row r="35" spans="1:11" ht="15" customHeight="1">
      <c r="A35" s="6" t="s">
        <v>144</v>
      </c>
      <c r="B35" s="7">
        <v>22822</v>
      </c>
      <c r="C35" s="7">
        <v>20675</v>
      </c>
      <c r="D35" s="7">
        <v>11408</v>
      </c>
      <c r="E35" s="7">
        <v>16768</v>
      </c>
      <c r="F35" s="7">
        <v>11588</v>
      </c>
      <c r="G35" s="7">
        <v>33541</v>
      </c>
      <c r="H35" s="7">
        <v>44323</v>
      </c>
      <c r="I35" s="7">
        <v>51310</v>
      </c>
      <c r="J35" s="7">
        <v>71185</v>
      </c>
      <c r="K35" s="7">
        <v>67449</v>
      </c>
    </row>
    <row r="36" spans="1:11" ht="15" customHeight="1">
      <c r="A36" s="24" t="s">
        <v>145</v>
      </c>
      <c r="B36" s="25">
        <v>22822</v>
      </c>
      <c r="C36" s="25">
        <v>20675</v>
      </c>
      <c r="D36" s="25">
        <v>11408</v>
      </c>
      <c r="E36" s="25">
        <v>16768</v>
      </c>
      <c r="F36" s="25">
        <v>11588</v>
      </c>
      <c r="G36" s="25">
        <v>33541</v>
      </c>
      <c r="H36" s="25">
        <v>44323</v>
      </c>
      <c r="I36" s="25">
        <v>51310</v>
      </c>
      <c r="J36" s="25">
        <v>71185</v>
      </c>
      <c r="K36" s="25">
        <v>67449</v>
      </c>
    </row>
    <row r="37" spans="1:11" ht="15" customHeight="1" outlineLevel="1">
      <c r="A37" s="23" t="s">
        <v>146</v>
      </c>
      <c r="B37" s="7">
        <v>22822</v>
      </c>
      <c r="C37" s="7">
        <v>20675</v>
      </c>
      <c r="D37" s="7">
        <v>11408</v>
      </c>
      <c r="E37" s="7">
        <v>16768</v>
      </c>
      <c r="F37" s="7">
        <v>11588</v>
      </c>
      <c r="G37" s="7">
        <v>33541</v>
      </c>
      <c r="H37" s="7">
        <v>44323</v>
      </c>
      <c r="I37" s="7">
        <v>51310</v>
      </c>
      <c r="J37" s="7">
        <v>71185</v>
      </c>
      <c r="K37" s="7">
        <v>67449</v>
      </c>
    </row>
    <row r="38" spans="1:11" ht="15" customHeight="1">
      <c r="A38" s="24" t="s">
        <v>147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ht="15" customHeight="1" outlineLevel="1">
      <c r="A39" s="21" t="s">
        <v>148</v>
      </c>
      <c r="B39" s="81">
        <v>2.7587139999999999</v>
      </c>
      <c r="C39" s="81">
        <v>2.6590820000000002</v>
      </c>
      <c r="D39" s="81">
        <v>2.2361239999999998</v>
      </c>
      <c r="E39" s="81">
        <v>2.3032309999999998</v>
      </c>
      <c r="F39" s="81">
        <v>1.7211540000000001</v>
      </c>
      <c r="G39" s="81">
        <v>4.3044159999999998</v>
      </c>
      <c r="H39" s="81">
        <v>5.719646</v>
      </c>
      <c r="I39" s="81">
        <v>6.6970590000000003</v>
      </c>
      <c r="J39" s="81">
        <v>9.3084579999999999</v>
      </c>
      <c r="K39" s="81">
        <v>9.0709350000000004</v>
      </c>
    </row>
    <row r="40" spans="1:11" ht="15" customHeight="1" outlineLevel="2">
      <c r="A40" s="19" t="s">
        <v>149</v>
      </c>
      <c r="B40" s="80">
        <v>8326</v>
      </c>
      <c r="C40" s="80">
        <v>8228</v>
      </c>
      <c r="D40" s="80">
        <v>7964</v>
      </c>
      <c r="E40" s="80">
        <v>7755</v>
      </c>
      <c r="F40" s="80">
        <v>7710</v>
      </c>
      <c r="G40" s="80">
        <v>7692</v>
      </c>
      <c r="H40" s="80">
        <v>7621</v>
      </c>
      <c r="I40" s="80">
        <v>7555</v>
      </c>
      <c r="J40" s="80">
        <v>7505</v>
      </c>
      <c r="K40" s="80">
        <v>7451</v>
      </c>
    </row>
    <row r="41" spans="1:11" ht="15" customHeight="1" outlineLevel="2">
      <c r="A41" s="18" t="s">
        <v>150</v>
      </c>
      <c r="B41" s="17">
        <v>8300</v>
      </c>
      <c r="C41" s="17">
        <v>8218</v>
      </c>
      <c r="D41" s="17">
        <v>7925</v>
      </c>
      <c r="E41" s="17">
        <v>7730</v>
      </c>
      <c r="F41" s="17">
        <v>7705</v>
      </c>
      <c r="G41" s="17">
        <v>7683</v>
      </c>
      <c r="H41" s="17">
        <v>7611</v>
      </c>
      <c r="I41" s="17">
        <v>7546</v>
      </c>
      <c r="J41" s="17">
        <v>7500</v>
      </c>
      <c r="K41" s="17">
        <v>7447</v>
      </c>
    </row>
    <row r="42" spans="1:11" ht="15" customHeight="1" outlineLevel="1">
      <c r="A42" s="26" t="s">
        <v>151</v>
      </c>
      <c r="B42" s="79">
        <v>2.71</v>
      </c>
      <c r="C42" s="79">
        <v>2.48</v>
      </c>
      <c r="D42" s="79">
        <v>1.4</v>
      </c>
      <c r="E42" s="79">
        <v>2.12</v>
      </c>
      <c r="F42" s="79">
        <v>1.46</v>
      </c>
      <c r="G42" s="79">
        <v>4.3099999999999996</v>
      </c>
      <c r="H42" s="79">
        <v>5.7446000000000002</v>
      </c>
      <c r="I42" s="79">
        <v>6.7146999999999997</v>
      </c>
      <c r="J42" s="79">
        <v>9.3992000000000004</v>
      </c>
      <c r="K42" s="79">
        <v>8.9939999999999998</v>
      </c>
    </row>
    <row r="43" spans="1:11" ht="15" customHeight="1" outlineLevel="2">
      <c r="A43" s="18" t="s">
        <v>152</v>
      </c>
      <c r="B43" s="17">
        <v>8395</v>
      </c>
      <c r="C43" s="17">
        <v>8297</v>
      </c>
      <c r="D43" s="17">
        <v>8028</v>
      </c>
      <c r="E43" s="17">
        <v>7830</v>
      </c>
      <c r="F43" s="17">
        <v>7710</v>
      </c>
      <c r="G43" s="17">
        <v>7768</v>
      </c>
      <c r="H43" s="17">
        <v>7691</v>
      </c>
      <c r="I43" s="17">
        <v>7616</v>
      </c>
      <c r="J43" s="17">
        <v>7555</v>
      </c>
      <c r="K43" s="17">
        <v>7473</v>
      </c>
    </row>
    <row r="44" spans="1:11" ht="15" customHeight="1" outlineLevel="2">
      <c r="A44" s="19" t="s">
        <v>150</v>
      </c>
      <c r="B44" s="80">
        <v>8300</v>
      </c>
      <c r="C44" s="80">
        <v>8218</v>
      </c>
      <c r="D44" s="80">
        <v>7925</v>
      </c>
      <c r="E44" s="80">
        <v>7730</v>
      </c>
      <c r="F44" s="80">
        <v>7705</v>
      </c>
      <c r="G44" s="80">
        <v>7683</v>
      </c>
      <c r="H44" s="80">
        <v>7611</v>
      </c>
      <c r="I44" s="80">
        <v>7546</v>
      </c>
      <c r="J44" s="80">
        <v>7500</v>
      </c>
      <c r="K44" s="80">
        <v>7447</v>
      </c>
    </row>
    <row r="45" spans="1:11" ht="15" customHeight="1" outlineLevel="1">
      <c r="A45" s="23" t="s">
        <v>153</v>
      </c>
      <c r="B45" s="17">
        <v>66.275999999999996</v>
      </c>
      <c r="C45" s="17">
        <v>69.786000000000001</v>
      </c>
      <c r="D45" s="17">
        <v>75.593999999999994</v>
      </c>
      <c r="E45" s="17">
        <v>54.491</v>
      </c>
      <c r="F45" s="17">
        <v>76.653000000000006</v>
      </c>
      <c r="G45" s="17">
        <v>70.331000000000003</v>
      </c>
      <c r="H45" s="17">
        <v>79.16</v>
      </c>
      <c r="I45" s="17">
        <v>79.915000000000006</v>
      </c>
      <c r="J45" s="17">
        <v>75.777000000000001</v>
      </c>
      <c r="K45" s="17">
        <v>75.643000000000001</v>
      </c>
    </row>
    <row r="46" spans="1:11" ht="15" customHeight="1" outlineLevel="1">
      <c r="A46" s="26" t="s">
        <v>154</v>
      </c>
      <c r="B46" s="79">
        <v>1.02</v>
      </c>
      <c r="C46" s="79">
        <v>1.18</v>
      </c>
      <c r="D46" s="79">
        <v>1.34</v>
      </c>
      <c r="E46" s="79">
        <v>1.5</v>
      </c>
      <c r="F46" s="79">
        <v>1.62</v>
      </c>
      <c r="G46" s="79">
        <v>1.76</v>
      </c>
      <c r="H46" s="79">
        <v>1.94</v>
      </c>
      <c r="I46" s="79">
        <v>2.14</v>
      </c>
      <c r="J46" s="79">
        <v>2.36</v>
      </c>
      <c r="K46" s="79">
        <v>2.6</v>
      </c>
    </row>
    <row r="47" spans="1:11" ht="15" customHeight="1" outlineLevel="2">
      <c r="A47" s="18" t="s">
        <v>155</v>
      </c>
      <c r="B47" s="17">
        <v>37.638376000000001</v>
      </c>
      <c r="C47" s="17">
        <v>47.580644999999997</v>
      </c>
      <c r="D47" s="17">
        <v>95.714286000000001</v>
      </c>
      <c r="E47" s="17">
        <v>70.754716999999999</v>
      </c>
      <c r="F47" s="17">
        <v>110.958904</v>
      </c>
      <c r="G47" s="17">
        <v>40.835267000000002</v>
      </c>
      <c r="H47" s="17">
        <v>33.770845999999999</v>
      </c>
      <c r="I47" s="17">
        <v>31.870374000000002</v>
      </c>
      <c r="J47" s="17">
        <v>25.108519999999999</v>
      </c>
      <c r="K47" s="17">
        <v>28.908161</v>
      </c>
    </row>
    <row r="48" spans="1:11" ht="15" customHeight="1">
      <c r="A48" s="24" t="s">
        <v>156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</row>
    <row r="49" spans="1:11" ht="15" customHeight="1" outlineLevel="1">
      <c r="A49" s="21" t="s">
        <v>156</v>
      </c>
      <c r="B49" s="20">
        <v>32069</v>
      </c>
      <c r="C49" s="20">
        <v>34344</v>
      </c>
      <c r="D49" s="20">
        <v>30231</v>
      </c>
      <c r="E49" s="20">
        <v>28068</v>
      </c>
      <c r="F49" s="20">
        <v>38557</v>
      </c>
      <c r="G49" s="20">
        <v>49707</v>
      </c>
      <c r="H49" s="20">
        <v>61186</v>
      </c>
      <c r="I49" s="20">
        <v>72183</v>
      </c>
      <c r="J49" s="20">
        <v>91616</v>
      </c>
      <c r="K49" s="20">
        <v>97005</v>
      </c>
    </row>
    <row r="50" spans="1:11" ht="15" customHeight="1" outlineLevel="2">
      <c r="A50" s="19" t="s">
        <v>25</v>
      </c>
      <c r="B50" s="9">
        <v>27818</v>
      </c>
      <c r="C50" s="9">
        <v>28398</v>
      </c>
      <c r="D50" s="9">
        <v>24218</v>
      </c>
      <c r="E50" s="9">
        <v>20469</v>
      </c>
      <c r="F50" s="9">
        <v>28726</v>
      </c>
      <c r="G50" s="9">
        <v>38649</v>
      </c>
      <c r="H50" s="9">
        <v>49162</v>
      </c>
      <c r="I50" s="9">
        <v>60155</v>
      </c>
      <c r="J50" s="9">
        <v>78628</v>
      </c>
      <c r="K50" s="9">
        <v>82815</v>
      </c>
    </row>
    <row r="51" spans="1:11" ht="15" customHeight="1" outlineLevel="2">
      <c r="A51" s="18" t="s">
        <v>121</v>
      </c>
      <c r="B51" s="7">
        <v>4251</v>
      </c>
      <c r="C51" s="7">
        <v>5946</v>
      </c>
      <c r="D51" s="7">
        <v>6013</v>
      </c>
      <c r="E51" s="7">
        <v>7599</v>
      </c>
      <c r="F51" s="7">
        <v>9831</v>
      </c>
      <c r="G51" s="7">
        <v>11058</v>
      </c>
      <c r="H51" s="7">
        <v>12024</v>
      </c>
      <c r="I51" s="7">
        <v>12028</v>
      </c>
      <c r="J51" s="7">
        <v>12988</v>
      </c>
      <c r="K51" s="7">
        <v>14190</v>
      </c>
    </row>
    <row r="52" spans="1:11" ht="15" customHeight="1">
      <c r="A52" s="16" t="s">
        <v>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C739-4BCD-4B32-8754-AA2B25DD5B9A}">
  <sheetPr>
    <outlinePr summaryBelow="0" summaryRight="0"/>
  </sheetPr>
  <dimension ref="A1:K58"/>
  <sheetViews>
    <sheetView tabSelected="1" zoomScaleNormal="100" workbookViewId="0">
      <selection activeCell="A3" sqref="A3"/>
    </sheetView>
  </sheetViews>
  <sheetFormatPr defaultColWidth="9.140625" defaultRowHeight="15" customHeight="1" outlineLevelRow="3"/>
  <cols>
    <col min="1" max="1" width="53.28515625" style="5" customWidth="1"/>
    <col min="2" max="11" width="8" style="5" customWidth="1"/>
    <col min="12" max="16384" width="9.140625" style="5"/>
  </cols>
  <sheetData>
    <row r="1" spans="1:11" ht="15" customHeight="1">
      <c r="A1" s="13" t="s">
        <v>105</v>
      </c>
    </row>
    <row r="2" spans="1:11" ht="15" customHeight="1">
      <c r="A2" s="119">
        <v>370.62</v>
      </c>
    </row>
    <row r="3" spans="1:11" ht="1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1" ht="15" customHeight="1">
      <c r="A5" s="12" t="s">
        <v>106</v>
      </c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ht="15" customHeight="1">
      <c r="A6" s="12" t="s">
        <v>107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ht="15" customHeight="1">
      <c r="A7" s="12" t="s">
        <v>108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ht="15" customHeight="1">
      <c r="A8" s="12"/>
      <c r="B8" s="12" t="s">
        <v>109</v>
      </c>
      <c r="C8" s="12" t="s">
        <v>110</v>
      </c>
      <c r="D8" s="12" t="s">
        <v>111</v>
      </c>
      <c r="E8" s="12" t="s">
        <v>112</v>
      </c>
      <c r="F8" s="12" t="s">
        <v>113</v>
      </c>
      <c r="G8" s="12" t="s">
        <v>114</v>
      </c>
      <c r="H8" s="12" t="s">
        <v>115</v>
      </c>
      <c r="I8" s="12" t="s">
        <v>116</v>
      </c>
      <c r="J8" s="12" t="s">
        <v>117</v>
      </c>
      <c r="K8" s="12" t="s">
        <v>118</v>
      </c>
    </row>
    <row r="9" spans="1:11" ht="15" customHeight="1">
      <c r="A9" s="30" t="s">
        <v>158</v>
      </c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1:11" ht="15" customHeight="1" outlineLevel="1">
      <c r="A10" s="22" t="s">
        <v>159</v>
      </c>
      <c r="B10" s="9">
        <v>22822</v>
      </c>
      <c r="C10" s="9">
        <v>20675</v>
      </c>
      <c r="D10" s="9">
        <v>11408</v>
      </c>
      <c r="E10" s="9">
        <v>17070</v>
      </c>
      <c r="F10" s="9">
        <v>11588</v>
      </c>
      <c r="G10" s="9">
        <v>33541</v>
      </c>
      <c r="H10" s="9">
        <v>44323</v>
      </c>
      <c r="I10" s="9">
        <v>51310</v>
      </c>
      <c r="J10" s="9">
        <v>71185</v>
      </c>
      <c r="K10" s="9">
        <v>67449</v>
      </c>
    </row>
    <row r="11" spans="1:11" ht="15" customHeight="1" outlineLevel="1">
      <c r="A11" s="21" t="s">
        <v>160</v>
      </c>
      <c r="B11" s="20">
        <v>4251</v>
      </c>
      <c r="C11" s="20">
        <v>5946</v>
      </c>
      <c r="D11" s="20">
        <v>6013</v>
      </c>
      <c r="E11" s="20">
        <v>7599</v>
      </c>
      <c r="F11" s="20">
        <v>9831</v>
      </c>
      <c r="G11" s="20">
        <v>11058</v>
      </c>
      <c r="H11" s="20">
        <v>12024</v>
      </c>
      <c r="I11" s="20">
        <v>11532</v>
      </c>
      <c r="J11" s="20">
        <v>12202</v>
      </c>
      <c r="K11" s="20">
        <v>14190</v>
      </c>
    </row>
    <row r="12" spans="1:11" ht="15" customHeight="1" outlineLevel="2">
      <c r="A12" s="19" t="s">
        <v>161</v>
      </c>
      <c r="B12" s="10"/>
      <c r="C12" s="9">
        <v>4569</v>
      </c>
      <c r="D12" s="9">
        <v>4863</v>
      </c>
      <c r="E12" s="9">
        <v>6522</v>
      </c>
      <c r="F12" s="9">
        <v>7533</v>
      </c>
      <c r="G12" s="9">
        <v>8497</v>
      </c>
      <c r="H12" s="9">
        <v>10297</v>
      </c>
      <c r="I12" s="9">
        <v>10016</v>
      </c>
      <c r="J12" s="9">
        <v>10478</v>
      </c>
      <c r="K12" s="9">
        <v>11775</v>
      </c>
    </row>
    <row r="13" spans="1:11" ht="15" customHeight="1" outlineLevel="2">
      <c r="A13" s="18" t="s">
        <v>162</v>
      </c>
      <c r="B13" s="7">
        <v>896</v>
      </c>
      <c r="C13" s="7">
        <v>1377</v>
      </c>
      <c r="D13" s="7">
        <v>1150</v>
      </c>
      <c r="E13" s="7">
        <v>1077</v>
      </c>
      <c r="F13" s="7">
        <v>2298</v>
      </c>
      <c r="G13" s="7">
        <v>2561</v>
      </c>
      <c r="H13" s="7">
        <v>1727</v>
      </c>
      <c r="I13" s="7">
        <v>1516</v>
      </c>
      <c r="J13" s="7">
        <v>1724</v>
      </c>
      <c r="K13" s="7">
        <v>2415</v>
      </c>
    </row>
    <row r="14" spans="1:11" ht="15" customHeight="1" outlineLevel="1">
      <c r="A14" s="26" t="s">
        <v>163</v>
      </c>
      <c r="B14" s="25">
        <v>31</v>
      </c>
      <c r="C14" s="25">
        <v>56</v>
      </c>
      <c r="D14" s="25">
        <v>-565</v>
      </c>
      <c r="E14" s="25">
        <v>-66</v>
      </c>
      <c r="F14" s="25">
        <v>-5082</v>
      </c>
      <c r="G14" s="25">
        <v>-3205</v>
      </c>
      <c r="H14" s="25">
        <v>-6273</v>
      </c>
      <c r="I14" s="25">
        <v>213</v>
      </c>
      <c r="J14" s="25">
        <v>-5909</v>
      </c>
      <c r="K14" s="25">
        <v>-2411</v>
      </c>
    </row>
    <row r="15" spans="1:11" ht="15" customHeight="1" outlineLevel="2">
      <c r="A15" s="18" t="s">
        <v>164</v>
      </c>
      <c r="B15" s="7">
        <v>31</v>
      </c>
      <c r="C15" s="7">
        <v>56</v>
      </c>
      <c r="D15" s="8">
        <v>-565</v>
      </c>
      <c r="E15" s="8">
        <v>-66</v>
      </c>
      <c r="F15" s="8">
        <v>-5082</v>
      </c>
      <c r="G15" s="8">
        <v>-3205</v>
      </c>
      <c r="H15" s="8">
        <v>-6273</v>
      </c>
      <c r="I15" s="7">
        <v>213</v>
      </c>
      <c r="J15" s="8">
        <v>-5909</v>
      </c>
      <c r="K15" s="8">
        <v>-2411</v>
      </c>
    </row>
    <row r="16" spans="1:11" ht="15" customHeight="1" outlineLevel="1">
      <c r="A16" s="22" t="s">
        <v>165</v>
      </c>
      <c r="B16" s="9">
        <v>2030</v>
      </c>
      <c r="C16" s="9">
        <v>3200</v>
      </c>
      <c r="D16" s="9">
        <v>13368</v>
      </c>
      <c r="E16" s="9">
        <v>11441</v>
      </c>
      <c r="F16" s="9">
        <v>11239</v>
      </c>
      <c r="G16" s="9">
        <v>2891</v>
      </c>
      <c r="H16" s="9">
        <v>4355</v>
      </c>
      <c r="I16" s="9">
        <v>5696</v>
      </c>
      <c r="J16" s="9">
        <v>6043</v>
      </c>
      <c r="K16" s="9">
        <v>9087</v>
      </c>
    </row>
    <row r="17" spans="1:11" ht="15" customHeight="1" outlineLevel="1">
      <c r="A17" s="23" t="s">
        <v>166</v>
      </c>
      <c r="B17" s="7">
        <v>29134</v>
      </c>
      <c r="C17" s="7">
        <v>29877</v>
      </c>
      <c r="D17" s="7">
        <v>30224</v>
      </c>
      <c r="E17" s="7">
        <v>36044</v>
      </c>
      <c r="F17" s="7">
        <v>27576</v>
      </c>
      <c r="G17" s="7">
        <v>44285</v>
      </c>
      <c r="H17" s="7">
        <v>54429</v>
      </c>
      <c r="I17" s="7">
        <v>68751</v>
      </c>
      <c r="J17" s="7">
        <v>83521</v>
      </c>
      <c r="K17" s="7">
        <v>88315</v>
      </c>
    </row>
    <row r="18" spans="1:11" ht="15" customHeight="1" outlineLevel="1">
      <c r="A18" s="26" t="s">
        <v>167</v>
      </c>
      <c r="B18" s="25">
        <v>-947</v>
      </c>
      <c r="C18" s="25">
        <v>2430</v>
      </c>
      <c r="D18" s="25">
        <v>354</v>
      </c>
      <c r="E18" s="25">
        <v>931</v>
      </c>
      <c r="F18" s="25">
        <v>14404</v>
      </c>
      <c r="G18" s="25">
        <v>1841</v>
      </c>
      <c r="H18" s="25">
        <v>-303</v>
      </c>
      <c r="I18" s="25">
        <v>-723</v>
      </c>
      <c r="J18" s="25">
        <v>388</v>
      </c>
      <c r="K18" s="25">
        <v>-3929</v>
      </c>
    </row>
    <row r="19" spans="1:11" ht="15" customHeight="1" outlineLevel="2">
      <c r="A19" s="18" t="s">
        <v>168</v>
      </c>
      <c r="B19" s="8">
        <v>-1733</v>
      </c>
      <c r="C19" s="7">
        <v>387</v>
      </c>
      <c r="D19" s="7">
        <v>1465</v>
      </c>
      <c r="E19" s="7">
        <v>675</v>
      </c>
      <c r="F19" s="8">
        <v>-1347</v>
      </c>
      <c r="G19" s="8">
        <v>-1105</v>
      </c>
      <c r="H19" s="8">
        <v>-3723</v>
      </c>
      <c r="I19" s="8">
        <v>-1417</v>
      </c>
      <c r="J19" s="8">
        <v>-6373</v>
      </c>
      <c r="K19" s="8">
        <v>-3212</v>
      </c>
    </row>
    <row r="20" spans="1:11" ht="15" customHeight="1" outlineLevel="2">
      <c r="A20" s="19" t="s">
        <v>169</v>
      </c>
      <c r="B20" s="9">
        <v>66</v>
      </c>
      <c r="C20" s="9">
        <v>64</v>
      </c>
      <c r="D20" s="11">
        <v>-692</v>
      </c>
      <c r="E20" s="9">
        <v>698</v>
      </c>
      <c r="F20" s="11">
        <v>-33</v>
      </c>
      <c r="G20" s="9">
        <v>51</v>
      </c>
      <c r="H20" s="9">
        <v>137</v>
      </c>
      <c r="I20" s="11">
        <v>-90</v>
      </c>
      <c r="J20" s="11">
        <v>-1100</v>
      </c>
      <c r="K20" s="9">
        <v>22</v>
      </c>
    </row>
    <row r="21" spans="1:11" ht="15" customHeight="1" outlineLevel="2">
      <c r="A21" s="18" t="s">
        <v>170</v>
      </c>
      <c r="B21" s="7">
        <v>745</v>
      </c>
      <c r="C21" s="8">
        <v>-375</v>
      </c>
      <c r="D21" s="8">
        <v>-298</v>
      </c>
      <c r="E21" s="8">
        <v>-490</v>
      </c>
      <c r="F21" s="7">
        <v>956</v>
      </c>
      <c r="G21" s="8">
        <v>-218</v>
      </c>
      <c r="H21" s="7">
        <v>513</v>
      </c>
      <c r="I21" s="7">
        <v>3920</v>
      </c>
      <c r="J21" s="7">
        <v>2214</v>
      </c>
      <c r="K21" s="8">
        <v>-446</v>
      </c>
    </row>
    <row r="22" spans="1:11" ht="15" customHeight="1" outlineLevel="2">
      <c r="A22" s="19" t="s">
        <v>171</v>
      </c>
      <c r="B22" s="10"/>
      <c r="C22" s="10"/>
      <c r="D22" s="10"/>
      <c r="E22" s="10"/>
      <c r="F22" s="10"/>
      <c r="G22" s="9">
        <v>393</v>
      </c>
      <c r="H22" s="9">
        <v>277</v>
      </c>
      <c r="I22" s="11">
        <v>-3175</v>
      </c>
      <c r="J22" s="9">
        <v>1638</v>
      </c>
      <c r="K22" s="11">
        <v>-2353</v>
      </c>
    </row>
    <row r="23" spans="1:11" ht="15" customHeight="1" outlineLevel="2">
      <c r="A23" s="18" t="s">
        <v>172</v>
      </c>
      <c r="B23" s="8">
        <v>-25</v>
      </c>
      <c r="C23" s="7">
        <v>2354</v>
      </c>
      <c r="D23" s="8">
        <v>-121</v>
      </c>
      <c r="E23" s="7">
        <v>48</v>
      </c>
      <c r="F23" s="8">
        <v>-1807</v>
      </c>
      <c r="G23" s="7">
        <v>2720</v>
      </c>
      <c r="H23" s="7">
        <v>2493</v>
      </c>
      <c r="I23" s="7">
        <v>39</v>
      </c>
      <c r="J23" s="7">
        <v>4009</v>
      </c>
      <c r="K23" s="7">
        <v>2060</v>
      </c>
    </row>
    <row r="24" spans="1:11" ht="15" customHeight="1" outlineLevel="1">
      <c r="A24" s="22" t="s">
        <v>173</v>
      </c>
      <c r="B24" s="9">
        <v>28187</v>
      </c>
      <c r="C24" s="9">
        <v>32307</v>
      </c>
      <c r="D24" s="9">
        <v>30578</v>
      </c>
      <c r="E24" s="9">
        <v>36975</v>
      </c>
      <c r="F24" s="9">
        <v>41980</v>
      </c>
      <c r="G24" s="9">
        <v>46126</v>
      </c>
      <c r="H24" s="9">
        <v>54126</v>
      </c>
      <c r="I24" s="9">
        <v>68028</v>
      </c>
      <c r="J24" s="9">
        <v>83909</v>
      </c>
      <c r="K24" s="9">
        <v>84386</v>
      </c>
    </row>
    <row r="25" spans="1:11" ht="15" customHeight="1">
      <c r="A25" s="30" t="s">
        <v>174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ht="15" customHeight="1" outlineLevel="1">
      <c r="A26" s="26" t="s">
        <v>175</v>
      </c>
      <c r="B26" s="25">
        <v>-5687</v>
      </c>
      <c r="C26" s="25">
        <v>-5294</v>
      </c>
      <c r="D26" s="25">
        <v>-6552</v>
      </c>
      <c r="E26" s="25">
        <v>-9114</v>
      </c>
      <c r="F26" s="25">
        <v>-8696</v>
      </c>
      <c r="G26" s="25">
        <v>-14223</v>
      </c>
      <c r="H26" s="25">
        <v>-13546</v>
      </c>
      <c r="I26" s="25">
        <v>-17592</v>
      </c>
      <c r="J26" s="25">
        <v>-23216</v>
      </c>
      <c r="K26" s="25">
        <v>-24768</v>
      </c>
    </row>
    <row r="27" spans="1:11" ht="15" customHeight="1" outlineLevel="2">
      <c r="A27" s="18" t="s">
        <v>176</v>
      </c>
      <c r="B27" s="8">
        <v>-5687</v>
      </c>
      <c r="C27" s="8">
        <v>-5294</v>
      </c>
      <c r="D27" s="8">
        <v>-6552</v>
      </c>
      <c r="E27" s="8">
        <v>-9114</v>
      </c>
      <c r="F27" s="8">
        <v>-8696</v>
      </c>
      <c r="G27" s="8">
        <v>-14223</v>
      </c>
      <c r="H27" s="8">
        <v>-13546</v>
      </c>
      <c r="I27" s="8">
        <v>-17592</v>
      </c>
      <c r="J27" s="8">
        <v>-23216</v>
      </c>
      <c r="K27" s="8">
        <v>-24768</v>
      </c>
    </row>
    <row r="28" spans="1:11" ht="15" customHeight="1" outlineLevel="1">
      <c r="A28" s="22" t="s">
        <v>177</v>
      </c>
      <c r="B28" s="11">
        <v>-282</v>
      </c>
      <c r="C28" s="11">
        <v>-8718</v>
      </c>
      <c r="D28" s="11">
        <v>-1559</v>
      </c>
      <c r="E28" s="11">
        <v>-25406</v>
      </c>
      <c r="F28" s="11">
        <v>-1366</v>
      </c>
      <c r="G28" s="11">
        <v>-2520</v>
      </c>
      <c r="H28" s="11">
        <v>-1092</v>
      </c>
      <c r="I28" s="11">
        <v>-2875</v>
      </c>
      <c r="J28" s="11">
        <v>-10069</v>
      </c>
      <c r="K28" s="11">
        <v>-21010</v>
      </c>
    </row>
    <row r="29" spans="1:11" ht="15" customHeight="1" outlineLevel="1">
      <c r="A29" s="21" t="s">
        <v>178</v>
      </c>
      <c r="B29" s="20">
        <v>-13896</v>
      </c>
      <c r="C29" s="20">
        <v>-11316</v>
      </c>
      <c r="D29" s="20">
        <v>-10841</v>
      </c>
      <c r="E29" s="20">
        <v>-15099</v>
      </c>
      <c r="F29" s="20">
        <v>-9479</v>
      </c>
      <c r="G29" s="20">
        <v>10791</v>
      </c>
      <c r="H29" s="20">
        <v>-1794</v>
      </c>
      <c r="I29" s="20">
        <v>12013</v>
      </c>
      <c r="J29" s="20">
        <v>8009</v>
      </c>
      <c r="K29" s="20">
        <v>13076</v>
      </c>
    </row>
    <row r="30" spans="1:11" ht="15" customHeight="1" outlineLevel="2">
      <c r="A30" s="19" t="s">
        <v>179</v>
      </c>
      <c r="B30" s="9">
        <v>73078</v>
      </c>
      <c r="C30" s="9">
        <v>88048</v>
      </c>
      <c r="D30" s="9">
        <v>127797</v>
      </c>
      <c r="E30" s="9">
        <v>161394</v>
      </c>
      <c r="F30" s="9">
        <v>151064</v>
      </c>
      <c r="G30" s="9">
        <v>95674</v>
      </c>
      <c r="H30" s="9">
        <v>63689</v>
      </c>
      <c r="I30" s="9">
        <v>64461</v>
      </c>
      <c r="J30" s="9">
        <v>46066</v>
      </c>
      <c r="K30" s="9">
        <v>30254</v>
      </c>
    </row>
    <row r="31" spans="1:11" ht="15" customHeight="1" outlineLevel="2">
      <c r="A31" s="18" t="s">
        <v>180</v>
      </c>
      <c r="B31" s="7">
        <v>59182</v>
      </c>
      <c r="C31" s="7">
        <v>76732</v>
      </c>
      <c r="D31" s="7">
        <v>116956</v>
      </c>
      <c r="E31" s="7">
        <v>146295</v>
      </c>
      <c r="F31" s="7">
        <v>141585</v>
      </c>
      <c r="G31" s="7">
        <v>106465</v>
      </c>
      <c r="H31" s="7">
        <v>61895</v>
      </c>
      <c r="I31" s="7">
        <v>76474</v>
      </c>
      <c r="J31" s="7">
        <v>54075</v>
      </c>
      <c r="K31" s="7">
        <v>43330</v>
      </c>
    </row>
    <row r="32" spans="1:11" ht="15" customHeight="1" outlineLevel="1">
      <c r="A32" s="26" t="s">
        <v>165</v>
      </c>
      <c r="B32" s="25">
        <v>624</v>
      </c>
      <c r="C32" s="25">
        <v>-319</v>
      </c>
      <c r="D32" s="25">
        <v>10</v>
      </c>
      <c r="E32" s="25">
        <v>842</v>
      </c>
      <c r="F32" s="25">
        <v>-1254</v>
      </c>
      <c r="G32" s="25">
        <v>-27</v>
      </c>
      <c r="H32" s="25">
        <v>0</v>
      </c>
      <c r="I32" s="25">
        <v>-2997</v>
      </c>
      <c r="J32" s="25">
        <v>328</v>
      </c>
      <c r="K32" s="25">
        <v>-3480</v>
      </c>
    </row>
    <row r="33" spans="1:11" ht="15" customHeight="1" outlineLevel="2">
      <c r="A33" s="18" t="s">
        <v>181</v>
      </c>
      <c r="B33" s="7">
        <v>624</v>
      </c>
      <c r="C33" s="8">
        <v>-216</v>
      </c>
      <c r="D33" s="8">
        <v>-337</v>
      </c>
      <c r="E33" s="7">
        <v>0</v>
      </c>
      <c r="F33" s="8">
        <v>-268</v>
      </c>
      <c r="G33" s="8">
        <v>-27</v>
      </c>
      <c r="H33" s="7">
        <v>0</v>
      </c>
      <c r="I33" s="8">
        <v>-2997</v>
      </c>
      <c r="J33" s="7">
        <v>328</v>
      </c>
      <c r="K33" s="8">
        <v>-3480</v>
      </c>
    </row>
    <row r="34" spans="1:11" ht="15" customHeight="1" outlineLevel="2">
      <c r="A34" s="19" t="s">
        <v>182</v>
      </c>
      <c r="B34" s="10"/>
      <c r="C34" s="11">
        <v>-103</v>
      </c>
      <c r="D34" s="9">
        <v>347</v>
      </c>
      <c r="E34" s="9">
        <v>842</v>
      </c>
      <c r="F34" s="11">
        <v>-986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</row>
    <row r="35" spans="1:11" ht="15" customHeight="1" outlineLevel="1">
      <c r="A35" s="23" t="s">
        <v>183</v>
      </c>
      <c r="B35" s="8">
        <v>-19138</v>
      </c>
      <c r="C35" s="8">
        <v>-25647</v>
      </c>
      <c r="D35" s="8">
        <v>-18942</v>
      </c>
      <c r="E35" s="8">
        <v>-48777</v>
      </c>
      <c r="F35" s="8">
        <v>-20795</v>
      </c>
      <c r="G35" s="8">
        <v>-5979</v>
      </c>
      <c r="H35" s="8">
        <v>-16432</v>
      </c>
      <c r="I35" s="8">
        <v>-11451</v>
      </c>
      <c r="J35" s="8">
        <v>-24948</v>
      </c>
      <c r="K35" s="8">
        <v>-36182</v>
      </c>
    </row>
    <row r="36" spans="1:11" ht="15" customHeight="1">
      <c r="A36" s="24" t="s">
        <v>184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1:11" ht="15" customHeight="1" outlineLevel="1">
      <c r="A37" s="21" t="s">
        <v>185</v>
      </c>
      <c r="B37" s="20">
        <v>-8094</v>
      </c>
      <c r="C37" s="20">
        <v>-9485</v>
      </c>
      <c r="D37" s="20">
        <v>-10371</v>
      </c>
      <c r="E37" s="20">
        <v>-11487</v>
      </c>
      <c r="F37" s="20">
        <v>-12262</v>
      </c>
      <c r="G37" s="20">
        <v>-13222</v>
      </c>
      <c r="H37" s="20">
        <v>-14443</v>
      </c>
      <c r="I37" s="20">
        <v>-15827</v>
      </c>
      <c r="J37" s="20">
        <v>-17293</v>
      </c>
      <c r="K37" s="20">
        <v>-18964</v>
      </c>
    </row>
    <row r="38" spans="1:11" ht="15" customHeight="1" outlineLevel="2">
      <c r="A38" s="19" t="s">
        <v>186</v>
      </c>
      <c r="B38" s="11">
        <v>-8094</v>
      </c>
      <c r="C38" s="11">
        <v>-9485</v>
      </c>
      <c r="D38" s="11">
        <v>-10371</v>
      </c>
      <c r="E38" s="11">
        <v>-11487</v>
      </c>
      <c r="F38" s="11">
        <v>-12262</v>
      </c>
      <c r="G38" s="11">
        <v>-13222</v>
      </c>
      <c r="H38" s="11">
        <v>-14443</v>
      </c>
      <c r="I38" s="11">
        <v>-15827</v>
      </c>
      <c r="J38" s="11">
        <v>-17293</v>
      </c>
      <c r="K38" s="11">
        <v>-18964</v>
      </c>
    </row>
    <row r="39" spans="1:11" ht="15" customHeight="1" outlineLevel="1">
      <c r="A39" s="21" t="s">
        <v>187</v>
      </c>
      <c r="B39" s="20">
        <v>-5682</v>
      </c>
      <c r="C39" s="20">
        <v>-7424</v>
      </c>
      <c r="D39" s="20">
        <v>-17212</v>
      </c>
      <c r="E39" s="20">
        <v>-14791</v>
      </c>
      <c r="F39" s="20">
        <v>-7509</v>
      </c>
      <c r="G39" s="20">
        <v>-15234</v>
      </c>
      <c r="H39" s="20">
        <v>-18261</v>
      </c>
      <c r="I39" s="20">
        <v>-24599</v>
      </c>
      <c r="J39" s="20">
        <v>-27475</v>
      </c>
      <c r="K39" s="20">
        <v>-26855</v>
      </c>
    </row>
    <row r="40" spans="1:11" ht="15" customHeight="1" outlineLevel="2">
      <c r="A40" s="19" t="s">
        <v>188</v>
      </c>
      <c r="B40" s="11">
        <v>-6371</v>
      </c>
      <c r="C40" s="11">
        <v>-8048</v>
      </c>
      <c r="D40" s="11">
        <v>-17845</v>
      </c>
      <c r="E40" s="11">
        <v>-15495</v>
      </c>
      <c r="F40" s="11">
        <v>-8405</v>
      </c>
      <c r="G40" s="11">
        <v>-16300</v>
      </c>
      <c r="H40" s="11">
        <v>-19504</v>
      </c>
      <c r="I40" s="11">
        <v>-26128</v>
      </c>
      <c r="J40" s="11">
        <v>-29224</v>
      </c>
      <c r="K40" s="11">
        <v>-28611</v>
      </c>
    </row>
    <row r="41" spans="1:11" ht="15" customHeight="1" outlineLevel="2">
      <c r="A41" s="29" t="s">
        <v>189</v>
      </c>
      <c r="B41" s="20">
        <v>689</v>
      </c>
      <c r="C41" s="20">
        <v>624</v>
      </c>
      <c r="D41" s="20">
        <v>633</v>
      </c>
      <c r="E41" s="20">
        <v>704</v>
      </c>
      <c r="F41" s="20">
        <v>896</v>
      </c>
      <c r="G41" s="20">
        <v>1066</v>
      </c>
      <c r="H41" s="20">
        <v>1243</v>
      </c>
      <c r="I41" s="20">
        <v>1529</v>
      </c>
      <c r="J41" s="20">
        <v>1749</v>
      </c>
      <c r="K41" s="20">
        <v>1756</v>
      </c>
    </row>
    <row r="42" spans="1:11" ht="15" customHeight="1" outlineLevel="3">
      <c r="A42" s="28" t="s">
        <v>190</v>
      </c>
      <c r="B42" s="9">
        <v>689</v>
      </c>
      <c r="C42" s="9">
        <v>624</v>
      </c>
      <c r="D42" s="9">
        <v>633</v>
      </c>
      <c r="E42" s="9">
        <v>704</v>
      </c>
      <c r="F42" s="9">
        <v>896</v>
      </c>
      <c r="G42" s="9">
        <v>1066</v>
      </c>
      <c r="H42" s="9">
        <v>1243</v>
      </c>
      <c r="I42" s="9">
        <v>1529</v>
      </c>
      <c r="J42" s="9">
        <v>1749</v>
      </c>
      <c r="K42" s="9">
        <v>1756</v>
      </c>
    </row>
    <row r="43" spans="1:11" ht="15" customHeight="1" outlineLevel="1">
      <c r="A43" s="21" t="s">
        <v>191</v>
      </c>
      <c r="B43" s="20">
        <v>8567</v>
      </c>
      <c r="C43" s="20">
        <v>5997</v>
      </c>
      <c r="D43" s="20">
        <v>16601</v>
      </c>
      <c r="E43" s="20">
        <v>39604</v>
      </c>
      <c r="F43" s="20">
        <v>3637</v>
      </c>
      <c r="G43" s="20">
        <v>-15937</v>
      </c>
      <c r="H43" s="20">
        <v>-3518</v>
      </c>
      <c r="I43" s="20">
        <v>-6250</v>
      </c>
      <c r="J43" s="20">
        <v>-5326</v>
      </c>
      <c r="K43" s="20">
        <v>-5947</v>
      </c>
    </row>
    <row r="44" spans="1:11" ht="15" customHeight="1" outlineLevel="2">
      <c r="A44" s="19" t="s">
        <v>192</v>
      </c>
      <c r="B44" s="9">
        <v>0</v>
      </c>
      <c r="C44" s="9">
        <v>8297</v>
      </c>
      <c r="D44" s="11">
        <v>-5457</v>
      </c>
      <c r="E44" s="9">
        <v>2191</v>
      </c>
      <c r="F44" s="9">
        <v>2231</v>
      </c>
      <c r="G44" s="11">
        <v>-7373</v>
      </c>
      <c r="H44" s="9">
        <v>0</v>
      </c>
      <c r="I44" s="9">
        <v>0</v>
      </c>
      <c r="J44" s="9">
        <v>0</v>
      </c>
      <c r="K44" s="9">
        <v>0</v>
      </c>
    </row>
    <row r="45" spans="1:11" ht="15" customHeight="1" outlineLevel="2">
      <c r="A45" s="29" t="s">
        <v>193</v>
      </c>
      <c r="B45" s="20">
        <v>8567</v>
      </c>
      <c r="C45" s="20">
        <v>-2300</v>
      </c>
      <c r="D45" s="20">
        <v>22058</v>
      </c>
      <c r="E45" s="20">
        <v>37413</v>
      </c>
      <c r="F45" s="20">
        <v>1406</v>
      </c>
      <c r="G45" s="20">
        <v>-8564</v>
      </c>
      <c r="H45" s="20">
        <v>-3518</v>
      </c>
      <c r="I45" s="20">
        <v>-6250</v>
      </c>
      <c r="J45" s="20">
        <v>-5326</v>
      </c>
      <c r="K45" s="20">
        <v>-5947</v>
      </c>
    </row>
    <row r="46" spans="1:11" ht="15" customHeight="1" outlineLevel="3">
      <c r="A46" s="28" t="s">
        <v>194</v>
      </c>
      <c r="B46" s="9">
        <v>11501</v>
      </c>
      <c r="C46" s="9">
        <v>1500</v>
      </c>
      <c r="D46" s="9">
        <v>23929</v>
      </c>
      <c r="E46" s="9">
        <v>42681</v>
      </c>
      <c r="F46" s="9">
        <v>9481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</row>
    <row r="47" spans="1:11" ht="15" customHeight="1" outlineLevel="3">
      <c r="A47" s="27" t="s">
        <v>195</v>
      </c>
      <c r="B47" s="8">
        <v>-2934</v>
      </c>
      <c r="C47" s="8">
        <v>-3800</v>
      </c>
      <c r="D47" s="8">
        <v>-1871</v>
      </c>
      <c r="E47" s="8">
        <v>-5268</v>
      </c>
      <c r="F47" s="8">
        <v>-8075</v>
      </c>
      <c r="G47" s="8">
        <v>-8564</v>
      </c>
      <c r="H47" s="8">
        <v>-3518</v>
      </c>
      <c r="I47" s="8">
        <v>-6250</v>
      </c>
      <c r="J47" s="8">
        <v>-5326</v>
      </c>
      <c r="K47" s="8">
        <v>-5947</v>
      </c>
    </row>
    <row r="48" spans="1:11" ht="15" customHeight="1" outlineLevel="1">
      <c r="A48" s="26" t="s">
        <v>165</v>
      </c>
      <c r="B48" s="25">
        <v>215</v>
      </c>
      <c r="C48" s="25">
        <v>855</v>
      </c>
      <c r="D48" s="25">
        <v>200</v>
      </c>
      <c r="E48" s="25">
        <v>-228</v>
      </c>
      <c r="F48" s="25">
        <v>-696</v>
      </c>
      <c r="G48" s="25">
        <v>-1904</v>
      </c>
      <c r="H48" s="25">
        <v>811</v>
      </c>
      <c r="I48" s="25">
        <v>-4154</v>
      </c>
      <c r="J48" s="25">
        <v>-2731</v>
      </c>
      <c r="K48" s="25">
        <v>-1080</v>
      </c>
    </row>
    <row r="49" spans="1:11" ht="15" customHeight="1" outlineLevel="2">
      <c r="A49" s="18" t="s">
        <v>181</v>
      </c>
      <c r="B49" s="8">
        <v>-33</v>
      </c>
      <c r="C49" s="7">
        <v>0</v>
      </c>
      <c r="D49" s="8">
        <v>-243</v>
      </c>
      <c r="E49" s="8">
        <v>-126</v>
      </c>
      <c r="F49" s="8">
        <v>-496</v>
      </c>
      <c r="G49" s="8">
        <v>-1904</v>
      </c>
      <c r="H49" s="7">
        <v>564</v>
      </c>
      <c r="I49" s="8">
        <v>-3907</v>
      </c>
      <c r="J49" s="8">
        <v>-2731</v>
      </c>
      <c r="K49" s="8">
        <v>-1080</v>
      </c>
    </row>
    <row r="50" spans="1:11" ht="15" customHeight="1" outlineLevel="2">
      <c r="A50" s="19" t="s">
        <v>182</v>
      </c>
      <c r="B50" s="9">
        <v>248</v>
      </c>
      <c r="C50" s="9">
        <v>855</v>
      </c>
      <c r="D50" s="9">
        <v>443</v>
      </c>
      <c r="E50" s="11">
        <v>-102</v>
      </c>
      <c r="F50" s="11">
        <v>-200</v>
      </c>
      <c r="G50" s="9">
        <v>0</v>
      </c>
      <c r="H50" s="9">
        <v>247</v>
      </c>
      <c r="I50" s="11">
        <v>-247</v>
      </c>
      <c r="J50" s="9">
        <v>0</v>
      </c>
      <c r="K50" s="9">
        <v>0</v>
      </c>
    </row>
    <row r="51" spans="1:11" ht="15" customHeight="1" outlineLevel="1">
      <c r="A51" s="23" t="s">
        <v>196</v>
      </c>
      <c r="B51" s="8">
        <v>-4994</v>
      </c>
      <c r="C51" s="8">
        <v>-10057</v>
      </c>
      <c r="D51" s="8">
        <v>-10782</v>
      </c>
      <c r="E51" s="7">
        <v>13098</v>
      </c>
      <c r="F51" s="8">
        <v>-16830</v>
      </c>
      <c r="G51" s="8">
        <v>-46297</v>
      </c>
      <c r="H51" s="8">
        <v>-35411</v>
      </c>
      <c r="I51" s="8">
        <v>-50830</v>
      </c>
      <c r="J51" s="8">
        <v>-52825</v>
      </c>
      <c r="K51" s="8">
        <v>-52846</v>
      </c>
    </row>
    <row r="52" spans="1:11" ht="15" customHeight="1">
      <c r="A52" s="24" t="s">
        <v>197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1" ht="15" customHeight="1" outlineLevel="1">
      <c r="A53" s="23" t="s">
        <v>198</v>
      </c>
      <c r="B53" s="8">
        <v>-13</v>
      </c>
      <c r="C53" s="8">
        <v>-236</v>
      </c>
      <c r="D53" s="8">
        <v>-95</v>
      </c>
      <c r="E53" s="8">
        <v>-13</v>
      </c>
      <c r="F53" s="7">
        <v>36</v>
      </c>
      <c r="G53" s="8">
        <v>-71</v>
      </c>
      <c r="H53" s="8">
        <v>-57</v>
      </c>
      <c r="I53" s="8">
        <v>-179</v>
      </c>
      <c r="J53" s="7">
        <v>36</v>
      </c>
      <c r="K53" s="8">
        <v>-316</v>
      </c>
    </row>
    <row r="54" spans="1:11" ht="15" customHeight="1" outlineLevel="1">
      <c r="A54" s="22" t="s">
        <v>199</v>
      </c>
      <c r="B54" s="9">
        <v>4042</v>
      </c>
      <c r="C54" s="11">
        <v>-3633</v>
      </c>
      <c r="D54" s="9">
        <v>759</v>
      </c>
      <c r="E54" s="9">
        <v>1283</v>
      </c>
      <c r="F54" s="9">
        <v>4391</v>
      </c>
      <c r="G54" s="11">
        <v>-6221</v>
      </c>
      <c r="H54" s="9">
        <v>2226</v>
      </c>
      <c r="I54" s="9">
        <v>5568</v>
      </c>
      <c r="J54" s="9">
        <v>6172</v>
      </c>
      <c r="K54" s="11">
        <v>-4958</v>
      </c>
    </row>
    <row r="55" spans="1:11" ht="15" customHeight="1" outlineLevel="1">
      <c r="A55" s="21" t="s">
        <v>200</v>
      </c>
      <c r="B55" s="20">
        <v>22500</v>
      </c>
      <c r="C55" s="20">
        <v>27013</v>
      </c>
      <c r="D55" s="20">
        <v>24026</v>
      </c>
      <c r="E55" s="20">
        <v>27861</v>
      </c>
      <c r="F55" s="20">
        <v>33284</v>
      </c>
      <c r="G55" s="20">
        <v>31903</v>
      </c>
      <c r="H55" s="20">
        <v>40580</v>
      </c>
      <c r="I55" s="20">
        <v>50436</v>
      </c>
      <c r="J55" s="20">
        <v>60693</v>
      </c>
      <c r="K55" s="20">
        <v>59618</v>
      </c>
    </row>
    <row r="56" spans="1:11" ht="15" customHeight="1" outlineLevel="2">
      <c r="A56" s="19" t="s">
        <v>201</v>
      </c>
      <c r="B56" s="9">
        <v>2.680167</v>
      </c>
      <c r="C56" s="9">
        <v>3.2557550000000002</v>
      </c>
      <c r="D56" s="9">
        <v>2.992775</v>
      </c>
      <c r="E56" s="9">
        <v>3.5582379999999998</v>
      </c>
      <c r="F56" s="9">
        <v>4.3169909999999998</v>
      </c>
      <c r="G56" s="9">
        <v>4.1069769999999997</v>
      </c>
      <c r="H56" s="9">
        <v>5.2762969999999996</v>
      </c>
      <c r="I56" s="9">
        <v>6.6223739999999998</v>
      </c>
      <c r="J56" s="9">
        <v>8.0334880000000002</v>
      </c>
      <c r="K56" s="9">
        <v>7.9777870000000002</v>
      </c>
    </row>
    <row r="57" spans="1:11" ht="15" customHeight="1" outlineLevel="2">
      <c r="A57" s="18" t="s">
        <v>202</v>
      </c>
      <c r="B57" s="17">
        <v>7.1643059999999998</v>
      </c>
      <c r="C57" s="17">
        <v>7.0091609999999998</v>
      </c>
      <c r="D57" s="17">
        <v>5.3943320000000003</v>
      </c>
      <c r="E57" s="17">
        <v>5.7261629999999997</v>
      </c>
      <c r="F57" s="17">
        <v>5.0467510000000004</v>
      </c>
      <c r="G57" s="17">
        <v>4.0434939999999999</v>
      </c>
      <c r="H57" s="17">
        <v>3.3457810000000001</v>
      </c>
      <c r="I57" s="17">
        <v>2.9774180000000001</v>
      </c>
      <c r="J57" s="17">
        <v>2.3886440000000002</v>
      </c>
      <c r="K57" s="17">
        <v>3.3265729999999998</v>
      </c>
    </row>
    <row r="58" spans="1:11" ht="15" customHeight="1">
      <c r="A58" s="16" t="s">
        <v>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Chon</dc:creator>
  <cp:keywords/>
  <dc:description/>
  <cp:lastModifiedBy>Vinay Kahar</cp:lastModifiedBy>
  <cp:revision/>
  <dcterms:created xsi:type="dcterms:W3CDTF">2023-12-12T22:40:27Z</dcterms:created>
  <dcterms:modified xsi:type="dcterms:W3CDTF">2024-08-15T21:31:47Z</dcterms:modified>
  <cp:category/>
  <cp:contentStatus/>
</cp:coreProperties>
</file>