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xr:revisionPtr revIDLastSave="599" documentId="11_DE032626A24A4644DDAF4D1ED932D45A28633DA3" xr6:coauthVersionLast="47" xr6:coauthVersionMax="47" xr10:uidLastSave="{6B027618-3C10-48F6-854B-A6D67B624CC4}"/>
  <bookViews>
    <workbookView xWindow="0" yWindow="0" windowWidth="0" windowHeight="0" firstSheet="3" activeTab="4" xr2:uid="{00000000-000D-0000-FFFF-FFFF00000000}"/>
  </bookViews>
  <sheets>
    <sheet name="Sensitivity Analysis" sheetId="1" r:id="rId1"/>
    <sheet name="Sensitivity Analysis w Dilution" sheetId="2" r:id="rId2"/>
    <sheet name="Ref." sheetId="4" r:id="rId3"/>
    <sheet name="Sens. Analysis w Multiple Round" sheetId="3" r:id="rId4"/>
    <sheet name="Result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5" i="5"/>
  <c r="D6" i="5"/>
  <c r="D7" i="5"/>
  <c r="D8" i="5"/>
  <c r="D9" i="5"/>
  <c r="D10" i="5"/>
  <c r="D5" i="5"/>
  <c r="C6" i="5"/>
  <c r="C7" i="5"/>
  <c r="C8" i="5"/>
  <c r="C9" i="5"/>
  <c r="C10" i="5"/>
  <c r="C5" i="5"/>
  <c r="D17" i="4"/>
  <c r="E6" i="3" s="1"/>
  <c r="D8" i="4"/>
  <c r="E4" i="3" s="1"/>
  <c r="E11" i="3" s="1"/>
  <c r="D9" i="4"/>
  <c r="D10" i="4"/>
  <c r="D7" i="4"/>
  <c r="E5" i="3" s="1"/>
  <c r="J12" i="4"/>
  <c r="J15" i="4" s="1"/>
  <c r="J18" i="4" s="1"/>
  <c r="I12" i="4"/>
  <c r="I15" i="4" s="1"/>
  <c r="I18" i="4" s="1"/>
  <c r="H12" i="4"/>
  <c r="H15" i="4" s="1"/>
  <c r="H18" i="4" s="1"/>
  <c r="G12" i="4"/>
  <c r="G15" i="4" s="1"/>
  <c r="G18" i="4" s="1"/>
  <c r="F12" i="4"/>
  <c r="F15" i="4" s="1"/>
  <c r="F18" i="4" s="1"/>
  <c r="E12" i="4"/>
  <c r="E15" i="4" s="1"/>
  <c r="E18" i="4" s="1"/>
  <c r="J7" i="4"/>
  <c r="I7" i="4"/>
  <c r="H7" i="4"/>
  <c r="G7" i="4"/>
  <c r="F7" i="4"/>
  <c r="E7" i="4"/>
  <c r="D7" i="1"/>
  <c r="N10" i="3"/>
  <c r="M10" i="3"/>
  <c r="L10" i="3"/>
  <c r="K10" i="3"/>
  <c r="F10" i="3"/>
  <c r="E10" i="3"/>
  <c r="G9" i="3"/>
  <c r="F13" i="3" s="1"/>
  <c r="L8" i="3"/>
  <c r="M8" i="3" s="1"/>
  <c r="N8" i="3" s="1"/>
  <c r="D17" i="1"/>
  <c r="D10" i="1"/>
  <c r="C7" i="2" s="1"/>
  <c r="D9" i="1"/>
  <c r="C6" i="2" s="1"/>
  <c r="D8" i="1"/>
  <c r="C5" i="2"/>
  <c r="C16" i="2" s="1"/>
  <c r="N18" i="2"/>
  <c r="C9" i="2"/>
  <c r="F7" i="1"/>
  <c r="G7" i="1"/>
  <c r="H7" i="1"/>
  <c r="I7" i="1"/>
  <c r="J7" i="1"/>
  <c r="E7" i="1"/>
  <c r="J12" i="1"/>
  <c r="J15" i="1"/>
  <c r="J18" i="1"/>
  <c r="J19" i="1"/>
  <c r="J20" i="1"/>
  <c r="J22" i="1"/>
  <c r="J23" i="1"/>
  <c r="F12" i="1"/>
  <c r="G12" i="1"/>
  <c r="H12" i="1"/>
  <c r="I12" i="1"/>
  <c r="F15" i="1"/>
  <c r="G15" i="1"/>
  <c r="H15" i="1"/>
  <c r="I15" i="1"/>
  <c r="F18" i="1"/>
  <c r="G18" i="1"/>
  <c r="H18" i="1"/>
  <c r="I18" i="1"/>
  <c r="F19" i="1"/>
  <c r="G19" i="1"/>
  <c r="H19" i="1"/>
  <c r="I19" i="1"/>
  <c r="F20" i="1"/>
  <c r="G20" i="1"/>
  <c r="H20" i="1"/>
  <c r="I20" i="1"/>
  <c r="F22" i="1"/>
  <c r="G22" i="1"/>
  <c r="H22" i="1"/>
  <c r="I22" i="1"/>
  <c r="F23" i="1"/>
  <c r="G23" i="1"/>
  <c r="H23" i="1"/>
  <c r="I23" i="1"/>
  <c r="E12" i="1"/>
  <c r="E15" i="1" s="1"/>
  <c r="E18" i="1" s="1"/>
  <c r="F11" i="3" l="1"/>
  <c r="E19" i="4"/>
  <c r="E20" i="4" s="1"/>
  <c r="F19" i="4"/>
  <c r="F20" i="4" s="1"/>
  <c r="G19" i="4"/>
  <c r="G20" i="4" s="1"/>
  <c r="H19" i="4"/>
  <c r="H20" i="4" s="1"/>
  <c r="I19" i="4"/>
  <c r="I20" i="4" s="1"/>
  <c r="J19" i="4"/>
  <c r="J20" i="4" s="1"/>
  <c r="C8" i="2"/>
  <c r="H16" i="2" s="1"/>
  <c r="E12" i="3"/>
  <c r="E22" i="3"/>
  <c r="C17" i="2"/>
  <c r="F17" i="2" s="1"/>
  <c r="C18" i="2"/>
  <c r="F18" i="2" s="1"/>
  <c r="P16" i="2"/>
  <c r="G17" i="2"/>
  <c r="G18" i="2"/>
  <c r="E19" i="1"/>
  <c r="E20" i="1" s="1"/>
  <c r="J22" i="4" l="1"/>
  <c r="J23" i="4"/>
  <c r="I22" i="4"/>
  <c r="I23" i="4"/>
  <c r="H22" i="4"/>
  <c r="H23" i="4"/>
  <c r="G22" i="4"/>
  <c r="G23" i="4"/>
  <c r="F22" i="4"/>
  <c r="F23" i="4"/>
  <c r="E22" i="4"/>
  <c r="E23" i="4"/>
  <c r="F22" i="3"/>
  <c r="F15" i="3"/>
  <c r="F16" i="3" s="1"/>
  <c r="F14" i="3"/>
  <c r="E13" i="3" s="1"/>
  <c r="C20" i="2"/>
  <c r="F16" i="2"/>
  <c r="G16" i="2" s="1"/>
  <c r="I16" i="2" s="1"/>
  <c r="O18" i="2"/>
  <c r="M18" i="2"/>
  <c r="L18" i="2" s="1"/>
  <c r="N17" i="2"/>
  <c r="O17" i="2"/>
  <c r="M17" i="2"/>
  <c r="L17" i="2" s="1"/>
  <c r="N16" i="2"/>
  <c r="H17" i="2"/>
  <c r="I17" i="2" s="1"/>
  <c r="J16" i="2"/>
  <c r="K16" i="2" s="1"/>
  <c r="O16" i="2"/>
  <c r="R16" i="2" s="1"/>
  <c r="M16" i="2"/>
  <c r="L16" i="2" s="1"/>
  <c r="E22" i="1"/>
  <c r="E23" i="1"/>
  <c r="E15" i="3" l="1"/>
  <c r="E14" i="3"/>
  <c r="G22" i="3"/>
  <c r="S16" i="2"/>
  <c r="Q16" i="2"/>
  <c r="H18" i="2"/>
  <c r="I18" i="2" s="1"/>
  <c r="J18" i="2" s="1"/>
  <c r="K18" i="2" s="1"/>
  <c r="J17" i="2"/>
  <c r="K17" i="2" s="1"/>
  <c r="E16" i="3" l="1"/>
  <c r="E17" i="3"/>
  <c r="P17" i="2"/>
  <c r="V16" i="2"/>
  <c r="U16" i="2"/>
  <c r="T16" i="2"/>
  <c r="E26" i="3" l="1"/>
  <c r="E19" i="3"/>
  <c r="E18" i="3"/>
  <c r="R17" i="2"/>
  <c r="F12" i="3" l="1"/>
  <c r="E23" i="3"/>
  <c r="E28" i="3"/>
  <c r="E24" i="3"/>
  <c r="E27" i="3"/>
  <c r="F26" i="3"/>
  <c r="S17" i="2"/>
  <c r="Q17" i="2"/>
  <c r="G26" i="3" l="1"/>
  <c r="F17" i="3"/>
  <c r="P18" i="2"/>
  <c r="V17" i="2"/>
  <c r="U17" i="2"/>
  <c r="T17" i="2"/>
  <c r="F30" i="3" l="1"/>
  <c r="F19" i="3"/>
  <c r="F18" i="3"/>
  <c r="R18" i="2"/>
  <c r="G18" i="3" l="1"/>
  <c r="F23" i="3"/>
  <c r="F27" i="3"/>
  <c r="F32" i="3"/>
  <c r="F28" i="3"/>
  <c r="F24" i="3"/>
  <c r="F31" i="3"/>
  <c r="G30" i="3"/>
  <c r="G31" i="3" s="1"/>
  <c r="S18" i="2"/>
  <c r="Q18" i="2"/>
  <c r="C10" i="2" s="1"/>
  <c r="C11" i="2" l="1"/>
  <c r="G19" i="3"/>
  <c r="G23" i="3"/>
  <c r="G27" i="3"/>
  <c r="V18" i="2"/>
  <c r="U18" i="2"/>
  <c r="T18" i="2"/>
  <c r="G32" i="3" l="1"/>
  <c r="G28" i="3"/>
  <c r="G24" i="3"/>
</calcChain>
</file>

<file path=xl/sharedStrings.xml><?xml version="1.0" encoding="utf-8"?>
<sst xmlns="http://schemas.openxmlformats.org/spreadsheetml/2006/main" count="132" uniqueCount="75">
  <si>
    <t>Venture Capital Method with Sensitivity Analysis</t>
  </si>
  <si>
    <t>Switch Case</t>
  </si>
  <si>
    <t>Base case</t>
  </si>
  <si>
    <t>Scenario 1</t>
  </si>
  <si>
    <t>Scenario 2</t>
  </si>
  <si>
    <t>Scenario 3</t>
  </si>
  <si>
    <t>Scenario 4</t>
  </si>
  <si>
    <t>Scenario 5</t>
  </si>
  <si>
    <t>Company Value at Exit</t>
  </si>
  <si>
    <t>(at exit date)</t>
  </si>
  <si>
    <t>Annual Earnings(Projected NI)</t>
  </si>
  <si>
    <t>In Year</t>
  </si>
  <si>
    <t>PE(multiple)</t>
  </si>
  <si>
    <t>Required Rate of Return</t>
  </si>
  <si>
    <t>Value of firm</t>
  </si>
  <si>
    <t>Initial Investment</t>
  </si>
  <si>
    <t>Equity Stake</t>
  </si>
  <si>
    <t>(pre)</t>
  </si>
  <si>
    <t>Current Outstanding Shares</t>
  </si>
  <si>
    <t>(post)</t>
  </si>
  <si>
    <t>Total Outstanding Shares</t>
  </si>
  <si>
    <t>VC Owns # Shares</t>
  </si>
  <si>
    <t>Share Price</t>
  </si>
  <si>
    <t>Pre-Money Valuation</t>
  </si>
  <si>
    <t>Post-Money Valuation</t>
  </si>
  <si>
    <t>Venture Capital Method with Dilution(with Sensitivity Analysis)</t>
  </si>
  <si>
    <t>Switch</t>
  </si>
  <si>
    <t>Net Income at Exit Year</t>
  </si>
  <si>
    <t>Term</t>
  </si>
  <si>
    <t>Shares Outstanding Before Investment</t>
  </si>
  <si>
    <t>Shares Outstanding After Final Round</t>
  </si>
  <si>
    <t>Terminal Share Price</t>
  </si>
  <si>
    <t>Dilution Calculation</t>
  </si>
  <si>
    <t>Investment Amount</t>
  </si>
  <si>
    <t>Investment Year</t>
  </si>
  <si>
    <t>Required Return</t>
  </si>
  <si>
    <t>Future Value</t>
  </si>
  <si>
    <t>Required Ownership</t>
  </si>
  <si>
    <t>Outstanding Shares (Pre)</t>
  </si>
  <si>
    <t>Outstanding Shares (Post)</t>
  </si>
  <si>
    <t>Investor Owns No. Shares</t>
  </si>
  <si>
    <t>Retention %</t>
  </si>
  <si>
    <t>Check</t>
  </si>
  <si>
    <t>Investor/Round A</t>
  </si>
  <si>
    <t>Investor/Round B</t>
  </si>
  <si>
    <t>Investor/Round C</t>
  </si>
  <si>
    <t>TOTAL</t>
  </si>
  <si>
    <t>Venture Capital Method with Multiple Financing Rounds (with Sensitivity Analysis)</t>
  </si>
  <si>
    <t xml:space="preserve">Switch </t>
  </si>
  <si>
    <t>Investment amount</t>
  </si>
  <si>
    <t>Exit Value</t>
  </si>
  <si>
    <t>Number of existing shares (founders)</t>
  </si>
  <si>
    <t>Disc Rate:</t>
  </si>
  <si>
    <t>Round 1</t>
  </si>
  <si>
    <t>Round 2</t>
  </si>
  <si>
    <t>Time of Exit</t>
  </si>
  <si>
    <t>Year</t>
  </si>
  <si>
    <t>Valuation at exit</t>
  </si>
  <si>
    <t>r</t>
  </si>
  <si>
    <t>Compound discount rate</t>
  </si>
  <si>
    <t>(1+r)</t>
  </si>
  <si>
    <t>Number of existing shares</t>
  </si>
  <si>
    <t>Post-Money</t>
  </si>
  <si>
    <t>Pre-Money</t>
  </si>
  <si>
    <t>Ownership fraction of investors</t>
  </si>
  <si>
    <t>Ownership fraction of previous round</t>
  </si>
  <si>
    <t>Number of new shares</t>
  </si>
  <si>
    <t>Total shares issued</t>
  </si>
  <si>
    <t>Price per share</t>
  </si>
  <si>
    <t>Entrepreneurs:</t>
  </si>
  <si>
    <t>Ownership shares</t>
  </si>
  <si>
    <t>Ownership percentage</t>
  </si>
  <si>
    <t>Wealth</t>
  </si>
  <si>
    <t>First Round:</t>
  </si>
  <si>
    <t>Second Round: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</si>
</sst>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\$#,##0.00;\(\$#,##0.00\)"/>
    <numFmt numFmtId="165" formatCode="#,##0.00;\(#,##0.00\)"/>
    <numFmt numFmtId="166" formatCode="\$#,##0;\(\$#,##0\)"/>
    <numFmt numFmtId="167" formatCode="#,##0;\(#,##0\)"/>
    <numFmt numFmtId="168" formatCode="&quot;$&quot;#,##0.00"/>
  </numFmts>
  <fonts count="10">
    <font>
      <sz val="10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color rgb="FFFF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color rgb="FF00B05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2DCDB"/>
        <bgColor rgb="FFF2DCD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6">
    <xf numFmtId="0" fontId="0" fillId="0" borderId="0" xfId="0" applyAlignment="1">
      <alignment wrapText="1"/>
    </xf>
    <xf numFmtId="164" fontId="3" fillId="0" borderId="0" xfId="0" applyNumberFormat="1" applyFont="1"/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164" fontId="3" fillId="3" borderId="0" xfId="0" applyNumberFormat="1" applyFont="1" applyFill="1"/>
    <xf numFmtId="0" fontId="3" fillId="3" borderId="0" xfId="0" applyFont="1" applyFill="1"/>
    <xf numFmtId="164" fontId="1" fillId="0" borderId="0" xfId="0" applyNumberFormat="1" applyFont="1"/>
    <xf numFmtId="165" fontId="3" fillId="2" borderId="0" xfId="0" applyNumberFormat="1" applyFont="1" applyFill="1"/>
    <xf numFmtId="10" fontId="1" fillId="0" borderId="0" xfId="0" applyNumberFormat="1" applyFont="1"/>
    <xf numFmtId="9" fontId="3" fillId="2" borderId="0" xfId="0" applyNumberFormat="1" applyFont="1" applyFill="1"/>
    <xf numFmtId="3" fontId="3" fillId="0" borderId="0" xfId="0" applyNumberFormat="1" applyFont="1"/>
    <xf numFmtId="0" fontId="4" fillId="2" borderId="0" xfId="0" applyFont="1" applyFill="1" applyAlignment="1">
      <alignment horizontal="center" vertical="top"/>
    </xf>
    <xf numFmtId="0" fontId="4" fillId="2" borderId="0" xfId="0" quotePrefix="1" applyFont="1" applyFill="1" applyAlignment="1">
      <alignment horizontal="center" vertical="top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164" fontId="3" fillId="3" borderId="1" xfId="0" applyNumberFormat="1" applyFont="1" applyFill="1" applyBorder="1"/>
    <xf numFmtId="0" fontId="3" fillId="3" borderId="1" xfId="0" applyFont="1" applyFill="1" applyBorder="1"/>
    <xf numFmtId="9" fontId="3" fillId="3" borderId="1" xfId="0" applyNumberFormat="1" applyFont="1" applyFill="1" applyBorder="1"/>
    <xf numFmtId="164" fontId="1" fillId="0" borderId="1" xfId="0" applyNumberFormat="1" applyFont="1" applyBorder="1"/>
    <xf numFmtId="165" fontId="3" fillId="2" borderId="1" xfId="0" applyNumberFormat="1" applyFont="1" applyFill="1" applyBorder="1"/>
    <xf numFmtId="0" fontId="3" fillId="2" borderId="1" xfId="0" applyFont="1" applyFill="1" applyBorder="1"/>
    <xf numFmtId="10" fontId="1" fillId="0" borderId="1" xfId="0" applyNumberFormat="1" applyFont="1" applyBorder="1"/>
    <xf numFmtId="9" fontId="3" fillId="2" borderId="1" xfId="0" applyNumberFormat="1" applyFont="1" applyFill="1" applyBorder="1"/>
    <xf numFmtId="3" fontId="3" fillId="3" borderId="1" xfId="0" applyNumberFormat="1" applyFont="1" applyFill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164" fontId="3" fillId="3" borderId="2" xfId="0" applyNumberFormat="1" applyFont="1" applyFill="1" applyBorder="1"/>
    <xf numFmtId="0" fontId="3" fillId="3" borderId="2" xfId="0" applyFont="1" applyFill="1" applyBorder="1"/>
    <xf numFmtId="9" fontId="3" fillId="3" borderId="2" xfId="0" applyNumberFormat="1" applyFont="1" applyFill="1" applyBorder="1"/>
    <xf numFmtId="164" fontId="1" fillId="0" borderId="2" xfId="0" applyNumberFormat="1" applyFont="1" applyBorder="1"/>
    <xf numFmtId="165" fontId="3" fillId="2" borderId="2" xfId="0" applyNumberFormat="1" applyFont="1" applyFill="1" applyBorder="1"/>
    <xf numFmtId="0" fontId="3" fillId="2" borderId="2" xfId="0" applyFont="1" applyFill="1" applyBorder="1"/>
    <xf numFmtId="10" fontId="1" fillId="0" borderId="2" xfId="0" applyNumberFormat="1" applyFont="1" applyBorder="1"/>
    <xf numFmtId="9" fontId="3" fillId="2" borderId="2" xfId="0" applyNumberFormat="1" applyFont="1" applyFill="1" applyBorder="1"/>
    <xf numFmtId="3" fontId="3" fillId="3" borderId="2" xfId="0" applyNumberFormat="1" applyFont="1" applyFill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3" fillId="3" borderId="3" xfId="0" applyNumberFormat="1" applyFont="1" applyFill="1" applyBorder="1"/>
    <xf numFmtId="0" fontId="3" fillId="3" borderId="3" xfId="0" applyFont="1" applyFill="1" applyBorder="1"/>
    <xf numFmtId="164" fontId="1" fillId="0" borderId="3" xfId="0" applyNumberFormat="1" applyFont="1" applyBorder="1"/>
    <xf numFmtId="165" fontId="3" fillId="2" borderId="3" xfId="0" applyNumberFormat="1" applyFont="1" applyFill="1" applyBorder="1"/>
    <xf numFmtId="0" fontId="3" fillId="2" borderId="3" xfId="0" applyFont="1" applyFill="1" applyBorder="1"/>
    <xf numFmtId="10" fontId="1" fillId="0" borderId="3" xfId="0" applyNumberFormat="1" applyFont="1" applyBorder="1"/>
    <xf numFmtId="9" fontId="3" fillId="2" borderId="3" xfId="0" applyNumberFormat="1" applyFont="1" applyFill="1" applyBorder="1"/>
    <xf numFmtId="3" fontId="3" fillId="0" borderId="3" xfId="0" applyNumberFormat="1" applyFont="1" applyBorder="1"/>
    <xf numFmtId="164" fontId="3" fillId="0" borderId="3" xfId="0" applyNumberFormat="1" applyFont="1" applyBorder="1"/>
    <xf numFmtId="0" fontId="3" fillId="0" borderId="0" xfId="0" applyFont="1"/>
    <xf numFmtId="1" fontId="3" fillId="3" borderId="1" xfId="0" applyNumberFormat="1" applyFont="1" applyFill="1" applyBorder="1"/>
    <xf numFmtId="0" fontId="1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166" fontId="3" fillId="3" borderId="0" xfId="0" applyNumberFormat="1" applyFont="1" applyFill="1" applyAlignment="1">
      <alignment vertical="center"/>
    </xf>
    <xf numFmtId="166" fontId="3" fillId="0" borderId="0" xfId="0" applyNumberFormat="1" applyFont="1" applyAlignment="1">
      <alignment horizontal="left" vertical="center"/>
    </xf>
    <xf numFmtId="167" fontId="3" fillId="3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67" fontId="3" fillId="3" borderId="0" xfId="0" applyNumberFormat="1" applyFont="1" applyFill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6" fontId="3" fillId="0" borderId="6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1" fontId="3" fillId="3" borderId="1" xfId="0" applyNumberFormat="1" applyFont="1" applyFill="1" applyBorder="1"/>
    <xf numFmtId="1" fontId="3" fillId="3" borderId="0" xfId="0" applyNumberFormat="1" applyFont="1" applyFill="1" applyAlignment="1">
      <alignment horizontal="right" vertical="center"/>
    </xf>
    <xf numFmtId="166" fontId="3" fillId="3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66" fontId="3" fillId="3" borderId="0" xfId="0" applyNumberFormat="1" applyFont="1" applyFill="1"/>
    <xf numFmtId="167" fontId="3" fillId="3" borderId="0" xfId="0" applyNumberFormat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6" fontId="3" fillId="0" borderId="0" xfId="0" applyNumberFormat="1" applyFont="1"/>
    <xf numFmtId="0" fontId="9" fillId="0" borderId="0" xfId="0" applyFont="1" applyAlignment="1">
      <alignment horizontal="right"/>
    </xf>
    <xf numFmtId="9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/>
    <xf numFmtId="165" fontId="3" fillId="0" borderId="0" xfId="0" applyNumberFormat="1" applyFont="1" applyAlignment="1">
      <alignment horizontal="center"/>
    </xf>
    <xf numFmtId="167" fontId="3" fillId="0" borderId="0" xfId="0" applyNumberFormat="1" applyFont="1"/>
    <xf numFmtId="10" fontId="3" fillId="0" borderId="0" xfId="0" applyNumberFormat="1" applyFont="1"/>
    <xf numFmtId="167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" fontId="3" fillId="3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vertical="top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8"/>
  <sheetViews>
    <sheetView showGridLines="0" workbookViewId="0">
      <selection activeCell="B23" activeCellId="2" sqref="B18 B22 B23"/>
    </sheetView>
  </sheetViews>
  <sheetFormatPr defaultColWidth="12.5703125" defaultRowHeight="12.75" customHeight="1"/>
  <cols>
    <col min="1" max="10" width="15.7109375" customWidth="1"/>
  </cols>
  <sheetData>
    <row r="1" spans="1:10">
      <c r="A1" s="3" t="s">
        <v>0</v>
      </c>
      <c r="C1" s="3"/>
      <c r="D1" s="3"/>
      <c r="E1" s="3"/>
      <c r="F1" s="2"/>
      <c r="G1" s="4"/>
    </row>
    <row r="2" spans="1:10">
      <c r="A2" s="3"/>
      <c r="C2" s="3"/>
      <c r="D2" s="3"/>
      <c r="E2" s="3"/>
      <c r="F2" s="2"/>
      <c r="G2" s="4"/>
    </row>
    <row r="3" spans="1:10">
      <c r="A3" s="3"/>
      <c r="C3" s="3"/>
      <c r="D3" s="3"/>
      <c r="E3" s="3"/>
      <c r="F3" s="2"/>
      <c r="G3" s="4"/>
    </row>
    <row r="4" spans="1:10">
      <c r="B4" s="5"/>
      <c r="C4" s="3"/>
      <c r="D4" s="5"/>
      <c r="E4" s="5"/>
      <c r="F4" s="5"/>
      <c r="G4" s="5"/>
    </row>
    <row r="5" spans="1:10">
      <c r="A5" s="6"/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7" t="s">
        <v>7</v>
      </c>
    </row>
    <row r="6" spans="1:10">
      <c r="A6" s="6"/>
      <c r="E6" s="17"/>
      <c r="F6" s="17"/>
      <c r="G6" s="17"/>
      <c r="H6" s="17"/>
      <c r="I6" s="17"/>
      <c r="J6" s="17"/>
    </row>
    <row r="7" spans="1:10" ht="13.5" customHeight="1">
      <c r="A7" s="3"/>
      <c r="B7" s="98" t="s">
        <v>8</v>
      </c>
      <c r="C7" s="99"/>
      <c r="D7" s="18">
        <f ca="1">OFFSET(D7,0,'Sensitivity Analysis w Dilution'!$C$3)</f>
        <v>25000000</v>
      </c>
      <c r="E7" s="18">
        <f>2500000*10</f>
        <v>25000000</v>
      </c>
      <c r="F7" s="18">
        <f t="shared" ref="F7:J7" si="0">2500000*10</f>
        <v>25000000</v>
      </c>
      <c r="G7" s="18">
        <f t="shared" si="0"/>
        <v>25000000</v>
      </c>
      <c r="H7" s="18">
        <f t="shared" si="0"/>
        <v>25000000</v>
      </c>
      <c r="I7" s="18">
        <f t="shared" si="0"/>
        <v>25000000</v>
      </c>
      <c r="J7" s="29">
        <f t="shared" si="0"/>
        <v>25000000</v>
      </c>
    </row>
    <row r="8" spans="1:10">
      <c r="A8" s="6" t="s">
        <v>9</v>
      </c>
      <c r="B8" s="6" t="s">
        <v>10</v>
      </c>
      <c r="D8" s="18">
        <f ca="1">OFFSET(D8,0,'Sensitivity Analysis w Dilution'!$C$3)</f>
        <v>2500000</v>
      </c>
      <c r="E8" s="18">
        <v>2500000</v>
      </c>
      <c r="F8" s="29">
        <v>2250000</v>
      </c>
      <c r="G8" s="7">
        <v>2500000</v>
      </c>
      <c r="H8" s="29">
        <v>2500000</v>
      </c>
      <c r="I8" s="40">
        <v>2500000</v>
      </c>
      <c r="J8" s="40">
        <v>2500000</v>
      </c>
    </row>
    <row r="9" spans="1:10">
      <c r="A9" s="6" t="s">
        <v>9</v>
      </c>
      <c r="B9" s="6" t="s">
        <v>11</v>
      </c>
      <c r="D9" s="50">
        <f ca="1">OFFSET(D9,0,'Sensitivity Analysis w Dilution'!$C$3)</f>
        <v>5</v>
      </c>
      <c r="E9" s="19">
        <v>5</v>
      </c>
      <c r="F9" s="30">
        <v>5</v>
      </c>
      <c r="G9" s="8">
        <v>5.5</v>
      </c>
      <c r="H9" s="30">
        <v>5</v>
      </c>
      <c r="I9" s="41">
        <v>5</v>
      </c>
      <c r="J9" s="41">
        <v>5</v>
      </c>
    </row>
    <row r="10" spans="1:10">
      <c r="B10" s="6" t="s">
        <v>12</v>
      </c>
      <c r="D10" s="50">
        <f ca="1">OFFSET(D10,0,'Sensitivity Analysis w Dilution'!$C$3)</f>
        <v>15</v>
      </c>
      <c r="E10" s="19">
        <v>15</v>
      </c>
      <c r="F10" s="30">
        <v>15</v>
      </c>
      <c r="G10" s="8">
        <v>15</v>
      </c>
      <c r="H10" s="30">
        <v>15</v>
      </c>
      <c r="I10" s="41">
        <v>15</v>
      </c>
      <c r="J10" s="41">
        <v>15</v>
      </c>
    </row>
    <row r="11" spans="1:10">
      <c r="B11" s="6" t="s">
        <v>13</v>
      </c>
      <c r="D11" s="20"/>
      <c r="E11" s="20">
        <v>0.5</v>
      </c>
      <c r="F11" s="20">
        <v>0.5</v>
      </c>
      <c r="G11" s="20">
        <v>0.5</v>
      </c>
      <c r="H11" s="20">
        <v>0.6</v>
      </c>
      <c r="I11" s="20">
        <v>0.5</v>
      </c>
      <c r="J11" s="31">
        <v>0.5</v>
      </c>
    </row>
    <row r="12" spans="1:10">
      <c r="B12" s="3" t="s">
        <v>14</v>
      </c>
      <c r="D12" s="21"/>
      <c r="E12" s="21">
        <f>E8*E10/(1+E11)^E9</f>
        <v>4938271.6049382715</v>
      </c>
      <c r="F12" s="32">
        <f t="shared" ref="F12:J12" si="1">F8*F10/(1+F11)^F9</f>
        <v>4444444.444444444</v>
      </c>
      <c r="G12" s="9">
        <f t="shared" si="1"/>
        <v>4032081.8811245733</v>
      </c>
      <c r="H12" s="32">
        <f t="shared" si="1"/>
        <v>3576278.6865234352</v>
      </c>
      <c r="I12" s="42">
        <f t="shared" si="1"/>
        <v>4938271.6049382715</v>
      </c>
      <c r="J12" s="42">
        <f t="shared" si="1"/>
        <v>4938271.6049382715</v>
      </c>
    </row>
    <row r="13" spans="1:10">
      <c r="D13" s="23"/>
      <c r="E13" s="23"/>
      <c r="F13" s="34"/>
      <c r="G13" s="6"/>
      <c r="H13" s="34"/>
      <c r="I13" s="44"/>
      <c r="J13" s="44"/>
    </row>
    <row r="14" spans="1:10">
      <c r="B14" s="6" t="s">
        <v>15</v>
      </c>
      <c r="D14" s="18"/>
      <c r="E14" s="18">
        <v>3000000</v>
      </c>
      <c r="F14" s="18">
        <v>3000000</v>
      </c>
      <c r="G14" s="18">
        <v>3000000</v>
      </c>
      <c r="H14" s="29">
        <v>3000000</v>
      </c>
      <c r="I14" s="40">
        <v>3250000</v>
      </c>
      <c r="J14" s="29">
        <v>3000000</v>
      </c>
    </row>
    <row r="15" spans="1:10">
      <c r="B15" s="3" t="s">
        <v>16</v>
      </c>
      <c r="D15" s="24"/>
      <c r="E15" s="24">
        <f>E14/E12</f>
        <v>0.60750000000000004</v>
      </c>
      <c r="F15" s="35">
        <f>F14/F12</f>
        <v>0.67500000000000004</v>
      </c>
      <c r="G15" s="11">
        <f>G14/G12</f>
        <v>0.74403250937039034</v>
      </c>
      <c r="H15" s="35">
        <f>H14/H12</f>
        <v>0.83886080000000052</v>
      </c>
      <c r="I15" s="45">
        <f>I14/I12</f>
        <v>0.65812500000000007</v>
      </c>
      <c r="J15" s="45">
        <f>J14/J12</f>
        <v>0.60750000000000004</v>
      </c>
    </row>
    <row r="16" spans="1:10">
      <c r="B16" s="3"/>
      <c r="D16" s="25"/>
      <c r="E16" s="25"/>
      <c r="F16" s="36"/>
      <c r="G16" s="12"/>
      <c r="H16" s="36"/>
      <c r="I16" s="46"/>
      <c r="J16" s="46"/>
    </row>
    <row r="17" spans="1:10">
      <c r="A17" s="6" t="s">
        <v>17</v>
      </c>
      <c r="B17" s="6" t="s">
        <v>18</v>
      </c>
      <c r="D17" s="71">
        <f ca="1">OFFSET(D17,0,'Sensitivity Analysis w Dilution'!$C$3)</f>
        <v>2000000</v>
      </c>
      <c r="E17" s="26">
        <v>1000000</v>
      </c>
      <c r="F17" s="26">
        <v>1000000</v>
      </c>
      <c r="G17" s="26">
        <v>1000000</v>
      </c>
      <c r="H17" s="26">
        <v>1000000</v>
      </c>
      <c r="I17" s="26">
        <v>1000000</v>
      </c>
      <c r="J17" s="37">
        <v>2000000</v>
      </c>
    </row>
    <row r="18" spans="1:10">
      <c r="A18" s="6" t="s">
        <v>19</v>
      </c>
      <c r="B18" s="6" t="s">
        <v>20</v>
      </c>
      <c r="D18" s="27"/>
      <c r="E18" s="27">
        <f>E17/(1-E15)</f>
        <v>2547770.7006369429</v>
      </c>
      <c r="F18" s="38">
        <f t="shared" ref="F18:J18" si="2">F17/(1-F15)</f>
        <v>3076923.0769230775</v>
      </c>
      <c r="G18" s="13">
        <f t="shared" si="2"/>
        <v>3906746.1166270566</v>
      </c>
      <c r="H18" s="38">
        <f t="shared" si="2"/>
        <v>6205814.6000476805</v>
      </c>
      <c r="I18" s="47">
        <f t="shared" si="2"/>
        <v>2925045.7038391232</v>
      </c>
      <c r="J18" s="47">
        <f t="shared" si="2"/>
        <v>5095541.4012738857</v>
      </c>
    </row>
    <row r="19" spans="1:10">
      <c r="B19" s="6" t="s">
        <v>21</v>
      </c>
      <c r="D19" s="27"/>
      <c r="E19" s="27">
        <f>E18-E17</f>
        <v>1547770.7006369429</v>
      </c>
      <c r="F19" s="38">
        <f t="shared" ref="F19:J19" si="3">F18-F17</f>
        <v>2076923.0769230775</v>
      </c>
      <c r="G19" s="13">
        <f t="shared" si="3"/>
        <v>2906746.1166270566</v>
      </c>
      <c r="H19" s="38">
        <f t="shared" si="3"/>
        <v>5205814.6000476805</v>
      </c>
      <c r="I19" s="47">
        <f t="shared" si="3"/>
        <v>1925045.7038391232</v>
      </c>
      <c r="J19" s="47">
        <f t="shared" si="3"/>
        <v>3095541.4012738857</v>
      </c>
    </row>
    <row r="20" spans="1:10">
      <c r="B20" s="3" t="s">
        <v>22</v>
      </c>
      <c r="D20" s="21"/>
      <c r="E20" s="21">
        <f>E14/E19</f>
        <v>1.9382716049382713</v>
      </c>
      <c r="F20" s="32">
        <f t="shared" ref="F20:J20" si="4">F14/F19</f>
        <v>1.444444444444444</v>
      </c>
      <c r="G20" s="9">
        <f t="shared" si="4"/>
        <v>1.0320818811245729</v>
      </c>
      <c r="H20" s="32">
        <f t="shared" si="4"/>
        <v>0.57627868652343528</v>
      </c>
      <c r="I20" s="42">
        <f t="shared" si="4"/>
        <v>1.6882716049382709</v>
      </c>
      <c r="J20" s="42">
        <f t="shared" si="4"/>
        <v>0.96913580246913567</v>
      </c>
    </row>
    <row r="21" spans="1:10">
      <c r="B21" s="3"/>
      <c r="D21" s="22"/>
      <c r="E21" s="22"/>
      <c r="F21" s="33"/>
      <c r="G21" s="10"/>
      <c r="H21" s="33"/>
      <c r="I21" s="43"/>
      <c r="J21" s="43"/>
    </row>
    <row r="22" spans="1:10">
      <c r="B22" s="6" t="s">
        <v>23</v>
      </c>
      <c r="D22" s="28"/>
      <c r="E22" s="28">
        <f>E17*E20</f>
        <v>1938271.6049382712</v>
      </c>
      <c r="F22" s="39">
        <f>F17*F20</f>
        <v>1444444.444444444</v>
      </c>
      <c r="G22" s="1">
        <f>G17*G20</f>
        <v>1032081.8811245728</v>
      </c>
      <c r="H22" s="39">
        <f>H17*H20</f>
        <v>576278.68652343529</v>
      </c>
      <c r="I22" s="48">
        <f>I17*I20</f>
        <v>1688271.604938271</v>
      </c>
      <c r="J22" s="48">
        <f>J17*J20</f>
        <v>1938271.6049382712</v>
      </c>
    </row>
    <row r="23" spans="1:10">
      <c r="B23" s="6" t="s">
        <v>24</v>
      </c>
      <c r="D23" s="28"/>
      <c r="E23" s="28">
        <f>E18*E20</f>
        <v>4938271.6049382715</v>
      </c>
      <c r="F23" s="39">
        <f>F18*F20</f>
        <v>4444444.444444444</v>
      </c>
      <c r="G23" s="1">
        <f>G18*G20</f>
        <v>4032081.8811245728</v>
      </c>
      <c r="H23" s="39">
        <f>H18*H20</f>
        <v>3576278.6865234352</v>
      </c>
      <c r="I23" s="48">
        <f>I18*I20</f>
        <v>4938271.6049382705</v>
      </c>
      <c r="J23" s="48">
        <f>J18*J20</f>
        <v>4938271.6049382715</v>
      </c>
    </row>
    <row r="24" spans="1:10"/>
    <row r="25" spans="1:10"/>
    <row r="26" spans="1:10" ht="15" customHeight="1"/>
    <row r="27" spans="1:10" ht="12" customHeight="1"/>
    <row r="28" spans="1:10" ht="13.5" customHeight="1"/>
    <row r="29" spans="1:10" ht="13.5" customHeight="1"/>
    <row r="30" spans="1:10" ht="13.5" customHeight="1">
      <c r="A30" s="14"/>
      <c r="B30" s="95"/>
      <c r="C30" s="96"/>
      <c r="D30" s="96"/>
      <c r="E30" s="96"/>
      <c r="F30" s="96"/>
      <c r="G30" s="96"/>
    </row>
    <row r="31" spans="1:10">
      <c r="A31" s="14"/>
      <c r="B31" s="97"/>
      <c r="C31" s="96"/>
      <c r="D31" s="96"/>
      <c r="E31" s="96"/>
      <c r="F31" s="96"/>
      <c r="G31" s="96"/>
    </row>
    <row r="32" spans="1:10">
      <c r="A32" s="14"/>
      <c r="B32" s="97"/>
      <c r="C32" s="96"/>
      <c r="D32" s="96"/>
      <c r="E32" s="96"/>
      <c r="F32" s="96"/>
      <c r="G32" s="96"/>
    </row>
    <row r="33" spans="1:7" ht="17.25" customHeight="1">
      <c r="A33" s="14"/>
      <c r="B33" s="95"/>
      <c r="C33" s="96"/>
      <c r="D33" s="96"/>
      <c r="E33" s="96"/>
      <c r="F33" s="96"/>
      <c r="G33" s="96"/>
    </row>
    <row r="34" spans="1:7" ht="12.75" customHeight="1">
      <c r="A34" s="15"/>
      <c r="B34" s="95"/>
      <c r="C34" s="96"/>
      <c r="D34" s="96"/>
      <c r="E34" s="96"/>
      <c r="F34" s="96"/>
      <c r="G34" s="96"/>
    </row>
    <row r="35" spans="1:7">
      <c r="A35" s="14"/>
      <c r="B35" s="97"/>
      <c r="C35" s="96"/>
      <c r="D35" s="96"/>
      <c r="E35" s="96"/>
      <c r="F35" s="96"/>
      <c r="G35" s="96"/>
    </row>
    <row r="36" spans="1:7">
      <c r="A36" s="14"/>
      <c r="B36" s="97"/>
      <c r="C36" s="96"/>
      <c r="D36" s="96"/>
      <c r="E36" s="96"/>
      <c r="F36" s="96"/>
      <c r="G36" s="96"/>
    </row>
    <row r="38" spans="1:7">
      <c r="A38" s="16"/>
    </row>
  </sheetData>
  <mergeCells count="8">
    <mergeCell ref="B7:C7"/>
    <mergeCell ref="B32:G32"/>
    <mergeCell ref="B33:G33"/>
    <mergeCell ref="B34:G34"/>
    <mergeCell ref="B35:G35"/>
    <mergeCell ref="B36:G36"/>
    <mergeCell ref="B30:G30"/>
    <mergeCell ref="B31:G3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28FD-E90A-46AD-AE34-30267D5E6266}">
  <dimension ref="A1:V20"/>
  <sheetViews>
    <sheetView showGridLines="0" workbookViewId="0">
      <selection activeCell="C4" sqref="C4"/>
    </sheetView>
  </sheetViews>
  <sheetFormatPr defaultRowHeight="12.75"/>
  <cols>
    <col min="1" max="1" width="20.7109375" customWidth="1"/>
    <col min="2" max="2" width="13.7109375" customWidth="1"/>
    <col min="3" max="3" width="11.42578125" bestFit="1" customWidth="1"/>
    <col min="4" max="4" width="10.5703125" customWidth="1"/>
    <col min="6" max="6" width="13" bestFit="1" customWidth="1"/>
    <col min="7" max="7" width="10.140625" customWidth="1"/>
    <col min="8" max="8" width="12.140625" customWidth="1"/>
    <col min="9" max="9" width="12.7109375" customWidth="1"/>
    <col min="10" max="10" width="13" customWidth="1"/>
    <col min="11" max="11" width="7.28515625" customWidth="1"/>
    <col min="12" max="13" width="14.140625" bestFit="1" customWidth="1"/>
    <col min="15" max="15" width="10" customWidth="1"/>
    <col min="16" max="16" width="11.85546875" customWidth="1"/>
    <col min="17" max="17" width="12.7109375" customWidth="1"/>
    <col min="18" max="18" width="13" customWidth="1"/>
    <col min="20" max="21" width="14.140625" bestFit="1" customWidth="1"/>
  </cols>
  <sheetData>
    <row r="1" spans="1:22" ht="17.25" customHeight="1">
      <c r="A1" s="103" t="s">
        <v>25</v>
      </c>
      <c r="B1" s="103"/>
      <c r="C1" s="103"/>
      <c r="D1" s="103"/>
      <c r="E1" s="103"/>
      <c r="H1" s="51"/>
    </row>
    <row r="2" spans="1:22" ht="12" customHeight="1">
      <c r="A2" s="70"/>
      <c r="B2" s="70"/>
      <c r="C2" s="70"/>
      <c r="D2" s="70"/>
      <c r="E2" s="70"/>
      <c r="H2" s="51"/>
    </row>
    <row r="3" spans="1:22" ht="13.5" customHeight="1">
      <c r="A3" s="70" t="s">
        <v>26</v>
      </c>
      <c r="B3" s="70"/>
      <c r="C3" s="94">
        <v>6</v>
      </c>
      <c r="D3" s="70"/>
      <c r="E3" s="70"/>
      <c r="H3" s="51"/>
    </row>
    <row r="5" spans="1:22">
      <c r="A5" s="52" t="s">
        <v>27</v>
      </c>
      <c r="C5" s="53">
        <f ca="1">'Sensitivity Analysis'!D8</f>
        <v>2500000</v>
      </c>
      <c r="D5" s="54" t="s">
        <v>9</v>
      </c>
    </row>
    <row r="6" spans="1:22">
      <c r="A6" s="52" t="s">
        <v>28</v>
      </c>
      <c r="C6" s="55">
        <f ca="1">'Sensitivity Analysis'!D9</f>
        <v>5</v>
      </c>
      <c r="D6" s="54" t="s">
        <v>9</v>
      </c>
    </row>
    <row r="7" spans="1:22">
      <c r="A7" s="52" t="s">
        <v>12</v>
      </c>
      <c r="C7" s="72">
        <f ca="1">'Sensitivity Analysis'!D10</f>
        <v>15</v>
      </c>
    </row>
    <row r="8" spans="1:22" ht="24" customHeight="1">
      <c r="A8" s="104" t="s">
        <v>29</v>
      </c>
      <c r="B8" s="104"/>
      <c r="C8" s="57">
        <f ca="1">'Sensitivity Analysis'!D17</f>
        <v>2000000</v>
      </c>
    </row>
    <row r="9" spans="1:22">
      <c r="A9" s="52" t="s">
        <v>8</v>
      </c>
      <c r="C9" s="58">
        <f ca="1">C5*C7</f>
        <v>37500000</v>
      </c>
    </row>
    <row r="10" spans="1:22" ht="12.75" customHeight="1">
      <c r="A10" s="105" t="s">
        <v>30</v>
      </c>
      <c r="B10" s="105"/>
      <c r="C10" s="59">
        <f ca="1">MAX(Q16:Q19)</f>
        <v>2693622.847907579</v>
      </c>
    </row>
    <row r="11" spans="1:22">
      <c r="A11" s="52" t="s">
        <v>31</v>
      </c>
      <c r="C11" s="60">
        <f ca="1">C9/C10</f>
        <v>13.921770833333332</v>
      </c>
    </row>
    <row r="12" spans="1:22">
      <c r="N12" s="61"/>
      <c r="O12" s="61"/>
      <c r="P12" s="61"/>
      <c r="Q12" s="61"/>
      <c r="R12" s="61"/>
      <c r="S12" s="61"/>
      <c r="T12" s="61"/>
      <c r="U12" s="61"/>
      <c r="V12" s="61"/>
    </row>
    <row r="13" spans="1:22">
      <c r="M13" s="62"/>
      <c r="N13" s="100" t="s">
        <v>32</v>
      </c>
      <c r="O13" s="101"/>
      <c r="P13" s="101"/>
      <c r="Q13" s="101"/>
      <c r="R13" s="101"/>
      <c r="S13" s="101"/>
      <c r="T13" s="101"/>
      <c r="U13" s="101"/>
      <c r="V13" s="102"/>
    </row>
    <row r="14" spans="1:22" ht="48">
      <c r="C14" s="63" t="s">
        <v>33</v>
      </c>
      <c r="D14" s="63" t="s">
        <v>34</v>
      </c>
      <c r="E14" s="63" t="s">
        <v>35</v>
      </c>
      <c r="F14" s="63" t="s">
        <v>36</v>
      </c>
      <c r="G14" s="63" t="s">
        <v>37</v>
      </c>
      <c r="H14" s="63" t="s">
        <v>38</v>
      </c>
      <c r="I14" s="63" t="s">
        <v>39</v>
      </c>
      <c r="J14" s="63" t="s">
        <v>40</v>
      </c>
      <c r="K14" s="63" t="s">
        <v>22</v>
      </c>
      <c r="L14" s="63" t="s">
        <v>23</v>
      </c>
      <c r="M14" s="63" t="s">
        <v>24</v>
      </c>
      <c r="N14" s="64" t="s">
        <v>41</v>
      </c>
      <c r="O14" s="64" t="s">
        <v>37</v>
      </c>
      <c r="P14" s="64" t="s">
        <v>38</v>
      </c>
      <c r="Q14" s="64" t="s">
        <v>39</v>
      </c>
      <c r="R14" s="64" t="s">
        <v>40</v>
      </c>
      <c r="S14" s="64" t="s">
        <v>22</v>
      </c>
      <c r="T14" s="64" t="s">
        <v>23</v>
      </c>
      <c r="U14" s="64" t="s">
        <v>24</v>
      </c>
      <c r="V14" s="65" t="s">
        <v>42</v>
      </c>
    </row>
    <row r="15" spans="1:22">
      <c r="A15" s="56">
        <v>8</v>
      </c>
      <c r="C15" s="56">
        <v>9</v>
      </c>
      <c r="D15" s="56">
        <v>10</v>
      </c>
      <c r="E15" s="56">
        <v>11</v>
      </c>
      <c r="F15" s="56">
        <v>12</v>
      </c>
      <c r="G15" s="56">
        <v>13</v>
      </c>
      <c r="H15" s="56">
        <v>14</v>
      </c>
      <c r="I15" s="56">
        <v>15</v>
      </c>
      <c r="K15" s="56">
        <v>16</v>
      </c>
      <c r="L15" s="56">
        <v>17</v>
      </c>
      <c r="M15" s="56">
        <v>18</v>
      </c>
      <c r="N15" s="56">
        <v>19</v>
      </c>
      <c r="O15" s="56">
        <v>20</v>
      </c>
      <c r="R15" s="56">
        <v>21</v>
      </c>
      <c r="V15" s="56">
        <v>22</v>
      </c>
    </row>
    <row r="16" spans="1:22">
      <c r="A16" s="52" t="s">
        <v>43</v>
      </c>
      <c r="C16" s="73">
        <f ca="1">$C$5/3</f>
        <v>833333.33333333337</v>
      </c>
      <c r="D16" s="66">
        <v>0</v>
      </c>
      <c r="E16" s="67">
        <v>0.5</v>
      </c>
      <c r="F16" s="74">
        <f t="shared" ref="F16:F18" ca="1" si="0">C16*(1+E16)^($C$6-D16)</f>
        <v>6328125</v>
      </c>
      <c r="G16" s="68">
        <f t="shared" ref="G16:G18" ca="1" si="1">F16/$C$9</f>
        <v>0.16875000000000001</v>
      </c>
      <c r="H16" s="75">
        <f ca="1">$C$8</f>
        <v>2000000</v>
      </c>
      <c r="I16" s="75">
        <f t="shared" ref="I16:I18" ca="1" si="2">H16/(1-G16)</f>
        <v>2406015.037593985</v>
      </c>
      <c r="J16" s="75">
        <f t="shared" ref="J16:J18" ca="1" si="3">I16-H16</f>
        <v>406015.03759398498</v>
      </c>
      <c r="K16" s="74">
        <f t="shared" ref="K16:K18" ca="1" si="4">C16/J16</f>
        <v>2.0524691358024691</v>
      </c>
      <c r="L16" s="74">
        <f t="shared" ref="L16:L18" ca="1" si="5">M16-C16</f>
        <v>4104938.271604938</v>
      </c>
      <c r="M16" s="74">
        <f t="shared" ref="M16:M18" ca="1" si="6">C16/G16</f>
        <v>4938271.6049382715</v>
      </c>
      <c r="N16" s="68">
        <f t="shared" ref="N16:N18" ca="1" si="7">1-SUM(G17:G18)</f>
        <v>0.91124444444444441</v>
      </c>
      <c r="O16" s="68">
        <f t="shared" ref="O16:O18" ca="1" si="8">G16/N16</f>
        <v>0.18518631419792228</v>
      </c>
      <c r="P16" s="75">
        <f ca="1">H16</f>
        <v>2000000</v>
      </c>
      <c r="Q16" s="75">
        <f t="shared" ref="Q16:Q18" ca="1" si="9">P16+R16</f>
        <v>2454548.855584404</v>
      </c>
      <c r="R16" s="75">
        <f t="shared" ref="R16:R18" ca="1" si="10">O16/(1-O16)*P16</f>
        <v>454548.85558440402</v>
      </c>
      <c r="S16" s="74">
        <f t="shared" ref="S16:S18" ca="1" si="11">C16/R16</f>
        <v>1.8333196159122083</v>
      </c>
      <c r="T16" s="74">
        <f t="shared" ref="T16:T18" ca="1" si="12">S16*P16</f>
        <v>3666639.2318244167</v>
      </c>
      <c r="U16" s="74">
        <f t="shared" ref="U16:U18" ca="1" si="13">S16*Q16</f>
        <v>4499972.5651577497</v>
      </c>
      <c r="V16" s="76">
        <f t="shared" ref="V16:V18" ca="1" si="14">S16*(1+E16)^($C$6-D16)</f>
        <v>13.921770833333332</v>
      </c>
    </row>
    <row r="17" spans="1:22">
      <c r="A17" s="52" t="s">
        <v>44</v>
      </c>
      <c r="C17" s="73">
        <f t="shared" ref="C17:C18" ca="1" si="15">$C$5/3</f>
        <v>833333.33333333337</v>
      </c>
      <c r="D17" s="66">
        <v>2</v>
      </c>
      <c r="E17" s="67">
        <v>0.4</v>
      </c>
      <c r="F17" s="74">
        <f t="shared" ca="1" si="0"/>
        <v>2286666.666666666</v>
      </c>
      <c r="G17" s="68">
        <f t="shared" ca="1" si="1"/>
        <v>6.0977777777777763E-2</v>
      </c>
      <c r="H17" s="75">
        <f t="shared" ref="H17:H18" ca="1" si="16">I16</f>
        <v>2406015.037593985</v>
      </c>
      <c r="I17" s="75">
        <f t="shared" ca="1" si="2"/>
        <v>2562255.6960367598</v>
      </c>
      <c r="J17" s="75">
        <f t="shared" ca="1" si="3"/>
        <v>156240.65844277479</v>
      </c>
      <c r="K17" s="74">
        <f t="shared" ca="1" si="4"/>
        <v>5.3336522108843569</v>
      </c>
      <c r="L17" s="74">
        <f t="shared" ca="1" si="5"/>
        <v>12832847.424684163</v>
      </c>
      <c r="M17" s="74">
        <f t="shared" ca="1" si="6"/>
        <v>13666180.758017497</v>
      </c>
      <c r="N17" s="68">
        <f t="shared" ca="1" si="7"/>
        <v>0.97222222222222221</v>
      </c>
      <c r="O17" s="68">
        <f t="shared" ca="1" si="8"/>
        <v>6.2719999999999984E-2</v>
      </c>
      <c r="P17" s="75">
        <f t="shared" ref="P17:P18" ca="1" si="17">Q16</f>
        <v>2454548.855584404</v>
      </c>
      <c r="Q17" s="75">
        <f t="shared" ca="1" si="9"/>
        <v>2618799.9910212574</v>
      </c>
      <c r="R17" s="75">
        <f t="shared" ca="1" si="10"/>
        <v>164251.13543685322</v>
      </c>
      <c r="S17" s="74">
        <f t="shared" ca="1" si="11"/>
        <v>5.073531644800779</v>
      </c>
      <c r="T17" s="74">
        <f t="shared" ca="1" si="12"/>
        <v>12453231.29251701</v>
      </c>
      <c r="U17" s="74">
        <f t="shared" ca="1" si="13"/>
        <v>13286564.625850346</v>
      </c>
      <c r="V17" s="76">
        <f t="shared" ca="1" si="14"/>
        <v>13.921770833333333</v>
      </c>
    </row>
    <row r="18" spans="1:22">
      <c r="A18" s="52" t="s">
        <v>45</v>
      </c>
      <c r="C18" s="73">
        <f t="shared" ca="1" si="15"/>
        <v>833333.33333333337</v>
      </c>
      <c r="D18" s="66">
        <v>4</v>
      </c>
      <c r="E18" s="67">
        <v>0.25</v>
      </c>
      <c r="F18" s="74">
        <f t="shared" ca="1" si="0"/>
        <v>1041666.6666666667</v>
      </c>
      <c r="G18" s="68">
        <f t="shared" ca="1" si="1"/>
        <v>2.777777777777778E-2</v>
      </c>
      <c r="H18" s="75">
        <f t="shared" ca="1" si="16"/>
        <v>2562255.6960367598</v>
      </c>
      <c r="I18" s="75">
        <f t="shared" ca="1" si="2"/>
        <v>2635463.0016378099</v>
      </c>
      <c r="J18" s="75">
        <f t="shared" ca="1" si="3"/>
        <v>73207.305601050146</v>
      </c>
      <c r="K18" s="74">
        <f t="shared" ca="1" si="4"/>
        <v>11.383199074074096</v>
      </c>
      <c r="L18" s="74">
        <f t="shared" ca="1" si="5"/>
        <v>29166666.666666668</v>
      </c>
      <c r="M18" s="74">
        <f t="shared" ca="1" si="6"/>
        <v>30000000</v>
      </c>
      <c r="N18" s="68">
        <f t="shared" si="7"/>
        <v>1</v>
      </c>
      <c r="O18" s="68">
        <f t="shared" ca="1" si="8"/>
        <v>2.777777777777778E-2</v>
      </c>
      <c r="P18" s="75">
        <f t="shared" ca="1" si="17"/>
        <v>2618799.9910212574</v>
      </c>
      <c r="Q18" s="75">
        <f t="shared" ca="1" si="9"/>
        <v>2693622.847907579</v>
      </c>
      <c r="R18" s="75">
        <f t="shared" ca="1" si="10"/>
        <v>74822.85688632165</v>
      </c>
      <c r="S18" s="74">
        <f t="shared" ca="1" si="11"/>
        <v>11.137416666666665</v>
      </c>
      <c r="T18" s="74">
        <f t="shared" ca="1" si="12"/>
        <v>29166666.666666664</v>
      </c>
      <c r="U18" s="74">
        <f t="shared" ca="1" si="13"/>
        <v>29999999.999999996</v>
      </c>
      <c r="V18" s="76">
        <f t="shared" ca="1" si="14"/>
        <v>13.921770833333332</v>
      </c>
    </row>
    <row r="19" spans="1:22">
      <c r="C19" s="61"/>
    </row>
    <row r="20" spans="1:22">
      <c r="A20" s="52" t="s">
        <v>46</v>
      </c>
      <c r="C20" s="69">
        <f ca="1">SUM(C16:C18)</f>
        <v>2500000</v>
      </c>
    </row>
  </sheetData>
  <mergeCells count="4">
    <mergeCell ref="N13:V13"/>
    <mergeCell ref="A1:E1"/>
    <mergeCell ref="A8:B8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885-2976-4491-B506-EBAF72259802}">
  <dimension ref="A1:J23"/>
  <sheetViews>
    <sheetView showGridLines="0" workbookViewId="0">
      <selection activeCell="D7" sqref="D7"/>
    </sheetView>
  </sheetViews>
  <sheetFormatPr defaultRowHeight="12.75"/>
  <cols>
    <col min="3" max="3" width="17.85546875" customWidth="1"/>
    <col min="4" max="10" width="14.140625" bestFit="1" customWidth="1"/>
  </cols>
  <sheetData>
    <row r="1" spans="1:10">
      <c r="A1" s="3" t="s">
        <v>25</v>
      </c>
      <c r="C1" s="3"/>
      <c r="D1" s="3"/>
      <c r="E1" s="3"/>
      <c r="F1" s="2"/>
      <c r="G1" s="4"/>
    </row>
    <row r="2" spans="1:10">
      <c r="A2" s="3"/>
      <c r="C2" s="3"/>
      <c r="D2" s="3"/>
      <c r="E2" s="3"/>
      <c r="F2" s="2"/>
      <c r="G2" s="4"/>
    </row>
    <row r="3" spans="1:10">
      <c r="A3" s="3"/>
      <c r="C3" s="3"/>
      <c r="D3" s="3"/>
      <c r="E3" s="3"/>
      <c r="F3" s="2"/>
      <c r="G3" s="4"/>
    </row>
    <row r="4" spans="1:10">
      <c r="B4" s="5"/>
      <c r="C4" s="3"/>
      <c r="D4" s="5"/>
      <c r="E4" s="5"/>
      <c r="F4" s="5"/>
      <c r="G4" s="5"/>
    </row>
    <row r="5" spans="1:10" ht="24">
      <c r="A5" s="6"/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7" t="s">
        <v>7</v>
      </c>
    </row>
    <row r="6" spans="1:10">
      <c r="A6" s="6"/>
      <c r="E6" s="17"/>
      <c r="F6" s="17"/>
      <c r="G6" s="17"/>
      <c r="H6" s="17"/>
      <c r="I6" s="17"/>
      <c r="J6" s="17"/>
    </row>
    <row r="7" spans="1:10">
      <c r="A7" s="3"/>
      <c r="B7" s="98" t="s">
        <v>8</v>
      </c>
      <c r="C7" s="99"/>
      <c r="D7" s="18">
        <f ca="1">OFFSET(D7,0,'Sens. Analysis w Multiple Round'!$E$3)</f>
        <v>25000000</v>
      </c>
      <c r="E7" s="18">
        <f>2500000*10</f>
        <v>25000000</v>
      </c>
      <c r="F7" s="18">
        <f t="shared" ref="F7:J7" si="0">2500000*10</f>
        <v>25000000</v>
      </c>
      <c r="G7" s="18">
        <f t="shared" si="0"/>
        <v>25000000</v>
      </c>
      <c r="H7" s="18">
        <f t="shared" si="0"/>
        <v>25000000</v>
      </c>
      <c r="I7" s="18">
        <f t="shared" si="0"/>
        <v>25000000</v>
      </c>
      <c r="J7" s="29">
        <f t="shared" si="0"/>
        <v>25000000</v>
      </c>
    </row>
    <row r="8" spans="1:10">
      <c r="A8" s="6" t="s">
        <v>9</v>
      </c>
      <c r="B8" s="6" t="s">
        <v>10</v>
      </c>
      <c r="D8" s="18">
        <f ca="1">OFFSET(D8,0,'Sens. Analysis w Multiple Round'!$E$3)</f>
        <v>2500000</v>
      </c>
      <c r="E8" s="18">
        <v>2500000</v>
      </c>
      <c r="F8" s="29">
        <v>2250000</v>
      </c>
      <c r="G8" s="7">
        <v>2500000</v>
      </c>
      <c r="H8" s="29">
        <v>2500000</v>
      </c>
      <c r="I8" s="40">
        <v>2500000</v>
      </c>
      <c r="J8" s="40">
        <v>2500000</v>
      </c>
    </row>
    <row r="9" spans="1:10">
      <c r="A9" s="6" t="s">
        <v>9</v>
      </c>
      <c r="B9" s="6" t="s">
        <v>11</v>
      </c>
      <c r="D9" s="50">
        <f ca="1">OFFSET(D9,0,'Sens. Analysis w Multiple Round'!$E$3)</f>
        <v>5</v>
      </c>
      <c r="E9" s="19">
        <v>5</v>
      </c>
      <c r="F9" s="30">
        <v>5</v>
      </c>
      <c r="G9" s="8">
        <v>5.5</v>
      </c>
      <c r="H9" s="30">
        <v>5</v>
      </c>
      <c r="I9" s="41">
        <v>5</v>
      </c>
      <c r="J9" s="41">
        <v>5</v>
      </c>
    </row>
    <row r="10" spans="1:10">
      <c r="B10" s="6" t="s">
        <v>12</v>
      </c>
      <c r="D10" s="50">
        <f ca="1">OFFSET(D10,0,'Sens. Analysis w Multiple Round'!$E$3)</f>
        <v>15</v>
      </c>
      <c r="E10" s="19">
        <v>15</v>
      </c>
      <c r="F10" s="30">
        <v>15</v>
      </c>
      <c r="G10" s="8">
        <v>15</v>
      </c>
      <c r="H10" s="30">
        <v>15</v>
      </c>
      <c r="I10" s="41">
        <v>15</v>
      </c>
      <c r="J10" s="41">
        <v>15</v>
      </c>
    </row>
    <row r="11" spans="1:10">
      <c r="B11" s="6" t="s">
        <v>13</v>
      </c>
      <c r="D11" s="20"/>
      <c r="E11" s="20">
        <v>0.5</v>
      </c>
      <c r="F11" s="20">
        <v>0.5</v>
      </c>
      <c r="G11" s="20">
        <v>0.5</v>
      </c>
      <c r="H11" s="20">
        <v>0.6</v>
      </c>
      <c r="I11" s="20">
        <v>0.5</v>
      </c>
      <c r="J11" s="31">
        <v>0.5</v>
      </c>
    </row>
    <row r="12" spans="1:10">
      <c r="B12" s="3" t="s">
        <v>14</v>
      </c>
      <c r="D12" s="21"/>
      <c r="E12" s="21">
        <f>E8*E10/(1+E11)^E9</f>
        <v>4938271.6049382715</v>
      </c>
      <c r="F12" s="32">
        <f t="shared" ref="F12:J12" si="1">F8*F10/(1+F11)^F9</f>
        <v>4444444.444444444</v>
      </c>
      <c r="G12" s="9">
        <f t="shared" si="1"/>
        <v>4032081.8811245733</v>
      </c>
      <c r="H12" s="32">
        <f t="shared" si="1"/>
        <v>3576278.6865234352</v>
      </c>
      <c r="I12" s="42">
        <f t="shared" si="1"/>
        <v>4938271.6049382715</v>
      </c>
      <c r="J12" s="42">
        <f t="shared" si="1"/>
        <v>4938271.6049382715</v>
      </c>
    </row>
    <row r="13" spans="1:10">
      <c r="D13" s="23"/>
      <c r="E13" s="23"/>
      <c r="F13" s="34"/>
      <c r="G13" s="6"/>
      <c r="H13" s="34"/>
      <c r="I13" s="44"/>
      <c r="J13" s="44"/>
    </row>
    <row r="14" spans="1:10">
      <c r="B14" s="6" t="s">
        <v>15</v>
      </c>
      <c r="D14" s="18"/>
      <c r="E14" s="18">
        <v>3000000</v>
      </c>
      <c r="F14" s="18">
        <v>3000000</v>
      </c>
      <c r="G14" s="18">
        <v>3000000</v>
      </c>
      <c r="H14" s="29">
        <v>3000000</v>
      </c>
      <c r="I14" s="40">
        <v>3250000</v>
      </c>
      <c r="J14" s="29">
        <v>3000000</v>
      </c>
    </row>
    <row r="15" spans="1:10">
      <c r="B15" s="3" t="s">
        <v>16</v>
      </c>
      <c r="D15" s="24"/>
      <c r="E15" s="24">
        <f>E14/E12</f>
        <v>0.60750000000000004</v>
      </c>
      <c r="F15" s="35">
        <f>F14/F12</f>
        <v>0.67500000000000004</v>
      </c>
      <c r="G15" s="11">
        <f>G14/G12</f>
        <v>0.74403250937039034</v>
      </c>
      <c r="H15" s="35">
        <f>H14/H12</f>
        <v>0.83886080000000052</v>
      </c>
      <c r="I15" s="45">
        <f>I14/I12</f>
        <v>0.65812500000000007</v>
      </c>
      <c r="J15" s="45">
        <f>J14/J12</f>
        <v>0.60750000000000004</v>
      </c>
    </row>
    <row r="16" spans="1:10">
      <c r="B16" s="3"/>
      <c r="D16" s="25"/>
      <c r="E16" s="25"/>
      <c r="F16" s="36"/>
      <c r="G16" s="12"/>
      <c r="H16" s="36"/>
      <c r="I16" s="46"/>
      <c r="J16" s="46"/>
    </row>
    <row r="17" spans="1:10">
      <c r="A17" s="6" t="s">
        <v>17</v>
      </c>
      <c r="B17" s="6" t="s">
        <v>18</v>
      </c>
      <c r="D17" s="71">
        <f ca="1">OFFSET(D17,0,'Sens. Analysis w Multiple Round'!$E$3)</f>
        <v>1000000</v>
      </c>
      <c r="E17" s="26">
        <v>1000000</v>
      </c>
      <c r="F17" s="26">
        <v>1000000</v>
      </c>
      <c r="G17" s="26">
        <v>1000000</v>
      </c>
      <c r="H17" s="26">
        <v>1000000</v>
      </c>
      <c r="I17" s="26">
        <v>1000000</v>
      </c>
      <c r="J17" s="37">
        <v>2000000</v>
      </c>
    </row>
    <row r="18" spans="1:10">
      <c r="A18" s="6" t="s">
        <v>19</v>
      </c>
      <c r="B18" s="6" t="s">
        <v>20</v>
      </c>
      <c r="D18" s="27"/>
      <c r="E18" s="27">
        <f>E17/(1-E15)</f>
        <v>2547770.7006369429</v>
      </c>
      <c r="F18" s="38">
        <f t="shared" ref="F18:J18" si="2">F17/(1-F15)</f>
        <v>3076923.0769230775</v>
      </c>
      <c r="G18" s="13">
        <f t="shared" si="2"/>
        <v>3906746.1166270566</v>
      </c>
      <c r="H18" s="38">
        <f t="shared" si="2"/>
        <v>6205814.6000476805</v>
      </c>
      <c r="I18" s="47">
        <f t="shared" si="2"/>
        <v>2925045.7038391232</v>
      </c>
      <c r="J18" s="47">
        <f t="shared" si="2"/>
        <v>5095541.4012738857</v>
      </c>
    </row>
    <row r="19" spans="1:10">
      <c r="B19" s="6" t="s">
        <v>21</v>
      </c>
      <c r="D19" s="27"/>
      <c r="E19" s="27">
        <f>E18-E17</f>
        <v>1547770.7006369429</v>
      </c>
      <c r="F19" s="38">
        <f t="shared" ref="F19:J19" si="3">F18-F17</f>
        <v>2076923.0769230775</v>
      </c>
      <c r="G19" s="13">
        <f t="shared" si="3"/>
        <v>2906746.1166270566</v>
      </c>
      <c r="H19" s="38">
        <f t="shared" si="3"/>
        <v>5205814.6000476805</v>
      </c>
      <c r="I19" s="47">
        <f t="shared" si="3"/>
        <v>1925045.7038391232</v>
      </c>
      <c r="J19" s="47">
        <f t="shared" si="3"/>
        <v>3095541.4012738857</v>
      </c>
    </row>
    <row r="20" spans="1:10">
      <c r="B20" s="3" t="s">
        <v>22</v>
      </c>
      <c r="D20" s="21"/>
      <c r="E20" s="21">
        <f>E14/E19</f>
        <v>1.9382716049382713</v>
      </c>
      <c r="F20" s="32">
        <f t="shared" ref="F20:J20" si="4">F14/F19</f>
        <v>1.444444444444444</v>
      </c>
      <c r="G20" s="9">
        <f t="shared" si="4"/>
        <v>1.0320818811245729</v>
      </c>
      <c r="H20" s="32">
        <f t="shared" si="4"/>
        <v>0.57627868652343528</v>
      </c>
      <c r="I20" s="42">
        <f t="shared" si="4"/>
        <v>1.6882716049382709</v>
      </c>
      <c r="J20" s="42">
        <f t="shared" si="4"/>
        <v>0.96913580246913567</v>
      </c>
    </row>
    <row r="21" spans="1:10">
      <c r="B21" s="3"/>
      <c r="D21" s="22"/>
      <c r="E21" s="22"/>
      <c r="F21" s="33"/>
      <c r="G21" s="10"/>
      <c r="H21" s="33"/>
      <c r="I21" s="43"/>
      <c r="J21" s="43"/>
    </row>
    <row r="22" spans="1:10">
      <c r="B22" s="6" t="s">
        <v>23</v>
      </c>
      <c r="D22" s="28"/>
      <c r="E22" s="28">
        <f>E17*E20</f>
        <v>1938271.6049382712</v>
      </c>
      <c r="F22" s="39">
        <f>F17*F20</f>
        <v>1444444.444444444</v>
      </c>
      <c r="G22" s="1">
        <f>G17*G20</f>
        <v>1032081.8811245728</v>
      </c>
      <c r="H22" s="39">
        <f>H17*H20</f>
        <v>576278.68652343529</v>
      </c>
      <c r="I22" s="48">
        <f>I17*I20</f>
        <v>1688271.604938271</v>
      </c>
      <c r="J22" s="48">
        <f>J17*J20</f>
        <v>1938271.6049382712</v>
      </c>
    </row>
    <row r="23" spans="1:10">
      <c r="B23" s="6" t="s">
        <v>24</v>
      </c>
      <c r="D23" s="28"/>
      <c r="E23" s="28">
        <f>E18*E20</f>
        <v>4938271.6049382715</v>
      </c>
      <c r="F23" s="39">
        <f>F18*F20</f>
        <v>4444444.444444444</v>
      </c>
      <c r="G23" s="1">
        <f>G18*G20</f>
        <v>4032081.8811245728</v>
      </c>
      <c r="H23" s="39">
        <f>H18*H20</f>
        <v>3576278.6865234352</v>
      </c>
      <c r="I23" s="48">
        <f>I18*I20</f>
        <v>4938271.6049382705</v>
      </c>
      <c r="J23" s="48">
        <f>J18*J20</f>
        <v>4938271.6049382715</v>
      </c>
    </row>
  </sheetData>
  <mergeCells count="1"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430E-19D8-4176-BBCE-D7A940AE29BD}">
  <dimension ref="A1:N32"/>
  <sheetViews>
    <sheetView showGridLines="0" topLeftCell="A4" workbookViewId="0"/>
  </sheetViews>
  <sheetFormatPr defaultRowHeight="12.75"/>
  <cols>
    <col min="5" max="6" width="11.42578125" bestFit="1" customWidth="1"/>
    <col min="7" max="7" width="11.7109375" bestFit="1" customWidth="1"/>
  </cols>
  <sheetData>
    <row r="1" spans="1:14" ht="15" customHeight="1">
      <c r="A1" s="80" t="s">
        <v>47</v>
      </c>
      <c r="B1" s="80"/>
      <c r="C1" s="80"/>
      <c r="D1" s="80"/>
      <c r="E1" s="80"/>
      <c r="F1" s="80"/>
      <c r="G1" s="80"/>
      <c r="H1" s="2"/>
      <c r="K1" s="77"/>
      <c r="L1" s="77"/>
      <c r="M1" s="77"/>
      <c r="N1" s="77"/>
    </row>
    <row r="2" spans="1:14" ht="15" customHeight="1">
      <c r="A2" s="81"/>
      <c r="B2" s="81"/>
      <c r="C2" s="81"/>
      <c r="D2" s="81"/>
      <c r="E2" s="81"/>
      <c r="F2" s="81"/>
      <c r="G2" s="81"/>
      <c r="K2" s="77"/>
      <c r="L2" s="77"/>
      <c r="M2" s="77"/>
      <c r="N2" s="77"/>
    </row>
    <row r="3" spans="1:14">
      <c r="A3" s="2" t="s">
        <v>48</v>
      </c>
      <c r="E3" s="93">
        <v>1</v>
      </c>
      <c r="K3" s="77"/>
      <c r="L3" s="77"/>
      <c r="M3" s="77"/>
      <c r="N3" s="77"/>
    </row>
    <row r="4" spans="1:14" ht="11.25" customHeight="1">
      <c r="A4" s="98" t="s">
        <v>49</v>
      </c>
      <c r="B4" s="98"/>
      <c r="E4" s="78">
        <f ca="1">'Ref.'!D8</f>
        <v>2500000</v>
      </c>
      <c r="K4" s="77"/>
      <c r="L4" s="77"/>
      <c r="M4" s="77"/>
      <c r="N4" s="77"/>
    </row>
    <row r="5" spans="1:14">
      <c r="A5" s="49" t="s">
        <v>50</v>
      </c>
      <c r="E5" s="78">
        <f ca="1">'Ref.'!D7</f>
        <v>25000000</v>
      </c>
      <c r="K5" s="77"/>
      <c r="L5" s="77"/>
      <c r="M5" s="77"/>
      <c r="N5" s="77"/>
    </row>
    <row r="6" spans="1:14">
      <c r="A6" s="49" t="s">
        <v>51</v>
      </c>
      <c r="E6" s="79">
        <f ca="1">'Ref.'!D17</f>
        <v>1000000</v>
      </c>
      <c r="K6" s="77"/>
      <c r="L6" s="77"/>
      <c r="M6" s="77"/>
      <c r="N6" s="77"/>
    </row>
    <row r="7" spans="1:14">
      <c r="J7" s="80" t="s">
        <v>52</v>
      </c>
      <c r="K7" s="77"/>
      <c r="L7" s="77"/>
      <c r="M7" s="77"/>
      <c r="N7" s="77"/>
    </row>
    <row r="8" spans="1:14">
      <c r="A8" s="49"/>
      <c r="E8" s="81" t="s">
        <v>53</v>
      </c>
      <c r="F8" s="81" t="s">
        <v>54</v>
      </c>
      <c r="G8" s="81" t="s">
        <v>55</v>
      </c>
      <c r="J8" s="82" t="s">
        <v>56</v>
      </c>
      <c r="K8" s="81">
        <v>1</v>
      </c>
      <c r="L8" s="81">
        <f t="shared" ref="L8:N8" si="0">K8+1</f>
        <v>2</v>
      </c>
      <c r="M8" s="81">
        <f t="shared" si="0"/>
        <v>3</v>
      </c>
      <c r="N8" s="81">
        <f t="shared" si="0"/>
        <v>4</v>
      </c>
    </row>
    <row r="9" spans="1:14">
      <c r="A9" s="49" t="s">
        <v>57</v>
      </c>
      <c r="F9" s="83"/>
      <c r="G9" s="83">
        <f ca="1">$E$5</f>
        <v>25000000</v>
      </c>
      <c r="J9" s="84" t="s">
        <v>58</v>
      </c>
      <c r="K9" s="85">
        <v>0.6</v>
      </c>
      <c r="L9" s="85">
        <v>0.5</v>
      </c>
      <c r="M9" s="85">
        <v>0.5</v>
      </c>
      <c r="N9" s="85">
        <v>0.4</v>
      </c>
    </row>
    <row r="10" spans="1:14">
      <c r="A10" s="49" t="s">
        <v>59</v>
      </c>
      <c r="E10" s="86">
        <f>PRODUCT(K10:M10)</f>
        <v>3.6000000000000005</v>
      </c>
      <c r="F10" s="86">
        <f>PRODUCT(N10)</f>
        <v>1.4</v>
      </c>
      <c r="J10" s="84" t="s">
        <v>60</v>
      </c>
      <c r="K10" s="87">
        <f t="shared" ref="K10:N10" si="1">K9+1</f>
        <v>1.6</v>
      </c>
      <c r="L10" s="87">
        <f t="shared" si="1"/>
        <v>1.5</v>
      </c>
      <c r="M10" s="87">
        <f t="shared" si="1"/>
        <v>1.5</v>
      </c>
      <c r="N10" s="87">
        <f t="shared" si="1"/>
        <v>1.4</v>
      </c>
    </row>
    <row r="11" spans="1:14">
      <c r="A11" s="49" t="s">
        <v>49</v>
      </c>
      <c r="E11" s="78">
        <f ca="1">E4*(M8-K8)/(N8-K8)</f>
        <v>1666666.6666666667</v>
      </c>
      <c r="F11" s="78">
        <f ca="1">E4-E11</f>
        <v>833333.33333333326</v>
      </c>
      <c r="K11" s="77"/>
      <c r="L11" s="77"/>
      <c r="M11" s="77"/>
      <c r="N11" s="77"/>
    </row>
    <row r="12" spans="1:14">
      <c r="A12" s="49" t="s">
        <v>61</v>
      </c>
      <c r="E12" s="88">
        <f ca="1">E6</f>
        <v>1000000</v>
      </c>
      <c r="F12" s="88">
        <f ca="1">E18</f>
        <v>1544276.4578833696</v>
      </c>
      <c r="K12" s="77"/>
      <c r="L12" s="77"/>
      <c r="M12" s="77"/>
      <c r="N12" s="77"/>
    </row>
    <row r="13" spans="1:14">
      <c r="A13" s="49" t="s">
        <v>62</v>
      </c>
      <c r="E13" s="83">
        <f ca="1">F14/E10</f>
        <v>4728835.9788359785</v>
      </c>
      <c r="F13" s="83">
        <f ca="1">G9/F10</f>
        <v>17857142.857142858</v>
      </c>
      <c r="K13" s="77"/>
      <c r="L13" s="77"/>
      <c r="M13" s="77"/>
      <c r="N13" s="77"/>
    </row>
    <row r="14" spans="1:14">
      <c r="A14" s="49" t="s">
        <v>63</v>
      </c>
      <c r="E14" s="83">
        <f t="shared" ref="E14:F14" ca="1" si="2">E13-E11</f>
        <v>3062169.3121693116</v>
      </c>
      <c r="F14" s="83">
        <f t="shared" ca="1" si="2"/>
        <v>17023809.523809526</v>
      </c>
      <c r="K14" s="77"/>
      <c r="L14" s="77"/>
      <c r="M14" s="77"/>
      <c r="N14" s="77"/>
    </row>
    <row r="15" spans="1:14">
      <c r="A15" s="49" t="s">
        <v>64</v>
      </c>
      <c r="E15" s="89">
        <f t="shared" ref="E15:F15" ca="1" si="3">E11/E13</f>
        <v>0.35244755244755249</v>
      </c>
      <c r="F15" s="89">
        <f t="shared" ca="1" si="3"/>
        <v>4.6666666666666662E-2</v>
      </c>
      <c r="K15" s="77"/>
      <c r="L15" s="77"/>
      <c r="M15" s="77"/>
      <c r="N15" s="77"/>
    </row>
    <row r="16" spans="1:14">
      <c r="A16" s="49" t="s">
        <v>65</v>
      </c>
      <c r="E16" s="89">
        <f t="shared" ref="E16:F16" ca="1" si="4">1-E15</f>
        <v>0.64755244755244745</v>
      </c>
      <c r="F16" s="89">
        <f t="shared" ca="1" si="4"/>
        <v>0.95333333333333337</v>
      </c>
      <c r="K16" s="77"/>
      <c r="L16" s="77"/>
      <c r="M16" s="77"/>
      <c r="N16" s="77"/>
    </row>
    <row r="17" spans="1:14">
      <c r="A17" s="49" t="s">
        <v>66</v>
      </c>
      <c r="E17" s="88">
        <f t="shared" ref="E17:F17" ca="1" si="5">E12*(E15/E16)</f>
        <v>544276.45788336953</v>
      </c>
      <c r="F17" s="88">
        <f t="shared" ca="1" si="5"/>
        <v>75593.952483801302</v>
      </c>
      <c r="K17" s="77"/>
      <c r="L17" s="77"/>
      <c r="M17" s="77"/>
      <c r="N17" s="77"/>
    </row>
    <row r="18" spans="1:14">
      <c r="A18" s="49" t="s">
        <v>67</v>
      </c>
      <c r="E18" s="88">
        <f t="shared" ref="E18:F18" ca="1" si="6">E12+E17</f>
        <v>1544276.4578833696</v>
      </c>
      <c r="F18" s="88">
        <f t="shared" ca="1" si="6"/>
        <v>1619870.410367171</v>
      </c>
      <c r="G18" s="88">
        <f ca="1">F18</f>
        <v>1619870.410367171</v>
      </c>
      <c r="K18" s="77"/>
      <c r="L18" s="77"/>
      <c r="M18" s="77"/>
      <c r="N18" s="77"/>
    </row>
    <row r="19" spans="1:14">
      <c r="A19" s="49" t="s">
        <v>68</v>
      </c>
      <c r="E19" s="1">
        <f t="shared" ref="E19:F19" ca="1" si="7">E11/E17</f>
        <v>3.0621693121693112</v>
      </c>
      <c r="F19" s="1">
        <f t="shared" ca="1" si="7"/>
        <v>11.023809523809522</v>
      </c>
      <c r="G19" s="1">
        <f ca="1">G9/G18</f>
        <v>15.43333333333333</v>
      </c>
      <c r="K19" s="77"/>
      <c r="L19" s="77"/>
      <c r="M19" s="77"/>
      <c r="N19" s="77"/>
    </row>
    <row r="20" spans="1:14">
      <c r="K20" s="77"/>
      <c r="L20" s="77"/>
      <c r="M20" s="77"/>
      <c r="N20" s="77"/>
    </row>
    <row r="21" spans="1:14">
      <c r="A21" s="80" t="s">
        <v>69</v>
      </c>
      <c r="K21" s="77"/>
      <c r="L21" s="77"/>
      <c r="M21" s="77"/>
      <c r="N21" s="77"/>
    </row>
    <row r="22" spans="1:14">
      <c r="A22" s="49" t="s">
        <v>70</v>
      </c>
      <c r="E22" s="90">
        <f ca="1">E12</f>
        <v>1000000</v>
      </c>
      <c r="F22" s="90">
        <f t="shared" ref="F22:G22" ca="1" si="8">E22</f>
        <v>1000000</v>
      </c>
      <c r="G22" s="88">
        <f t="shared" ca="1" si="8"/>
        <v>1000000</v>
      </c>
      <c r="K22" s="77"/>
      <c r="L22" s="77"/>
      <c r="M22" s="77"/>
      <c r="N22" s="77"/>
    </row>
    <row r="23" spans="1:14">
      <c r="A23" s="49" t="s">
        <v>71</v>
      </c>
      <c r="E23" s="91">
        <f t="shared" ref="E23:G23" ca="1" si="9">E22/E18</f>
        <v>0.64755244755244745</v>
      </c>
      <c r="F23" s="91">
        <f t="shared" ca="1" si="9"/>
        <v>0.61733333333333318</v>
      </c>
      <c r="G23" s="91">
        <f t="shared" ca="1" si="9"/>
        <v>0.61733333333333318</v>
      </c>
      <c r="K23" s="77"/>
      <c r="L23" s="77"/>
      <c r="M23" s="77"/>
      <c r="N23" s="77"/>
    </row>
    <row r="24" spans="1:14">
      <c r="A24" s="49" t="s">
        <v>72</v>
      </c>
      <c r="E24" s="92">
        <f t="shared" ref="E24:G24" ca="1" si="10">E19*E22</f>
        <v>3062169.3121693111</v>
      </c>
      <c r="F24" s="92">
        <f t="shared" ca="1" si="10"/>
        <v>11023809.523809522</v>
      </c>
      <c r="G24" s="92">
        <f t="shared" ca="1" si="10"/>
        <v>15433333.33333333</v>
      </c>
      <c r="K24" s="77"/>
      <c r="L24" s="77"/>
      <c r="M24" s="77"/>
      <c r="N24" s="77"/>
    </row>
    <row r="25" spans="1:14">
      <c r="A25" s="80" t="s">
        <v>73</v>
      </c>
      <c r="K25" s="77"/>
      <c r="L25" s="77"/>
      <c r="M25" s="77"/>
      <c r="N25" s="77"/>
    </row>
    <row r="26" spans="1:14">
      <c r="A26" s="49" t="s">
        <v>70</v>
      </c>
      <c r="E26" s="88">
        <f ca="1">E17</f>
        <v>544276.45788336953</v>
      </c>
      <c r="F26" s="88">
        <f t="shared" ref="F26:G26" ca="1" si="11">E26</f>
        <v>544276.45788336953</v>
      </c>
      <c r="G26" s="88">
        <f t="shared" ca="1" si="11"/>
        <v>544276.45788336953</v>
      </c>
      <c r="K26" s="77"/>
      <c r="L26" s="77"/>
      <c r="M26" s="77"/>
      <c r="N26" s="77"/>
    </row>
    <row r="27" spans="1:14">
      <c r="A27" s="49" t="s">
        <v>71</v>
      </c>
      <c r="E27" s="91">
        <f t="shared" ref="E27:G27" ca="1" si="12">E26/E18</f>
        <v>0.35244755244755249</v>
      </c>
      <c r="F27" s="91">
        <f t="shared" ca="1" si="12"/>
        <v>0.33600000000000002</v>
      </c>
      <c r="G27" s="91">
        <f t="shared" ca="1" si="12"/>
        <v>0.33600000000000002</v>
      </c>
      <c r="K27" s="77"/>
      <c r="L27" s="77"/>
      <c r="M27" s="77"/>
      <c r="N27" s="77"/>
    </row>
    <row r="28" spans="1:14">
      <c r="A28" s="49" t="s">
        <v>72</v>
      </c>
      <c r="E28" s="83">
        <f t="shared" ref="E28:G28" ca="1" si="13">E19*E26</f>
        <v>1666666.6666666667</v>
      </c>
      <c r="F28" s="83">
        <f t="shared" ca="1" si="13"/>
        <v>6000000.0000000009</v>
      </c>
      <c r="G28" s="83">
        <f t="shared" ca="1" si="13"/>
        <v>8400000.0000000019</v>
      </c>
      <c r="K28" s="77"/>
      <c r="L28" s="77"/>
      <c r="M28" s="77"/>
      <c r="N28" s="77"/>
    </row>
    <row r="29" spans="1:14">
      <c r="A29" s="80" t="s">
        <v>74</v>
      </c>
      <c r="K29" s="77"/>
      <c r="L29" s="77"/>
      <c r="M29" s="77"/>
      <c r="N29" s="77"/>
    </row>
    <row r="30" spans="1:14">
      <c r="A30" s="49" t="s">
        <v>70</v>
      </c>
      <c r="F30" s="88">
        <f ca="1">F17</f>
        <v>75593.952483801302</v>
      </c>
      <c r="G30" s="88">
        <f ca="1">F30</f>
        <v>75593.952483801302</v>
      </c>
      <c r="K30" s="77"/>
      <c r="L30" s="77"/>
      <c r="M30" s="77"/>
      <c r="N30" s="77"/>
    </row>
    <row r="31" spans="1:14">
      <c r="A31" s="49" t="s">
        <v>71</v>
      </c>
      <c r="F31" s="89">
        <f t="shared" ref="F31:G31" ca="1" si="14">F30/F18</f>
        <v>4.6666666666666662E-2</v>
      </c>
      <c r="G31" s="89">
        <f t="shared" ca="1" si="14"/>
        <v>4.6666666666666662E-2</v>
      </c>
      <c r="K31" s="77"/>
      <c r="L31" s="77"/>
      <c r="M31" s="77"/>
      <c r="N31" s="77"/>
    </row>
    <row r="32" spans="1:14">
      <c r="A32" s="49" t="s">
        <v>72</v>
      </c>
      <c r="F32" s="83">
        <f t="shared" ref="F32:G32" ca="1" si="15">F19*F30</f>
        <v>833333.33333333326</v>
      </c>
      <c r="G32" s="83">
        <f t="shared" ca="1" si="15"/>
        <v>1166666.6666666665</v>
      </c>
      <c r="K32" s="77"/>
      <c r="L32" s="77"/>
      <c r="M32" s="77"/>
      <c r="N32" s="77"/>
    </row>
  </sheetData>
  <mergeCells count="1"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A7F5-3E8F-4D13-A450-C6CB8D424B48}">
  <dimension ref="A1:H21"/>
  <sheetViews>
    <sheetView showGridLines="0" tabSelected="1" workbookViewId="0">
      <selection activeCell="H9" sqref="H9"/>
    </sheetView>
  </sheetViews>
  <sheetFormatPr defaultRowHeight="12.75"/>
  <cols>
    <col min="3" max="3" width="15.5703125" customWidth="1"/>
    <col min="4" max="4" width="13.85546875" style="107" customWidth="1"/>
    <col min="5" max="5" width="14" customWidth="1"/>
  </cols>
  <sheetData>
    <row r="1" spans="1:8">
      <c r="A1" s="3" t="s">
        <v>0</v>
      </c>
    </row>
    <row r="3" spans="1:8">
      <c r="B3" s="108" t="s">
        <v>48</v>
      </c>
      <c r="C3" s="108" t="s">
        <v>20</v>
      </c>
      <c r="D3" s="108" t="s">
        <v>23</v>
      </c>
      <c r="E3" s="108" t="s">
        <v>24</v>
      </c>
      <c r="F3" s="108"/>
      <c r="G3" s="108"/>
      <c r="H3" s="108"/>
    </row>
    <row r="4" spans="1:8">
      <c r="B4" s="108"/>
      <c r="C4" s="108"/>
      <c r="D4" s="108"/>
      <c r="E4" s="108"/>
      <c r="F4" s="108"/>
      <c r="G4" s="108"/>
      <c r="H4" s="108"/>
    </row>
    <row r="5" spans="1:8">
      <c r="B5" s="106">
        <v>1</v>
      </c>
      <c r="C5" s="109">
        <f>'Sensitivity Analysis'!E18</f>
        <v>2547770.7006369429</v>
      </c>
      <c r="D5" s="114">
        <f>'Sensitivity Analysis'!E22</f>
        <v>1938271.6049382712</v>
      </c>
      <c r="E5" s="115">
        <f>'Sensitivity Analysis'!E23</f>
        <v>4938271.6049382715</v>
      </c>
    </row>
    <row r="6" spans="1:8">
      <c r="B6" s="106">
        <v>2</v>
      </c>
      <c r="C6" s="109">
        <f>'Sensitivity Analysis'!F18</f>
        <v>3076923.0769230775</v>
      </c>
      <c r="D6" s="114">
        <f>'Sensitivity Analysis'!F22</f>
        <v>1444444.444444444</v>
      </c>
      <c r="E6" s="115">
        <f>'Sensitivity Analysis'!F23</f>
        <v>4444444.444444444</v>
      </c>
    </row>
    <row r="7" spans="1:8">
      <c r="B7" s="106">
        <v>3</v>
      </c>
      <c r="C7" s="109">
        <f>'Sensitivity Analysis'!G18</f>
        <v>3906746.1166270566</v>
      </c>
      <c r="D7" s="114">
        <f>'Sensitivity Analysis'!G22</f>
        <v>1032081.8811245728</v>
      </c>
      <c r="E7" s="115">
        <f>'Sensitivity Analysis'!G23</f>
        <v>4032081.8811245728</v>
      </c>
    </row>
    <row r="8" spans="1:8">
      <c r="B8" s="106">
        <v>4</v>
      </c>
      <c r="C8" s="109">
        <f>'Sensitivity Analysis'!H18</f>
        <v>6205814.6000476805</v>
      </c>
      <c r="D8" s="114">
        <f>'Sensitivity Analysis'!H22</f>
        <v>576278.68652343529</v>
      </c>
      <c r="E8" s="115">
        <f>'Sensitivity Analysis'!H23</f>
        <v>3576278.6865234352</v>
      </c>
    </row>
    <row r="9" spans="1:8">
      <c r="B9" s="106">
        <v>5</v>
      </c>
      <c r="C9" s="109">
        <f>'Sensitivity Analysis'!I18</f>
        <v>2925045.7038391232</v>
      </c>
      <c r="D9" s="114">
        <f>'Sensitivity Analysis'!I22</f>
        <v>1688271.604938271</v>
      </c>
      <c r="E9" s="115">
        <f>'Sensitivity Analysis'!I23</f>
        <v>4938271.6049382705</v>
      </c>
      <c r="G9" s="110"/>
    </row>
    <row r="10" spans="1:8">
      <c r="B10" s="106">
        <v>6</v>
      </c>
      <c r="C10" s="109">
        <f>'Sensitivity Analysis'!J18</f>
        <v>5095541.4012738857</v>
      </c>
      <c r="D10" s="114">
        <f>'Sensitivity Analysis'!J22</f>
        <v>1938271.6049382712</v>
      </c>
      <c r="E10" s="115">
        <f>'Sensitivity Analysis'!J23</f>
        <v>4938271.6049382715</v>
      </c>
    </row>
    <row r="11" spans="1:8">
      <c r="D11" s="111"/>
    </row>
    <row r="12" spans="1:8">
      <c r="A12" s="103" t="s">
        <v>25</v>
      </c>
      <c r="B12" s="103"/>
      <c r="C12" s="103"/>
      <c r="D12" s="103"/>
      <c r="E12" s="103"/>
    </row>
    <row r="13" spans="1:8">
      <c r="G13" s="105"/>
      <c r="H13" s="105"/>
    </row>
    <row r="14" spans="1:8" ht="16.5" customHeight="1">
      <c r="B14" s="108" t="s">
        <v>48</v>
      </c>
      <c r="C14" s="108" t="s">
        <v>30</v>
      </c>
      <c r="D14" s="108"/>
      <c r="E14" s="108" t="s">
        <v>31</v>
      </c>
      <c r="G14" s="52"/>
    </row>
    <row r="15" spans="1:8">
      <c r="B15" s="108"/>
      <c r="C15" s="108"/>
      <c r="D15" s="108"/>
      <c r="E15" s="108"/>
    </row>
    <row r="16" spans="1:8">
      <c r="B16" s="106">
        <v>1</v>
      </c>
      <c r="C16" s="112">
        <v>1346811.4239537895</v>
      </c>
      <c r="D16" s="112"/>
      <c r="E16" s="113">
        <v>27.843541666666663</v>
      </c>
    </row>
    <row r="17" spans="2:5">
      <c r="B17" s="106">
        <v>2</v>
      </c>
      <c r="C17" s="112">
        <v>1346811.4239537895</v>
      </c>
      <c r="D17" s="112"/>
      <c r="E17" s="113">
        <v>25.059187499999997</v>
      </c>
    </row>
    <row r="18" spans="2:5">
      <c r="B18" s="106">
        <v>3</v>
      </c>
      <c r="C18" s="112">
        <v>1449027.7180232343</v>
      </c>
      <c r="D18" s="112"/>
      <c r="E18" s="113">
        <v>25.879422134973066</v>
      </c>
    </row>
    <row r="19" spans="2:5">
      <c r="B19" s="106">
        <v>4</v>
      </c>
      <c r="C19" s="112">
        <v>1346811.4239537895</v>
      </c>
      <c r="D19" s="112"/>
      <c r="E19" s="113">
        <v>27.843541666666663</v>
      </c>
    </row>
    <row r="20" spans="2:5">
      <c r="B20" s="106">
        <v>5</v>
      </c>
      <c r="C20" s="112">
        <v>1346811.4239537895</v>
      </c>
      <c r="D20" s="112"/>
      <c r="E20" s="113">
        <v>27.843541666666663</v>
      </c>
    </row>
    <row r="21" spans="2:5">
      <c r="B21" s="106">
        <v>6</v>
      </c>
      <c r="C21" s="112">
        <v>2693622.847907579</v>
      </c>
      <c r="D21" s="112"/>
      <c r="E21" s="113">
        <v>13.921770833333332</v>
      </c>
    </row>
  </sheetData>
  <mergeCells count="18">
    <mergeCell ref="C16:D16"/>
    <mergeCell ref="C17:D17"/>
    <mergeCell ref="C18:D18"/>
    <mergeCell ref="C19:D19"/>
    <mergeCell ref="C20:D20"/>
    <mergeCell ref="C21:D21"/>
    <mergeCell ref="A12:E12"/>
    <mergeCell ref="B14:B15"/>
    <mergeCell ref="E14:E15"/>
    <mergeCell ref="G13:H13"/>
    <mergeCell ref="C14:D15"/>
    <mergeCell ref="H3:H4"/>
    <mergeCell ref="C3:C4"/>
    <mergeCell ref="D3:D4"/>
    <mergeCell ref="E3:E4"/>
    <mergeCell ref="F3:F4"/>
    <mergeCell ref="G3:G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Vinay Kahar</cp:lastModifiedBy>
  <cp:revision/>
  <dcterms:created xsi:type="dcterms:W3CDTF">2024-08-16T16:27:38Z</dcterms:created>
  <dcterms:modified xsi:type="dcterms:W3CDTF">2024-08-16T17:02:01Z</dcterms:modified>
  <cp:category/>
  <cp:contentStatus/>
</cp:coreProperties>
</file>