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pace\TOWV\TOWV_Private_2\"/>
    </mc:Choice>
  </mc:AlternateContent>
  <xr:revisionPtr revIDLastSave="0" documentId="13_ncr:1_{13710F13-6AF0-4AB9-8642-F02E210CE1D7}" xr6:coauthVersionLast="47" xr6:coauthVersionMax="47" xr10:uidLastSave="{00000000-0000-0000-0000-000000000000}"/>
  <bookViews>
    <workbookView xWindow="-109" yWindow="-109" windowWidth="26301" windowHeight="14427" xr2:uid="{BE0258D0-FFDC-40C8-8AFD-F5208776E08A}"/>
  </bookViews>
  <sheets>
    <sheet name="Blank" sheetId="6" r:id="rId1"/>
    <sheet name="Input" sheetId="1" r:id="rId2"/>
    <sheet name="Calc" sheetId="4" r:id="rId3"/>
    <sheet name="Output" sheetId="5" r:id="rId4"/>
  </sheets>
  <definedNames>
    <definedName name="Coy">Input!$F$9</definedName>
    <definedName name="currency_list">Input!$D$61:$D$62</definedName>
    <definedName name="Currency_switch">Input!$F$60</definedName>
    <definedName name="DaysaYear">Input!$F$25</definedName>
    <definedName name="Inflation_list">Input!$D$33:$D$34</definedName>
    <definedName name="Inflation_switch">Input!$F$32</definedName>
    <definedName name="ModelCurrency">Input!$E$60</definedName>
    <definedName name="_xlnm.Print_Titles" localSheetId="2">Calc!$1:$5</definedName>
    <definedName name="_xlnm.Print_Titles" localSheetId="1">Input!$1:$5</definedName>
    <definedName name="_xlnm.Print_Titles" localSheetId="3">Output!$1:$5</definedName>
    <definedName name="Start_date">Input!$F$21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1" i="1" l="1"/>
  <c r="M101" i="1" s="1"/>
  <c r="N101" i="1" s="1"/>
  <c r="O101" i="1" s="1"/>
  <c r="K81" i="5"/>
  <c r="K21" i="5" s="1"/>
  <c r="K44" i="4"/>
  <c r="K30" i="1"/>
  <c r="L30" i="1"/>
  <c r="M30" i="1"/>
  <c r="N30" i="1"/>
  <c r="O30" i="1"/>
  <c r="L93" i="1"/>
  <c r="M93" i="1" s="1"/>
  <c r="N93" i="1" s="1"/>
  <c r="O93" i="1" s="1"/>
  <c r="F114" i="4"/>
  <c r="F113" i="4"/>
  <c r="F107" i="4"/>
  <c r="F108" i="4"/>
  <c r="F109" i="4"/>
  <c r="D99" i="4"/>
  <c r="D98" i="4"/>
  <c r="E93" i="4"/>
  <c r="D92" i="4"/>
  <c r="D91" i="4"/>
  <c r="K84" i="4"/>
  <c r="K85" i="4" s="1"/>
  <c r="K93" i="4" s="1"/>
  <c r="E84" i="4"/>
  <c r="D84" i="4"/>
  <c r="D85" i="4" s="1"/>
  <c r="D93" i="4" s="1"/>
  <c r="D80" i="4"/>
  <c r="D81" i="4"/>
  <c r="L69" i="4"/>
  <c r="M69" i="4"/>
  <c r="N69" i="4"/>
  <c r="O69" i="4"/>
  <c r="K69" i="4"/>
  <c r="K72" i="4"/>
  <c r="D54" i="4"/>
  <c r="D61" i="4" s="1"/>
  <c r="D55" i="4"/>
  <c r="D62" i="4" s="1"/>
  <c r="D56" i="4"/>
  <c r="D63" i="4" s="1"/>
  <c r="D57" i="4"/>
  <c r="D64" i="4" s="1"/>
  <c r="D53" i="4"/>
  <c r="D60" i="4" s="1"/>
  <c r="D67" i="4" s="1"/>
  <c r="D52" i="4"/>
  <c r="D59" i="4" s="1"/>
  <c r="K39" i="4"/>
  <c r="F16" i="4"/>
  <c r="K19" i="4"/>
  <c r="H68" i="1"/>
  <c r="H12" i="4" s="1"/>
  <c r="H67" i="1"/>
  <c r="L12" i="4"/>
  <c r="M12" i="4"/>
  <c r="N12" i="4"/>
  <c r="O12" i="4"/>
  <c r="K12" i="4"/>
  <c r="K11" i="4"/>
  <c r="D60" i="1" a="1"/>
  <c r="D60" i="1" s="1"/>
  <c r="C6" i="4" s="1"/>
  <c r="E60" i="1"/>
  <c r="E21" i="4" s="1"/>
  <c r="F54" i="1"/>
  <c r="O54" i="1" s="1"/>
  <c r="O30" i="4" s="1"/>
  <c r="K41" i="1"/>
  <c r="L41" i="1" s="1"/>
  <c r="M41" i="1" s="1"/>
  <c r="N41" i="1" s="1"/>
  <c r="O41" i="1" s="1"/>
  <c r="K34" i="1"/>
  <c r="L78" i="1"/>
  <c r="L25" i="4" s="1"/>
  <c r="M78" i="1"/>
  <c r="M25" i="4" s="1"/>
  <c r="N78" i="1"/>
  <c r="N25" i="4" s="1"/>
  <c r="O78" i="1"/>
  <c r="O25" i="4" s="1"/>
  <c r="K78" i="1"/>
  <c r="K25" i="4" s="1"/>
  <c r="E53" i="5" l="1"/>
  <c r="L34" i="1"/>
  <c r="M34" i="1" s="1"/>
  <c r="N34" i="1" s="1"/>
  <c r="O34" i="1" s="1"/>
  <c r="E64" i="5"/>
  <c r="E71" i="5"/>
  <c r="E77" i="5"/>
  <c r="E83" i="5"/>
  <c r="E66" i="5"/>
  <c r="E70" i="5"/>
  <c r="E82" i="5"/>
  <c r="E65" i="5"/>
  <c r="E74" i="5"/>
  <c r="E78" i="5"/>
  <c r="E63" i="5"/>
  <c r="E76" i="5"/>
  <c r="E62" i="5"/>
  <c r="E67" i="5"/>
  <c r="E75" i="5"/>
  <c r="E81" i="5"/>
  <c r="E33" i="5"/>
  <c r="E55" i="5"/>
  <c r="E37" i="5"/>
  <c r="E48" i="5"/>
  <c r="E51" i="5"/>
  <c r="E56" i="5"/>
  <c r="E41" i="5"/>
  <c r="E49" i="5"/>
  <c r="E52" i="5"/>
  <c r="E46" i="5"/>
  <c r="E54" i="5"/>
  <c r="E34" i="5"/>
  <c r="E38" i="5"/>
  <c r="E39" i="5"/>
  <c r="E44" i="5"/>
  <c r="E36" i="5"/>
  <c r="E40" i="5"/>
  <c r="E45" i="5"/>
  <c r="E9" i="5"/>
  <c r="C6" i="5"/>
  <c r="E22" i="5"/>
  <c r="E11" i="5"/>
  <c r="E23" i="5"/>
  <c r="E44" i="4"/>
  <c r="E16" i="5"/>
  <c r="E27" i="5"/>
  <c r="E45" i="4"/>
  <c r="E18" i="5"/>
  <c r="E46" i="4"/>
  <c r="E12" i="5"/>
  <c r="E19" i="5"/>
  <c r="E24" i="5"/>
  <c r="E47" i="4"/>
  <c r="E14" i="5"/>
  <c r="E21" i="5"/>
  <c r="E26" i="5"/>
  <c r="E115" i="4"/>
  <c r="E102" i="4"/>
  <c r="E109" i="4"/>
  <c r="E103" i="4"/>
  <c r="E113" i="4"/>
  <c r="E116" i="4"/>
  <c r="H69" i="1"/>
  <c r="E104" i="4"/>
  <c r="E107" i="4"/>
  <c r="E114" i="4"/>
  <c r="E117" i="4"/>
  <c r="E108" i="4"/>
  <c r="E110" i="4"/>
  <c r="E99" i="4"/>
  <c r="E92" i="4"/>
  <c r="E95" i="4"/>
  <c r="E87" i="4"/>
  <c r="E81" i="4"/>
  <c r="E67" i="4"/>
  <c r="E72" i="4"/>
  <c r="E75" i="4"/>
  <c r="E73" i="4"/>
  <c r="E74" i="4"/>
  <c r="E59" i="4"/>
  <c r="E63" i="4"/>
  <c r="E60" i="4"/>
  <c r="E64" i="4"/>
  <c r="E61" i="4"/>
  <c r="E62" i="4"/>
  <c r="E40" i="4"/>
  <c r="E39" i="4"/>
  <c r="E41" i="4"/>
  <c r="E26" i="4"/>
  <c r="E22" i="4"/>
  <c r="E20" i="4"/>
  <c r="E23" i="4"/>
  <c r="E19" i="4"/>
  <c r="H13" i="4"/>
  <c r="J55" i="1"/>
  <c r="N54" i="1"/>
  <c r="N30" i="4" s="1"/>
  <c r="M54" i="1"/>
  <c r="M30" i="4" s="1"/>
  <c r="K54" i="1"/>
  <c r="K30" i="4" s="1"/>
  <c r="L54" i="1"/>
  <c r="L30" i="4" s="1"/>
  <c r="K55" i="1" l="1"/>
  <c r="K33" i="4" s="1"/>
  <c r="F33" i="4"/>
  <c r="K62" i="1" l="1"/>
  <c r="K60" i="1" s="1"/>
  <c r="L55" i="1"/>
  <c r="L33" i="4" s="1"/>
  <c r="L55" i="4" s="1"/>
  <c r="K36" i="4"/>
  <c r="L62" i="1" l="1"/>
  <c r="L60" i="1" s="1"/>
  <c r="L6" i="4" s="1"/>
  <c r="L54" i="4"/>
  <c r="L53" i="4"/>
  <c r="L56" i="4"/>
  <c r="L36" i="4"/>
  <c r="M55" i="1"/>
  <c r="M33" i="4" s="1"/>
  <c r="M36" i="4" s="1"/>
  <c r="L52" i="4"/>
  <c r="K6" i="4"/>
  <c r="K6" i="5"/>
  <c r="L62" i="4" l="1"/>
  <c r="L20" i="4"/>
  <c r="L75" i="5" s="1"/>
  <c r="L6" i="5"/>
  <c r="L57" i="4"/>
  <c r="M52" i="4"/>
  <c r="M62" i="1"/>
  <c r="M60" i="1" s="1"/>
  <c r="M6" i="5" s="1"/>
  <c r="M53" i="4"/>
  <c r="M56" i="4"/>
  <c r="M55" i="4"/>
  <c r="M54" i="4"/>
  <c r="N55" i="1"/>
  <c r="N33" i="4" s="1"/>
  <c r="N52" i="4" s="1"/>
  <c r="L59" i="4"/>
  <c r="L40" i="4"/>
  <c r="L74" i="5" s="1"/>
  <c r="L60" i="4"/>
  <c r="L67" i="4" s="1"/>
  <c r="L63" i="4"/>
  <c r="L61" i="4"/>
  <c r="K40" i="4"/>
  <c r="K20" i="4"/>
  <c r="M6" i="4" l="1"/>
  <c r="M61" i="4" s="1"/>
  <c r="M57" i="4"/>
  <c r="N62" i="1"/>
  <c r="N60" i="1" s="1"/>
  <c r="N6" i="5" s="1"/>
  <c r="O55" i="1"/>
  <c r="O62" i="1" s="1"/>
  <c r="O60" i="1" s="1"/>
  <c r="N53" i="4"/>
  <c r="N54" i="4"/>
  <c r="N36" i="4"/>
  <c r="N55" i="4"/>
  <c r="N56" i="4"/>
  <c r="M20" i="4"/>
  <c r="M75" i="5" s="1"/>
  <c r="M59" i="4"/>
  <c r="M40" i="4"/>
  <c r="M74" i="5" s="1"/>
  <c r="L64" i="4"/>
  <c r="K41" i="4"/>
  <c r="L39" i="4" s="1"/>
  <c r="L41" i="4" s="1"/>
  <c r="K74" i="5"/>
  <c r="K26" i="4"/>
  <c r="K22" i="5" s="1"/>
  <c r="K75" i="5"/>
  <c r="M63" i="4"/>
  <c r="M62" i="4"/>
  <c r="M60" i="4"/>
  <c r="M67" i="4" s="1"/>
  <c r="L105" i="1"/>
  <c r="L97" i="1"/>
  <c r="L88" i="1"/>
  <c r="M88" i="1"/>
  <c r="N88" i="1"/>
  <c r="O88" i="1"/>
  <c r="K69" i="1"/>
  <c r="K86" i="1" s="1"/>
  <c r="K55" i="4" s="1"/>
  <c r="K62" i="4" s="1"/>
  <c r="N6" i="4" l="1"/>
  <c r="N60" i="4" s="1"/>
  <c r="N67" i="4" s="1"/>
  <c r="N57" i="4"/>
  <c r="O33" i="4"/>
  <c r="O56" i="4" s="1"/>
  <c r="N20" i="4"/>
  <c r="N75" i="5" s="1"/>
  <c r="K44" i="5"/>
  <c r="M64" i="4"/>
  <c r="M39" i="4"/>
  <c r="M41" i="4" s="1"/>
  <c r="L44" i="5"/>
  <c r="N63" i="4"/>
  <c r="N40" i="4"/>
  <c r="N74" i="5" s="1"/>
  <c r="N61" i="4"/>
  <c r="N62" i="4"/>
  <c r="N59" i="4"/>
  <c r="O6" i="4"/>
  <c r="O20" i="4" s="1"/>
  <c r="O75" i="5" s="1"/>
  <c r="O6" i="5"/>
  <c r="M105" i="1"/>
  <c r="O54" i="4"/>
  <c r="O55" i="4"/>
  <c r="O36" i="4"/>
  <c r="M97" i="1"/>
  <c r="L84" i="4"/>
  <c r="L85" i="4" s="1"/>
  <c r="L93" i="4" s="1"/>
  <c r="K83" i="1"/>
  <c r="K52" i="4" s="1"/>
  <c r="K84" i="1"/>
  <c r="K53" i="4" s="1"/>
  <c r="K60" i="4" s="1"/>
  <c r="K67" i="4" s="1"/>
  <c r="K73" i="4" s="1"/>
  <c r="K70" i="5" s="1"/>
  <c r="K71" i="5" s="1"/>
  <c r="K85" i="1"/>
  <c r="K54" i="4" s="1"/>
  <c r="K61" i="4" s="1"/>
  <c r="L48" i="1"/>
  <c r="L68" i="4" s="1"/>
  <c r="M48" i="1"/>
  <c r="M68" i="4" s="1"/>
  <c r="N48" i="1"/>
  <c r="N68" i="4" s="1"/>
  <c r="O48" i="1"/>
  <c r="O68" i="4" s="1"/>
  <c r="K48" i="1"/>
  <c r="K68" i="4" s="1"/>
  <c r="J3" i="4"/>
  <c r="K2" i="4" s="1"/>
  <c r="J3" i="5"/>
  <c r="K2" i="5" s="1"/>
  <c r="K3" i="5" s="1"/>
  <c r="L2" i="5" s="1"/>
  <c r="L3" i="5" s="1"/>
  <c r="M2" i="5" s="1"/>
  <c r="M3" i="5" s="1"/>
  <c r="N2" i="5" s="1"/>
  <c r="N3" i="5" s="1"/>
  <c r="O2" i="5" s="1"/>
  <c r="O3" i="5" s="1"/>
  <c r="J3" i="1"/>
  <c r="K2" i="1" s="1"/>
  <c r="B2" i="5"/>
  <c r="B2" i="4"/>
  <c r="B2" i="1"/>
  <c r="K5" i="5"/>
  <c r="L5" i="5" s="1"/>
  <c r="M5" i="5" s="1"/>
  <c r="N5" i="5" s="1"/>
  <c r="O5" i="5" s="1"/>
  <c r="K5" i="4"/>
  <c r="K5" i="1"/>
  <c r="K40" i="1" s="1"/>
  <c r="K39" i="1" s="1"/>
  <c r="K80" i="4" s="1"/>
  <c r="K81" i="4" s="1"/>
  <c r="K87" i="4" s="1"/>
  <c r="O53" i="4" l="1"/>
  <c r="O60" i="4" s="1"/>
  <c r="O67" i="4" s="1"/>
  <c r="O52" i="4"/>
  <c r="O59" i="4" s="1"/>
  <c r="N39" i="4"/>
  <c r="N41" i="4" s="1"/>
  <c r="M44" i="5"/>
  <c r="O40" i="4"/>
  <c r="O74" i="5" s="1"/>
  <c r="O63" i="4"/>
  <c r="N64" i="4"/>
  <c r="O62" i="4"/>
  <c r="O61" i="4"/>
  <c r="K102" i="4"/>
  <c r="K107" i="4" s="1"/>
  <c r="K36" i="5" s="1"/>
  <c r="K9" i="5"/>
  <c r="K59" i="4"/>
  <c r="K74" i="4"/>
  <c r="K18" i="5" s="1"/>
  <c r="K63" i="5" s="1"/>
  <c r="N97" i="1"/>
  <c r="M84" i="4"/>
  <c r="M85" i="4" s="1"/>
  <c r="M93" i="4" s="1"/>
  <c r="N105" i="1"/>
  <c r="K3" i="4"/>
  <c r="L2" i="4" s="1"/>
  <c r="K4" i="4"/>
  <c r="L5" i="4"/>
  <c r="K16" i="4"/>
  <c r="K13" i="4" s="1"/>
  <c r="K31" i="4" s="1"/>
  <c r="K3" i="1"/>
  <c r="L2" i="1" s="1"/>
  <c r="L4" i="1" s="1"/>
  <c r="K4" i="1"/>
  <c r="L5" i="1"/>
  <c r="L40" i="1" s="1"/>
  <c r="L39" i="1" s="1"/>
  <c r="L80" i="4" s="1"/>
  <c r="L81" i="4" s="1"/>
  <c r="L87" i="4" s="1"/>
  <c r="K33" i="1"/>
  <c r="K32" i="1" s="1"/>
  <c r="K87" i="1"/>
  <c r="O57" i="4" l="1"/>
  <c r="O39" i="4"/>
  <c r="O41" i="4" s="1"/>
  <c r="O44" i="5" s="1"/>
  <c r="N44" i="5"/>
  <c r="O64" i="4"/>
  <c r="L102" i="4"/>
  <c r="L107" i="4" s="1"/>
  <c r="L36" i="5" s="1"/>
  <c r="L9" i="5"/>
  <c r="L10" i="5" s="1"/>
  <c r="O97" i="1"/>
  <c r="O84" i="4" s="1"/>
  <c r="O85" i="4" s="1"/>
  <c r="O93" i="4" s="1"/>
  <c r="N84" i="4"/>
  <c r="N85" i="4" s="1"/>
  <c r="N93" i="4" s="1"/>
  <c r="O105" i="1"/>
  <c r="K88" i="1"/>
  <c r="K56" i="4"/>
  <c r="K98" i="4"/>
  <c r="K99" i="4" s="1"/>
  <c r="K91" i="4"/>
  <c r="K92" i="4" s="1"/>
  <c r="K95" i="4" s="1"/>
  <c r="K75" i="4"/>
  <c r="L73" i="4"/>
  <c r="L70" i="5" s="1"/>
  <c r="L71" i="5" s="1"/>
  <c r="L3" i="4"/>
  <c r="M2" i="4" s="1"/>
  <c r="L4" i="4"/>
  <c r="K14" i="4"/>
  <c r="K23" i="4" s="1"/>
  <c r="K48" i="5" s="1"/>
  <c r="K49" i="5" s="1"/>
  <c r="K21" i="4"/>
  <c r="K76" i="5" s="1"/>
  <c r="M5" i="4"/>
  <c r="L16" i="4"/>
  <c r="L13" i="4" s="1"/>
  <c r="L31" i="4" s="1"/>
  <c r="L3" i="1"/>
  <c r="M2" i="1" s="1"/>
  <c r="M4" i="1" s="1"/>
  <c r="M5" i="1"/>
  <c r="M40" i="1" s="1"/>
  <c r="M39" i="1" s="1"/>
  <c r="M80" i="4" s="1"/>
  <c r="M81" i="4" s="1"/>
  <c r="M87" i="4" s="1"/>
  <c r="L33" i="1"/>
  <c r="L32" i="1" s="1"/>
  <c r="L72" i="4" l="1"/>
  <c r="K33" i="5"/>
  <c r="K34" i="5" s="1"/>
  <c r="K104" i="4"/>
  <c r="K109" i="4" s="1"/>
  <c r="K38" i="5" s="1"/>
  <c r="K14" i="5"/>
  <c r="K15" i="5" s="1"/>
  <c r="K103" i="4"/>
  <c r="K113" i="4" s="1"/>
  <c r="K51" i="5" s="1"/>
  <c r="K11" i="5"/>
  <c r="K12" i="5" s="1"/>
  <c r="K13" i="5" s="1"/>
  <c r="M102" i="4"/>
  <c r="M107" i="4" s="1"/>
  <c r="M36" i="5" s="1"/>
  <c r="M9" i="5"/>
  <c r="M10" i="5" s="1"/>
  <c r="L74" i="4"/>
  <c r="L75" i="4" s="1"/>
  <c r="K108" i="4"/>
  <c r="K37" i="5" s="1"/>
  <c r="K114" i="4"/>
  <c r="K52" i="5" s="1"/>
  <c r="K63" i="4"/>
  <c r="K64" i="4" s="1"/>
  <c r="K57" i="4"/>
  <c r="L91" i="4"/>
  <c r="L92" i="4" s="1"/>
  <c r="L95" i="4" s="1"/>
  <c r="L98" i="4"/>
  <c r="L99" i="4" s="1"/>
  <c r="K22" i="4"/>
  <c r="M3" i="4"/>
  <c r="N2" i="4" s="1"/>
  <c r="M4" i="4"/>
  <c r="L21" i="4"/>
  <c r="L76" i="5" s="1"/>
  <c r="L11" i="4"/>
  <c r="L14" i="4" s="1"/>
  <c r="L23" i="4" s="1"/>
  <c r="L48" i="5" s="1"/>
  <c r="L49" i="5" s="1"/>
  <c r="N5" i="4"/>
  <c r="M16" i="4"/>
  <c r="M13" i="4" s="1"/>
  <c r="M31" i="4" s="1"/>
  <c r="M3" i="1"/>
  <c r="N2" i="1" s="1"/>
  <c r="N4" i="1" s="1"/>
  <c r="N5" i="1"/>
  <c r="N40" i="1" s="1"/>
  <c r="N39" i="1" s="1"/>
  <c r="N80" i="4" s="1"/>
  <c r="N81" i="4" s="1"/>
  <c r="N87" i="4" s="1"/>
  <c r="M33" i="1"/>
  <c r="M32" i="1" s="1"/>
  <c r="K16" i="5" l="1"/>
  <c r="M72" i="4"/>
  <c r="L33" i="5"/>
  <c r="L34" i="5" s="1"/>
  <c r="M73" i="4"/>
  <c r="M70" i="5" s="1"/>
  <c r="M71" i="5" s="1"/>
  <c r="L18" i="5"/>
  <c r="L63" i="5" s="1"/>
  <c r="L104" i="4"/>
  <c r="L109" i="4" s="1"/>
  <c r="L38" i="5" s="1"/>
  <c r="L14" i="5"/>
  <c r="L15" i="5" s="1"/>
  <c r="K28" i="4"/>
  <c r="K23" i="5"/>
  <c r="N102" i="4"/>
  <c r="N107" i="4" s="1"/>
  <c r="N36" i="5" s="1"/>
  <c r="N9" i="5"/>
  <c r="N10" i="5" s="1"/>
  <c r="L103" i="4"/>
  <c r="L108" i="4" s="1"/>
  <c r="L37" i="5" s="1"/>
  <c r="L11" i="5"/>
  <c r="L12" i="5" s="1"/>
  <c r="L13" i="5" s="1"/>
  <c r="K115" i="4"/>
  <c r="K110" i="4"/>
  <c r="M91" i="4"/>
  <c r="M92" i="4" s="1"/>
  <c r="M95" i="4" s="1"/>
  <c r="M98" i="4"/>
  <c r="M99" i="4" s="1"/>
  <c r="N3" i="4"/>
  <c r="O2" i="4" s="1"/>
  <c r="N4" i="4"/>
  <c r="M11" i="4"/>
  <c r="M14" i="4" s="1"/>
  <c r="M23" i="4" s="1"/>
  <c r="M48" i="5" s="1"/>
  <c r="M49" i="5" s="1"/>
  <c r="M21" i="4"/>
  <c r="M76" i="5" s="1"/>
  <c r="L19" i="4"/>
  <c r="O5" i="4"/>
  <c r="O16" i="4" s="1"/>
  <c r="O13" i="4" s="1"/>
  <c r="O31" i="4" s="1"/>
  <c r="N16" i="4"/>
  <c r="N13" i="4" s="1"/>
  <c r="N31" i="4" s="1"/>
  <c r="N3" i="1"/>
  <c r="O2" i="1" s="1"/>
  <c r="O4" i="1" s="1"/>
  <c r="O5" i="1"/>
  <c r="N33" i="1"/>
  <c r="N32" i="1" s="1"/>
  <c r="K19" i="5" l="1"/>
  <c r="K20" i="5" s="1"/>
  <c r="K17" i="5"/>
  <c r="K66" i="5"/>
  <c r="M74" i="4"/>
  <c r="N73" i="4" s="1"/>
  <c r="N70" i="5" s="1"/>
  <c r="N71" i="5" s="1"/>
  <c r="L114" i="4"/>
  <c r="L52" i="5" s="1"/>
  <c r="L16" i="5"/>
  <c r="K116" i="4"/>
  <c r="K117" i="4" s="1"/>
  <c r="K64" i="5" s="1"/>
  <c r="M104" i="4"/>
  <c r="M114" i="4" s="1"/>
  <c r="M52" i="5" s="1"/>
  <c r="M14" i="5"/>
  <c r="M15" i="5" s="1"/>
  <c r="L113" i="4"/>
  <c r="L51" i="5" s="1"/>
  <c r="O3" i="1"/>
  <c r="M103" i="4"/>
  <c r="M113" i="4" s="1"/>
  <c r="M51" i="5" s="1"/>
  <c r="M11" i="5"/>
  <c r="M12" i="5" s="1"/>
  <c r="M13" i="5" s="1"/>
  <c r="L110" i="4"/>
  <c r="N98" i="4"/>
  <c r="N99" i="4" s="1"/>
  <c r="N91" i="4"/>
  <c r="N92" i="4" s="1"/>
  <c r="N95" i="4" s="1"/>
  <c r="L22" i="4"/>
  <c r="L26" i="4"/>
  <c r="L22" i="5" s="1"/>
  <c r="O21" i="4"/>
  <c r="O76" i="5" s="1"/>
  <c r="O3" i="4"/>
  <c r="O4" i="4"/>
  <c r="M19" i="4"/>
  <c r="N21" i="4"/>
  <c r="N76" i="5" s="1"/>
  <c r="N11" i="4"/>
  <c r="N14" i="4" s="1"/>
  <c r="N23" i="4" s="1"/>
  <c r="N48" i="5" s="1"/>
  <c r="N49" i="5" s="1"/>
  <c r="O33" i="1"/>
  <c r="O32" i="1" s="1"/>
  <c r="O40" i="1"/>
  <c r="O39" i="1" s="1"/>
  <c r="O80" i="4" s="1"/>
  <c r="O81" i="4" s="1"/>
  <c r="O87" i="4" s="1"/>
  <c r="K24" i="5" l="1"/>
  <c r="K26" i="5" s="1"/>
  <c r="L19" i="5"/>
  <c r="L20" i="5" s="1"/>
  <c r="L17" i="5"/>
  <c r="M75" i="4"/>
  <c r="N72" i="4" s="1"/>
  <c r="N74" i="4" s="1"/>
  <c r="M18" i="5"/>
  <c r="M63" i="5" s="1"/>
  <c r="L115" i="4"/>
  <c r="L116" i="4" s="1"/>
  <c r="L117" i="4" s="1"/>
  <c r="L64" i="5" s="1"/>
  <c r="M109" i="4"/>
  <c r="M38" i="5" s="1"/>
  <c r="M16" i="5"/>
  <c r="M17" i="5" s="1"/>
  <c r="N104" i="4"/>
  <c r="N109" i="4" s="1"/>
  <c r="N38" i="5" s="1"/>
  <c r="N14" i="5"/>
  <c r="N15" i="5" s="1"/>
  <c r="L28" i="4"/>
  <c r="L23" i="5"/>
  <c r="M108" i="4"/>
  <c r="M37" i="5" s="1"/>
  <c r="N103" i="4"/>
  <c r="N113" i="4" s="1"/>
  <c r="N51" i="5" s="1"/>
  <c r="N11" i="5"/>
  <c r="N12" i="5" s="1"/>
  <c r="N13" i="5" s="1"/>
  <c r="O102" i="4"/>
  <c r="O107" i="4" s="1"/>
  <c r="O36" i="5" s="1"/>
  <c r="O9" i="5"/>
  <c r="O10" i="5" s="1"/>
  <c r="M115" i="4"/>
  <c r="O98" i="4"/>
  <c r="O99" i="4" s="1"/>
  <c r="O91" i="4"/>
  <c r="O92" i="4" s="1"/>
  <c r="O95" i="4" s="1"/>
  <c r="M22" i="4"/>
  <c r="M26" i="4"/>
  <c r="M22" i="5" s="1"/>
  <c r="N19" i="4"/>
  <c r="O11" i="4"/>
  <c r="O14" i="4" s="1"/>
  <c r="O23" i="4" s="1"/>
  <c r="O48" i="5" s="1"/>
  <c r="O49" i="5" s="1"/>
  <c r="K27" i="5" l="1"/>
  <c r="K28" i="5" s="1"/>
  <c r="K65" i="5"/>
  <c r="K25" i="5"/>
  <c r="K62" i="5"/>
  <c r="K45" i="4"/>
  <c r="K46" i="4" s="1"/>
  <c r="K77" i="5" s="1"/>
  <c r="K78" i="5" s="1"/>
  <c r="M19" i="5"/>
  <c r="M20" i="5" s="1"/>
  <c r="M33" i="5"/>
  <c r="M34" i="5" s="1"/>
  <c r="L66" i="5"/>
  <c r="M110" i="4"/>
  <c r="M116" i="4" s="1"/>
  <c r="M117" i="4" s="1"/>
  <c r="M64" i="5" s="1"/>
  <c r="N16" i="5"/>
  <c r="N17" i="5" s="1"/>
  <c r="O104" i="4"/>
  <c r="O114" i="4" s="1"/>
  <c r="O52" i="5" s="1"/>
  <c r="O14" i="5"/>
  <c r="O15" i="5" s="1"/>
  <c r="M28" i="4"/>
  <c r="M23" i="5"/>
  <c r="N108" i="4"/>
  <c r="N114" i="4"/>
  <c r="O73" i="4"/>
  <c r="O70" i="5" s="1"/>
  <c r="O71" i="5" s="1"/>
  <c r="N18" i="5"/>
  <c r="O103" i="4"/>
  <c r="O113" i="4" s="1"/>
  <c r="O51" i="5" s="1"/>
  <c r="O11" i="5"/>
  <c r="O12" i="5" s="1"/>
  <c r="O13" i="5" s="1"/>
  <c r="N75" i="4"/>
  <c r="N22" i="4"/>
  <c r="N26" i="4"/>
  <c r="N22" i="5" s="1"/>
  <c r="O19" i="4"/>
  <c r="K47" i="4" l="1"/>
  <c r="K45" i="5" s="1"/>
  <c r="K46" i="5" s="1"/>
  <c r="K67" i="5"/>
  <c r="K82" i="5" s="1"/>
  <c r="K83" i="5" s="1"/>
  <c r="M66" i="5"/>
  <c r="L44" i="4"/>
  <c r="N19" i="5"/>
  <c r="N20" i="5" s="1"/>
  <c r="N63" i="5"/>
  <c r="N115" i="4"/>
  <c r="N52" i="5"/>
  <c r="N110" i="4"/>
  <c r="N37" i="5"/>
  <c r="O72" i="4"/>
  <c r="O74" i="4" s="1"/>
  <c r="O75" i="4" s="1"/>
  <c r="O33" i="5" s="1"/>
  <c r="O34" i="5" s="1"/>
  <c r="N33" i="5"/>
  <c r="N34" i="5" s="1"/>
  <c r="O108" i="4"/>
  <c r="O37" i="5" s="1"/>
  <c r="O16" i="5"/>
  <c r="O17" i="5" s="1"/>
  <c r="O109" i="4"/>
  <c r="N28" i="4"/>
  <c r="N23" i="5"/>
  <c r="O115" i="4"/>
  <c r="O22" i="4"/>
  <c r="O26" i="4"/>
  <c r="O22" i="5" s="1"/>
  <c r="K53" i="5" l="1"/>
  <c r="K54" i="5" s="1"/>
  <c r="K55" i="5" s="1"/>
  <c r="L81" i="5"/>
  <c r="L21" i="5" s="1"/>
  <c r="L24" i="5" s="1"/>
  <c r="L25" i="5" s="1"/>
  <c r="K39" i="5"/>
  <c r="K40" i="5" s="1"/>
  <c r="K41" i="5" s="1"/>
  <c r="K56" i="5"/>
  <c r="N116" i="4"/>
  <c r="N117" i="4" s="1"/>
  <c r="N64" i="5" s="1"/>
  <c r="N66" i="5"/>
  <c r="O110" i="4"/>
  <c r="O116" i="4" s="1"/>
  <c r="O38" i="5"/>
  <c r="O18" i="5"/>
  <c r="O28" i="4"/>
  <c r="O23" i="5"/>
  <c r="O66" i="5" s="1"/>
  <c r="K58" i="5" l="1"/>
  <c r="L62" i="5"/>
  <c r="L26" i="5"/>
  <c r="L27" i="5" s="1"/>
  <c r="O117" i="4"/>
  <c r="O64" i="5" s="1"/>
  <c r="O19" i="5"/>
  <c r="O20" i="5" s="1"/>
  <c r="O63" i="5"/>
  <c r="L45" i="4" l="1"/>
  <c r="L46" i="4" s="1"/>
  <c r="L77" i="5" s="1"/>
  <c r="L78" i="5" s="1"/>
  <c r="L28" i="5"/>
  <c r="L65" i="5"/>
  <c r="L67" i="5" s="1"/>
  <c r="L82" i="5" l="1"/>
  <c r="L83" i="5" s="1"/>
  <c r="L39" i="5" s="1"/>
  <c r="L40" i="5" s="1"/>
  <c r="L41" i="5" s="1"/>
  <c r="L47" i="4"/>
  <c r="M44" i="4" s="1"/>
  <c r="L45" i="5" l="1"/>
  <c r="L46" i="5" s="1"/>
  <c r="M81" i="5"/>
  <c r="M21" i="5" s="1"/>
  <c r="M24" i="5" s="1"/>
  <c r="M25" i="5" s="1"/>
  <c r="L53" i="5"/>
  <c r="L54" i="5" s="1"/>
  <c r="L55" i="5" s="1"/>
  <c r="L56" i="5" s="1"/>
  <c r="L58" i="5" s="1"/>
  <c r="M62" i="5" l="1"/>
  <c r="M26" i="5"/>
  <c r="M65" i="5" s="1"/>
  <c r="M67" i="5" s="1"/>
  <c r="M27" i="5" l="1"/>
  <c r="M28" i="5" l="1"/>
  <c r="M45" i="4"/>
  <c r="M46" i="4" l="1"/>
  <c r="M77" i="5" s="1"/>
  <c r="M78" i="5" s="1"/>
  <c r="M82" i="5" s="1"/>
  <c r="M83" i="5" s="1"/>
  <c r="M47" i="4" l="1"/>
  <c r="M53" i="5"/>
  <c r="M54" i="5" s="1"/>
  <c r="M55" i="5" s="1"/>
  <c r="M39" i="5"/>
  <c r="M40" i="5" s="1"/>
  <c r="M41" i="5" s="1"/>
  <c r="N81" i="5"/>
  <c r="N21" i="5" s="1"/>
  <c r="N24" i="5" s="1"/>
  <c r="N25" i="5" l="1"/>
  <c r="N26" i="5"/>
  <c r="N65" i="5" s="1"/>
  <c r="N62" i="5"/>
  <c r="N67" i="5" s="1"/>
  <c r="N27" i="5"/>
  <c r="N44" i="4"/>
  <c r="M45" i="5"/>
  <c r="M46" i="5" s="1"/>
  <c r="M56" i="5" s="1"/>
  <c r="M58" i="5" s="1"/>
  <c r="N45" i="4" l="1"/>
  <c r="N28" i="5"/>
  <c r="N46" i="4" l="1"/>
  <c r="N77" i="5" s="1"/>
  <c r="N78" i="5" s="1"/>
  <c r="N82" i="5" s="1"/>
  <c r="N83" i="5" s="1"/>
  <c r="N47" i="4" l="1"/>
  <c r="O44" i="4"/>
  <c r="N45" i="5"/>
  <c r="N46" i="5" s="1"/>
  <c r="O81" i="5"/>
  <c r="O21" i="5" s="1"/>
  <c r="O24" i="5" s="1"/>
  <c r="N53" i="5"/>
  <c r="N54" i="5" s="1"/>
  <c r="N55" i="5" s="1"/>
  <c r="N39" i="5"/>
  <c r="N40" i="5" s="1"/>
  <c r="N41" i="5" s="1"/>
  <c r="N56" i="5" l="1"/>
  <c r="N58" i="5" s="1"/>
  <c r="O25" i="5"/>
  <c r="O62" i="5"/>
  <c r="O26" i="5"/>
  <c r="O65" i="5" s="1"/>
  <c r="O67" i="5" l="1"/>
  <c r="O27" i="5"/>
  <c r="O45" i="4" l="1"/>
  <c r="O28" i="5"/>
  <c r="O46" i="4" l="1"/>
  <c r="O77" i="5" s="1"/>
  <c r="O78" i="5" s="1"/>
  <c r="O82" i="5" s="1"/>
  <c r="O83" i="5" s="1"/>
  <c r="O47" i="4"/>
  <c r="O45" i="5" s="1"/>
  <c r="O46" i="5" s="1"/>
  <c r="O39" i="5" l="1"/>
  <c r="O40" i="5" s="1"/>
  <c r="O41" i="5" s="1"/>
  <c r="O53" i="5"/>
  <c r="O54" i="5" s="1"/>
  <c r="O55" i="5" s="1"/>
  <c r="O56" i="5" s="1"/>
  <c r="O5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<sst xmlns="http://schemas.openxmlformats.org/spreadsheetml/2006/main" count="322" uniqueCount="203">
  <si>
    <t>ABC Limited</t>
  </si>
  <si>
    <t>Description</t>
  </si>
  <si>
    <t>unit</t>
  </si>
  <si>
    <t>Input</t>
  </si>
  <si>
    <t>Row Total</t>
  </si>
  <si>
    <t>Inputs</t>
  </si>
  <si>
    <t>Output</t>
  </si>
  <si>
    <t>Calculations</t>
  </si>
  <si>
    <t>Operation: selling of electronic device</t>
  </si>
  <si>
    <t>General │ Macroeconomic Assumptions</t>
  </si>
  <si>
    <t>General Assumptions</t>
  </si>
  <si>
    <t>Model Information</t>
  </si>
  <si>
    <t>Nigeria</t>
  </si>
  <si>
    <t>Operation</t>
  </si>
  <si>
    <t>Electronic Device</t>
  </si>
  <si>
    <t>Model currency</t>
  </si>
  <si>
    <t>[₦]</t>
  </si>
  <si>
    <t>Forecast period</t>
  </si>
  <si>
    <t>Model start date</t>
  </si>
  <si>
    <t>[date]</t>
  </si>
  <si>
    <t>Name of business</t>
  </si>
  <si>
    <t>Month in a year</t>
  </si>
  <si>
    <t>[month]</t>
  </si>
  <si>
    <t>Operating days a month</t>
  </si>
  <si>
    <t>[days]</t>
  </si>
  <si>
    <t>Quarter in a period</t>
  </si>
  <si>
    <t>[quarter]</t>
  </si>
  <si>
    <t>Macroeconomic Assumptions</t>
  </si>
  <si>
    <t>Cost Incremental Factor</t>
  </si>
  <si>
    <t>Location [subsidiary]</t>
  </si>
  <si>
    <t>[%]</t>
  </si>
  <si>
    <t>Nigeria Inflation rate</t>
  </si>
  <si>
    <t>Pricing Incremental Factor</t>
  </si>
  <si>
    <t>Nigeria Consumer Price Index</t>
  </si>
  <si>
    <t>Government</t>
  </si>
  <si>
    <t>Provision for tax rate</t>
  </si>
  <si>
    <t>Asset maintenance</t>
  </si>
  <si>
    <t>Maintenance factor</t>
  </si>
  <si>
    <t>Depreciation rate</t>
  </si>
  <si>
    <t>Currency</t>
  </si>
  <si>
    <t>Funding │ Use of Funds</t>
  </si>
  <si>
    <t>Funding</t>
  </si>
  <si>
    <t>Equity</t>
  </si>
  <si>
    <t>Debt</t>
  </si>
  <si>
    <t>[$]</t>
  </si>
  <si>
    <t>Total funding</t>
  </si>
  <si>
    <t>Cost of funding</t>
  </si>
  <si>
    <t>Hurdle rate</t>
  </si>
  <si>
    <t>Loan period</t>
  </si>
  <si>
    <t>[year]</t>
  </si>
  <si>
    <t>Spread/margin</t>
  </si>
  <si>
    <t>Use of funds</t>
  </si>
  <si>
    <t>Registration</t>
  </si>
  <si>
    <t>Property, plant &amp; equipment</t>
  </si>
  <si>
    <t>Inventories [device]</t>
  </si>
  <si>
    <t>Prepaid expenses</t>
  </si>
  <si>
    <t>Working cash</t>
  </si>
  <si>
    <t>Total use of funds</t>
  </si>
  <si>
    <t>Operations</t>
  </si>
  <si>
    <t>Pricing</t>
  </si>
  <si>
    <t>Electronic device</t>
  </si>
  <si>
    <t>Cost of sales</t>
  </si>
  <si>
    <t>Direct cost</t>
  </si>
  <si>
    <t>Revenue and Costs</t>
  </si>
  <si>
    <t>Operating cost</t>
  </si>
  <si>
    <t>SG&amp;A</t>
  </si>
  <si>
    <t>[₦/month]</t>
  </si>
  <si>
    <t>Quantity</t>
  </si>
  <si>
    <t>[Qty/month]</t>
  </si>
  <si>
    <t>opex growth</t>
  </si>
  <si>
    <t>quantity growth</t>
  </si>
  <si>
    <t>Operating Working Capital</t>
  </si>
  <si>
    <t>Current Assets</t>
  </si>
  <si>
    <t>Current Liabilities</t>
  </si>
  <si>
    <t>Trade receivables</t>
  </si>
  <si>
    <t>Inventories</t>
  </si>
  <si>
    <t>Prepayment</t>
  </si>
  <si>
    <t>Trade payables</t>
  </si>
  <si>
    <t>Accrual &amp; other liabilities</t>
  </si>
  <si>
    <t>Sources of funds</t>
  </si>
  <si>
    <t>Model Guide</t>
  </si>
  <si>
    <t>Input cells</t>
  </si>
  <si>
    <t>Formula cells</t>
  </si>
  <si>
    <t>Linked cells</t>
  </si>
  <si>
    <t>hardcorded values</t>
  </si>
  <si>
    <t>result of formula or function</t>
  </si>
  <si>
    <t>data gotten from another cell or worksheet</t>
  </si>
  <si>
    <t>Naira</t>
  </si>
  <si>
    <t>Interest rate</t>
  </si>
  <si>
    <t>LIBOR rate [MPR]</t>
  </si>
  <si>
    <t>Conservative index</t>
  </si>
  <si>
    <t>Aggressive index</t>
  </si>
  <si>
    <t>Incremental Index</t>
  </si>
  <si>
    <t>Spot rate</t>
  </si>
  <si>
    <t>Parallel rate</t>
  </si>
  <si>
    <t>Exchange rate [$ ₦]</t>
  </si>
  <si>
    <t>Active rate</t>
  </si>
  <si>
    <t>the number represent active exchange.</t>
  </si>
  <si>
    <t>USA Inflation rate</t>
  </si>
  <si>
    <t>Current exchange rate</t>
  </si>
  <si>
    <t>USD</t>
  </si>
  <si>
    <t xml:space="preserve">[₦] </t>
  </si>
  <si>
    <t>Financing Calculations</t>
  </si>
  <si>
    <t>Debt Schedule</t>
  </si>
  <si>
    <t>Debt Schedule in [FCY]</t>
  </si>
  <si>
    <t>Beginning balance</t>
  </si>
  <si>
    <t>Ending balance</t>
  </si>
  <si>
    <t>Add: new loans</t>
  </si>
  <si>
    <t>Less: repayment</t>
  </si>
  <si>
    <t>Loan period mask</t>
  </si>
  <si>
    <t>Debt Schedule in Model</t>
  </si>
  <si>
    <t>New loan [LCY]</t>
  </si>
  <si>
    <t>Repayment [LCY]</t>
  </si>
  <si>
    <t>Add: Currency (gain) or loss</t>
  </si>
  <si>
    <t>Ending balance check</t>
  </si>
  <si>
    <t>Exchange rate</t>
  </si>
  <si>
    <t>Interest expense</t>
  </si>
  <si>
    <t>Equity Schedule</t>
  </si>
  <si>
    <t>Equity Linked</t>
  </si>
  <si>
    <t>Change</t>
  </si>
  <si>
    <t>Use of funds summary</t>
  </si>
  <si>
    <t>Capex &amp; Depreciation</t>
  </si>
  <si>
    <t>Asset Schedule</t>
  </si>
  <si>
    <t>Add: new capex</t>
  </si>
  <si>
    <t>Less: depreciation</t>
  </si>
  <si>
    <t>Operation Calculations</t>
  </si>
  <si>
    <t>Revenue</t>
  </si>
  <si>
    <t>[Qty/yearly]</t>
  </si>
  <si>
    <t>Cost per unit</t>
  </si>
  <si>
    <t>Operating Cost</t>
  </si>
  <si>
    <t>Operating Working Capital OWC</t>
  </si>
  <si>
    <t>Total current asset</t>
  </si>
  <si>
    <t>Total current liabilities</t>
  </si>
  <si>
    <t>OWC</t>
  </si>
  <si>
    <t>Change in OWC</t>
  </si>
  <si>
    <t>Days in a year</t>
  </si>
  <si>
    <t>Retained Earnings</t>
  </si>
  <si>
    <t>Add: net profit</t>
  </si>
  <si>
    <t>Less: Dividends</t>
  </si>
  <si>
    <t>Income Statement</t>
  </si>
  <si>
    <t>Gross Profit</t>
  </si>
  <si>
    <t>EBITDA</t>
  </si>
  <si>
    <t>Depreciation</t>
  </si>
  <si>
    <t>EBIT</t>
  </si>
  <si>
    <t>Interest Income</t>
  </si>
  <si>
    <t>Profit before tax</t>
  </si>
  <si>
    <t>Tax expense</t>
  </si>
  <si>
    <t>Net Profit</t>
  </si>
  <si>
    <t>[%/annual]</t>
  </si>
  <si>
    <t>Nigeria Inflation adjusted</t>
  </si>
  <si>
    <t>Balance Sheet</t>
  </si>
  <si>
    <t>Assets</t>
  </si>
  <si>
    <t>Property, plant equipment</t>
  </si>
  <si>
    <t>Total NCA</t>
  </si>
  <si>
    <t>Non-current assets NCA</t>
  </si>
  <si>
    <t>Current assets CA</t>
  </si>
  <si>
    <t>Cash &amp; cash equivalent</t>
  </si>
  <si>
    <t>Total CA</t>
  </si>
  <si>
    <t>Total Assets</t>
  </si>
  <si>
    <t>Equity &amp; Liabilities</t>
  </si>
  <si>
    <t>Capital contribution</t>
  </si>
  <si>
    <t>Retained earnings</t>
  </si>
  <si>
    <t>Total equity</t>
  </si>
  <si>
    <t>Dividends payout ratio</t>
  </si>
  <si>
    <t>Non-current liabilities NCL</t>
  </si>
  <si>
    <t>Borrowing</t>
  </si>
  <si>
    <t>Total NCL</t>
  </si>
  <si>
    <t>Current liabilities CL</t>
  </si>
  <si>
    <t>Total CL</t>
  </si>
  <si>
    <t>Total liabilities</t>
  </si>
  <si>
    <t>Total equity &amp; liabilites</t>
  </si>
  <si>
    <t>Balance check</t>
  </si>
  <si>
    <t>Cashflow Statement</t>
  </si>
  <si>
    <t>Cashflow from Operating Activities</t>
  </si>
  <si>
    <t>Add: depreciation</t>
  </si>
  <si>
    <t>Changes in OWC</t>
  </si>
  <si>
    <t>Less: Tax paid</t>
  </si>
  <si>
    <t>Net cash from Operations</t>
  </si>
  <si>
    <t>Cashflow from Investing Activities</t>
  </si>
  <si>
    <t>Net cash from Investing</t>
  </si>
  <si>
    <t>Cashflow from Financing Activities</t>
  </si>
  <si>
    <t>Equity contribution</t>
  </si>
  <si>
    <t>Debt inflow</t>
  </si>
  <si>
    <t>Principal repayment</t>
  </si>
  <si>
    <t>Dividends paid</t>
  </si>
  <si>
    <t>Net cash from Financing</t>
  </si>
  <si>
    <t>Cash Schedule</t>
  </si>
  <si>
    <t>Beginning cash balance</t>
  </si>
  <si>
    <t>Cash generated for the period</t>
  </si>
  <si>
    <t>Ending cash balance</t>
  </si>
  <si>
    <t>Exchange (gain) or loss</t>
  </si>
  <si>
    <t>Oveerdraft</t>
  </si>
  <si>
    <t>Interest on deposit</t>
  </si>
  <si>
    <t>% of cash deposited or invested</t>
  </si>
  <si>
    <t>EBITDA margin</t>
  </si>
  <si>
    <t>EBIT margin</t>
  </si>
  <si>
    <t>EBT margin</t>
  </si>
  <si>
    <t>Net profit margin</t>
  </si>
  <si>
    <t>Gross margin</t>
  </si>
  <si>
    <t>YoY Growth</t>
  </si>
  <si>
    <t>Incremental growth</t>
  </si>
  <si>
    <t>Opex to Income</t>
  </si>
  <si>
    <t>Add: exchange (gain)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</si>
</sst>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;[Red]\(#,##0\);\-"/>
    <numFmt numFmtId="165" formatCode="\F0\F"/>
    <numFmt numFmtId="166" formatCode="0&quot; Year[s]&quot;"/>
    <numFmt numFmtId="167" formatCode="0&quot; day[s]&quot;"/>
    <numFmt numFmtId="168" formatCode="0&quot; quarter&quot;"/>
    <numFmt numFmtId="169" formatCode="0&quot; month[s]&quot;"/>
    <numFmt numFmtId="170" formatCode="0.00%;[Red]\(0.00%\);\-"/>
    <numFmt numFmtId="171" formatCode="0.0%"/>
    <numFmt numFmtId="172" formatCode="0.0%;[Red]\(0.0%\);\-"/>
    <numFmt numFmtId="173" formatCode="#,##0.00&quot;x&quot;;[Red]\(#,##0.00&quot;x&quot;\);\-"/>
    <numFmt numFmtId="174" formatCode="#,##0.00;[Red]\(#,##0.0\);\-"/>
    <numFmt numFmtId="175" formatCode="#,##0.0000;[Red]\(#,##0.000\);\-"/>
    <numFmt numFmtId="176" formatCode="#,##0.0,,&quot;m&quot;;[Red]\(#,##0,,&quot;m&quot;\);\-"/>
    <numFmt numFmtId="177" formatCode="#,##0.00,,&quot;m&quot;;[Red]\(#,##0.0,,&quot;m&quot;\);\-"/>
    <numFmt numFmtId="178" formatCode="#,##0.000,,&quot;m&quot;;[Red]\(#,##0.00,,&quot;m&quot;\);\-"/>
    <numFmt numFmtId="179" formatCode="#,##0.0000,,&quot;m&quot;;[Red]\(#,##0.000,,&quot;m&quot;\);\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8" tint="-0.2499465926084170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7F7F7F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F3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8" tint="-0.24994659260841701"/>
      </bottom>
      <diagonal/>
    </border>
    <border>
      <left/>
      <right/>
      <top/>
      <bottom style="thin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0">
    <xf numFmtId="164" fontId="0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7" fillId="0" borderId="3" applyNumberFormat="0" applyFill="0" applyAlignment="0" applyProtection="0"/>
    <xf numFmtId="0" fontId="3" fillId="2" borderId="1" applyNumberFormat="0" applyAlignment="0" applyProtection="0"/>
    <xf numFmtId="0" fontId="5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4" applyNumberFormat="0" applyFill="0" applyAlignment="0" applyProtection="0"/>
    <xf numFmtId="173" fontId="1" fillId="0" borderId="0" applyFont="0" applyFill="0" applyBorder="0" applyAlignment="0" applyProtection="0"/>
    <xf numFmtId="0" fontId="2" fillId="0" borderId="6" applyNumberFormat="0" applyFill="0" applyAlignment="0" applyProtection="0"/>
  </cellStyleXfs>
  <cellXfs count="85">
    <xf numFmtId="164" fontId="0" fillId="0" borderId="0" xfId="0"/>
    <xf numFmtId="164" fontId="2" fillId="0" borderId="0" xfId="0" applyFont="1"/>
    <xf numFmtId="164" fontId="6" fillId="3" borderId="0" xfId="0" applyFont="1" applyFill="1"/>
    <xf numFmtId="164" fontId="0" fillId="3" borderId="0" xfId="0" applyFill="1"/>
    <xf numFmtId="15" fontId="0" fillId="3" borderId="0" xfId="0" applyNumberFormat="1" applyFill="1"/>
    <xf numFmtId="164" fontId="7" fillId="3" borderId="0" xfId="0" applyFont="1" applyFill="1"/>
    <xf numFmtId="164" fontId="0" fillId="4" borderId="5" xfId="0" applyFill="1" applyBorder="1"/>
    <xf numFmtId="164" fontId="8" fillId="4" borderId="5" xfId="6" applyNumberFormat="1" applyFill="1" applyBorder="1"/>
    <xf numFmtId="164" fontId="9" fillId="3" borderId="0" xfId="0" applyFont="1" applyFill="1"/>
    <xf numFmtId="0" fontId="8" fillId="4" borderId="5" xfId="6" applyNumberFormat="1" applyFill="1" applyBorder="1"/>
    <xf numFmtId="165" fontId="10" fillId="3" borderId="0" xfId="0" applyNumberFormat="1" applyFont="1" applyFill="1"/>
    <xf numFmtId="164" fontId="4" fillId="0" borderId="2" xfId="2" applyNumberFormat="1"/>
    <xf numFmtId="164" fontId="8" fillId="0" borderId="0" xfId="6" applyNumberFormat="1"/>
    <xf numFmtId="164" fontId="8" fillId="3" borderId="0" xfId="6" applyNumberFormat="1" applyFill="1"/>
    <xf numFmtId="164" fontId="8" fillId="0" borderId="2" xfId="6" applyNumberFormat="1" applyBorder="1"/>
    <xf numFmtId="15" fontId="3" fillId="2" borderId="1" xfId="4" applyNumberFormat="1" applyAlignment="1">
      <alignment horizontal="left"/>
    </xf>
    <xf numFmtId="166" fontId="3" fillId="2" borderId="1" xfId="4" applyNumberFormat="1" applyAlignment="1">
      <alignment horizontal="left"/>
    </xf>
    <xf numFmtId="164" fontId="3" fillId="2" borderId="1" xfId="4" applyNumberFormat="1" applyAlignment="1">
      <alignment horizontal="left"/>
    </xf>
    <xf numFmtId="167" fontId="3" fillId="2" borderId="1" xfId="4" applyNumberFormat="1" applyAlignment="1">
      <alignment horizontal="left"/>
    </xf>
    <xf numFmtId="168" fontId="3" fillId="2" borderId="1" xfId="4" applyNumberFormat="1" applyAlignment="1">
      <alignment horizontal="left"/>
    </xf>
    <xf numFmtId="169" fontId="3" fillId="2" borderId="1" xfId="4" applyNumberFormat="1" applyAlignment="1">
      <alignment horizontal="left"/>
    </xf>
    <xf numFmtId="164" fontId="11" fillId="0" borderId="0" xfId="0" applyFont="1"/>
    <xf numFmtId="164" fontId="3" fillId="2" borderId="1" xfId="4" applyNumberFormat="1"/>
    <xf numFmtId="172" fontId="3" fillId="2" borderId="1" xfId="1" applyFont="1" applyFill="1" applyBorder="1"/>
    <xf numFmtId="4" fontId="3" fillId="2" borderId="1" xfId="1" applyNumberFormat="1" applyFont="1" applyFill="1" applyBorder="1"/>
    <xf numFmtId="166" fontId="3" fillId="2" borderId="1" xfId="4" applyNumberFormat="1"/>
    <xf numFmtId="171" fontId="0" fillId="0" borderId="0" xfId="0" applyNumberFormat="1"/>
    <xf numFmtId="172" fontId="3" fillId="2" borderId="1" xfId="1" applyNumberFormat="1" applyFont="1" applyFill="1" applyBorder="1"/>
    <xf numFmtId="170" fontId="3" fillId="2" borderId="1" xfId="1" applyNumberFormat="1" applyFont="1" applyFill="1" applyBorder="1"/>
    <xf numFmtId="164" fontId="12" fillId="0" borderId="0" xfId="6" applyNumberFormat="1" applyFont="1"/>
    <xf numFmtId="164" fontId="7" fillId="0" borderId="3" xfId="3" applyNumberFormat="1"/>
    <xf numFmtId="164" fontId="5" fillId="0" borderId="4" xfId="5" applyNumberFormat="1"/>
    <xf numFmtId="174" fontId="0" fillId="0" borderId="0" xfId="0" applyNumberFormat="1"/>
    <xf numFmtId="10" fontId="0" fillId="0" borderId="0" xfId="0" applyNumberFormat="1"/>
    <xf numFmtId="0" fontId="0" fillId="0" borderId="0" xfId="0" applyNumberFormat="1"/>
    <xf numFmtId="173" fontId="2" fillId="0" borderId="0" xfId="8" applyFont="1"/>
    <xf numFmtId="0" fontId="14" fillId="0" borderId="0" xfId="0" applyNumberFormat="1" applyFont="1"/>
    <xf numFmtId="164" fontId="14" fillId="0" borderId="0" xfId="0" applyFont="1"/>
    <xf numFmtId="164" fontId="15" fillId="0" borderId="0" xfId="6" applyNumberFormat="1" applyFont="1"/>
    <xf numFmtId="173" fontId="14" fillId="0" borderId="0" xfId="8" applyFont="1"/>
    <xf numFmtId="2" fontId="14" fillId="0" borderId="0" xfId="0" applyNumberFormat="1" applyFont="1"/>
    <xf numFmtId="164" fontId="13" fillId="0" borderId="0" xfId="0" applyFont="1" applyAlignment="1">
      <alignment horizontal="center"/>
    </xf>
    <xf numFmtId="174" fontId="3" fillId="2" borderId="1" xfId="4" applyNumberFormat="1"/>
    <xf numFmtId="174" fontId="2" fillId="0" borderId="0" xfId="0" applyNumberFormat="1" applyFont="1"/>
    <xf numFmtId="164" fontId="7" fillId="0" borderId="0" xfId="3" applyNumberFormat="1" applyBorder="1"/>
    <xf numFmtId="164" fontId="13" fillId="5" borderId="7" xfId="0" applyFont="1" applyFill="1" applyBorder="1" applyAlignment="1">
      <alignment horizontal="center"/>
    </xf>
    <xf numFmtId="164" fontId="16" fillId="0" borderId="0" xfId="0" applyFont="1"/>
    <xf numFmtId="175" fontId="14" fillId="0" borderId="0" xfId="0" applyNumberFormat="1" applyFont="1"/>
    <xf numFmtId="164" fontId="0" fillId="6" borderId="0" xfId="0" applyFill="1"/>
    <xf numFmtId="164" fontId="17" fillId="6" borderId="0" xfId="0" applyFont="1" applyFill="1"/>
    <xf numFmtId="164" fontId="8" fillId="6" borderId="0" xfId="6" applyNumberFormat="1" applyFill="1"/>
    <xf numFmtId="175" fontId="17" fillId="6" borderId="0" xfId="0" applyNumberFormat="1" applyFont="1" applyFill="1"/>
    <xf numFmtId="164" fontId="2" fillId="0" borderId="6" xfId="9" applyNumberFormat="1"/>
    <xf numFmtId="164" fontId="11" fillId="0" borderId="8" xfId="0" applyFont="1" applyBorder="1"/>
    <xf numFmtId="164" fontId="0" fillId="0" borderId="9" xfId="0" applyBorder="1"/>
    <xf numFmtId="164" fontId="8" fillId="0" borderId="9" xfId="6" applyNumberFormat="1" applyBorder="1"/>
    <xf numFmtId="164" fontId="0" fillId="0" borderId="10" xfId="0" applyBorder="1"/>
    <xf numFmtId="164" fontId="0" fillId="0" borderId="11" xfId="0" applyBorder="1"/>
    <xf numFmtId="164" fontId="0" fillId="0" borderId="0" xfId="0" applyBorder="1"/>
    <xf numFmtId="164" fontId="8" fillId="0" borderId="0" xfId="6" applyNumberFormat="1" applyBorder="1"/>
    <xf numFmtId="164" fontId="0" fillId="0" borderId="12" xfId="0" applyBorder="1"/>
    <xf numFmtId="164" fontId="0" fillId="0" borderId="13" xfId="0" applyBorder="1"/>
    <xf numFmtId="164" fontId="2" fillId="0" borderId="14" xfId="9" applyNumberFormat="1" applyBorder="1"/>
    <xf numFmtId="164" fontId="2" fillId="0" borderId="15" xfId="9" applyNumberFormat="1" applyBorder="1"/>
    <xf numFmtId="171" fontId="5" fillId="0" borderId="4" xfId="7" applyNumberFormat="1"/>
    <xf numFmtId="10" fontId="5" fillId="0" borderId="4" xfId="7" applyNumberFormat="1"/>
    <xf numFmtId="164" fontId="18" fillId="0" borderId="0" xfId="0" applyFont="1"/>
    <xf numFmtId="164" fontId="5" fillId="0" borderId="4" xfId="7" applyNumberFormat="1"/>
    <xf numFmtId="173" fontId="5" fillId="0" borderId="4" xfId="8" applyFont="1" applyBorder="1"/>
    <xf numFmtId="164" fontId="12" fillId="0" borderId="0" xfId="6" applyNumberFormat="1" applyFont="1" applyBorder="1"/>
    <xf numFmtId="164" fontId="0" fillId="0" borderId="0" xfId="0" applyFont="1"/>
    <xf numFmtId="164" fontId="8" fillId="0" borderId="0" xfId="6" applyNumberFormat="1" applyFont="1" applyBorder="1"/>
    <xf numFmtId="164" fontId="8" fillId="0" borderId="3" xfId="6" applyNumberFormat="1" applyBorder="1"/>
    <xf numFmtId="176" fontId="0" fillId="0" borderId="0" xfId="0" applyNumberFormat="1"/>
    <xf numFmtId="177" fontId="0" fillId="0" borderId="0" xfId="0" applyNumberFormat="1"/>
    <xf numFmtId="177" fontId="2" fillId="0" borderId="0" xfId="0" applyNumberFormat="1" applyFont="1"/>
    <xf numFmtId="15" fontId="17" fillId="3" borderId="0" xfId="0" applyNumberFormat="1" applyFont="1" applyFill="1"/>
    <xf numFmtId="164" fontId="19" fillId="0" borderId="0" xfId="0" applyFont="1"/>
    <xf numFmtId="178" fontId="0" fillId="0" borderId="0" xfId="0" applyNumberFormat="1"/>
    <xf numFmtId="178" fontId="2" fillId="0" borderId="0" xfId="0" applyNumberFormat="1" applyFont="1"/>
    <xf numFmtId="179" fontId="0" fillId="0" borderId="0" xfId="0" applyNumberFormat="1"/>
    <xf numFmtId="164" fontId="15" fillId="0" borderId="16" xfId="0" applyFont="1" applyBorder="1"/>
    <xf numFmtId="164" fontId="15" fillId="0" borderId="16" xfId="6" applyNumberFormat="1" applyFont="1" applyBorder="1"/>
    <xf numFmtId="176" fontId="15" fillId="0" borderId="16" xfId="0" applyNumberFormat="1" applyFont="1" applyBorder="1"/>
    <xf numFmtId="171" fontId="15" fillId="0" borderId="16" xfId="0" applyNumberFormat="1" applyFont="1" applyBorder="1"/>
  </cellXfs>
  <cellStyles count="10">
    <cellStyle name="Explanatory Text" xfId="6" builtinId="53" customBuiltin="1"/>
    <cellStyle name="Heading 1" xfId="2" builtinId="16" customBuiltin="1"/>
    <cellStyle name="Heading 2" xfId="3" builtinId="17" customBuiltin="1"/>
    <cellStyle name="Input" xfId="4" builtinId="20" customBuiltin="1"/>
    <cellStyle name="Linked" xfId="7" xr:uid="{C7AD17B6-952E-47C7-B37A-E2257C46B79A}"/>
    <cellStyle name="Multiple" xfId="8" xr:uid="{C59821C0-7861-49DB-B4E9-9AF941EC32FB}"/>
    <cellStyle name="Normal" xfId="0" builtinId="0" customBuiltin="1"/>
    <cellStyle name="Percent" xfId="1" builtinId="5" customBuiltin="1"/>
    <cellStyle name="Total" xfId="9" builtinId="25"/>
    <cellStyle name="Warning Text" xfId="5" builtinId="11" customBuiltin="1"/>
  </cellStyles>
  <dxfs count="0"/>
  <tableStyles count="0" defaultTableStyle="TableStyleMedium2" defaultPivotStyle="PivotStyleLight16"/>
  <colors>
    <mruColors>
      <color rgb="FFEDF3F9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4" fmlaLink="Inflation_switch" fmlaRange="Inflation_list" noThreeD="1" sel="1" val="0"/>
</file>

<file path=xl/ctrlProps/ctrlProp2.xml><?xml version="1.0" encoding="utf-8"?>
<formControlPr xmlns="http://schemas.microsoft.com/office/spreadsheetml/2009/9/main" objectType="Drop" dropStyle="combo" dx="24" fmlaLink="Currency_switch" fmlaRange="currency_list" noThreeD="1" sel="1" val="0"/>
</file>

<file path=xl/ctrlProps/ctrlProp3.xml><?xml version="1.0" encoding="utf-8"?>
<formControlPr xmlns="http://schemas.microsoft.com/office/spreadsheetml/2009/9/main" objectType="Drop" dropStyle="combo" dx="24" fmlaLink="Currency_switch" fmlaRange="currency_list" noThreeD="1" sel="1" val="0"/>
</file>

<file path=xl/ctrlProps/ctrlProp4.xml><?xml version="1.0" encoding="utf-8"?>
<formControlPr xmlns="http://schemas.microsoft.com/office/spreadsheetml/2009/9/main" objectType="Drop" dropStyle="combo" dx="24" fmlaLink="Currency_switch" fmlaRange="currency_list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17253</xdr:colOff>
          <xdr:row>30</xdr:row>
          <xdr:rowOff>25879</xdr:rowOff>
        </xdr:from>
        <xdr:to>
          <xdr:col>3</xdr:col>
          <xdr:colOff>1147313</xdr:colOff>
          <xdr:row>31</xdr:row>
          <xdr:rowOff>25879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224287</xdr:colOff>
          <xdr:row>58</xdr:row>
          <xdr:rowOff>43132</xdr:rowOff>
        </xdr:from>
        <xdr:to>
          <xdr:col>3</xdr:col>
          <xdr:colOff>767751</xdr:colOff>
          <xdr:row>59</xdr:row>
          <xdr:rowOff>17253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8626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8626</xdr:rowOff>
        </xdr:from>
        <xdr:to>
          <xdr:col>7</xdr:col>
          <xdr:colOff>198408</xdr:colOff>
          <xdr:row>6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EF6E-3C78-405E-A185-86CA8706C200}">
  <dimension ref="A1"/>
  <sheetViews>
    <sheetView showGridLines="0" tabSelected="1" zoomScaleNormal="100" workbookViewId="0"/>
  </sheetViews>
  <sheetFormatPr defaultRowHeight="14.3" x14ac:dyDescent="0.25"/>
  <cols>
    <col min="2" max="2" width="11.875" bestFit="1" customWidth="1"/>
    <col min="3" max="3" width="13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986A-1D5C-4881-8BD1-EA998DE6781C}">
  <sheetPr>
    <pageSetUpPr autoPageBreaks="0" fitToPage="1"/>
  </sheetPr>
  <dimension ref="B1:O116"/>
  <sheetViews>
    <sheetView showGridLines="0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6" sqref="F6"/>
    </sheetView>
  </sheetViews>
  <sheetFormatPr defaultRowHeight="14.3" x14ac:dyDescent="0.25"/>
  <cols>
    <col min="1" max="2" width="1" customWidth="1"/>
    <col min="3" max="3" width="3.5" bestFit="1" customWidth="1"/>
    <col min="4" max="4" width="27.125" bestFit="1" customWidth="1"/>
    <col min="5" max="5" width="9" style="12"/>
    <col min="6" max="6" width="15" bestFit="1" customWidth="1"/>
    <col min="7" max="7" width="1.125" customWidth="1"/>
    <col min="9" max="9" width="0.875" customWidth="1"/>
    <col min="10" max="10" width="9.75" bestFit="1" customWidth="1"/>
    <col min="11" max="11" width="13.5" bestFit="1" customWidth="1"/>
    <col min="12" max="15" width="11.375" bestFit="1" customWidth="1"/>
  </cols>
  <sheetData>
    <row r="1" spans="2:15" ht="4.0999999999999996" customHeight="1" x14ac:dyDescent="0.25"/>
    <row r="2" spans="2:15" ht="21.1" x14ac:dyDescent="0.35">
      <c r="B2" s="2" t="str">
        <f>Coy</f>
        <v>ABC Limited</v>
      </c>
      <c r="C2" s="3"/>
      <c r="D2" s="3"/>
      <c r="E2" s="13"/>
      <c r="F2" s="3"/>
      <c r="G2" s="3"/>
      <c r="H2" s="3"/>
      <c r="I2" s="3"/>
      <c r="J2" s="3"/>
      <c r="K2" s="4">
        <f>J3+1</f>
        <v>44927</v>
      </c>
      <c r="L2" s="4">
        <f t="shared" ref="L2:O2" si="0">K3+1</f>
        <v>45292</v>
      </c>
      <c r="M2" s="4">
        <f t="shared" si="0"/>
        <v>45658</v>
      </c>
      <c r="N2" s="4">
        <f t="shared" si="0"/>
        <v>46023</v>
      </c>
      <c r="O2" s="4">
        <f t="shared" si="0"/>
        <v>46388</v>
      </c>
    </row>
    <row r="3" spans="2:15" x14ac:dyDescent="0.25">
      <c r="B3" s="3"/>
      <c r="C3" s="8" t="s">
        <v>8</v>
      </c>
      <c r="D3" s="3"/>
      <c r="E3" s="13"/>
      <c r="F3" s="3"/>
      <c r="G3" s="3"/>
      <c r="H3" s="3"/>
      <c r="I3" s="3"/>
      <c r="J3" s="4">
        <f>Start_date-1</f>
        <v>44926</v>
      </c>
      <c r="K3" s="4">
        <f>EDATE(K2,12)-1</f>
        <v>45291</v>
      </c>
      <c r="L3" s="4">
        <f t="shared" ref="L3:O3" si="1">EDATE(L2,12)-1</f>
        <v>45657</v>
      </c>
      <c r="M3" s="4">
        <f t="shared" si="1"/>
        <v>46022</v>
      </c>
      <c r="N3" s="4">
        <f t="shared" si="1"/>
        <v>46387</v>
      </c>
      <c r="O3" s="4">
        <f t="shared" si="1"/>
        <v>46752</v>
      </c>
    </row>
    <row r="4" spans="2:15" x14ac:dyDescent="0.25">
      <c r="B4" s="3"/>
      <c r="C4" s="5" t="s">
        <v>5</v>
      </c>
      <c r="D4" s="3"/>
      <c r="E4" s="13"/>
      <c r="F4" s="3"/>
      <c r="G4" s="3"/>
      <c r="H4" s="3"/>
      <c r="I4" s="3"/>
      <c r="J4" s="4"/>
      <c r="K4" s="10">
        <f>YEAR(K2)</f>
        <v>2023</v>
      </c>
      <c r="L4" s="10">
        <f t="shared" ref="L4:O4" si="2">YEAR(L2)</f>
        <v>2024</v>
      </c>
      <c r="M4" s="10">
        <f t="shared" si="2"/>
        <v>2025</v>
      </c>
      <c r="N4" s="10">
        <f t="shared" si="2"/>
        <v>2026</v>
      </c>
      <c r="O4" s="10">
        <f t="shared" si="2"/>
        <v>2027</v>
      </c>
    </row>
    <row r="5" spans="2:15" ht="14.95" thickBot="1" x14ac:dyDescent="0.3">
      <c r="B5" s="6"/>
      <c r="C5" s="7"/>
      <c r="D5" s="7" t="s">
        <v>1</v>
      </c>
      <c r="E5" s="7" t="s">
        <v>2</v>
      </c>
      <c r="F5" s="7" t="s">
        <v>3</v>
      </c>
      <c r="G5" s="7"/>
      <c r="H5" s="7" t="s">
        <v>4</v>
      </c>
      <c r="I5" s="7"/>
      <c r="J5" s="7"/>
      <c r="K5" s="9">
        <f t="shared" ref="K5:O5" si="3">J5+1</f>
        <v>1</v>
      </c>
      <c r="L5" s="9">
        <f t="shared" si="3"/>
        <v>2</v>
      </c>
      <c r="M5" s="9">
        <f t="shared" si="3"/>
        <v>3</v>
      </c>
      <c r="N5" s="9">
        <f t="shared" si="3"/>
        <v>4</v>
      </c>
      <c r="O5" s="9">
        <f t="shared" si="3"/>
        <v>5</v>
      </c>
    </row>
    <row r="7" spans="2:15" ht="16.3" x14ac:dyDescent="0.3">
      <c r="B7" s="11" t="s">
        <v>9</v>
      </c>
      <c r="C7" s="11"/>
      <c r="D7" s="11"/>
      <c r="E7" s="14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5" x14ac:dyDescent="0.25">
      <c r="C8" s="30" t="s">
        <v>11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2:15" x14ac:dyDescent="0.25">
      <c r="D9" t="s">
        <v>20</v>
      </c>
      <c r="F9" s="17" t="s">
        <v>0</v>
      </c>
    </row>
    <row r="10" spans="2:15" x14ac:dyDescent="0.25">
      <c r="D10" t="s">
        <v>29</v>
      </c>
      <c r="F10" s="17" t="s">
        <v>12</v>
      </c>
    </row>
    <row r="11" spans="2:15" x14ac:dyDescent="0.25">
      <c r="D11" t="s">
        <v>13</v>
      </c>
      <c r="F11" s="17" t="s">
        <v>14</v>
      </c>
    </row>
    <row r="12" spans="2:15" x14ac:dyDescent="0.25">
      <c r="D12" t="s">
        <v>15</v>
      </c>
      <c r="F12" s="17" t="s">
        <v>16</v>
      </c>
    </row>
    <row r="13" spans="2:15" x14ac:dyDescent="0.25">
      <c r="D13" t="s">
        <v>17</v>
      </c>
      <c r="F13" s="16">
        <v>5</v>
      </c>
    </row>
    <row r="15" spans="2:15" x14ac:dyDescent="0.25">
      <c r="C15" s="30" t="s">
        <v>80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5" x14ac:dyDescent="0.25">
      <c r="D16" t="s">
        <v>81</v>
      </c>
      <c r="F16" s="22">
        <v>12345</v>
      </c>
      <c r="H16" s="12" t="s">
        <v>84</v>
      </c>
    </row>
    <row r="17" spans="3:15" x14ac:dyDescent="0.25">
      <c r="D17" t="s">
        <v>82</v>
      </c>
      <c r="F17">
        <v>12345</v>
      </c>
      <c r="H17" s="12" t="s">
        <v>85</v>
      </c>
    </row>
    <row r="18" spans="3:15" x14ac:dyDescent="0.25">
      <c r="D18" t="s">
        <v>83</v>
      </c>
      <c r="F18" s="31">
        <v>12345</v>
      </c>
      <c r="H18" s="12" t="s">
        <v>86</v>
      </c>
    </row>
    <row r="20" spans="3:15" x14ac:dyDescent="0.25">
      <c r="C20" s="30" t="s">
        <v>10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3:15" x14ac:dyDescent="0.25">
      <c r="D21" t="s">
        <v>18</v>
      </c>
      <c r="E21" s="12" t="s">
        <v>19</v>
      </c>
      <c r="F21" s="15">
        <v>44927</v>
      </c>
    </row>
    <row r="22" spans="3:15" x14ac:dyDescent="0.25">
      <c r="D22" t="s">
        <v>21</v>
      </c>
      <c r="E22" s="12" t="s">
        <v>22</v>
      </c>
      <c r="F22" s="20">
        <v>12</v>
      </c>
    </row>
    <row r="23" spans="3:15" x14ac:dyDescent="0.25">
      <c r="D23" t="s">
        <v>23</v>
      </c>
      <c r="E23" s="12" t="s">
        <v>24</v>
      </c>
      <c r="F23" s="18">
        <v>24</v>
      </c>
    </row>
    <row r="24" spans="3:15" x14ac:dyDescent="0.25">
      <c r="D24" t="s">
        <v>25</v>
      </c>
      <c r="E24" s="12" t="s">
        <v>26</v>
      </c>
      <c r="F24" s="19">
        <v>4</v>
      </c>
    </row>
    <row r="25" spans="3:15" x14ac:dyDescent="0.25">
      <c r="D25" t="s">
        <v>135</v>
      </c>
      <c r="E25" s="12" t="s">
        <v>24</v>
      </c>
      <c r="F25" s="18">
        <v>365</v>
      </c>
    </row>
    <row r="27" spans="3:15" x14ac:dyDescent="0.25">
      <c r="C27" s="30" t="s">
        <v>27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3:15" x14ac:dyDescent="0.25">
      <c r="C28" s="21" t="s">
        <v>28</v>
      </c>
    </row>
    <row r="29" spans="3:15" x14ac:dyDescent="0.25">
      <c r="C29" s="21"/>
      <c r="D29" t="s">
        <v>31</v>
      </c>
      <c r="E29" s="12" t="s">
        <v>148</v>
      </c>
      <c r="K29" s="27">
        <v>0.13100000000000001</v>
      </c>
      <c r="L29" s="27">
        <v>0.11600000000000001</v>
      </c>
      <c r="M29" s="27">
        <v>0.115</v>
      </c>
      <c r="N29" s="27">
        <v>0.115</v>
      </c>
      <c r="O29" s="27">
        <v>0.115</v>
      </c>
    </row>
    <row r="30" spans="3:15" x14ac:dyDescent="0.25">
      <c r="D30" t="s">
        <v>149</v>
      </c>
      <c r="E30" s="12" t="s">
        <v>30</v>
      </c>
      <c r="K30" s="26">
        <f t="shared" ref="K30:O30" si="4">K29*(1/$F$24)</f>
        <v>3.2750000000000001E-2</v>
      </c>
      <c r="L30" s="26">
        <f t="shared" si="4"/>
        <v>2.9000000000000001E-2</v>
      </c>
      <c r="M30" s="26">
        <f t="shared" si="4"/>
        <v>2.8750000000000001E-2</v>
      </c>
      <c r="N30" s="26">
        <f t="shared" si="4"/>
        <v>2.8750000000000001E-2</v>
      </c>
      <c r="O30" s="26">
        <f t="shared" si="4"/>
        <v>2.8750000000000001E-2</v>
      </c>
    </row>
    <row r="32" spans="3:15" x14ac:dyDescent="0.25">
      <c r="D32" s="1" t="s">
        <v>92</v>
      </c>
      <c r="E32" s="12" t="s">
        <v>30</v>
      </c>
      <c r="F32" s="41">
        <v>1</v>
      </c>
      <c r="K32" s="35">
        <f>CHOOSE(Inflation_switch,K33,K34)</f>
        <v>1</v>
      </c>
      <c r="L32" s="35">
        <f>CHOOSE(Inflation_switch,L33,L34)</f>
        <v>1.0289999999999999</v>
      </c>
      <c r="M32" s="35">
        <f>CHOOSE(Inflation_switch,M33,M34)</f>
        <v>1.0583265625</v>
      </c>
      <c r="N32" s="35">
        <f>CHOOSE(Inflation_switch,N33,N34)</f>
        <v>1.0887534511718751</v>
      </c>
      <c r="O32" s="35">
        <f>CHOOSE(Inflation_switch,O33,O34)</f>
        <v>1.1200551128930665</v>
      </c>
    </row>
    <row r="33" spans="3:15" x14ac:dyDescent="0.25">
      <c r="C33" s="36">
        <v>1</v>
      </c>
      <c r="D33" s="37" t="s">
        <v>90</v>
      </c>
      <c r="E33" s="38" t="s">
        <v>30</v>
      </c>
      <c r="F33" s="37"/>
      <c r="G33" s="37"/>
      <c r="H33" s="37"/>
      <c r="I33" s="37"/>
      <c r="J33" s="37"/>
      <c r="K33" s="39">
        <f>(1+K30)^(K5-1)</f>
        <v>1</v>
      </c>
      <c r="L33" s="39">
        <f t="shared" ref="L33:O33" si="5">(1+L30)^(L5-1)</f>
        <v>1.0289999999999999</v>
      </c>
      <c r="M33" s="39">
        <f t="shared" si="5"/>
        <v>1.0583265625</v>
      </c>
      <c r="N33" s="39">
        <f t="shared" si="5"/>
        <v>1.0887534511718751</v>
      </c>
      <c r="O33" s="39">
        <f t="shared" si="5"/>
        <v>1.1200551128930665</v>
      </c>
    </row>
    <row r="34" spans="3:15" x14ac:dyDescent="0.25">
      <c r="C34" s="36">
        <v>2</v>
      </c>
      <c r="D34" s="37" t="s">
        <v>91</v>
      </c>
      <c r="E34" s="38" t="s">
        <v>30</v>
      </c>
      <c r="F34" s="37"/>
      <c r="G34" s="37"/>
      <c r="H34" s="37"/>
      <c r="I34" s="37"/>
      <c r="J34" s="40">
        <v>1</v>
      </c>
      <c r="K34" s="39">
        <f>J34*(1+K30)</f>
        <v>1.0327500000000001</v>
      </c>
      <c r="L34" s="39">
        <f t="shared" ref="L34:O34" si="6">K34*(1+L30)</f>
        <v>1.0626997499999999</v>
      </c>
      <c r="M34" s="39">
        <f t="shared" si="6"/>
        <v>1.0932523678124999</v>
      </c>
      <c r="N34" s="39">
        <f t="shared" si="6"/>
        <v>1.1246833733871093</v>
      </c>
      <c r="O34" s="39">
        <f t="shared" si="6"/>
        <v>1.1570180203719889</v>
      </c>
    </row>
    <row r="36" spans="3:15" x14ac:dyDescent="0.25">
      <c r="C36" s="21" t="s">
        <v>32</v>
      </c>
    </row>
    <row r="37" spans="3:15" x14ac:dyDescent="0.25">
      <c r="D37" t="s">
        <v>33</v>
      </c>
      <c r="E37" s="12" t="s">
        <v>30</v>
      </c>
      <c r="K37" s="23">
        <v>4.5999999999999999E-2</v>
      </c>
      <c r="L37" s="23">
        <v>4.5999999999999999E-2</v>
      </c>
      <c r="M37" s="23">
        <v>4.5999999999999999E-2</v>
      </c>
      <c r="N37" s="23">
        <v>4.5999999999999999E-2</v>
      </c>
      <c r="O37" s="23">
        <v>4.5999999999999999E-2</v>
      </c>
    </row>
    <row r="39" spans="3:15" x14ac:dyDescent="0.25">
      <c r="D39" s="1" t="s">
        <v>92</v>
      </c>
      <c r="E39" s="12" t="s">
        <v>30</v>
      </c>
      <c r="K39" s="35">
        <f>CHOOSE(Inflation_switch,K40,K41)</f>
        <v>1</v>
      </c>
      <c r="L39" s="35">
        <f>CHOOSE(Inflation_switch,L40,L41)</f>
        <v>1.046</v>
      </c>
      <c r="M39" s="35">
        <f>CHOOSE(Inflation_switch,M40,M41)</f>
        <v>1.0941160000000001</v>
      </c>
      <c r="N39" s="35">
        <f>CHOOSE(Inflation_switch,N40,N41)</f>
        <v>1.1444453360000002</v>
      </c>
      <c r="O39" s="35">
        <f>CHOOSE(Inflation_switch,O40,O41)</f>
        <v>1.1970898214560002</v>
      </c>
    </row>
    <row r="40" spans="3:15" x14ac:dyDescent="0.25">
      <c r="C40" s="36">
        <v>1</v>
      </c>
      <c r="D40" s="37" t="s">
        <v>90</v>
      </c>
      <c r="E40" s="38" t="s">
        <v>30</v>
      </c>
      <c r="F40" s="37"/>
      <c r="G40" s="37"/>
      <c r="H40" s="37"/>
      <c r="I40" s="37"/>
      <c r="J40" s="37"/>
      <c r="K40" s="39">
        <f>(1+K37)^(K5-1)</f>
        <v>1</v>
      </c>
      <c r="L40" s="39">
        <f t="shared" ref="L40:O40" si="7">(1+L37)^(L5-1)</f>
        <v>1.046</v>
      </c>
      <c r="M40" s="39">
        <f t="shared" si="7"/>
        <v>1.0941160000000001</v>
      </c>
      <c r="N40" s="39">
        <f t="shared" si="7"/>
        <v>1.1444453360000002</v>
      </c>
      <c r="O40" s="39">
        <f t="shared" si="7"/>
        <v>1.1970898214560002</v>
      </c>
    </row>
    <row r="41" spans="3:15" x14ac:dyDescent="0.25">
      <c r="C41" s="36">
        <v>2</v>
      </c>
      <c r="D41" s="37" t="s">
        <v>91</v>
      </c>
      <c r="E41" s="38" t="s">
        <v>30</v>
      </c>
      <c r="F41" s="37"/>
      <c r="G41" s="37"/>
      <c r="H41" s="37"/>
      <c r="I41" s="37"/>
      <c r="J41" s="40">
        <v>1</v>
      </c>
      <c r="K41" s="39">
        <f>J41*(1+K37)</f>
        <v>1.046</v>
      </c>
      <c r="L41" s="39">
        <f t="shared" ref="L41:O41" si="8">K41*(1+L37)</f>
        <v>1.0941160000000001</v>
      </c>
      <c r="M41" s="39">
        <f t="shared" si="8"/>
        <v>1.1444453360000002</v>
      </c>
      <c r="N41" s="39">
        <f t="shared" si="8"/>
        <v>1.1970898214560002</v>
      </c>
      <c r="O41" s="39">
        <f t="shared" si="8"/>
        <v>1.2521559532429762</v>
      </c>
    </row>
    <row r="43" spans="3:15" x14ac:dyDescent="0.25">
      <c r="C43" s="21" t="s">
        <v>34</v>
      </c>
    </row>
    <row r="44" spans="3:15" x14ac:dyDescent="0.25">
      <c r="D44" t="s">
        <v>35</v>
      </c>
      <c r="E44" s="12" t="s">
        <v>30</v>
      </c>
      <c r="K44" s="23">
        <v>0.32500000000000001</v>
      </c>
      <c r="L44" s="23">
        <v>0.32500000000000001</v>
      </c>
      <c r="M44" s="23">
        <v>0.32500000000000001</v>
      </c>
      <c r="N44" s="23">
        <v>0.32500000000000001</v>
      </c>
      <c r="O44" s="23">
        <v>0.32500000000000001</v>
      </c>
    </row>
    <row r="46" spans="3:15" x14ac:dyDescent="0.25">
      <c r="C46" s="21" t="s">
        <v>36</v>
      </c>
    </row>
    <row r="47" spans="3:15" x14ac:dyDescent="0.25">
      <c r="D47" t="s">
        <v>37</v>
      </c>
      <c r="E47" s="12" t="s">
        <v>30</v>
      </c>
      <c r="K47" s="24">
        <v>0</v>
      </c>
      <c r="L47" s="24">
        <v>1.02</v>
      </c>
      <c r="M47" s="24">
        <v>1.02</v>
      </c>
      <c r="N47" s="24">
        <v>1.02</v>
      </c>
      <c r="O47" s="24">
        <v>1.02</v>
      </c>
    </row>
    <row r="48" spans="3:15" x14ac:dyDescent="0.25">
      <c r="D48" t="s">
        <v>38</v>
      </c>
      <c r="E48" s="12" t="s">
        <v>30</v>
      </c>
      <c r="F48" s="25">
        <v>5</v>
      </c>
      <c r="K48" s="26">
        <f>1/$F$48</f>
        <v>0.2</v>
      </c>
      <c r="L48" s="26">
        <f t="shared" ref="L48:O48" si="9">1/$F$48</f>
        <v>0.2</v>
      </c>
      <c r="M48" s="26">
        <f t="shared" si="9"/>
        <v>0.2</v>
      </c>
      <c r="N48" s="26">
        <f t="shared" si="9"/>
        <v>0.2</v>
      </c>
      <c r="O48" s="26">
        <f t="shared" si="9"/>
        <v>0.2</v>
      </c>
    </row>
    <row r="50" spans="2:15" x14ac:dyDescent="0.25">
      <c r="C50" s="30" t="s">
        <v>39</v>
      </c>
      <c r="D50" s="30"/>
      <c r="E50" s="44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spans="2:15" x14ac:dyDescent="0.25">
      <c r="C51" s="21" t="s">
        <v>95</v>
      </c>
      <c r="E51" s="45">
        <v>1</v>
      </c>
      <c r="F51" s="46" t="s">
        <v>97</v>
      </c>
    </row>
    <row r="52" spans="2:15" x14ac:dyDescent="0.25">
      <c r="C52" s="34">
        <v>1</v>
      </c>
      <c r="D52" t="s">
        <v>93</v>
      </c>
      <c r="E52"/>
      <c r="F52" s="42">
        <v>427.76</v>
      </c>
    </row>
    <row r="53" spans="2:15" x14ac:dyDescent="0.25">
      <c r="C53" s="34">
        <v>2</v>
      </c>
      <c r="D53" t="s">
        <v>94</v>
      </c>
      <c r="E53"/>
      <c r="F53" s="42">
        <v>710</v>
      </c>
    </row>
    <row r="54" spans="2:15" x14ac:dyDescent="0.25">
      <c r="D54" s="1" t="s">
        <v>96</v>
      </c>
      <c r="E54" s="1"/>
      <c r="F54" s="43">
        <f>CHOOSE(E51,F52,F53)</f>
        <v>427.76</v>
      </c>
      <c r="K54" s="32">
        <f>$F$54</f>
        <v>427.76</v>
      </c>
      <c r="L54" s="32">
        <f t="shared" ref="L54:O54" si="10">$F$54</f>
        <v>427.76</v>
      </c>
      <c r="M54" s="32">
        <f t="shared" si="10"/>
        <v>427.76</v>
      </c>
      <c r="N54" s="32">
        <f t="shared" si="10"/>
        <v>427.76</v>
      </c>
      <c r="O54" s="32">
        <f t="shared" si="10"/>
        <v>427.76</v>
      </c>
    </row>
    <row r="55" spans="2:15" x14ac:dyDescent="0.25">
      <c r="D55" t="s">
        <v>99</v>
      </c>
      <c r="E55"/>
      <c r="J55">
        <f>F54</f>
        <v>427.76</v>
      </c>
      <c r="K55" s="32">
        <f>J55*(1+K57)/(1+K58)</f>
        <v>470.34470153606844</v>
      </c>
      <c r="L55" s="32">
        <f>K55*(1+L57)/(1+L58)</f>
        <v>513.30401614927882</v>
      </c>
      <c r="M55" s="32">
        <f>L55*(1+M57)/(1+M58)</f>
        <v>561.11174314357447</v>
      </c>
      <c r="N55" s="32">
        <f>M55*(1+N57)/(1+N58)</f>
        <v>613.55260724241009</v>
      </c>
      <c r="O55" s="32">
        <f>N55*(1+O57)/(1+O58)</f>
        <v>670.69721281890907</v>
      </c>
    </row>
    <row r="56" spans="2:15" x14ac:dyDescent="0.25">
      <c r="E56"/>
    </row>
    <row r="57" spans="2:15" x14ac:dyDescent="0.25">
      <c r="D57" t="s">
        <v>31</v>
      </c>
      <c r="E57" s="12" t="s">
        <v>30</v>
      </c>
      <c r="F57" s="23">
        <v>0.15</v>
      </c>
      <c r="K57" s="27">
        <v>0.13100000000000001</v>
      </c>
      <c r="L57" s="27">
        <v>0.11600000000000001</v>
      </c>
      <c r="M57" s="27">
        <v>0.115</v>
      </c>
      <c r="N57" s="27">
        <v>0.115</v>
      </c>
      <c r="O57" s="27">
        <v>0.115</v>
      </c>
    </row>
    <row r="58" spans="2:15" x14ac:dyDescent="0.25">
      <c r="D58" t="s">
        <v>98</v>
      </c>
      <c r="E58" s="12" t="s">
        <v>30</v>
      </c>
      <c r="F58" s="23">
        <v>5.5E-2</v>
      </c>
      <c r="K58" s="28">
        <v>2.86E-2</v>
      </c>
      <c r="L58" s="28">
        <v>2.2599999999999999E-2</v>
      </c>
      <c r="M58" s="28">
        <v>0.02</v>
      </c>
      <c r="N58" s="28">
        <v>1.9699999999999999E-2</v>
      </c>
      <c r="O58" s="28">
        <v>0.02</v>
      </c>
    </row>
    <row r="59" spans="2:15" x14ac:dyDescent="0.25">
      <c r="E59"/>
    </row>
    <row r="60" spans="2:15" x14ac:dyDescent="0.25">
      <c r="D60" t="str" cm="1">
        <f t="array" ref="D60">"Model currency in "&amp;INDEX(currency_list,Currency_switch)</f>
        <v>Model currency in Naira</v>
      </c>
      <c r="E60" t="str">
        <f>CHOOSE(Currency_switch,E61,E62)</f>
        <v xml:space="preserve">[₦] </v>
      </c>
      <c r="F60">
        <v>1</v>
      </c>
      <c r="K60" s="43">
        <f>CHOOSE(Currency_switch,K61,K62)</f>
        <v>1</v>
      </c>
      <c r="L60" s="43">
        <f>CHOOSE(Currency_switch,L61,L62)</f>
        <v>1</v>
      </c>
      <c r="M60" s="43">
        <f>CHOOSE(Currency_switch,M61,M62)</f>
        <v>1</v>
      </c>
      <c r="N60" s="43">
        <f>CHOOSE(Currency_switch,N61,N62)</f>
        <v>1</v>
      </c>
      <c r="O60" s="43">
        <f>CHOOSE(Currency_switch,O61,O62)</f>
        <v>1</v>
      </c>
    </row>
    <row r="61" spans="2:15" x14ac:dyDescent="0.25">
      <c r="C61" s="36">
        <v>1</v>
      </c>
      <c r="D61" s="37" t="s">
        <v>87</v>
      </c>
      <c r="E61" s="37" t="s">
        <v>101</v>
      </c>
      <c r="F61" s="37"/>
      <c r="G61" s="37"/>
      <c r="H61" s="37"/>
      <c r="I61" s="37"/>
      <c r="J61" s="37"/>
      <c r="K61" s="37">
        <v>1</v>
      </c>
      <c r="L61" s="37">
        <v>1</v>
      </c>
      <c r="M61" s="37">
        <v>1</v>
      </c>
      <c r="N61" s="37">
        <v>1</v>
      </c>
      <c r="O61" s="37">
        <v>1</v>
      </c>
    </row>
    <row r="62" spans="2:15" x14ac:dyDescent="0.25">
      <c r="C62" s="36">
        <v>2</v>
      </c>
      <c r="D62" s="37" t="s">
        <v>100</v>
      </c>
      <c r="E62" s="37" t="s">
        <v>44</v>
      </c>
      <c r="F62" s="37"/>
      <c r="G62" s="37"/>
      <c r="H62" s="37"/>
      <c r="I62" s="37"/>
      <c r="J62" s="37"/>
      <c r="K62" s="47">
        <f>K61/K55</f>
        <v>2.126100276529457E-3</v>
      </c>
      <c r="L62" s="47">
        <f t="shared" ref="L62:O62" si="11">L61/L55</f>
        <v>1.9481632103754678E-3</v>
      </c>
      <c r="M62" s="47">
        <f t="shared" si="11"/>
        <v>1.7821762103883202E-3</v>
      </c>
      <c r="N62" s="47">
        <f t="shared" si="11"/>
        <v>1.6298520912403317E-3</v>
      </c>
      <c r="O62" s="47">
        <f t="shared" si="11"/>
        <v>1.4909857695651466E-3</v>
      </c>
    </row>
    <row r="63" spans="2:15" x14ac:dyDescent="0.25">
      <c r="E63"/>
    </row>
    <row r="64" spans="2:15" ht="16.3" x14ac:dyDescent="0.3">
      <c r="B64" s="11" t="s">
        <v>40</v>
      </c>
      <c r="C64" s="11"/>
      <c r="D64" s="11"/>
      <c r="E64" s="14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3:15" x14ac:dyDescent="0.25">
      <c r="C65" s="30" t="s">
        <v>41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spans="3:15" x14ac:dyDescent="0.25">
      <c r="C66" s="21" t="s">
        <v>79</v>
      </c>
      <c r="E66"/>
    </row>
    <row r="67" spans="3:15" x14ac:dyDescent="0.25">
      <c r="D67" t="s">
        <v>42</v>
      </c>
      <c r="E67" s="12" t="s">
        <v>44</v>
      </c>
      <c r="H67">
        <f>SUM(K67:O67)</f>
        <v>10000</v>
      </c>
      <c r="K67" s="22">
        <v>10000</v>
      </c>
    </row>
    <row r="68" spans="3:15" x14ac:dyDescent="0.25">
      <c r="D68" t="s">
        <v>43</v>
      </c>
      <c r="E68" s="12" t="s">
        <v>44</v>
      </c>
      <c r="H68">
        <f>SUM(K68:O68)</f>
        <v>15000</v>
      </c>
      <c r="K68" s="22">
        <v>15000</v>
      </c>
    </row>
    <row r="69" spans="3:15" x14ac:dyDescent="0.25">
      <c r="D69" s="1" t="s">
        <v>45</v>
      </c>
      <c r="E69" s="29" t="s">
        <v>44</v>
      </c>
      <c r="H69">
        <f>SUM(H67:H68)</f>
        <v>25000</v>
      </c>
      <c r="K69" s="1">
        <f>SUM(K67:K68)</f>
        <v>25000</v>
      </c>
    </row>
    <row r="70" spans="3:15" x14ac:dyDescent="0.25">
      <c r="D70" t="s">
        <v>45</v>
      </c>
      <c r="E70"/>
    </row>
    <row r="71" spans="3:15" x14ac:dyDescent="0.25">
      <c r="E71"/>
    </row>
    <row r="72" spans="3:15" x14ac:dyDescent="0.25">
      <c r="C72" s="30" t="s">
        <v>46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spans="3:15" x14ac:dyDescent="0.25">
      <c r="D73" t="s">
        <v>47</v>
      </c>
      <c r="E73" s="12" t="s">
        <v>30</v>
      </c>
      <c r="F73" s="23">
        <v>0.14000000000000001</v>
      </c>
    </row>
    <row r="74" spans="3:15" x14ac:dyDescent="0.25">
      <c r="D74" t="s">
        <v>48</v>
      </c>
      <c r="E74" s="12" t="s">
        <v>49</v>
      </c>
      <c r="F74" s="25">
        <v>4</v>
      </c>
    </row>
    <row r="75" spans="3:15" x14ac:dyDescent="0.25">
      <c r="D75" t="s">
        <v>163</v>
      </c>
      <c r="E75" s="12" t="s">
        <v>30</v>
      </c>
      <c r="F75" s="23">
        <v>0.3</v>
      </c>
    </row>
    <row r="76" spans="3:15" x14ac:dyDescent="0.25">
      <c r="D76" t="s">
        <v>89</v>
      </c>
      <c r="E76" s="12" t="s">
        <v>30</v>
      </c>
      <c r="K76" s="28">
        <v>2.29E-2</v>
      </c>
      <c r="L76" s="28">
        <v>2.29E-2</v>
      </c>
      <c r="M76" s="28">
        <v>2.29E-2</v>
      </c>
      <c r="N76" s="28">
        <v>2.29E-2</v>
      </c>
      <c r="O76" s="28">
        <v>2.29E-2</v>
      </c>
    </row>
    <row r="77" spans="3:15" x14ac:dyDescent="0.25">
      <c r="D77" t="s">
        <v>50</v>
      </c>
      <c r="E77" s="12" t="s">
        <v>30</v>
      </c>
      <c r="K77" s="28">
        <v>0.05</v>
      </c>
      <c r="L77" s="28">
        <v>0.05</v>
      </c>
      <c r="M77" s="28">
        <v>0.05</v>
      </c>
      <c r="N77" s="28">
        <v>0.05</v>
      </c>
      <c r="O77" s="28">
        <v>0.05</v>
      </c>
    </row>
    <row r="78" spans="3:15" x14ac:dyDescent="0.25">
      <c r="D78" t="s">
        <v>88</v>
      </c>
      <c r="E78" s="12" t="s">
        <v>30</v>
      </c>
      <c r="K78" s="33">
        <f>K76+K77</f>
        <v>7.2900000000000006E-2</v>
      </c>
      <c r="L78" s="33">
        <f t="shared" ref="L78:O78" si="12">L76+L77</f>
        <v>7.2900000000000006E-2</v>
      </c>
      <c r="M78" s="33">
        <f t="shared" si="12"/>
        <v>7.2900000000000006E-2</v>
      </c>
      <c r="N78" s="33">
        <f t="shared" si="12"/>
        <v>7.2900000000000006E-2</v>
      </c>
      <c r="O78" s="33">
        <f t="shared" si="12"/>
        <v>7.2900000000000006E-2</v>
      </c>
    </row>
    <row r="79" spans="3:15" x14ac:dyDescent="0.25">
      <c r="D79" t="s">
        <v>192</v>
      </c>
      <c r="E79" s="12" t="s">
        <v>30</v>
      </c>
      <c r="F79" s="28">
        <v>4.2500000000000003E-2</v>
      </c>
    </row>
    <row r="80" spans="3:15" x14ac:dyDescent="0.25">
      <c r="D80" t="s">
        <v>193</v>
      </c>
      <c r="E80" s="12" t="s">
        <v>30</v>
      </c>
      <c r="F80" s="28">
        <v>0.5</v>
      </c>
    </row>
    <row r="82" spans="2:15" x14ac:dyDescent="0.25">
      <c r="C82" s="30" t="s">
        <v>51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2:15" x14ac:dyDescent="0.25">
      <c r="D83" t="s">
        <v>52</v>
      </c>
      <c r="E83" s="12" t="s">
        <v>44</v>
      </c>
      <c r="F83" s="28">
        <v>0.05</v>
      </c>
      <c r="K83">
        <f>F83*$K$69</f>
        <v>1250</v>
      </c>
      <c r="L83" s="22"/>
      <c r="M83" s="22"/>
      <c r="N83" s="22"/>
      <c r="O83" s="22"/>
    </row>
    <row r="84" spans="2:15" x14ac:dyDescent="0.25">
      <c r="D84" t="s">
        <v>53</v>
      </c>
      <c r="E84" s="12" t="s">
        <v>44</v>
      </c>
      <c r="F84" s="28">
        <v>0.25</v>
      </c>
      <c r="K84">
        <f>F84*$K$69</f>
        <v>6250</v>
      </c>
      <c r="L84" s="22"/>
      <c r="M84" s="22"/>
      <c r="N84" s="22"/>
      <c r="O84" s="22"/>
    </row>
    <row r="85" spans="2:15" x14ac:dyDescent="0.25">
      <c r="D85" t="s">
        <v>54</v>
      </c>
      <c r="E85" s="12" t="s">
        <v>44</v>
      </c>
      <c r="F85" s="28">
        <v>0.4</v>
      </c>
      <c r="K85">
        <f>F85*$K$69</f>
        <v>10000</v>
      </c>
      <c r="L85" s="22"/>
      <c r="M85" s="22"/>
      <c r="N85" s="22"/>
      <c r="O85" s="22"/>
    </row>
    <row r="86" spans="2:15" x14ac:dyDescent="0.25">
      <c r="D86" t="s">
        <v>55</v>
      </c>
      <c r="E86" s="12" t="s">
        <v>44</v>
      </c>
      <c r="F86" s="28">
        <v>0.15</v>
      </c>
      <c r="K86">
        <f>F86*$K$69</f>
        <v>3750</v>
      </c>
      <c r="L86" s="22"/>
      <c r="M86" s="22"/>
      <c r="N86" s="22"/>
      <c r="O86" s="22"/>
    </row>
    <row r="87" spans="2:15" x14ac:dyDescent="0.25">
      <c r="D87" t="s">
        <v>56</v>
      </c>
      <c r="E87" s="12" t="s">
        <v>44</v>
      </c>
      <c r="K87">
        <f>K69-SUM(K83:K86)</f>
        <v>3750</v>
      </c>
      <c r="L87" s="22"/>
      <c r="M87" s="22"/>
      <c r="N87" s="22"/>
      <c r="O87" s="22"/>
    </row>
    <row r="88" spans="2:15" x14ac:dyDescent="0.25">
      <c r="D88" s="1" t="s">
        <v>57</v>
      </c>
      <c r="E88" s="12" t="s">
        <v>44</v>
      </c>
      <c r="K88" s="1">
        <f>SUM(K83:K87)</f>
        <v>25000</v>
      </c>
      <c r="L88" s="1">
        <f t="shared" ref="L88:O88" si="13">SUM(L83:L87)</f>
        <v>0</v>
      </c>
      <c r="M88" s="1">
        <f t="shared" si="13"/>
        <v>0</v>
      </c>
      <c r="N88" s="1">
        <f t="shared" si="13"/>
        <v>0</v>
      </c>
      <c r="O88" s="1">
        <f t="shared" si="13"/>
        <v>0</v>
      </c>
    </row>
    <row r="90" spans="2:15" ht="16.3" x14ac:dyDescent="0.3">
      <c r="B90" s="11" t="s">
        <v>58</v>
      </c>
      <c r="C90" s="11"/>
      <c r="D90" s="11"/>
      <c r="E90" s="14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2:15" x14ac:dyDescent="0.25">
      <c r="C91" s="30" t="s">
        <v>63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spans="2:15" x14ac:dyDescent="0.25">
      <c r="C92" s="21" t="s">
        <v>59</v>
      </c>
    </row>
    <row r="93" spans="2:15" x14ac:dyDescent="0.25">
      <c r="D93" t="s">
        <v>60</v>
      </c>
      <c r="E93" s="12" t="s">
        <v>16</v>
      </c>
      <c r="K93" s="22">
        <v>7000</v>
      </c>
      <c r="L93">
        <f>K93*(1+L94)</f>
        <v>7000</v>
      </c>
      <c r="M93">
        <f t="shared" ref="M93" si="14">L93*(1+M94)</f>
        <v>7350</v>
      </c>
      <c r="N93">
        <f t="shared" ref="N93" si="15">M93*(1+N94)</f>
        <v>7350</v>
      </c>
      <c r="O93">
        <f t="shared" ref="O93" si="16">N93*(1+O94)</f>
        <v>7717.5</v>
      </c>
    </row>
    <row r="94" spans="2:15" x14ac:dyDescent="0.25">
      <c r="D94" t="s">
        <v>200</v>
      </c>
      <c r="E94" s="12" t="s">
        <v>30</v>
      </c>
      <c r="L94" s="23"/>
      <c r="M94" s="23">
        <v>0.05</v>
      </c>
      <c r="N94" s="23"/>
      <c r="O94" s="23">
        <v>0.05</v>
      </c>
    </row>
    <row r="96" spans="2:15" x14ac:dyDescent="0.25">
      <c r="C96" s="21" t="s">
        <v>67</v>
      </c>
    </row>
    <row r="97" spans="3:15" x14ac:dyDescent="0.25">
      <c r="D97" t="s">
        <v>60</v>
      </c>
      <c r="E97" s="12" t="s">
        <v>68</v>
      </c>
      <c r="K97" s="22">
        <v>5000</v>
      </c>
      <c r="L97">
        <f>K97*(1+L98)</f>
        <v>5250</v>
      </c>
      <c r="M97">
        <f t="shared" ref="M97:O97" si="17">L97*(1+M98)</f>
        <v>5512.5</v>
      </c>
      <c r="N97">
        <f t="shared" si="17"/>
        <v>5788.125</v>
      </c>
      <c r="O97">
        <f t="shared" si="17"/>
        <v>6077.53125</v>
      </c>
    </row>
    <row r="98" spans="3:15" x14ac:dyDescent="0.25">
      <c r="D98" t="s">
        <v>70</v>
      </c>
      <c r="E98" s="12" t="s">
        <v>30</v>
      </c>
      <c r="L98" s="23">
        <v>0.05</v>
      </c>
      <c r="M98" s="23">
        <v>0.05</v>
      </c>
      <c r="N98" s="23">
        <v>0.05</v>
      </c>
      <c r="O98" s="23">
        <v>0.05</v>
      </c>
    </row>
    <row r="100" spans="3:15" x14ac:dyDescent="0.25">
      <c r="C100" s="21" t="s">
        <v>62</v>
      </c>
    </row>
    <row r="101" spans="3:15" x14ac:dyDescent="0.25">
      <c r="D101" t="s">
        <v>61</v>
      </c>
      <c r="E101" s="12" t="s">
        <v>16</v>
      </c>
      <c r="K101" s="22">
        <v>5850</v>
      </c>
      <c r="L101">
        <f>K101*(1+L102)</f>
        <v>5850</v>
      </c>
      <c r="M101">
        <f t="shared" ref="M101" si="18">L101*(1+M102)</f>
        <v>6142.5</v>
      </c>
      <c r="N101">
        <f t="shared" ref="N101" si="19">M101*(1+N102)</f>
        <v>6142.5</v>
      </c>
      <c r="O101">
        <f t="shared" ref="O101" si="20">N101*(1+O102)</f>
        <v>6449.625</v>
      </c>
    </row>
    <row r="102" spans="3:15" x14ac:dyDescent="0.25">
      <c r="D102" t="s">
        <v>200</v>
      </c>
      <c r="E102" s="12" t="s">
        <v>30</v>
      </c>
      <c r="L102" s="23"/>
      <c r="M102" s="23">
        <v>0.05</v>
      </c>
      <c r="N102" s="23"/>
      <c r="O102" s="23">
        <v>0.05</v>
      </c>
    </row>
    <row r="104" spans="3:15" x14ac:dyDescent="0.25">
      <c r="C104" s="21" t="s">
        <v>64</v>
      </c>
    </row>
    <row r="105" spans="3:15" x14ac:dyDescent="0.25">
      <c r="D105" t="s">
        <v>65</v>
      </c>
      <c r="E105" s="12" t="s">
        <v>66</v>
      </c>
      <c r="K105" s="22">
        <v>1500000</v>
      </c>
      <c r="L105">
        <f t="shared" ref="L105:O105" si="21">K105*(1+L106)</f>
        <v>1500000</v>
      </c>
      <c r="M105">
        <f t="shared" si="21"/>
        <v>1500000</v>
      </c>
      <c r="N105">
        <f t="shared" si="21"/>
        <v>1500000</v>
      </c>
      <c r="O105">
        <f t="shared" si="21"/>
        <v>1500000</v>
      </c>
    </row>
    <row r="106" spans="3:15" x14ac:dyDescent="0.25">
      <c r="D106" t="s">
        <v>69</v>
      </c>
      <c r="E106" s="12" t="s">
        <v>30</v>
      </c>
      <c r="L106" s="23"/>
      <c r="M106" s="23"/>
      <c r="N106" s="23"/>
      <c r="O106" s="23"/>
    </row>
    <row r="108" spans="3:15" x14ac:dyDescent="0.25">
      <c r="C108" s="30" t="s">
        <v>71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spans="3:15" x14ac:dyDescent="0.25">
      <c r="C109" s="21" t="s">
        <v>72</v>
      </c>
    </row>
    <row r="110" spans="3:15" x14ac:dyDescent="0.25">
      <c r="D110" t="s">
        <v>74</v>
      </c>
      <c r="E110" s="12" t="s">
        <v>24</v>
      </c>
      <c r="F110" s="22">
        <v>20</v>
      </c>
    </row>
    <row r="111" spans="3:15" x14ac:dyDescent="0.25">
      <c r="D111" t="s">
        <v>75</v>
      </c>
      <c r="E111" s="12" t="s">
        <v>24</v>
      </c>
      <c r="F111" s="22">
        <v>25</v>
      </c>
    </row>
    <row r="112" spans="3:15" x14ac:dyDescent="0.25">
      <c r="D112" t="s">
        <v>76</v>
      </c>
      <c r="E112" s="12" t="s">
        <v>24</v>
      </c>
      <c r="F112" s="22">
        <v>30</v>
      </c>
    </row>
    <row r="114" spans="3:6" x14ac:dyDescent="0.25">
      <c r="C114" s="21" t="s">
        <v>73</v>
      </c>
    </row>
    <row r="115" spans="3:6" x14ac:dyDescent="0.25">
      <c r="D115" t="s">
        <v>77</v>
      </c>
      <c r="E115" s="12" t="s">
        <v>24</v>
      </c>
      <c r="F115" s="22">
        <v>30</v>
      </c>
    </row>
    <row r="116" spans="3:6" x14ac:dyDescent="0.25">
      <c r="D116" t="s">
        <v>78</v>
      </c>
      <c r="E116" s="12" t="s">
        <v>24</v>
      </c>
      <c r="F116" s="22">
        <v>25</v>
      </c>
    </row>
  </sheetData>
  <pageMargins left="0.70866141732283472" right="0.70866141732283472" top="0.74803149606299213" bottom="0.74803149606299213" header="0.31496062992125984" footer="0.31496062992125984"/>
  <pageSetup scale="90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</xdr:col>
                    <xdr:colOff>17253</xdr:colOff>
                    <xdr:row>30</xdr:row>
                    <xdr:rowOff>25879</xdr:rowOff>
                  </from>
                  <to>
                    <xdr:col>3</xdr:col>
                    <xdr:colOff>1147313</xdr:colOff>
                    <xdr:row>31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Drop Down 4">
              <controlPr defaultSize="0" autoLine="0" autoPict="0">
                <anchor moveWithCells="1">
                  <from>
                    <xdr:col>2</xdr:col>
                    <xdr:colOff>224287</xdr:colOff>
                    <xdr:row>58</xdr:row>
                    <xdr:rowOff>43132</xdr:rowOff>
                  </from>
                  <to>
                    <xdr:col>3</xdr:col>
                    <xdr:colOff>767751</xdr:colOff>
                    <xdr:row>59</xdr:row>
                    <xdr:rowOff>17253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87AD-A789-4B76-ADA3-511E0EC1B7F5}">
  <sheetPr>
    <pageSetUpPr fitToPage="1"/>
  </sheetPr>
  <dimension ref="B1:O117"/>
  <sheetViews>
    <sheetView showGridLines="0" zoomScaleNormal="100" workbookViewId="0">
      <pane ySplit="6" topLeftCell="A7" activePane="bottomLeft" state="frozen"/>
      <selection pane="bottomLeft" activeCell="A7" sqref="A7"/>
    </sheetView>
  </sheetViews>
  <sheetFormatPr defaultRowHeight="14.3" x14ac:dyDescent="0.25"/>
  <cols>
    <col min="1" max="3" width="1" customWidth="1"/>
    <col min="4" max="4" width="23.625" bestFit="1" customWidth="1"/>
    <col min="5" max="5" width="9" style="12"/>
    <col min="7" max="7" width="1.125" customWidth="1"/>
    <col min="9" max="9" width="0.875" customWidth="1"/>
    <col min="10" max="10" width="9.75" bestFit="1" customWidth="1"/>
    <col min="11" max="15" width="13.5" bestFit="1" customWidth="1"/>
  </cols>
  <sheetData>
    <row r="1" spans="2:15" ht="4.0999999999999996" customHeight="1" x14ac:dyDescent="0.25"/>
    <row r="2" spans="2:15" ht="21.1" x14ac:dyDescent="0.35">
      <c r="B2" s="2" t="str">
        <f>Coy</f>
        <v>ABC Limited</v>
      </c>
      <c r="C2" s="3"/>
      <c r="D2" s="3"/>
      <c r="E2" s="13"/>
      <c r="F2" s="3"/>
      <c r="G2" s="3"/>
      <c r="H2" s="3"/>
      <c r="I2" s="3"/>
      <c r="J2" s="3"/>
      <c r="K2" s="4">
        <f>J3+1</f>
        <v>44927</v>
      </c>
      <c r="L2" s="4">
        <f t="shared" ref="L2:O2" si="0">K3+1</f>
        <v>45292</v>
      </c>
      <c r="M2" s="4">
        <f t="shared" si="0"/>
        <v>45658</v>
      </c>
      <c r="N2" s="4">
        <f t="shared" si="0"/>
        <v>46023</v>
      </c>
      <c r="O2" s="4">
        <f t="shared" si="0"/>
        <v>46388</v>
      </c>
    </row>
    <row r="3" spans="2:15" x14ac:dyDescent="0.25">
      <c r="B3" s="3"/>
      <c r="C3" s="8" t="s">
        <v>8</v>
      </c>
      <c r="D3" s="3"/>
      <c r="E3" s="13"/>
      <c r="F3" s="3"/>
      <c r="G3" s="3"/>
      <c r="H3" s="3"/>
      <c r="I3" s="3"/>
      <c r="J3" s="4">
        <f>Start_date-1</f>
        <v>44926</v>
      </c>
      <c r="K3" s="4">
        <f>EDATE(K2,12)-1</f>
        <v>45291</v>
      </c>
      <c r="L3" s="4">
        <f t="shared" ref="L3:O3" si="1">EDATE(L2,12)-1</f>
        <v>45657</v>
      </c>
      <c r="M3" s="4">
        <f t="shared" si="1"/>
        <v>46022</v>
      </c>
      <c r="N3" s="4">
        <f t="shared" si="1"/>
        <v>46387</v>
      </c>
      <c r="O3" s="4">
        <f t="shared" si="1"/>
        <v>46752</v>
      </c>
    </row>
    <row r="4" spans="2:15" x14ac:dyDescent="0.25">
      <c r="B4" s="3"/>
      <c r="C4" s="5" t="s">
        <v>7</v>
      </c>
      <c r="D4" s="3"/>
      <c r="E4" s="13"/>
      <c r="F4" s="3"/>
      <c r="G4" s="3"/>
      <c r="H4" s="3"/>
      <c r="I4" s="3"/>
      <c r="J4" s="4"/>
      <c r="K4" s="10">
        <f>YEAR(K2)</f>
        <v>2023</v>
      </c>
      <c r="L4" s="10">
        <f t="shared" ref="L4:O4" si="2">YEAR(L2)</f>
        <v>2024</v>
      </c>
      <c r="M4" s="10">
        <f t="shared" si="2"/>
        <v>2025</v>
      </c>
      <c r="N4" s="10">
        <f t="shared" si="2"/>
        <v>2026</v>
      </c>
      <c r="O4" s="10">
        <f t="shared" si="2"/>
        <v>2027</v>
      </c>
    </row>
    <row r="5" spans="2:15" ht="14.95" thickBot="1" x14ac:dyDescent="0.3">
      <c r="B5" s="6"/>
      <c r="C5" s="7"/>
      <c r="D5" s="7" t="s">
        <v>1</v>
      </c>
      <c r="E5" s="7" t="s">
        <v>2</v>
      </c>
      <c r="F5" s="7" t="s">
        <v>3</v>
      </c>
      <c r="G5" s="7"/>
      <c r="H5" s="7" t="s">
        <v>4</v>
      </c>
      <c r="I5" s="7"/>
      <c r="J5" s="7"/>
      <c r="K5" s="9">
        <f t="shared" ref="K5:O5" si="3">J5+1</f>
        <v>1</v>
      </c>
      <c r="L5" s="9">
        <f t="shared" si="3"/>
        <v>2</v>
      </c>
      <c r="M5" s="9">
        <f t="shared" si="3"/>
        <v>3</v>
      </c>
      <c r="N5" s="9">
        <f t="shared" si="3"/>
        <v>4</v>
      </c>
      <c r="O5" s="9">
        <f t="shared" si="3"/>
        <v>5</v>
      </c>
    </row>
    <row r="6" spans="2:15" x14ac:dyDescent="0.25">
      <c r="B6" s="48"/>
      <c r="C6" s="49" t="str">
        <f>Input!D60</f>
        <v>Model currency in Naira</v>
      </c>
      <c r="D6" s="48"/>
      <c r="E6" s="50"/>
      <c r="F6" s="48"/>
      <c r="G6" s="48"/>
      <c r="H6" s="48"/>
      <c r="I6" s="48"/>
      <c r="J6" s="48"/>
      <c r="K6" s="51">
        <f>Input!K60</f>
        <v>1</v>
      </c>
      <c r="L6" s="51">
        <f>Input!L60</f>
        <v>1</v>
      </c>
      <c r="M6" s="51">
        <f>Input!M60</f>
        <v>1</v>
      </c>
      <c r="N6" s="51">
        <f>Input!N60</f>
        <v>1</v>
      </c>
      <c r="O6" s="51">
        <f>Input!O60</f>
        <v>1</v>
      </c>
    </row>
    <row r="8" spans="2:15" ht="16.3" x14ac:dyDescent="0.3">
      <c r="B8" s="11" t="s">
        <v>102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x14ac:dyDescent="0.25">
      <c r="C9" s="30" t="s">
        <v>103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2:15" x14ac:dyDescent="0.25">
      <c r="C10" s="21" t="s">
        <v>104</v>
      </c>
    </row>
    <row r="11" spans="2:15" x14ac:dyDescent="0.25">
      <c r="D11" t="s">
        <v>105</v>
      </c>
      <c r="E11" s="12" t="s">
        <v>44</v>
      </c>
      <c r="K11">
        <f>J14</f>
        <v>0</v>
      </c>
      <c r="L11">
        <f t="shared" ref="L11:O11" si="4">K14</f>
        <v>11250</v>
      </c>
      <c r="M11">
        <f t="shared" si="4"/>
        <v>7500</v>
      </c>
      <c r="N11">
        <f t="shared" si="4"/>
        <v>3750</v>
      </c>
      <c r="O11">
        <f t="shared" si="4"/>
        <v>0</v>
      </c>
    </row>
    <row r="12" spans="2:15" x14ac:dyDescent="0.25">
      <c r="D12" t="s">
        <v>107</v>
      </c>
      <c r="E12" s="12" t="s">
        <v>44</v>
      </c>
      <c r="H12">
        <f>Input!H68</f>
        <v>15000</v>
      </c>
      <c r="K12">
        <f>Input!K68</f>
        <v>15000</v>
      </c>
      <c r="L12">
        <f>Input!L68</f>
        <v>0</v>
      </c>
      <c r="M12">
        <f>Input!M68</f>
        <v>0</v>
      </c>
      <c r="N12">
        <f>Input!N68</f>
        <v>0</v>
      </c>
      <c r="O12">
        <f>Input!O68</f>
        <v>0</v>
      </c>
    </row>
    <row r="13" spans="2:15" x14ac:dyDescent="0.25">
      <c r="D13" t="s">
        <v>108</v>
      </c>
      <c r="E13" s="12" t="s">
        <v>44</v>
      </c>
      <c r="H13">
        <f>H12/$F$16</f>
        <v>3750</v>
      </c>
      <c r="K13">
        <f>$H$13*K16</f>
        <v>3750</v>
      </c>
      <c r="L13">
        <f t="shared" ref="L13:O13" si="5">$H$13*L16</f>
        <v>3750</v>
      </c>
      <c r="M13">
        <f t="shared" si="5"/>
        <v>3750</v>
      </c>
      <c r="N13">
        <f t="shared" si="5"/>
        <v>3750</v>
      </c>
      <c r="O13">
        <f t="shared" si="5"/>
        <v>0</v>
      </c>
    </row>
    <row r="14" spans="2:15" ht="14.95" thickBot="1" x14ac:dyDescent="0.3">
      <c r="D14" s="52" t="s">
        <v>106</v>
      </c>
      <c r="E14" s="52" t="s">
        <v>44</v>
      </c>
      <c r="F14" s="52"/>
      <c r="G14" s="52"/>
      <c r="H14" s="52"/>
      <c r="I14" s="52"/>
      <c r="J14" s="52"/>
      <c r="K14" s="52">
        <f>K11+K12-K13</f>
        <v>11250</v>
      </c>
      <c r="L14" s="52">
        <f t="shared" ref="L14:O14" si="6">L11+L12-L13</f>
        <v>7500</v>
      </c>
      <c r="M14" s="52">
        <f t="shared" si="6"/>
        <v>3750</v>
      </c>
      <c r="N14" s="52">
        <f t="shared" si="6"/>
        <v>0</v>
      </c>
      <c r="O14" s="52">
        <f t="shared" si="6"/>
        <v>0</v>
      </c>
    </row>
    <row r="15" spans="2:15" ht="14.95" thickTop="1" x14ac:dyDescent="0.25"/>
    <row r="16" spans="2:15" x14ac:dyDescent="0.25">
      <c r="D16" t="s">
        <v>109</v>
      </c>
      <c r="F16" s="31">
        <f>Input!F74</f>
        <v>4</v>
      </c>
      <c r="K16" t="b">
        <f>K5&lt;=$F16</f>
        <v>1</v>
      </c>
      <c r="L16" t="b">
        <f>L5&lt;=$F16</f>
        <v>1</v>
      </c>
      <c r="M16" t="b">
        <f>M5&lt;=$F16</f>
        <v>1</v>
      </c>
      <c r="N16" t="b">
        <f>N5&lt;=$F16</f>
        <v>1</v>
      </c>
      <c r="O16" t="b">
        <f>O5&lt;=$F16</f>
        <v>0</v>
      </c>
    </row>
    <row r="18" spans="3:15" x14ac:dyDescent="0.25">
      <c r="C18" s="53" t="s">
        <v>110</v>
      </c>
      <c r="D18" s="54"/>
      <c r="E18" s="55"/>
      <c r="F18" s="54"/>
      <c r="G18" s="54"/>
      <c r="H18" s="54"/>
      <c r="I18" s="54"/>
      <c r="J18" s="54"/>
      <c r="K18" s="54"/>
      <c r="L18" s="54"/>
      <c r="M18" s="54"/>
      <c r="N18" s="54"/>
      <c r="O18" s="56"/>
    </row>
    <row r="19" spans="3:15" x14ac:dyDescent="0.25">
      <c r="C19" s="57"/>
      <c r="D19" s="58" t="s">
        <v>105</v>
      </c>
      <c r="E19" s="59" t="str">
        <f>ModelCurrency</f>
        <v xml:space="preserve">[₦] </v>
      </c>
      <c r="F19" s="58"/>
      <c r="G19" s="58"/>
      <c r="H19" s="58"/>
      <c r="I19" s="58"/>
      <c r="J19" s="58"/>
      <c r="K19" s="58">
        <f>J23</f>
        <v>0</v>
      </c>
      <c r="L19" s="58">
        <f t="shared" ref="L19:O19" si="7">K23</f>
        <v>5291377.8922807695</v>
      </c>
      <c r="M19" s="58">
        <f t="shared" si="7"/>
        <v>3849780.1211195909</v>
      </c>
      <c r="N19" s="58">
        <f t="shared" si="7"/>
        <v>2104169.0367884045</v>
      </c>
      <c r="O19" s="60">
        <f t="shared" si="7"/>
        <v>0</v>
      </c>
    </row>
    <row r="20" spans="3:15" x14ac:dyDescent="0.25">
      <c r="C20" s="57"/>
      <c r="D20" s="58" t="s">
        <v>107</v>
      </c>
      <c r="E20" s="59" t="str">
        <f>ModelCurrency</f>
        <v xml:space="preserve">[₦] </v>
      </c>
      <c r="F20" s="58"/>
      <c r="G20" s="58"/>
      <c r="H20" s="58"/>
      <c r="I20" s="58"/>
      <c r="J20" s="58"/>
      <c r="K20" s="58">
        <f>IF(Currency_switch=1,K30*K6,K12)</f>
        <v>6416400</v>
      </c>
      <c r="L20" s="58">
        <f>IF(Currency_switch=1,L30*L6,L12)</f>
        <v>0</v>
      </c>
      <c r="M20" s="58">
        <f>IF(Currency_switch=1,M30*M6,M12)</f>
        <v>0</v>
      </c>
      <c r="N20" s="58">
        <f>IF(Currency_switch=1,N30*N6,N12)</f>
        <v>0</v>
      </c>
      <c r="O20" s="60">
        <f>IF(Currency_switch=1,O30*O6,O12)</f>
        <v>0</v>
      </c>
    </row>
    <row r="21" spans="3:15" x14ac:dyDescent="0.25">
      <c r="C21" s="57"/>
      <c r="D21" s="58" t="s">
        <v>108</v>
      </c>
      <c r="E21" s="59" t="str">
        <f>ModelCurrency</f>
        <v xml:space="preserve">[₦] </v>
      </c>
      <c r="F21" s="58"/>
      <c r="G21" s="58"/>
      <c r="H21" s="58"/>
      <c r="I21" s="58"/>
      <c r="J21" s="58"/>
      <c r="K21" s="58">
        <f>K31*K6</f>
        <v>1763792.6307602567</v>
      </c>
      <c r="L21" s="58">
        <f>L31*L6</f>
        <v>1924890.0605597955</v>
      </c>
      <c r="M21" s="58">
        <f>M31*M6</f>
        <v>2104169.0367884045</v>
      </c>
      <c r="N21" s="58">
        <f>N31*N6</f>
        <v>2300822.277159038</v>
      </c>
      <c r="O21" s="60">
        <f>O31*O6</f>
        <v>0</v>
      </c>
    </row>
    <row r="22" spans="3:15" x14ac:dyDescent="0.25">
      <c r="C22" s="57"/>
      <c r="D22" s="58" t="s">
        <v>113</v>
      </c>
      <c r="E22" s="59" t="str">
        <f>ModelCurrency</f>
        <v xml:space="preserve">[₦] </v>
      </c>
      <c r="F22" s="58"/>
      <c r="G22" s="58"/>
      <c r="H22" s="58"/>
      <c r="I22" s="58"/>
      <c r="J22" s="58"/>
      <c r="K22" s="58">
        <f>IF(Currency_switch=1,(K23+K21)-(K19+K20),0)</f>
        <v>638770.52304102667</v>
      </c>
      <c r="L22" s="58">
        <f>IF(Currency_switch=1,(L23+L21)-(L19+L20),0)</f>
        <v>483292.28939861711</v>
      </c>
      <c r="M22" s="58">
        <f>IF(Currency_switch=1,(M23+M21)-(M19+M20),0)</f>
        <v>358557.95245721797</v>
      </c>
      <c r="N22" s="58">
        <f>IF(Currency_switch=1,(N23+N21)-(N19+N20),0)</f>
        <v>196653.24037063355</v>
      </c>
      <c r="O22" s="60">
        <f>IF(Currency_switch=1,(O23+O21)-(O19+O20),0)</f>
        <v>0</v>
      </c>
    </row>
    <row r="23" spans="3:15" x14ac:dyDescent="0.25">
      <c r="C23" s="61"/>
      <c r="D23" s="62" t="s">
        <v>106</v>
      </c>
      <c r="E23" s="62" t="str">
        <f>ModelCurrency</f>
        <v xml:space="preserve">[₦] </v>
      </c>
      <c r="F23" s="62"/>
      <c r="G23" s="62"/>
      <c r="H23" s="62"/>
      <c r="I23" s="62"/>
      <c r="J23" s="62"/>
      <c r="K23" s="62">
        <f>IF(Currency_switch=1,K14*K33,K14)</f>
        <v>5291377.8922807695</v>
      </c>
      <c r="L23" s="62">
        <f>IF(Currency_switch=1,L14*L33,L14)</f>
        <v>3849780.1211195909</v>
      </c>
      <c r="M23" s="62">
        <f>IF(Currency_switch=1,M14*M33,M14)</f>
        <v>2104169.0367884045</v>
      </c>
      <c r="N23" s="62">
        <f>IF(Currency_switch=1,N14*N33,N14)</f>
        <v>0</v>
      </c>
      <c r="O23" s="63">
        <f>IF(Currency_switch=1,O14*O33,O14)</f>
        <v>0</v>
      </c>
    </row>
    <row r="25" spans="3:15" x14ac:dyDescent="0.25">
      <c r="D25" t="s">
        <v>88</v>
      </c>
      <c r="E25" s="12" t="s">
        <v>30</v>
      </c>
      <c r="K25" s="65">
        <f>Input!K78</f>
        <v>7.2900000000000006E-2</v>
      </c>
      <c r="L25" s="65">
        <f>Input!L78</f>
        <v>7.2900000000000006E-2</v>
      </c>
      <c r="M25" s="65">
        <f>Input!M78</f>
        <v>7.2900000000000006E-2</v>
      </c>
      <c r="N25" s="65">
        <f>Input!N78</f>
        <v>7.2900000000000006E-2</v>
      </c>
      <c r="O25" s="65">
        <f>Input!O78</f>
        <v>7.2900000000000006E-2</v>
      </c>
    </row>
    <row r="26" spans="3:15" x14ac:dyDescent="0.25">
      <c r="D26" t="s">
        <v>116</v>
      </c>
      <c r="E26" s="59" t="str">
        <f>ModelCurrency</f>
        <v xml:space="preserve">[₦] </v>
      </c>
      <c r="K26">
        <f>(K19+K20)*K25</f>
        <v>467755.56000000006</v>
      </c>
      <c r="L26">
        <f t="shared" ref="L26:O26" si="8">(L19+L20)*L25</f>
        <v>385741.44834726816</v>
      </c>
      <c r="M26">
        <f t="shared" si="8"/>
        <v>280648.97082961822</v>
      </c>
      <c r="N26">
        <f t="shared" si="8"/>
        <v>153393.92278187469</v>
      </c>
      <c r="O26">
        <f t="shared" si="8"/>
        <v>0</v>
      </c>
    </row>
    <row r="28" spans="3:15" x14ac:dyDescent="0.25">
      <c r="D28" t="s">
        <v>114</v>
      </c>
      <c r="K28">
        <f>K19+K20-K21+K22</f>
        <v>5291377.8922807705</v>
      </c>
      <c r="L28">
        <f t="shared" ref="L28:O28" si="9">L19+L20-L21+L22</f>
        <v>3849780.1211195914</v>
      </c>
      <c r="M28">
        <f t="shared" si="9"/>
        <v>2104169.0367884045</v>
      </c>
      <c r="N28">
        <f t="shared" si="9"/>
        <v>0</v>
      </c>
      <c r="O28">
        <f t="shared" si="9"/>
        <v>0</v>
      </c>
    </row>
    <row r="30" spans="3:15" x14ac:dyDescent="0.25">
      <c r="D30" t="s">
        <v>111</v>
      </c>
      <c r="K30">
        <f>Input!K68*Input!K54</f>
        <v>6416400</v>
      </c>
      <c r="L30">
        <f>Input!L68*Input!L54</f>
        <v>0</v>
      </c>
      <c r="M30">
        <f>Input!M68*Input!M54</f>
        <v>0</v>
      </c>
      <c r="N30">
        <f>Input!N68*Input!N54</f>
        <v>0</v>
      </c>
      <c r="O30">
        <f>Input!O68*Input!O54</f>
        <v>0</v>
      </c>
    </row>
    <row r="31" spans="3:15" x14ac:dyDescent="0.25">
      <c r="D31" t="s">
        <v>112</v>
      </c>
      <c r="K31">
        <f>K13*K33</f>
        <v>1763792.6307602567</v>
      </c>
      <c r="L31">
        <f>L13*L33</f>
        <v>1924890.0605597955</v>
      </c>
      <c r="M31">
        <f>M13*M33</f>
        <v>2104169.0367884045</v>
      </c>
      <c r="N31">
        <f>N13*N33</f>
        <v>2300822.277159038</v>
      </c>
      <c r="O31">
        <f>O13*O33</f>
        <v>0</v>
      </c>
    </row>
    <row r="33" spans="3:15" x14ac:dyDescent="0.25">
      <c r="D33" t="s">
        <v>115</v>
      </c>
      <c r="F33">
        <f>Input!J55</f>
        <v>427.76</v>
      </c>
      <c r="K33">
        <f>Input!K55</f>
        <v>470.34470153606844</v>
      </c>
      <c r="L33">
        <f>Input!L55</f>
        <v>513.30401614927882</v>
      </c>
      <c r="M33">
        <f>Input!M55</f>
        <v>561.11174314357447</v>
      </c>
      <c r="N33">
        <f>Input!N55</f>
        <v>613.55260724241009</v>
      </c>
      <c r="O33">
        <f>Input!O55</f>
        <v>670.69721281890907</v>
      </c>
    </row>
    <row r="35" spans="3:15" x14ac:dyDescent="0.25">
      <c r="C35" s="30" t="s">
        <v>117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3:15" x14ac:dyDescent="0.25">
      <c r="D36" s="37" t="s">
        <v>118</v>
      </c>
      <c r="E36" s="38" t="s">
        <v>16</v>
      </c>
      <c r="F36" s="37"/>
      <c r="G36" s="37"/>
      <c r="H36" s="37"/>
      <c r="I36" s="37"/>
      <c r="J36" s="37"/>
      <c r="K36" s="37">
        <f>Input!K67*K33</f>
        <v>4703447.0153606841</v>
      </c>
      <c r="L36" s="37">
        <f>Input!L67*L33</f>
        <v>0</v>
      </c>
      <c r="M36" s="37">
        <f>Input!M67*M33</f>
        <v>0</v>
      </c>
      <c r="N36" s="37">
        <f>Input!N67*N33</f>
        <v>0</v>
      </c>
      <c r="O36" s="37">
        <f>Input!O67*O33</f>
        <v>0</v>
      </c>
    </row>
    <row r="38" spans="3:15" x14ac:dyDescent="0.25">
      <c r="D38" s="21" t="s">
        <v>117</v>
      </c>
    </row>
    <row r="39" spans="3:15" x14ac:dyDescent="0.25">
      <c r="D39" t="s">
        <v>105</v>
      </c>
      <c r="E39" s="59" t="str">
        <f>ModelCurrency</f>
        <v xml:space="preserve">[₦] </v>
      </c>
      <c r="K39">
        <f>J41</f>
        <v>0</v>
      </c>
      <c r="L39">
        <f t="shared" ref="L39:O39" si="10">K41</f>
        <v>4703447.0153606841</v>
      </c>
      <c r="M39">
        <f t="shared" si="10"/>
        <v>4703447.0153606841</v>
      </c>
      <c r="N39">
        <f t="shared" si="10"/>
        <v>4703447.0153606841</v>
      </c>
      <c r="O39">
        <f t="shared" si="10"/>
        <v>4703447.0153606841</v>
      </c>
    </row>
    <row r="40" spans="3:15" x14ac:dyDescent="0.25">
      <c r="D40" t="s">
        <v>119</v>
      </c>
      <c r="E40" s="59" t="str">
        <f>ModelCurrency</f>
        <v xml:space="preserve">[₦] </v>
      </c>
      <c r="K40">
        <f>K36*K6</f>
        <v>4703447.0153606841</v>
      </c>
      <c r="L40">
        <f t="shared" ref="L40:O40" si="11">L36*L6</f>
        <v>0</v>
      </c>
      <c r="M40">
        <f t="shared" si="11"/>
        <v>0</v>
      </c>
      <c r="N40">
        <f t="shared" si="11"/>
        <v>0</v>
      </c>
      <c r="O40">
        <f t="shared" si="11"/>
        <v>0</v>
      </c>
    </row>
    <row r="41" spans="3:15" ht="14.95" thickBot="1" x14ac:dyDescent="0.3">
      <c r="D41" s="52" t="s">
        <v>106</v>
      </c>
      <c r="E41" s="52" t="str">
        <f>ModelCurrency</f>
        <v xml:space="preserve">[₦] </v>
      </c>
      <c r="F41" s="52"/>
      <c r="G41" s="52"/>
      <c r="H41" s="52"/>
      <c r="I41" s="52"/>
      <c r="J41" s="52"/>
      <c r="K41" s="52">
        <f>K39+K40</f>
        <v>4703447.0153606841</v>
      </c>
      <c r="L41" s="52">
        <f t="shared" ref="L41:O41" si="12">L39+L40</f>
        <v>4703447.0153606841</v>
      </c>
      <c r="M41" s="52">
        <f t="shared" si="12"/>
        <v>4703447.0153606841</v>
      </c>
      <c r="N41" s="52">
        <f t="shared" si="12"/>
        <v>4703447.0153606841</v>
      </c>
      <c r="O41" s="52">
        <f t="shared" si="12"/>
        <v>4703447.0153606841</v>
      </c>
    </row>
    <row r="42" spans="3:15" ht="14.95" thickTop="1" x14ac:dyDescent="0.25"/>
    <row r="43" spans="3:15" x14ac:dyDescent="0.25">
      <c r="D43" s="21" t="s">
        <v>136</v>
      </c>
    </row>
    <row r="44" spans="3:15" x14ac:dyDescent="0.25">
      <c r="D44" t="s">
        <v>105</v>
      </c>
      <c r="E44" s="59" t="str">
        <f>ModelCurrency</f>
        <v xml:space="preserve">[₦] </v>
      </c>
      <c r="K44">
        <f>J47</f>
        <v>0</v>
      </c>
      <c r="L44">
        <f t="shared" ref="L44:O44" si="13">K47</f>
        <v>23296869.086418372</v>
      </c>
      <c r="M44">
        <f t="shared" si="13"/>
        <v>52748787.220124893</v>
      </c>
      <c r="N44">
        <f t="shared" si="13"/>
        <v>91718032.35740076</v>
      </c>
      <c r="O44">
        <f t="shared" si="13"/>
        <v>139320510.20437324</v>
      </c>
    </row>
    <row r="45" spans="3:15" x14ac:dyDescent="0.25">
      <c r="D45" t="s">
        <v>137</v>
      </c>
      <c r="E45" s="59" t="str">
        <f>ModelCurrency</f>
        <v xml:space="preserve">[₦] </v>
      </c>
      <c r="K45">
        <f>Output!K27</f>
        <v>33281241.552026246</v>
      </c>
      <c r="L45">
        <f>Output!L27</f>
        <v>42074168.76243788</v>
      </c>
      <c r="M45">
        <f>Output!M27</f>
        <v>55670350.196108371</v>
      </c>
      <c r="N45">
        <f>Output!N27</f>
        <v>68003539.781389236</v>
      </c>
      <c r="O45">
        <f>Output!O27</f>
        <v>86823007.902304575</v>
      </c>
    </row>
    <row r="46" spans="3:15" x14ac:dyDescent="0.25">
      <c r="D46" t="s">
        <v>138</v>
      </c>
      <c r="E46" s="59" t="str">
        <f>ModelCurrency</f>
        <v xml:space="preserve">[₦] </v>
      </c>
      <c r="K46">
        <f>(K45&gt;0)*(K45*Input!$F$75)</f>
        <v>9984372.4656078741</v>
      </c>
      <c r="L46">
        <f>(L45&gt;0)*(L45*Input!$F$75)</f>
        <v>12622250.628731364</v>
      </c>
      <c r="M46">
        <f>(M45&gt;0)*(M45*Input!$F$75)</f>
        <v>16701105.058832511</v>
      </c>
      <c r="N46">
        <f>(N45&gt;0)*(N45*Input!$F$75)</f>
        <v>20401061.934416771</v>
      </c>
      <c r="O46">
        <f>(O45&gt;0)*(O45*Input!$F$75)</f>
        <v>26046902.37069137</v>
      </c>
    </row>
    <row r="47" spans="3:15" ht="14.95" thickBot="1" x14ac:dyDescent="0.3">
      <c r="D47" s="52" t="s">
        <v>106</v>
      </c>
      <c r="E47" s="52" t="str">
        <f>ModelCurrency</f>
        <v xml:space="preserve">[₦] </v>
      </c>
      <c r="F47" s="52"/>
      <c r="G47" s="52"/>
      <c r="H47" s="52"/>
      <c r="I47" s="52"/>
      <c r="J47" s="52"/>
      <c r="K47" s="52">
        <f>K44+K45-K46</f>
        <v>23296869.086418372</v>
      </c>
      <c r="L47" s="52">
        <f t="shared" ref="L47:O47" si="14">L44+L45-L46</f>
        <v>52748787.220124893</v>
      </c>
      <c r="M47" s="52">
        <f t="shared" si="14"/>
        <v>91718032.35740076</v>
      </c>
      <c r="N47" s="52">
        <f t="shared" si="14"/>
        <v>139320510.20437324</v>
      </c>
      <c r="O47" s="52">
        <f t="shared" si="14"/>
        <v>200096615.73598647</v>
      </c>
    </row>
    <row r="48" spans="3:15" ht="14.95" thickTop="1" x14ac:dyDescent="0.25"/>
    <row r="50" spans="3:15" x14ac:dyDescent="0.25">
      <c r="C50" s="30" t="s">
        <v>51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spans="3:15" x14ac:dyDescent="0.25">
      <c r="D51" s="21" t="s">
        <v>120</v>
      </c>
    </row>
    <row r="52" spans="3:15" x14ac:dyDescent="0.25">
      <c r="D52" s="37" t="str">
        <f>Input!D83</f>
        <v>Registration</v>
      </c>
      <c r="E52" s="38" t="s">
        <v>16</v>
      </c>
      <c r="F52" s="37"/>
      <c r="G52" s="37"/>
      <c r="H52" s="37"/>
      <c r="I52" s="37"/>
      <c r="J52" s="37"/>
      <c r="K52" s="37">
        <f>Input!K83*K$33</f>
        <v>587930.87692008552</v>
      </c>
      <c r="L52" s="37">
        <f>Input!L83*L$33</f>
        <v>0</v>
      </c>
      <c r="M52" s="37">
        <f>Input!M83*M$33</f>
        <v>0</v>
      </c>
      <c r="N52" s="37">
        <f>Input!N83*N$33</f>
        <v>0</v>
      </c>
      <c r="O52" s="37">
        <f>Input!O83*O$33</f>
        <v>0</v>
      </c>
    </row>
    <row r="53" spans="3:15" x14ac:dyDescent="0.25">
      <c r="D53" s="37" t="str">
        <f>Input!D84</f>
        <v>Property, plant &amp; equipment</v>
      </c>
      <c r="E53" s="38" t="s">
        <v>16</v>
      </c>
      <c r="F53" s="37"/>
      <c r="G53" s="37"/>
      <c r="H53" s="37"/>
      <c r="I53" s="37"/>
      <c r="J53" s="37"/>
      <c r="K53" s="37">
        <f>Input!K84*K$33</f>
        <v>2939654.3846004279</v>
      </c>
      <c r="L53" s="37">
        <f>Input!L84*L$33</f>
        <v>0</v>
      </c>
      <c r="M53" s="37">
        <f>Input!M84*M$33</f>
        <v>0</v>
      </c>
      <c r="N53" s="37">
        <f>Input!N84*N$33</f>
        <v>0</v>
      </c>
      <c r="O53" s="37">
        <f>Input!O84*O$33</f>
        <v>0</v>
      </c>
    </row>
    <row r="54" spans="3:15" x14ac:dyDescent="0.25">
      <c r="D54" s="37" t="str">
        <f>Input!D85</f>
        <v>Inventories [device]</v>
      </c>
      <c r="E54" s="38" t="s">
        <v>16</v>
      </c>
      <c r="F54" s="37"/>
      <c r="G54" s="37"/>
      <c r="H54" s="37"/>
      <c r="I54" s="37"/>
      <c r="J54" s="37"/>
      <c r="K54" s="37">
        <f>Input!K85*K$33</f>
        <v>4703447.0153606841</v>
      </c>
      <c r="L54" s="37">
        <f>Input!L85*L$33</f>
        <v>0</v>
      </c>
      <c r="M54" s="37">
        <f>Input!M85*M$33</f>
        <v>0</v>
      </c>
      <c r="N54" s="37">
        <f>Input!N85*N$33</f>
        <v>0</v>
      </c>
      <c r="O54" s="37">
        <f>Input!O85*O$33</f>
        <v>0</v>
      </c>
    </row>
    <row r="55" spans="3:15" x14ac:dyDescent="0.25">
      <c r="D55" s="37" t="str">
        <f>Input!D86</f>
        <v>Prepaid expenses</v>
      </c>
      <c r="E55" s="38" t="s">
        <v>16</v>
      </c>
      <c r="F55" s="37"/>
      <c r="G55" s="37"/>
      <c r="H55" s="37"/>
      <c r="I55" s="37"/>
      <c r="J55" s="37"/>
      <c r="K55" s="37">
        <f>Input!K86*K$33</f>
        <v>1763792.6307602567</v>
      </c>
      <c r="L55" s="37">
        <f>Input!L86*L$33</f>
        <v>0</v>
      </c>
      <c r="M55" s="37">
        <f>Input!M86*M$33</f>
        <v>0</v>
      </c>
      <c r="N55" s="37">
        <f>Input!N86*N$33</f>
        <v>0</v>
      </c>
      <c r="O55" s="37">
        <f>Input!O86*O$33</f>
        <v>0</v>
      </c>
    </row>
    <row r="56" spans="3:15" x14ac:dyDescent="0.25">
      <c r="D56" s="37" t="str">
        <f>Input!D87</f>
        <v>Working cash</v>
      </c>
      <c r="E56" s="38" t="s">
        <v>16</v>
      </c>
      <c r="F56" s="37"/>
      <c r="G56" s="37"/>
      <c r="H56" s="37"/>
      <c r="I56" s="37"/>
      <c r="J56" s="37"/>
      <c r="K56" s="37">
        <f>Input!K87*K$33</f>
        <v>1763792.6307602567</v>
      </c>
      <c r="L56" s="37">
        <f>Input!L87*L$33</f>
        <v>0</v>
      </c>
      <c r="M56" s="37">
        <f>Input!M87*M$33</f>
        <v>0</v>
      </c>
      <c r="N56" s="37">
        <f>Input!N87*N$33</f>
        <v>0</v>
      </c>
      <c r="O56" s="37">
        <f>Input!O87*O$33</f>
        <v>0</v>
      </c>
    </row>
    <row r="57" spans="3:15" x14ac:dyDescent="0.25">
      <c r="D57" s="66" t="str">
        <f>Input!D88</f>
        <v>Total use of funds</v>
      </c>
      <c r="E57" s="38" t="s">
        <v>16</v>
      </c>
      <c r="F57" s="37"/>
      <c r="G57" s="37"/>
      <c r="H57" s="37"/>
      <c r="I57" s="37"/>
      <c r="J57" s="37"/>
      <c r="K57" s="66">
        <f>SUM(K52:K56)</f>
        <v>11758617.53840171</v>
      </c>
      <c r="L57" s="66">
        <f>SUM(L52:L56)</f>
        <v>0</v>
      </c>
      <c r="M57" s="66">
        <f>SUM(M52:M56)</f>
        <v>0</v>
      </c>
      <c r="N57" s="66">
        <f>SUM(N52:N56)</f>
        <v>0</v>
      </c>
      <c r="O57" s="66">
        <f>SUM(O52:O56)</f>
        <v>0</v>
      </c>
    </row>
    <row r="59" spans="3:15" x14ac:dyDescent="0.25">
      <c r="D59" t="str">
        <f>D52</f>
        <v>Registration</v>
      </c>
      <c r="E59" s="59" t="str">
        <f t="shared" ref="E59:E64" si="15">ModelCurrency</f>
        <v xml:space="preserve">[₦] </v>
      </c>
      <c r="K59">
        <f>K52*K$6</f>
        <v>587930.87692008552</v>
      </c>
      <c r="L59">
        <f t="shared" ref="L59:O59" si="16">L52*L$6</f>
        <v>0</v>
      </c>
      <c r="M59">
        <f t="shared" si="16"/>
        <v>0</v>
      </c>
      <c r="N59">
        <f t="shared" si="16"/>
        <v>0</v>
      </c>
      <c r="O59">
        <f t="shared" si="16"/>
        <v>0</v>
      </c>
    </row>
    <row r="60" spans="3:15" x14ac:dyDescent="0.25">
      <c r="D60" t="str">
        <f>D53</f>
        <v>Property, plant &amp; equipment</v>
      </c>
      <c r="E60" s="59" t="str">
        <f t="shared" si="15"/>
        <v xml:space="preserve">[₦] </v>
      </c>
      <c r="K60">
        <f t="shared" ref="K60:O60" si="17">K53*K$6</f>
        <v>2939654.3846004279</v>
      </c>
      <c r="L60">
        <f t="shared" si="17"/>
        <v>0</v>
      </c>
      <c r="M60">
        <f t="shared" si="17"/>
        <v>0</v>
      </c>
      <c r="N60">
        <f t="shared" si="17"/>
        <v>0</v>
      </c>
      <c r="O60">
        <f t="shared" si="17"/>
        <v>0</v>
      </c>
    </row>
    <row r="61" spans="3:15" x14ac:dyDescent="0.25">
      <c r="D61" t="str">
        <f t="shared" ref="D61:D64" si="18">D54</f>
        <v>Inventories [device]</v>
      </c>
      <c r="E61" s="59" t="str">
        <f t="shared" si="15"/>
        <v xml:space="preserve">[₦] </v>
      </c>
      <c r="K61">
        <f t="shared" ref="K61:O61" si="19">K54*K$6</f>
        <v>4703447.0153606841</v>
      </c>
      <c r="L61">
        <f t="shared" si="19"/>
        <v>0</v>
      </c>
      <c r="M61">
        <f t="shared" si="19"/>
        <v>0</v>
      </c>
      <c r="N61">
        <f t="shared" si="19"/>
        <v>0</v>
      </c>
      <c r="O61">
        <f t="shared" si="19"/>
        <v>0</v>
      </c>
    </row>
    <row r="62" spans="3:15" x14ac:dyDescent="0.25">
      <c r="D62" t="str">
        <f t="shared" si="18"/>
        <v>Prepaid expenses</v>
      </c>
      <c r="E62" s="59" t="str">
        <f t="shared" si="15"/>
        <v xml:space="preserve">[₦] </v>
      </c>
      <c r="K62">
        <f t="shared" ref="K62:O62" si="20">K55*K$6</f>
        <v>1763792.6307602567</v>
      </c>
      <c r="L62">
        <f t="shared" si="20"/>
        <v>0</v>
      </c>
      <c r="M62">
        <f t="shared" si="20"/>
        <v>0</v>
      </c>
      <c r="N62">
        <f t="shared" si="20"/>
        <v>0</v>
      </c>
      <c r="O62">
        <f t="shared" si="20"/>
        <v>0</v>
      </c>
    </row>
    <row r="63" spans="3:15" x14ac:dyDescent="0.25">
      <c r="D63" t="str">
        <f t="shared" si="18"/>
        <v>Working cash</v>
      </c>
      <c r="E63" s="59" t="str">
        <f t="shared" si="15"/>
        <v xml:space="preserve">[₦] </v>
      </c>
      <c r="K63">
        <f t="shared" ref="K63:O63" si="21">K56*K$6</f>
        <v>1763792.6307602567</v>
      </c>
      <c r="L63">
        <f t="shared" si="21"/>
        <v>0</v>
      </c>
      <c r="M63">
        <f t="shared" si="21"/>
        <v>0</v>
      </c>
      <c r="N63">
        <f t="shared" si="21"/>
        <v>0</v>
      </c>
      <c r="O63">
        <f t="shared" si="21"/>
        <v>0</v>
      </c>
    </row>
    <row r="64" spans="3:15" ht="14.95" thickBot="1" x14ac:dyDescent="0.3">
      <c r="D64" s="52" t="str">
        <f t="shared" si="18"/>
        <v>Total use of funds</v>
      </c>
      <c r="E64" s="52" t="str">
        <f t="shared" si="15"/>
        <v xml:space="preserve">[₦] </v>
      </c>
      <c r="F64" s="52"/>
      <c r="G64" s="52"/>
      <c r="H64" s="52"/>
      <c r="I64" s="52"/>
      <c r="J64" s="52"/>
      <c r="K64" s="52">
        <f>SUM(K59:K63)</f>
        <v>11758617.53840171</v>
      </c>
      <c r="L64" s="52">
        <f>SUM(L59:L63)</f>
        <v>0</v>
      </c>
      <c r="M64" s="52">
        <f>SUM(M59:M63)</f>
        <v>0</v>
      </c>
      <c r="N64" s="52">
        <f>SUM(N59:N63)</f>
        <v>0</v>
      </c>
      <c r="O64" s="52">
        <f>SUM(O59:O63)</f>
        <v>0</v>
      </c>
    </row>
    <row r="65" spans="2:15" ht="14.95" thickTop="1" x14ac:dyDescent="0.25"/>
    <row r="66" spans="2:15" x14ac:dyDescent="0.25">
      <c r="C66" s="30" t="s">
        <v>121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2:15" x14ac:dyDescent="0.25">
      <c r="D67" t="str">
        <f>D60</f>
        <v>Property, plant &amp; equipment</v>
      </c>
      <c r="E67" s="59" t="str">
        <f>ModelCurrency</f>
        <v xml:space="preserve">[₦] </v>
      </c>
      <c r="K67">
        <f>K60</f>
        <v>2939654.3846004279</v>
      </c>
      <c r="L67">
        <f t="shared" ref="L67:O67" si="22">L60</f>
        <v>0</v>
      </c>
      <c r="M67">
        <f t="shared" si="22"/>
        <v>0</v>
      </c>
      <c r="N67">
        <f t="shared" si="22"/>
        <v>0</v>
      </c>
      <c r="O67">
        <f t="shared" si="22"/>
        <v>0</v>
      </c>
    </row>
    <row r="68" spans="2:15" x14ac:dyDescent="0.25">
      <c r="D68" t="s">
        <v>38</v>
      </c>
      <c r="E68" s="12" t="s">
        <v>30</v>
      </c>
      <c r="K68" s="64">
        <f>Input!K48</f>
        <v>0.2</v>
      </c>
      <c r="L68" s="64">
        <f>Input!L48</f>
        <v>0.2</v>
      </c>
      <c r="M68" s="64">
        <f>Input!M48</f>
        <v>0.2</v>
      </c>
      <c r="N68" s="64">
        <f>Input!N48</f>
        <v>0.2</v>
      </c>
      <c r="O68" s="64">
        <f>Input!O48</f>
        <v>0.2</v>
      </c>
    </row>
    <row r="69" spans="2:15" x14ac:dyDescent="0.25">
      <c r="D69" t="s">
        <v>37</v>
      </c>
      <c r="K69" s="68">
        <f>Input!K47</f>
        <v>0</v>
      </c>
      <c r="L69" s="68">
        <f>Input!L47</f>
        <v>1.02</v>
      </c>
      <c r="M69" s="68">
        <f>Input!M47</f>
        <v>1.02</v>
      </c>
      <c r="N69" s="68">
        <f>Input!N47</f>
        <v>1.02</v>
      </c>
      <c r="O69" s="68">
        <f>Input!O47</f>
        <v>1.02</v>
      </c>
    </row>
    <row r="71" spans="2:15" x14ac:dyDescent="0.25">
      <c r="D71" s="21" t="s">
        <v>122</v>
      </c>
    </row>
    <row r="72" spans="2:15" x14ac:dyDescent="0.25">
      <c r="D72" t="s">
        <v>105</v>
      </c>
      <c r="E72" s="59" t="str">
        <f>ModelCurrency</f>
        <v xml:space="preserve">[₦] </v>
      </c>
      <c r="K72">
        <f>J75</f>
        <v>0</v>
      </c>
      <c r="L72">
        <f t="shared" ref="L72:O72" si="23">K75</f>
        <v>2351723.5076803425</v>
      </c>
      <c r="M72">
        <f t="shared" si="23"/>
        <v>2361130.4017110639</v>
      </c>
      <c r="N72">
        <f t="shared" si="23"/>
        <v>2370574.9233179083</v>
      </c>
      <c r="O72">
        <f t="shared" si="23"/>
        <v>2380057.2230111798</v>
      </c>
    </row>
    <row r="73" spans="2:15" x14ac:dyDescent="0.25">
      <c r="D73" t="s">
        <v>123</v>
      </c>
      <c r="E73" s="59" t="str">
        <f>ModelCurrency</f>
        <v xml:space="preserve">[₦] </v>
      </c>
      <c r="K73">
        <f>K67+(K69*J74)</f>
        <v>2939654.3846004279</v>
      </c>
      <c r="L73">
        <f t="shared" ref="L73:O73" si="24">L67+(L69*K74)</f>
        <v>599689.49445848737</v>
      </c>
      <c r="M73">
        <f t="shared" si="24"/>
        <v>602088.25243632135</v>
      </c>
      <c r="N73">
        <f t="shared" si="24"/>
        <v>604496.60544606659</v>
      </c>
      <c r="O73">
        <f t="shared" si="24"/>
        <v>606914.59186785098</v>
      </c>
    </row>
    <row r="74" spans="2:15" x14ac:dyDescent="0.25">
      <c r="D74" t="s">
        <v>124</v>
      </c>
      <c r="E74" s="59" t="str">
        <f>ModelCurrency</f>
        <v xml:space="preserve">[₦] </v>
      </c>
      <c r="K74">
        <f>(K72+K73)*K68</f>
        <v>587930.87692008563</v>
      </c>
      <c r="L74">
        <f t="shared" ref="L74:O74" si="25">(L72+L73)*L68</f>
        <v>590282.60042776598</v>
      </c>
      <c r="M74">
        <f t="shared" si="25"/>
        <v>592643.73082947708</v>
      </c>
      <c r="N74">
        <f t="shared" si="25"/>
        <v>595014.30575279507</v>
      </c>
      <c r="O74">
        <f t="shared" si="25"/>
        <v>597394.36297580623</v>
      </c>
    </row>
    <row r="75" spans="2:15" ht="14.95" thickBot="1" x14ac:dyDescent="0.3">
      <c r="D75" s="52" t="s">
        <v>106</v>
      </c>
      <c r="E75" s="52" t="str">
        <f>ModelCurrency</f>
        <v xml:space="preserve">[₦] </v>
      </c>
      <c r="F75" s="52"/>
      <c r="G75" s="52"/>
      <c r="H75" s="52"/>
      <c r="I75" s="52"/>
      <c r="J75" s="52"/>
      <c r="K75" s="52">
        <f>K72+K73-K74</f>
        <v>2351723.5076803425</v>
      </c>
      <c r="L75" s="52">
        <f t="shared" ref="L75:O75" si="26">L72+L73-L74</f>
        <v>2361130.4017110639</v>
      </c>
      <c r="M75" s="52">
        <f t="shared" si="26"/>
        <v>2370574.9233179083</v>
      </c>
      <c r="N75" s="52">
        <f t="shared" si="26"/>
        <v>2380057.2230111798</v>
      </c>
      <c r="O75" s="52">
        <f t="shared" si="26"/>
        <v>2389577.4519032249</v>
      </c>
    </row>
    <row r="76" spans="2:15" ht="14.95" thickTop="1" x14ac:dyDescent="0.25"/>
    <row r="77" spans="2:15" ht="16.3" x14ac:dyDescent="0.3">
      <c r="B77" s="11" t="s">
        <v>125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2:15" x14ac:dyDescent="0.25">
      <c r="C78" s="30" t="s">
        <v>126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spans="2:15" x14ac:dyDescent="0.25">
      <c r="D79" s="21" t="s">
        <v>59</v>
      </c>
      <c r="E79"/>
    </row>
    <row r="80" spans="2:15" x14ac:dyDescent="0.25">
      <c r="D80" t="str">
        <f>Input!D39</f>
        <v>Incremental Index</v>
      </c>
      <c r="E80"/>
      <c r="K80" s="68">
        <f>Input!K39</f>
        <v>1</v>
      </c>
      <c r="L80" s="68">
        <f>Input!L39</f>
        <v>1.046</v>
      </c>
      <c r="M80" s="68">
        <f>Input!M39</f>
        <v>1.0941160000000001</v>
      </c>
      <c r="N80" s="68">
        <f>Input!N39</f>
        <v>1.1444453360000002</v>
      </c>
      <c r="O80" s="68">
        <f>Input!O39</f>
        <v>1.1970898214560002</v>
      </c>
    </row>
    <row r="81" spans="3:15" x14ac:dyDescent="0.25">
      <c r="D81" t="str">
        <f>Input!D93</f>
        <v>Electronic device</v>
      </c>
      <c r="E81" s="59" t="str">
        <f>ModelCurrency</f>
        <v xml:space="preserve">[₦] </v>
      </c>
      <c r="K81">
        <f>(Input!K93*K80)*K6</f>
        <v>7000</v>
      </c>
      <c r="L81">
        <f>(Input!L93*L80)*L6</f>
        <v>7322</v>
      </c>
      <c r="M81">
        <f>(Input!M93*M80)*M6</f>
        <v>8041.7526000000007</v>
      </c>
      <c r="N81">
        <f>(Input!N93*N80)*N6</f>
        <v>8411.6732196000012</v>
      </c>
      <c r="O81">
        <f>(Input!O93*O80)*O6</f>
        <v>9238.5406970866807</v>
      </c>
    </row>
    <row r="83" spans="3:15" x14ac:dyDescent="0.25">
      <c r="D83" s="21" t="s">
        <v>67</v>
      </c>
    </row>
    <row r="84" spans="3:15" x14ac:dyDescent="0.25">
      <c r="D84" t="str">
        <f>Input!D97</f>
        <v>Electronic device</v>
      </c>
      <c r="E84" s="12" t="str">
        <f>Input!E97</f>
        <v>[Qty/month]</v>
      </c>
      <c r="K84" s="67">
        <f>Input!K97</f>
        <v>5000</v>
      </c>
      <c r="L84" s="67">
        <f>Input!L97</f>
        <v>5250</v>
      </c>
      <c r="M84" s="67">
        <f>Input!M97</f>
        <v>5512.5</v>
      </c>
      <c r="N84" s="67">
        <f>Input!N97</f>
        <v>5788.125</v>
      </c>
      <c r="O84" s="67">
        <f>Input!O97</f>
        <v>6077.53125</v>
      </c>
    </row>
    <row r="85" spans="3:15" x14ac:dyDescent="0.25">
      <c r="D85" t="str">
        <f>D84</f>
        <v>Electronic device</v>
      </c>
      <c r="E85" s="12" t="s">
        <v>127</v>
      </c>
      <c r="K85">
        <f>K84*Input!$F$22</f>
        <v>60000</v>
      </c>
      <c r="L85">
        <f>L84*Input!$F$22</f>
        <v>63000</v>
      </c>
      <c r="M85">
        <f>M84*Input!$F$22</f>
        <v>66150</v>
      </c>
      <c r="N85">
        <f>N84*Input!$F$22</f>
        <v>69457.5</v>
      </c>
      <c r="O85">
        <f>O84*Input!$F$22</f>
        <v>72930.375</v>
      </c>
    </row>
    <row r="87" spans="3:15" x14ac:dyDescent="0.25">
      <c r="D87" s="1" t="s">
        <v>126</v>
      </c>
      <c r="E87" s="59" t="str">
        <f>ModelCurrency</f>
        <v xml:space="preserve">[₦] </v>
      </c>
      <c r="F87" s="1"/>
      <c r="G87" s="1"/>
      <c r="H87" s="1"/>
      <c r="I87" s="1"/>
      <c r="J87" s="1"/>
      <c r="K87" s="1">
        <f>K81*K85</f>
        <v>420000000</v>
      </c>
      <c r="L87" s="1">
        <f t="shared" ref="L87:O87" si="27">L81*L85</f>
        <v>461286000</v>
      </c>
      <c r="M87" s="1">
        <f t="shared" si="27"/>
        <v>531961934.49000007</v>
      </c>
      <c r="N87" s="1">
        <f t="shared" si="27"/>
        <v>584253792.65036714</v>
      </c>
      <c r="O87" s="1">
        <f t="shared" si="27"/>
        <v>673770237.49129307</v>
      </c>
    </row>
    <row r="89" spans="3:15" x14ac:dyDescent="0.25">
      <c r="C89" s="30" t="s">
        <v>61</v>
      </c>
      <c r="D89" s="30"/>
      <c r="E89" s="72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spans="3:15" x14ac:dyDescent="0.25">
      <c r="D90" s="21" t="s">
        <v>128</v>
      </c>
    </row>
    <row r="91" spans="3:15" x14ac:dyDescent="0.25">
      <c r="D91" t="str">
        <f>Input!D32</f>
        <v>Incremental Index</v>
      </c>
      <c r="K91" s="68">
        <f>Input!K32</f>
        <v>1</v>
      </c>
      <c r="L91" s="68">
        <f>Input!L32</f>
        <v>1.0289999999999999</v>
      </c>
      <c r="M91" s="68">
        <f>Input!M32</f>
        <v>1.0583265625</v>
      </c>
      <c r="N91" s="68">
        <f>Input!N32</f>
        <v>1.0887534511718751</v>
      </c>
      <c r="O91" s="68">
        <f>Input!O32</f>
        <v>1.1200551128930665</v>
      </c>
    </row>
    <row r="92" spans="3:15" x14ac:dyDescent="0.25">
      <c r="D92" t="str">
        <f>Input!D101</f>
        <v>Cost of sales</v>
      </c>
      <c r="E92" s="59" t="str">
        <f>ModelCurrency</f>
        <v xml:space="preserve">[₦] </v>
      </c>
      <c r="K92">
        <f>(Input!K101*K91)*K6</f>
        <v>5850</v>
      </c>
      <c r="L92">
        <f>(Input!L101*L91)*L6</f>
        <v>6019.65</v>
      </c>
      <c r="M92">
        <f>(Input!M101*M91)*M6</f>
        <v>6500.7709101562505</v>
      </c>
      <c r="N92">
        <f>(Input!N101*N91)*N6</f>
        <v>6687.6680738232426</v>
      </c>
      <c r="O92">
        <f>(Input!O101*O91)*O6</f>
        <v>7223.9354574929439</v>
      </c>
    </row>
    <row r="93" spans="3:15" x14ac:dyDescent="0.25">
      <c r="D93" t="str">
        <f>D85</f>
        <v>Electronic device</v>
      </c>
      <c r="E93" s="12" t="str">
        <f>E85</f>
        <v>[Qty/yearly]</v>
      </c>
      <c r="K93">
        <f>K85</f>
        <v>60000</v>
      </c>
      <c r="L93">
        <f t="shared" ref="L93:O93" si="28">L85</f>
        <v>63000</v>
      </c>
      <c r="M93">
        <f t="shared" si="28"/>
        <v>66150</v>
      </c>
      <c r="N93">
        <f t="shared" si="28"/>
        <v>69457.5</v>
      </c>
      <c r="O93">
        <f t="shared" si="28"/>
        <v>72930.375</v>
      </c>
    </row>
    <row r="95" spans="3:15" x14ac:dyDescent="0.25">
      <c r="D95" s="1" t="s">
        <v>61</v>
      </c>
      <c r="E95" s="69" t="str">
        <f>ModelCurrency</f>
        <v xml:space="preserve">[₦] </v>
      </c>
      <c r="F95" s="1"/>
      <c r="G95" s="1"/>
      <c r="H95" s="1"/>
      <c r="I95" s="1"/>
      <c r="J95" s="1"/>
      <c r="K95" s="1">
        <f>K92*K93</f>
        <v>351000000</v>
      </c>
      <c r="L95" s="1">
        <f t="shared" ref="L95:O95" si="29">L92*L93</f>
        <v>379237950</v>
      </c>
      <c r="M95" s="1">
        <f t="shared" si="29"/>
        <v>430025995.70683599</v>
      </c>
      <c r="N95" s="1">
        <f t="shared" si="29"/>
        <v>464508705.23757786</v>
      </c>
      <c r="O95" s="1">
        <f t="shared" si="29"/>
        <v>526844321.89075696</v>
      </c>
    </row>
    <row r="97" spans="3:15" x14ac:dyDescent="0.25">
      <c r="C97" s="30" t="s">
        <v>129</v>
      </c>
      <c r="D97" s="30"/>
      <c r="E97" s="72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spans="3:15" x14ac:dyDescent="0.25">
      <c r="D98" t="str">
        <f>Input!D39</f>
        <v>Incremental Index</v>
      </c>
      <c r="K98" s="68">
        <f>Input!K32</f>
        <v>1</v>
      </c>
      <c r="L98" s="68">
        <f>Input!L32</f>
        <v>1.0289999999999999</v>
      </c>
      <c r="M98" s="68">
        <f>Input!M32</f>
        <v>1.0583265625</v>
      </c>
      <c r="N98" s="68">
        <f>Input!N32</f>
        <v>1.0887534511718751</v>
      </c>
      <c r="O98" s="68">
        <f>Input!O32</f>
        <v>1.1200551128930665</v>
      </c>
    </row>
    <row r="99" spans="3:15" x14ac:dyDescent="0.25">
      <c r="D99" s="1" t="str">
        <f>Input!D105</f>
        <v>SG&amp;A</v>
      </c>
      <c r="E99" s="69" t="str">
        <f>ModelCurrency</f>
        <v xml:space="preserve">[₦] </v>
      </c>
      <c r="F99" s="1"/>
      <c r="G99" s="1"/>
      <c r="H99" s="1"/>
      <c r="I99" s="1"/>
      <c r="J99" s="1"/>
      <c r="K99" s="1">
        <f>((Input!K105*Input!$F$22)*K98)*K6</f>
        <v>18000000</v>
      </c>
      <c r="L99" s="1">
        <f>((Input!L105*Input!$F$22)*L98)*L6</f>
        <v>18522000</v>
      </c>
      <c r="M99" s="1">
        <f>((Input!M105*Input!$F$22)*M98)*M6</f>
        <v>19049878.125</v>
      </c>
      <c r="N99" s="1">
        <f>((Input!N105*Input!$F$22)*N98)*N6</f>
        <v>19597562.12109375</v>
      </c>
      <c r="O99" s="1">
        <f>((Input!O105*Input!$F$22)*O98)*O6</f>
        <v>20160992.032075197</v>
      </c>
    </row>
    <row r="101" spans="3:15" x14ac:dyDescent="0.25">
      <c r="C101" s="30" t="s">
        <v>130</v>
      </c>
      <c r="D101" s="30"/>
      <c r="E101" s="72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spans="3:15" x14ac:dyDescent="0.25">
      <c r="D102" t="s">
        <v>126</v>
      </c>
      <c r="E102" s="71" t="str">
        <f>ModelCurrency</f>
        <v xml:space="preserve">[₦] </v>
      </c>
      <c r="K102">
        <f>K87</f>
        <v>420000000</v>
      </c>
      <c r="L102">
        <f t="shared" ref="L102:O102" si="30">L87</f>
        <v>461286000</v>
      </c>
      <c r="M102">
        <f t="shared" si="30"/>
        <v>531961934.49000007</v>
      </c>
      <c r="N102">
        <f t="shared" si="30"/>
        <v>584253792.65036714</v>
      </c>
      <c r="O102">
        <f t="shared" si="30"/>
        <v>673770237.49129307</v>
      </c>
    </row>
    <row r="103" spans="3:15" x14ac:dyDescent="0.25">
      <c r="D103" t="s">
        <v>61</v>
      </c>
      <c r="E103" s="71" t="str">
        <f>ModelCurrency</f>
        <v xml:space="preserve">[₦] </v>
      </c>
      <c r="K103">
        <f>K95</f>
        <v>351000000</v>
      </c>
      <c r="L103">
        <f t="shared" ref="L103:O103" si="31">L95</f>
        <v>379237950</v>
      </c>
      <c r="M103">
        <f t="shared" si="31"/>
        <v>430025995.70683599</v>
      </c>
      <c r="N103">
        <f t="shared" si="31"/>
        <v>464508705.23757786</v>
      </c>
      <c r="O103">
        <f t="shared" si="31"/>
        <v>526844321.89075696</v>
      </c>
    </row>
    <row r="104" spans="3:15" x14ac:dyDescent="0.25">
      <c r="D104" t="s">
        <v>65</v>
      </c>
      <c r="E104" s="71" t="str">
        <f>ModelCurrency</f>
        <v xml:space="preserve">[₦] </v>
      </c>
      <c r="K104">
        <f>K99</f>
        <v>18000000</v>
      </c>
      <c r="L104">
        <f t="shared" ref="L104:O104" si="32">L99</f>
        <v>18522000</v>
      </c>
      <c r="M104">
        <f t="shared" si="32"/>
        <v>19049878.125</v>
      </c>
      <c r="N104">
        <f t="shared" si="32"/>
        <v>19597562.12109375</v>
      </c>
      <c r="O104">
        <f t="shared" si="32"/>
        <v>20160992.032075197</v>
      </c>
    </row>
    <row r="106" spans="3:15" x14ac:dyDescent="0.25">
      <c r="D106" s="21" t="s">
        <v>72</v>
      </c>
    </row>
    <row r="107" spans="3:15" x14ac:dyDescent="0.25">
      <c r="D107" t="s">
        <v>74</v>
      </c>
      <c r="E107" s="71" t="str">
        <f>ModelCurrency</f>
        <v xml:space="preserve">[₦] </v>
      </c>
      <c r="F107" s="67">
        <f>Input!F110</f>
        <v>20</v>
      </c>
      <c r="K107">
        <f t="shared" ref="K107:O109" si="33">$F107/DaysaYear*K102</f>
        <v>23013698.630136985</v>
      </c>
      <c r="L107">
        <f t="shared" si="33"/>
        <v>25275945.205479451</v>
      </c>
      <c r="M107">
        <f t="shared" si="33"/>
        <v>29148599.150136989</v>
      </c>
      <c r="N107">
        <f t="shared" si="33"/>
        <v>32013906.446595456</v>
      </c>
      <c r="O107">
        <f t="shared" si="33"/>
        <v>36918917.12281058</v>
      </c>
    </row>
    <row r="108" spans="3:15" x14ac:dyDescent="0.25">
      <c r="D108" t="s">
        <v>75</v>
      </c>
      <c r="E108" s="71" t="str">
        <f>ModelCurrency</f>
        <v xml:space="preserve">[₦] </v>
      </c>
      <c r="F108" s="67">
        <f>Input!F111</f>
        <v>25</v>
      </c>
      <c r="K108">
        <f t="shared" si="33"/>
        <v>24041095.890410956</v>
      </c>
      <c r="L108">
        <f t="shared" si="33"/>
        <v>25975202.05479452</v>
      </c>
      <c r="M108">
        <f t="shared" si="33"/>
        <v>29453835.322386026</v>
      </c>
      <c r="N108">
        <f t="shared" si="33"/>
        <v>31815664.742299851</v>
      </c>
      <c r="O108">
        <f t="shared" si="33"/>
        <v>36085227.526764177</v>
      </c>
    </row>
    <row r="109" spans="3:15" x14ac:dyDescent="0.25">
      <c r="D109" t="s">
        <v>76</v>
      </c>
      <c r="E109" s="71" t="str">
        <f>ModelCurrency</f>
        <v xml:space="preserve">[₦] </v>
      </c>
      <c r="F109" s="67">
        <f>Input!F112</f>
        <v>30</v>
      </c>
      <c r="K109">
        <f t="shared" si="33"/>
        <v>1479452.0547945204</v>
      </c>
      <c r="L109">
        <f t="shared" si="33"/>
        <v>1522356.1643835616</v>
      </c>
      <c r="M109">
        <f t="shared" si="33"/>
        <v>1565743.4075342466</v>
      </c>
      <c r="N109">
        <f t="shared" si="33"/>
        <v>1610758.530500856</v>
      </c>
      <c r="O109">
        <f t="shared" si="33"/>
        <v>1657067.8382527558</v>
      </c>
    </row>
    <row r="110" spans="3:15" x14ac:dyDescent="0.25">
      <c r="D110" s="1" t="s">
        <v>131</v>
      </c>
      <c r="E110" s="71" t="str">
        <f>ModelCurrency</f>
        <v xml:space="preserve">[₦] </v>
      </c>
      <c r="K110" s="1">
        <f>SUM(K107:K109)</f>
        <v>48534246.575342461</v>
      </c>
      <c r="L110" s="1">
        <f t="shared" ref="L110:O110" si="34">SUM(L107:L109)</f>
        <v>52773503.424657531</v>
      </c>
      <c r="M110" s="1">
        <f t="shared" si="34"/>
        <v>60168177.880057268</v>
      </c>
      <c r="N110" s="1">
        <f t="shared" si="34"/>
        <v>65440329.719396167</v>
      </c>
      <c r="O110" s="1">
        <f t="shared" si="34"/>
        <v>74661212.48782751</v>
      </c>
    </row>
    <row r="112" spans="3:15" x14ac:dyDescent="0.25">
      <c r="D112" s="21" t="s">
        <v>73</v>
      </c>
    </row>
    <row r="113" spans="4:15" x14ac:dyDescent="0.25">
      <c r="D113" t="s">
        <v>77</v>
      </c>
      <c r="E113" s="71" t="str">
        <f>ModelCurrency</f>
        <v xml:space="preserve">[₦] </v>
      </c>
      <c r="F113" s="67">
        <f>Input!F115</f>
        <v>30</v>
      </c>
      <c r="K113">
        <f t="shared" ref="K113:O114" si="35">$F113/DaysaYear*K103</f>
        <v>28849315.06849315</v>
      </c>
      <c r="L113">
        <f t="shared" si="35"/>
        <v>31170242.465753421</v>
      </c>
      <c r="M113">
        <f t="shared" si="35"/>
        <v>35344602.386863232</v>
      </c>
      <c r="N113">
        <f t="shared" si="35"/>
        <v>38178797.690759823</v>
      </c>
      <c r="O113">
        <f t="shared" si="35"/>
        <v>43302273.032117009</v>
      </c>
    </row>
    <row r="114" spans="4:15" x14ac:dyDescent="0.25">
      <c r="D114" t="s">
        <v>78</v>
      </c>
      <c r="E114" s="71" t="str">
        <f>ModelCurrency</f>
        <v xml:space="preserve">[₦] </v>
      </c>
      <c r="F114" s="67">
        <f>Input!F116</f>
        <v>25</v>
      </c>
      <c r="K114">
        <f t="shared" si="35"/>
        <v>1232876.7123287672</v>
      </c>
      <c r="L114">
        <f t="shared" si="35"/>
        <v>1268630.1369863013</v>
      </c>
      <c r="M114">
        <f t="shared" si="35"/>
        <v>1304786.1729452054</v>
      </c>
      <c r="N114">
        <f t="shared" si="35"/>
        <v>1342298.77541738</v>
      </c>
      <c r="O114">
        <f t="shared" si="35"/>
        <v>1380889.8652106298</v>
      </c>
    </row>
    <row r="115" spans="4:15" x14ac:dyDescent="0.25">
      <c r="D115" s="1" t="s">
        <v>132</v>
      </c>
      <c r="E115" s="71" t="str">
        <f>ModelCurrency</f>
        <v xml:space="preserve">[₦] </v>
      </c>
      <c r="K115" s="1">
        <f>SUM(K113:K114)</f>
        <v>30082191.780821916</v>
      </c>
      <c r="L115" s="1">
        <f t="shared" ref="L115:O115" si="36">SUM(L113:L114)</f>
        <v>32438872.602739722</v>
      </c>
      <c r="M115" s="1">
        <f t="shared" si="36"/>
        <v>36649388.559808441</v>
      </c>
      <c r="N115" s="1">
        <f t="shared" si="36"/>
        <v>39521096.466177203</v>
      </c>
      <c r="O115" s="1">
        <f t="shared" si="36"/>
        <v>44683162.897327639</v>
      </c>
    </row>
    <row r="116" spans="4:15" x14ac:dyDescent="0.25">
      <c r="D116" t="s">
        <v>133</v>
      </c>
      <c r="E116" s="71" t="str">
        <f>ModelCurrency</f>
        <v xml:space="preserve">[₦] </v>
      </c>
      <c r="K116" s="70">
        <f>K110-K115</f>
        <v>18452054.794520546</v>
      </c>
      <c r="L116" s="70">
        <f t="shared" ref="L116:O116" si="37">L110-L115</f>
        <v>20334630.82191781</v>
      </c>
      <c r="M116" s="70">
        <f t="shared" si="37"/>
        <v>23518789.320248827</v>
      </c>
      <c r="N116" s="70">
        <f t="shared" si="37"/>
        <v>25919233.253218964</v>
      </c>
      <c r="O116" s="70">
        <f t="shared" si="37"/>
        <v>29978049.59049987</v>
      </c>
    </row>
    <row r="117" spans="4:15" x14ac:dyDescent="0.25">
      <c r="D117" t="s">
        <v>134</v>
      </c>
      <c r="E117" s="71" t="str">
        <f>ModelCurrency</f>
        <v xml:space="preserve">[₦] </v>
      </c>
      <c r="K117">
        <f>J116-K116</f>
        <v>-18452054.794520546</v>
      </c>
      <c r="L117">
        <f t="shared" ref="L117:O117" si="38">K116-L116</f>
        <v>-1882576.0273972638</v>
      </c>
      <c r="M117">
        <f t="shared" si="38"/>
        <v>-3184158.4983310178</v>
      </c>
      <c r="N117">
        <f t="shared" si="38"/>
        <v>-2400443.9329701364</v>
      </c>
      <c r="O117">
        <f t="shared" si="38"/>
        <v>-4058816.3372809067</v>
      </c>
    </row>
  </sheetData>
  <pageMargins left="0.70866141732283472" right="0.70866141732283472" top="0.74803149606299213" bottom="0.74803149606299213" header="0.31496062992125984" footer="0.31496062992125984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5</xdr:row>
                    <xdr:rowOff>8626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5C2-5763-487F-B406-CEFFD9B00247}">
  <sheetPr>
    <pageSetUpPr fitToPage="1"/>
  </sheetPr>
  <dimension ref="B1:O84"/>
  <sheetViews>
    <sheetView showGridLines="0" zoomScaleNormal="100" workbookViewId="0">
      <pane ySplit="6" topLeftCell="A7" activePane="bottomLeft" state="frozen"/>
      <selection pane="bottomLeft" activeCell="A7" sqref="A7"/>
    </sheetView>
  </sheetViews>
  <sheetFormatPr defaultRowHeight="14.3" x14ac:dyDescent="0.25"/>
  <cols>
    <col min="1" max="3" width="1" customWidth="1"/>
    <col min="4" max="4" width="22.875" bestFit="1" customWidth="1"/>
    <col min="5" max="5" width="4" style="12" bestFit="1" customWidth="1"/>
    <col min="6" max="6" width="5" bestFit="1" customWidth="1"/>
    <col min="7" max="7" width="1.125" customWidth="1"/>
    <col min="9" max="9" width="0.875" customWidth="1"/>
    <col min="10" max="10" width="7.875" bestFit="1" customWidth="1"/>
    <col min="11" max="11" width="12.5" bestFit="1" customWidth="1"/>
    <col min="12" max="15" width="9.75" bestFit="1" customWidth="1"/>
  </cols>
  <sheetData>
    <row r="1" spans="2:15" ht="4.0999999999999996" customHeight="1" x14ac:dyDescent="0.25"/>
    <row r="2" spans="2:15" ht="21.1" x14ac:dyDescent="0.35">
      <c r="B2" s="2" t="str">
        <f>Coy</f>
        <v>ABC Limited</v>
      </c>
      <c r="C2" s="3"/>
      <c r="D2" s="3"/>
      <c r="E2" s="13"/>
      <c r="F2" s="3"/>
      <c r="G2" s="3"/>
      <c r="H2" s="3"/>
      <c r="I2" s="3"/>
      <c r="J2" s="3"/>
      <c r="K2" s="4">
        <f>J3+1</f>
        <v>44927</v>
      </c>
      <c r="L2" s="4">
        <f t="shared" ref="L2:O2" si="0">K3+1</f>
        <v>45292</v>
      </c>
      <c r="M2" s="4">
        <f t="shared" si="0"/>
        <v>45658</v>
      </c>
      <c r="N2" s="4">
        <f t="shared" si="0"/>
        <v>46023</v>
      </c>
      <c r="O2" s="4">
        <f t="shared" si="0"/>
        <v>46388</v>
      </c>
    </row>
    <row r="3" spans="2:15" x14ac:dyDescent="0.25">
      <c r="B3" s="3"/>
      <c r="C3" s="8" t="s">
        <v>8</v>
      </c>
      <c r="D3" s="3"/>
      <c r="E3" s="13"/>
      <c r="F3" s="3"/>
      <c r="G3" s="3"/>
      <c r="H3" s="3"/>
      <c r="I3" s="3"/>
      <c r="J3" s="76">
        <f>Start_date-1</f>
        <v>44926</v>
      </c>
      <c r="K3" s="4">
        <f>EDATE(K2,12)-1</f>
        <v>45291</v>
      </c>
      <c r="L3" s="4">
        <f t="shared" ref="L3:O3" si="1">EDATE(L2,12)-1</f>
        <v>45657</v>
      </c>
      <c r="M3" s="4">
        <f t="shared" si="1"/>
        <v>46022</v>
      </c>
      <c r="N3" s="4">
        <f t="shared" si="1"/>
        <v>46387</v>
      </c>
      <c r="O3" s="4">
        <f t="shared" si="1"/>
        <v>46752</v>
      </c>
    </row>
    <row r="4" spans="2:15" x14ac:dyDescent="0.25">
      <c r="B4" s="3"/>
      <c r="C4" s="5" t="s">
        <v>6</v>
      </c>
      <c r="D4" s="3"/>
      <c r="E4" s="13"/>
      <c r="F4" s="3"/>
      <c r="G4" s="3"/>
      <c r="H4" s="3"/>
      <c r="I4" s="3"/>
      <c r="J4" s="4"/>
      <c r="K4" s="10">
        <v>2022</v>
      </c>
      <c r="L4" s="10">
        <v>2022</v>
      </c>
      <c r="M4" s="10">
        <v>2022</v>
      </c>
      <c r="N4" s="10">
        <v>2022</v>
      </c>
      <c r="O4" s="10">
        <v>2022</v>
      </c>
    </row>
    <row r="5" spans="2:15" ht="14.95" thickBot="1" x14ac:dyDescent="0.3">
      <c r="B5" s="6"/>
      <c r="C5" s="7"/>
      <c r="D5" s="7" t="s">
        <v>1</v>
      </c>
      <c r="E5" s="7" t="s">
        <v>2</v>
      </c>
      <c r="F5" s="7" t="s">
        <v>3</v>
      </c>
      <c r="G5" s="7"/>
      <c r="H5" s="7" t="s">
        <v>4</v>
      </c>
      <c r="I5" s="7"/>
      <c r="J5" s="7"/>
      <c r="K5" s="9">
        <f t="shared" ref="K5:O5" si="2">J5+1</f>
        <v>1</v>
      </c>
      <c r="L5" s="9">
        <f t="shared" si="2"/>
        <v>2</v>
      </c>
      <c r="M5" s="9">
        <f t="shared" si="2"/>
        <v>3</v>
      </c>
      <c r="N5" s="9">
        <f t="shared" si="2"/>
        <v>4</v>
      </c>
      <c r="O5" s="9">
        <f t="shared" si="2"/>
        <v>5</v>
      </c>
    </row>
    <row r="6" spans="2:15" x14ac:dyDescent="0.25">
      <c r="B6" s="48"/>
      <c r="C6" s="49" t="str">
        <f>Input!D60</f>
        <v>Model currency in Naira</v>
      </c>
      <c r="D6" s="48"/>
      <c r="E6" s="50"/>
      <c r="F6" s="48"/>
      <c r="G6" s="48"/>
      <c r="H6" s="48"/>
      <c r="I6" s="48"/>
      <c r="J6" s="48"/>
      <c r="K6" s="51">
        <f>Input!K60</f>
        <v>1</v>
      </c>
      <c r="L6" s="51">
        <f>Input!L60</f>
        <v>1</v>
      </c>
      <c r="M6" s="51">
        <f>Input!M60</f>
        <v>1</v>
      </c>
      <c r="N6" s="51">
        <f>Input!N60</f>
        <v>1</v>
      </c>
      <c r="O6" s="51">
        <f>Input!O60</f>
        <v>1</v>
      </c>
    </row>
    <row r="8" spans="2:15" x14ac:dyDescent="0.25">
      <c r="B8" s="30" t="s">
        <v>139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2:15" x14ac:dyDescent="0.25">
      <c r="D9" t="s">
        <v>126</v>
      </c>
      <c r="E9" s="12" t="str">
        <f t="shared" ref="E9:E27" si="3">ModelCurrency</f>
        <v xml:space="preserve">[₦] </v>
      </c>
      <c r="K9" s="73">
        <f>Calc!K87</f>
        <v>420000000</v>
      </c>
      <c r="L9" s="73">
        <f>Calc!L87</f>
        <v>461286000</v>
      </c>
      <c r="M9" s="73">
        <f>Calc!M87</f>
        <v>531961934.49000007</v>
      </c>
      <c r="N9" s="73">
        <f>Calc!N87</f>
        <v>584253792.65036714</v>
      </c>
      <c r="O9" s="73">
        <f>Calc!O87</f>
        <v>673770237.49129307</v>
      </c>
    </row>
    <row r="10" spans="2:15" x14ac:dyDescent="0.25">
      <c r="D10" s="81" t="s">
        <v>199</v>
      </c>
      <c r="E10" s="82" t="s">
        <v>30</v>
      </c>
      <c r="F10" s="81"/>
      <c r="G10" s="81"/>
      <c r="H10" s="81"/>
      <c r="I10" s="81"/>
      <c r="J10" s="81"/>
      <c r="K10" s="83"/>
      <c r="L10" s="84">
        <f>L9/K9-1</f>
        <v>9.8300000000000054E-2</v>
      </c>
      <c r="M10" s="84">
        <f t="shared" ref="M10:O10" si="4">M9/L9-1</f>
        <v>0.1532150000000001</v>
      </c>
      <c r="N10" s="84">
        <f t="shared" si="4"/>
        <v>9.8300000000000054E-2</v>
      </c>
      <c r="O10" s="84">
        <f t="shared" si="4"/>
        <v>0.15321499999999988</v>
      </c>
    </row>
    <row r="11" spans="2:15" x14ac:dyDescent="0.25">
      <c r="D11" t="s">
        <v>61</v>
      </c>
      <c r="E11" s="12" t="str">
        <f t="shared" si="3"/>
        <v xml:space="preserve">[₦] </v>
      </c>
      <c r="K11" s="74">
        <f>Calc!K95</f>
        <v>351000000</v>
      </c>
      <c r="L11" s="74">
        <f>Calc!L95</f>
        <v>379237950</v>
      </c>
      <c r="M11" s="74">
        <f>Calc!M95</f>
        <v>430025995.70683599</v>
      </c>
      <c r="N11" s="74">
        <f>Calc!N95</f>
        <v>464508705.23757786</v>
      </c>
      <c r="O11" s="74">
        <f>Calc!O95</f>
        <v>526844321.89075696</v>
      </c>
    </row>
    <row r="12" spans="2:15" x14ac:dyDescent="0.25">
      <c r="D12" s="1" t="s">
        <v>140</v>
      </c>
      <c r="E12" s="12" t="str">
        <f t="shared" si="3"/>
        <v xml:space="preserve">[₦] </v>
      </c>
      <c r="K12" s="75">
        <f>K9-K11</f>
        <v>69000000</v>
      </c>
      <c r="L12" s="75">
        <f t="shared" ref="L12:O12" si="5">L9-L11</f>
        <v>82048050</v>
      </c>
      <c r="M12" s="75">
        <f t="shared" si="5"/>
        <v>101935938.78316408</v>
      </c>
      <c r="N12" s="75">
        <f t="shared" si="5"/>
        <v>119745087.41278929</v>
      </c>
      <c r="O12" s="75">
        <f t="shared" si="5"/>
        <v>146925915.60053611</v>
      </c>
    </row>
    <row r="13" spans="2:15" x14ac:dyDescent="0.25">
      <c r="D13" s="81" t="s">
        <v>198</v>
      </c>
      <c r="E13" s="82" t="s">
        <v>30</v>
      </c>
      <c r="F13" s="81"/>
      <c r="G13" s="81"/>
      <c r="H13" s="81"/>
      <c r="I13" s="81"/>
      <c r="J13" s="81"/>
      <c r="K13" s="84">
        <f>K12/K9</f>
        <v>0.16428571428571428</v>
      </c>
      <c r="L13" s="84">
        <f t="shared" ref="L13:O13" si="6">L12/L9</f>
        <v>0.177868068833652</v>
      </c>
      <c r="M13" s="84">
        <f t="shared" si="6"/>
        <v>0.19162261841327352</v>
      </c>
      <c r="N13" s="84">
        <f t="shared" si="6"/>
        <v>0.20495388976353279</v>
      </c>
      <c r="O13" s="84">
        <f t="shared" si="6"/>
        <v>0.21806530984152411</v>
      </c>
    </row>
    <row r="14" spans="2:15" x14ac:dyDescent="0.25">
      <c r="D14" t="s">
        <v>65</v>
      </c>
      <c r="E14" s="12" t="str">
        <f t="shared" si="3"/>
        <v xml:space="preserve">[₦] </v>
      </c>
      <c r="K14" s="74">
        <f>Calc!K99</f>
        <v>18000000</v>
      </c>
      <c r="L14" s="74">
        <f>Calc!L99</f>
        <v>18522000</v>
      </c>
      <c r="M14" s="74">
        <f>Calc!M99</f>
        <v>19049878.125</v>
      </c>
      <c r="N14" s="74">
        <f>Calc!N99</f>
        <v>19597562.12109375</v>
      </c>
      <c r="O14" s="74">
        <f>Calc!O99</f>
        <v>20160992.032075197</v>
      </c>
    </row>
    <row r="15" spans="2:15" x14ac:dyDescent="0.25">
      <c r="D15" s="81" t="s">
        <v>201</v>
      </c>
      <c r="E15" s="82" t="s">
        <v>30</v>
      </c>
      <c r="F15" s="81"/>
      <c r="G15" s="81"/>
      <c r="H15" s="81"/>
      <c r="I15" s="81"/>
      <c r="J15" s="81"/>
      <c r="K15" s="84">
        <f t="shared" ref="K15:O15" si="7">K14/K9</f>
        <v>4.2857142857142858E-2</v>
      </c>
      <c r="L15" s="84">
        <f t="shared" si="7"/>
        <v>4.0152963671128104E-2</v>
      </c>
      <c r="M15" s="84">
        <f t="shared" si="7"/>
        <v>3.5810603898309763E-2</v>
      </c>
      <c r="N15" s="84">
        <f t="shared" si="7"/>
        <v>3.3542892434112868E-2</v>
      </c>
      <c r="O15" s="84">
        <f t="shared" si="7"/>
        <v>2.9922651536438236E-2</v>
      </c>
    </row>
    <row r="16" spans="2:15" x14ac:dyDescent="0.25">
      <c r="D16" s="1" t="s">
        <v>141</v>
      </c>
      <c r="E16" s="12" t="str">
        <f t="shared" si="3"/>
        <v xml:space="preserve">[₦] </v>
      </c>
      <c r="K16" s="75">
        <f>K12-K14</f>
        <v>51000000</v>
      </c>
      <c r="L16" s="75">
        <f t="shared" ref="L16:O16" si="8">L12-L14</f>
        <v>63526050</v>
      </c>
      <c r="M16" s="75">
        <f t="shared" si="8"/>
        <v>82886060.658164084</v>
      </c>
      <c r="N16" s="75">
        <f t="shared" si="8"/>
        <v>100147525.29169554</v>
      </c>
      <c r="O16" s="75">
        <f t="shared" si="8"/>
        <v>126764923.56846091</v>
      </c>
    </row>
    <row r="17" spans="2:15" x14ac:dyDescent="0.25">
      <c r="D17" s="81" t="s">
        <v>194</v>
      </c>
      <c r="E17" s="82" t="s">
        <v>30</v>
      </c>
      <c r="F17" s="81"/>
      <c r="G17" s="81"/>
      <c r="H17" s="81"/>
      <c r="I17" s="81"/>
      <c r="J17" s="81"/>
      <c r="K17" s="84">
        <f t="shared" ref="K17:O17" si="9">K16/K9</f>
        <v>0.12142857142857143</v>
      </c>
      <c r="L17" s="84">
        <f t="shared" si="9"/>
        <v>0.13771510516252389</v>
      </c>
      <c r="M17" s="84">
        <f t="shared" si="9"/>
        <v>0.15581201451496374</v>
      </c>
      <c r="N17" s="84">
        <f t="shared" si="9"/>
        <v>0.17141099732941992</v>
      </c>
      <c r="O17" s="84">
        <f t="shared" si="9"/>
        <v>0.18814265830508586</v>
      </c>
    </row>
    <row r="18" spans="2:15" x14ac:dyDescent="0.25">
      <c r="D18" t="s">
        <v>142</v>
      </c>
      <c r="E18" s="12" t="str">
        <f t="shared" si="3"/>
        <v xml:space="preserve">[₦] </v>
      </c>
      <c r="K18" s="74">
        <f>Calc!K74</f>
        <v>587930.87692008563</v>
      </c>
      <c r="L18" s="74">
        <f>Calc!L74</f>
        <v>590282.60042776598</v>
      </c>
      <c r="M18" s="74">
        <f>Calc!M74</f>
        <v>592643.73082947708</v>
      </c>
      <c r="N18" s="74">
        <f>Calc!N74</f>
        <v>595014.30575279507</v>
      </c>
      <c r="O18" s="74">
        <f>Calc!O74</f>
        <v>597394.36297580623</v>
      </c>
    </row>
    <row r="19" spans="2:15" x14ac:dyDescent="0.25">
      <c r="D19" s="1" t="s">
        <v>143</v>
      </c>
      <c r="E19" s="12" t="str">
        <f t="shared" si="3"/>
        <v xml:space="preserve">[₦] </v>
      </c>
      <c r="K19" s="75">
        <f>K16-K18</f>
        <v>50412069.123079911</v>
      </c>
      <c r="L19" s="75">
        <f t="shared" ref="L19:O19" si="10">L16-L18</f>
        <v>62935767.399572231</v>
      </c>
      <c r="M19" s="75">
        <f t="shared" si="10"/>
        <v>82293416.927334607</v>
      </c>
      <c r="N19" s="75">
        <f t="shared" si="10"/>
        <v>99552510.985942736</v>
      </c>
      <c r="O19" s="75">
        <f t="shared" si="10"/>
        <v>126167529.20548511</v>
      </c>
    </row>
    <row r="20" spans="2:15" x14ac:dyDescent="0.25">
      <c r="D20" s="81" t="s">
        <v>195</v>
      </c>
      <c r="E20" s="82" t="s">
        <v>30</v>
      </c>
      <c r="F20" s="81"/>
      <c r="G20" s="81"/>
      <c r="H20" s="81"/>
      <c r="I20" s="81"/>
      <c r="J20" s="81"/>
      <c r="K20" s="84">
        <f>K19/K9</f>
        <v>0.12002873600733312</v>
      </c>
      <c r="L20" s="84">
        <f t="shared" ref="L20:O20" si="11">L19/L9</f>
        <v>0.1364354595621203</v>
      </c>
      <c r="M20" s="84">
        <f t="shared" si="11"/>
        <v>0.15469794282598537</v>
      </c>
      <c r="N20" s="84">
        <f t="shared" si="11"/>
        <v>0.17039257979711153</v>
      </c>
      <c r="O20" s="84">
        <f t="shared" si="11"/>
        <v>0.18725601426868538</v>
      </c>
    </row>
    <row r="21" spans="2:15" x14ac:dyDescent="0.25">
      <c r="D21" t="s">
        <v>144</v>
      </c>
      <c r="E21" s="12" t="str">
        <f t="shared" si="3"/>
        <v xml:space="preserve">[₦] </v>
      </c>
      <c r="K21" s="74">
        <f>(K81*Input!$F$80)*Input!$F$79</f>
        <v>0</v>
      </c>
      <c r="L21" s="74">
        <f>(L81*Input!$F$80)*Input!$F$79</f>
        <v>265368.20845200249</v>
      </c>
      <c r="M21" s="74">
        <f>(M81*Input!$F$80)*Input!$F$79</f>
        <v>820382.87907574628</v>
      </c>
      <c r="N21" s="74">
        <f>(N81*Input!$F$80)*Input!$F$79</f>
        <v>1543521.0385271413</v>
      </c>
      <c r="O21" s="74">
        <f>(O81*Input!$F$80)*Input!$F$79</f>
        <v>2459149.1682994552</v>
      </c>
    </row>
    <row r="22" spans="2:15" x14ac:dyDescent="0.25">
      <c r="D22" t="s">
        <v>116</v>
      </c>
      <c r="E22" s="12" t="str">
        <f t="shared" si="3"/>
        <v xml:space="preserve">[₦] </v>
      </c>
      <c r="K22" s="74">
        <f>Calc!K26</f>
        <v>467755.56000000006</v>
      </c>
      <c r="L22" s="74">
        <f>Calc!L26</f>
        <v>385741.44834726816</v>
      </c>
      <c r="M22" s="74">
        <f>Calc!M26</f>
        <v>280648.97082961822</v>
      </c>
      <c r="N22" s="74">
        <f>Calc!N26</f>
        <v>153393.92278187469</v>
      </c>
      <c r="O22" s="74">
        <f>Calc!O26</f>
        <v>0</v>
      </c>
    </row>
    <row r="23" spans="2:15" x14ac:dyDescent="0.25">
      <c r="D23" t="s">
        <v>190</v>
      </c>
      <c r="E23" s="12" t="str">
        <f t="shared" si="3"/>
        <v xml:space="preserve">[₦] </v>
      </c>
      <c r="K23" s="74">
        <f>Calc!K22</f>
        <v>638770.52304102667</v>
      </c>
      <c r="L23" s="74">
        <f>Calc!L22</f>
        <v>483292.28939861711</v>
      </c>
      <c r="M23" s="74">
        <f>Calc!M22</f>
        <v>358557.95245721797</v>
      </c>
      <c r="N23" s="74">
        <f>Calc!N22</f>
        <v>196653.24037063355</v>
      </c>
      <c r="O23" s="74">
        <f>Calc!O22</f>
        <v>0</v>
      </c>
    </row>
    <row r="24" spans="2:15" x14ac:dyDescent="0.25">
      <c r="D24" s="1" t="s">
        <v>145</v>
      </c>
      <c r="E24" s="12" t="str">
        <f t="shared" si="3"/>
        <v xml:space="preserve">[₦] </v>
      </c>
      <c r="K24" s="75">
        <f>K19+K21-K22-K23</f>
        <v>49305543.040038884</v>
      </c>
      <c r="L24" s="75">
        <f t="shared" ref="L24:O24" si="12">L19+L21-L22-L23</f>
        <v>62332101.870278344</v>
      </c>
      <c r="M24" s="75">
        <f t="shared" si="12"/>
        <v>82474592.883123517</v>
      </c>
      <c r="N24" s="75">
        <f t="shared" si="12"/>
        <v>100745984.86131738</v>
      </c>
      <c r="O24" s="75">
        <f t="shared" si="12"/>
        <v>128626678.37378456</v>
      </c>
    </row>
    <row r="25" spans="2:15" x14ac:dyDescent="0.25">
      <c r="D25" s="81" t="s">
        <v>196</v>
      </c>
      <c r="E25" s="82" t="s">
        <v>30</v>
      </c>
      <c r="F25" s="81"/>
      <c r="G25" s="81"/>
      <c r="H25" s="81"/>
      <c r="I25" s="81"/>
      <c r="J25" s="81"/>
      <c r="K25" s="84">
        <f>K24/K9</f>
        <v>0.11739415009533068</v>
      </c>
      <c r="L25" s="84">
        <f t="shared" ref="L25:O25" si="13">L24/L9</f>
        <v>0.13512680174615824</v>
      </c>
      <c r="M25" s="84">
        <f t="shared" si="13"/>
        <v>0.15503852350298927</v>
      </c>
      <c r="N25" s="84">
        <f t="shared" si="13"/>
        <v>0.17243531172352428</v>
      </c>
      <c r="O25" s="84">
        <f t="shared" si="13"/>
        <v>0.19090584774523639</v>
      </c>
    </row>
    <row r="26" spans="2:15" x14ac:dyDescent="0.25">
      <c r="D26" t="s">
        <v>146</v>
      </c>
      <c r="E26" s="12" t="str">
        <f t="shared" si="3"/>
        <v xml:space="preserve">[₦] </v>
      </c>
      <c r="K26" s="74">
        <f>(K24&gt;0)*(K24*Input!K44)</f>
        <v>16024301.488012638</v>
      </c>
      <c r="L26" s="74">
        <f>(L24&gt;0)*(L24*Input!L44)</f>
        <v>20257933.107840464</v>
      </c>
      <c r="M26" s="74">
        <f>(M24&gt;0)*(M24*Input!M44)</f>
        <v>26804242.687015142</v>
      </c>
      <c r="N26" s="74">
        <f>(N24&gt;0)*(N24*Input!N44)</f>
        <v>32742445.079928149</v>
      </c>
      <c r="O26" s="74">
        <f>(O24&gt;0)*(O24*Input!O44)</f>
        <v>41803670.471479982</v>
      </c>
    </row>
    <row r="27" spans="2:15" x14ac:dyDescent="0.25">
      <c r="D27" s="1" t="s">
        <v>147</v>
      </c>
      <c r="E27" s="12" t="str">
        <f t="shared" si="3"/>
        <v xml:space="preserve">[₦] </v>
      </c>
      <c r="K27" s="75">
        <f>K24-K26</f>
        <v>33281241.552026246</v>
      </c>
      <c r="L27" s="75">
        <f t="shared" ref="L27:O27" si="14">L24-L26</f>
        <v>42074168.76243788</v>
      </c>
      <c r="M27" s="75">
        <f t="shared" si="14"/>
        <v>55670350.196108371</v>
      </c>
      <c r="N27" s="75">
        <f t="shared" si="14"/>
        <v>68003539.781389236</v>
      </c>
      <c r="O27" s="75">
        <f t="shared" si="14"/>
        <v>86823007.902304575</v>
      </c>
    </row>
    <row r="28" spans="2:15" x14ac:dyDescent="0.25">
      <c r="D28" s="81" t="s">
        <v>197</v>
      </c>
      <c r="E28" s="82" t="s">
        <v>30</v>
      </c>
      <c r="F28" s="81"/>
      <c r="G28" s="81"/>
      <c r="H28" s="81"/>
      <c r="I28" s="81"/>
      <c r="J28" s="81"/>
      <c r="K28" s="84">
        <f>K27/K9</f>
        <v>7.9241051314348207E-2</v>
      </c>
      <c r="L28" s="84">
        <f t="shared" ref="L28:O28" si="15">L27/L9</f>
        <v>9.1210591178656805E-2</v>
      </c>
      <c r="M28" s="84">
        <f t="shared" si="15"/>
        <v>0.10465100336451776</v>
      </c>
      <c r="N28" s="84">
        <f t="shared" si="15"/>
        <v>0.1163938354133789</v>
      </c>
      <c r="O28" s="84">
        <f t="shared" si="15"/>
        <v>0.12886144722803455</v>
      </c>
    </row>
    <row r="29" spans="2:15" x14ac:dyDescent="0.25">
      <c r="D29" s="1"/>
    </row>
    <row r="30" spans="2:15" x14ac:dyDescent="0.25">
      <c r="B30" s="30" t="s">
        <v>150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2:15" x14ac:dyDescent="0.25">
      <c r="C31" s="21" t="s">
        <v>151</v>
      </c>
    </row>
    <row r="32" spans="2:15" x14ac:dyDescent="0.25">
      <c r="D32" s="77" t="s">
        <v>154</v>
      </c>
    </row>
    <row r="33" spans="3:15" x14ac:dyDescent="0.25">
      <c r="D33" t="s">
        <v>152</v>
      </c>
      <c r="E33" s="12" t="str">
        <f>ModelCurrency</f>
        <v xml:space="preserve">[₦] </v>
      </c>
      <c r="K33" s="74">
        <f>Calc!K75</f>
        <v>2351723.5076803425</v>
      </c>
      <c r="L33" s="74">
        <f>Calc!L75</f>
        <v>2361130.4017110639</v>
      </c>
      <c r="M33" s="74">
        <f>Calc!M75</f>
        <v>2370574.9233179083</v>
      </c>
      <c r="N33" s="74">
        <f>Calc!N75</f>
        <v>2380057.2230111798</v>
      </c>
      <c r="O33" s="74">
        <f>Calc!O75</f>
        <v>2389577.4519032249</v>
      </c>
    </row>
    <row r="34" spans="3:15" x14ac:dyDescent="0.25">
      <c r="D34" s="1" t="s">
        <v>153</v>
      </c>
      <c r="E34" s="12" t="str">
        <f>ModelCurrency</f>
        <v xml:space="preserve">[₦] </v>
      </c>
      <c r="K34" s="75">
        <f>SUM(K33)</f>
        <v>2351723.5076803425</v>
      </c>
      <c r="L34" s="75">
        <f t="shared" ref="L34:O34" si="16">SUM(L33)</f>
        <v>2361130.4017110639</v>
      </c>
      <c r="M34" s="75">
        <f t="shared" si="16"/>
        <v>2370574.9233179083</v>
      </c>
      <c r="N34" s="75">
        <f t="shared" si="16"/>
        <v>2380057.2230111798</v>
      </c>
      <c r="O34" s="75">
        <f t="shared" si="16"/>
        <v>2389577.4519032249</v>
      </c>
    </row>
    <row r="35" spans="3:15" x14ac:dyDescent="0.25">
      <c r="D35" s="77" t="s">
        <v>155</v>
      </c>
    </row>
    <row r="36" spans="3:15" x14ac:dyDescent="0.25">
      <c r="D36" t="s">
        <v>74</v>
      </c>
      <c r="E36" s="12" t="str">
        <f t="shared" ref="E36:E41" si="17">ModelCurrency</f>
        <v xml:space="preserve">[₦] </v>
      </c>
      <c r="K36" s="74">
        <f>Calc!K107</f>
        <v>23013698.630136985</v>
      </c>
      <c r="L36" s="74">
        <f>Calc!L107</f>
        <v>25275945.205479451</v>
      </c>
      <c r="M36" s="74">
        <f>Calc!M107</f>
        <v>29148599.150136989</v>
      </c>
      <c r="N36" s="74">
        <f>Calc!N107</f>
        <v>32013906.446595456</v>
      </c>
      <c r="O36" s="74">
        <f>Calc!O107</f>
        <v>36918917.12281058</v>
      </c>
    </row>
    <row r="37" spans="3:15" x14ac:dyDescent="0.25">
      <c r="D37" t="s">
        <v>75</v>
      </c>
      <c r="E37" s="12" t="str">
        <f t="shared" si="17"/>
        <v xml:space="preserve">[₦] </v>
      </c>
      <c r="K37" s="74">
        <f>Calc!K108</f>
        <v>24041095.890410956</v>
      </c>
      <c r="L37" s="74">
        <f>Calc!L108</f>
        <v>25975202.05479452</v>
      </c>
      <c r="M37" s="74">
        <f>Calc!M108</f>
        <v>29453835.322386026</v>
      </c>
      <c r="N37" s="74">
        <f>Calc!N108</f>
        <v>31815664.742299851</v>
      </c>
      <c r="O37" s="74">
        <f>Calc!O108</f>
        <v>36085227.526764177</v>
      </c>
    </row>
    <row r="38" spans="3:15" x14ac:dyDescent="0.25">
      <c r="D38" t="s">
        <v>76</v>
      </c>
      <c r="E38" s="12" t="str">
        <f t="shared" si="17"/>
        <v xml:space="preserve">[₦] </v>
      </c>
      <c r="K38" s="74">
        <f>Calc!K109</f>
        <v>1479452.0547945204</v>
      </c>
      <c r="L38" s="74">
        <f>Calc!L109</f>
        <v>1522356.1643835616</v>
      </c>
      <c r="M38" s="74">
        <f>Calc!M109</f>
        <v>1565743.4075342466</v>
      </c>
      <c r="N38" s="74">
        <f>Calc!N109</f>
        <v>1610758.530500856</v>
      </c>
      <c r="O38" s="74">
        <f>Calc!O109</f>
        <v>1657067.8382527558</v>
      </c>
    </row>
    <row r="39" spans="3:15" x14ac:dyDescent="0.25">
      <c r="D39" t="s">
        <v>156</v>
      </c>
      <c r="E39" s="12" t="str">
        <f t="shared" si="17"/>
        <v xml:space="preserve">[₦] </v>
      </c>
      <c r="K39" s="74">
        <f>MAX(K83,0)</f>
        <v>12487915.69185894</v>
      </c>
      <c r="L39" s="74">
        <f t="shared" ref="L39:O39" si="18">MAX(L83,0)</f>
        <v>38606253.132976294</v>
      </c>
      <c r="M39" s="74">
        <f t="shared" si="18"/>
        <v>72636284.165983111</v>
      </c>
      <c r="N39" s="74">
        <f t="shared" si="18"/>
        <v>115724666.74350376</v>
      </c>
      <c r="O39" s="74">
        <f t="shared" si="18"/>
        <v>172432435.70894402</v>
      </c>
    </row>
    <row r="40" spans="3:15" x14ac:dyDescent="0.25">
      <c r="D40" s="1" t="s">
        <v>157</v>
      </c>
      <c r="E40" s="12" t="str">
        <f t="shared" si="17"/>
        <v xml:space="preserve">[₦] </v>
      </c>
      <c r="K40" s="75">
        <f>SUM(K36:K39)</f>
        <v>61022162.267201401</v>
      </c>
      <c r="L40" s="75">
        <f t="shared" ref="L40:O40" si="19">SUM(L36:L39)</f>
        <v>91379756.557633817</v>
      </c>
      <c r="M40" s="75">
        <f t="shared" si="19"/>
        <v>132804462.04604039</v>
      </c>
      <c r="N40" s="75">
        <f t="shared" si="19"/>
        <v>181164996.46289992</v>
      </c>
      <c r="O40" s="75">
        <f t="shared" si="19"/>
        <v>247093648.19677153</v>
      </c>
    </row>
    <row r="41" spans="3:15" x14ac:dyDescent="0.25">
      <c r="D41" s="1" t="s">
        <v>158</v>
      </c>
      <c r="E41" s="12" t="str">
        <f t="shared" si="17"/>
        <v xml:space="preserve">[₦] </v>
      </c>
      <c r="K41" s="75">
        <f>K34+K40</f>
        <v>63373885.774881743</v>
      </c>
      <c r="L41" s="75">
        <f t="shared" ref="L41:O41" si="20">L34+L40</f>
        <v>93740886.959344879</v>
      </c>
      <c r="M41" s="75">
        <f t="shared" si="20"/>
        <v>135175036.9693583</v>
      </c>
      <c r="N41" s="75">
        <f t="shared" si="20"/>
        <v>183545053.68591109</v>
      </c>
      <c r="O41" s="75">
        <f t="shared" si="20"/>
        <v>249483225.64867476</v>
      </c>
    </row>
    <row r="42" spans="3:15" x14ac:dyDescent="0.25">
      <c r="C42" s="21" t="s">
        <v>159</v>
      </c>
    </row>
    <row r="43" spans="3:15" x14ac:dyDescent="0.25">
      <c r="D43" s="77" t="s">
        <v>42</v>
      </c>
    </row>
    <row r="44" spans="3:15" x14ac:dyDescent="0.25">
      <c r="D44" t="s">
        <v>160</v>
      </c>
      <c r="E44" s="12" t="str">
        <f>ModelCurrency</f>
        <v xml:space="preserve">[₦] </v>
      </c>
      <c r="K44" s="74">
        <f>Calc!K41</f>
        <v>4703447.0153606841</v>
      </c>
      <c r="L44" s="74">
        <f>Calc!L41</f>
        <v>4703447.0153606841</v>
      </c>
      <c r="M44" s="74">
        <f>Calc!M41</f>
        <v>4703447.0153606841</v>
      </c>
      <c r="N44" s="74">
        <f>Calc!N41</f>
        <v>4703447.0153606841</v>
      </c>
      <c r="O44" s="74">
        <f>Calc!O41</f>
        <v>4703447.0153606841</v>
      </c>
    </row>
    <row r="45" spans="3:15" x14ac:dyDescent="0.25">
      <c r="D45" t="s">
        <v>161</v>
      </c>
      <c r="E45" s="12" t="str">
        <f>ModelCurrency</f>
        <v xml:space="preserve">[₦] </v>
      </c>
      <c r="K45" s="74">
        <f>Calc!K47</f>
        <v>23296869.086418372</v>
      </c>
      <c r="L45" s="74">
        <f>Calc!L47</f>
        <v>52748787.220124893</v>
      </c>
      <c r="M45" s="74">
        <f>Calc!M47</f>
        <v>91718032.35740076</v>
      </c>
      <c r="N45" s="74">
        <f>Calc!N47</f>
        <v>139320510.20437324</v>
      </c>
      <c r="O45" s="74">
        <f>Calc!O47</f>
        <v>200096615.73598647</v>
      </c>
    </row>
    <row r="46" spans="3:15" x14ac:dyDescent="0.25">
      <c r="D46" s="1" t="s">
        <v>162</v>
      </c>
      <c r="E46" s="12" t="str">
        <f>ModelCurrency</f>
        <v xml:space="preserve">[₦] </v>
      </c>
      <c r="K46" s="75">
        <f>SUM(K44:K45)</f>
        <v>28000316.101779055</v>
      </c>
      <c r="L46" s="75">
        <f t="shared" ref="L46:O46" si="21">SUM(L44:L45)</f>
        <v>57452234.235485576</v>
      </c>
      <c r="M46" s="75">
        <f t="shared" si="21"/>
        <v>96421479.372761443</v>
      </c>
      <c r="N46" s="75">
        <f t="shared" si="21"/>
        <v>144023957.21973392</v>
      </c>
      <c r="O46" s="75">
        <f t="shared" si="21"/>
        <v>204800062.75134715</v>
      </c>
    </row>
    <row r="47" spans="3:15" x14ac:dyDescent="0.25">
      <c r="D47" s="77" t="s">
        <v>164</v>
      </c>
    </row>
    <row r="48" spans="3:15" x14ac:dyDescent="0.25">
      <c r="D48" t="s">
        <v>165</v>
      </c>
      <c r="E48" s="12" t="str">
        <f>ModelCurrency</f>
        <v xml:space="preserve">[₦] </v>
      </c>
      <c r="K48" s="74">
        <f>Calc!K23</f>
        <v>5291377.8922807695</v>
      </c>
      <c r="L48" s="74">
        <f>Calc!L23</f>
        <v>3849780.1211195909</v>
      </c>
      <c r="M48" s="74">
        <f>Calc!M23</f>
        <v>2104169.0367884045</v>
      </c>
      <c r="N48" s="74">
        <f>Calc!N23</f>
        <v>0</v>
      </c>
      <c r="O48" s="74">
        <f>Calc!O23</f>
        <v>0</v>
      </c>
    </row>
    <row r="49" spans="2:15" x14ac:dyDescent="0.25">
      <c r="D49" s="1" t="s">
        <v>166</v>
      </c>
      <c r="E49" s="12" t="str">
        <f>ModelCurrency</f>
        <v xml:space="preserve">[₦] </v>
      </c>
      <c r="K49" s="75">
        <f>SUM(K48)</f>
        <v>5291377.8922807695</v>
      </c>
      <c r="L49" s="75">
        <f t="shared" ref="L49:O49" si="22">SUM(L48)</f>
        <v>3849780.1211195909</v>
      </c>
      <c r="M49" s="75">
        <f t="shared" si="22"/>
        <v>2104169.0367884045</v>
      </c>
      <c r="N49" s="75">
        <f t="shared" si="22"/>
        <v>0</v>
      </c>
      <c r="O49" s="75">
        <f t="shared" si="22"/>
        <v>0</v>
      </c>
    </row>
    <row r="50" spans="2:15" x14ac:dyDescent="0.25">
      <c r="D50" s="77" t="s">
        <v>167</v>
      </c>
    </row>
    <row r="51" spans="2:15" x14ac:dyDescent="0.25">
      <c r="D51" t="s">
        <v>77</v>
      </c>
      <c r="E51" s="12" t="str">
        <f t="shared" ref="E51:E56" si="23">ModelCurrency</f>
        <v xml:space="preserve">[₦] </v>
      </c>
      <c r="K51" s="74">
        <f>Calc!K113</f>
        <v>28849315.06849315</v>
      </c>
      <c r="L51" s="74">
        <f>Calc!L113</f>
        <v>31170242.465753421</v>
      </c>
      <c r="M51" s="74">
        <f>Calc!M113</f>
        <v>35344602.386863232</v>
      </c>
      <c r="N51" s="74">
        <f>Calc!N113</f>
        <v>38178797.690759823</v>
      </c>
      <c r="O51" s="74">
        <f>Calc!O113</f>
        <v>43302273.032117009</v>
      </c>
    </row>
    <row r="52" spans="2:15" x14ac:dyDescent="0.25">
      <c r="D52" t="s">
        <v>78</v>
      </c>
      <c r="E52" s="12" t="str">
        <f t="shared" si="23"/>
        <v xml:space="preserve">[₦] </v>
      </c>
      <c r="K52" s="74">
        <f>Calc!K114</f>
        <v>1232876.7123287672</v>
      </c>
      <c r="L52" s="74">
        <f>Calc!L114</f>
        <v>1268630.1369863013</v>
      </c>
      <c r="M52" s="74">
        <f>Calc!M114</f>
        <v>1304786.1729452054</v>
      </c>
      <c r="N52" s="74">
        <f>Calc!N114</f>
        <v>1342298.77541738</v>
      </c>
      <c r="O52" s="74">
        <f>Calc!O114</f>
        <v>1380889.8652106298</v>
      </c>
    </row>
    <row r="53" spans="2:15" x14ac:dyDescent="0.25">
      <c r="D53" t="s">
        <v>191</v>
      </c>
      <c r="E53" s="12" t="str">
        <f t="shared" si="23"/>
        <v xml:space="preserve">[₦] </v>
      </c>
      <c r="K53" s="74">
        <f>MAX(0,-K83)</f>
        <v>0</v>
      </c>
      <c r="L53" s="74">
        <f t="shared" ref="L53:O53" si="24">MAX(0,-L83)</f>
        <v>0</v>
      </c>
      <c r="M53" s="74">
        <f t="shared" si="24"/>
        <v>0</v>
      </c>
      <c r="N53" s="74">
        <f t="shared" si="24"/>
        <v>0</v>
      </c>
      <c r="O53" s="74">
        <f t="shared" si="24"/>
        <v>0</v>
      </c>
    </row>
    <row r="54" spans="2:15" x14ac:dyDescent="0.25">
      <c r="D54" s="1" t="s">
        <v>168</v>
      </c>
      <c r="E54" s="12" t="str">
        <f t="shared" si="23"/>
        <v xml:space="preserve">[₦] </v>
      </c>
      <c r="K54" s="75">
        <f>SUM(K51:K53)</f>
        <v>30082191.780821916</v>
      </c>
      <c r="L54" s="75">
        <f t="shared" ref="L54:O54" si="25">SUM(L51:L53)</f>
        <v>32438872.602739722</v>
      </c>
      <c r="M54" s="75">
        <f t="shared" si="25"/>
        <v>36649388.559808441</v>
      </c>
      <c r="N54" s="75">
        <f t="shared" si="25"/>
        <v>39521096.466177203</v>
      </c>
      <c r="O54" s="75">
        <f t="shared" si="25"/>
        <v>44683162.897327639</v>
      </c>
    </row>
    <row r="55" spans="2:15" x14ac:dyDescent="0.25">
      <c r="D55" s="1" t="s">
        <v>169</v>
      </c>
      <c r="E55" s="12" t="str">
        <f t="shared" si="23"/>
        <v xml:space="preserve">[₦] </v>
      </c>
      <c r="K55" s="75">
        <f>K49+K54</f>
        <v>35373569.673102684</v>
      </c>
      <c r="L55" s="75">
        <f t="shared" ref="L55:O55" si="26">L49+L54</f>
        <v>36288652.72385931</v>
      </c>
      <c r="M55" s="75">
        <f t="shared" si="26"/>
        <v>38753557.596596844</v>
      </c>
      <c r="N55" s="75">
        <f t="shared" si="26"/>
        <v>39521096.466177203</v>
      </c>
      <c r="O55" s="75">
        <f t="shared" si="26"/>
        <v>44683162.897327639</v>
      </c>
    </row>
    <row r="56" spans="2:15" x14ac:dyDescent="0.25">
      <c r="D56" s="1" t="s">
        <v>170</v>
      </c>
      <c r="E56" s="12" t="str">
        <f t="shared" si="23"/>
        <v xml:space="preserve">[₦] </v>
      </c>
      <c r="K56" s="75">
        <f>K46+K55</f>
        <v>63373885.774881735</v>
      </c>
      <c r="L56" s="75">
        <f t="shared" ref="L56:O56" si="27">L46+L55</f>
        <v>93740886.959344894</v>
      </c>
      <c r="M56" s="75">
        <f t="shared" si="27"/>
        <v>135175036.9693583</v>
      </c>
      <c r="N56" s="75">
        <f t="shared" si="27"/>
        <v>183545053.68591112</v>
      </c>
      <c r="O56" s="75">
        <f t="shared" si="27"/>
        <v>249483225.64867479</v>
      </c>
    </row>
    <row r="58" spans="2:15" x14ac:dyDescent="0.25">
      <c r="C58" t="s">
        <v>171</v>
      </c>
      <c r="K58" s="80">
        <f>K41-K56</f>
        <v>0</v>
      </c>
      <c r="L58" s="80">
        <f t="shared" ref="L58:O58" si="28">L41-L56</f>
        <v>0</v>
      </c>
      <c r="M58" s="80">
        <f t="shared" si="28"/>
        <v>0</v>
      </c>
      <c r="N58" s="80">
        <f t="shared" si="28"/>
        <v>0</v>
      </c>
      <c r="O58" s="80">
        <f t="shared" si="28"/>
        <v>0</v>
      </c>
    </row>
    <row r="60" spans="2:15" x14ac:dyDescent="0.25">
      <c r="B60" s="30" t="s">
        <v>172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spans="2:15" x14ac:dyDescent="0.25">
      <c r="D61" s="21" t="s">
        <v>173</v>
      </c>
    </row>
    <row r="62" spans="2:15" x14ac:dyDescent="0.25">
      <c r="D62" t="s">
        <v>145</v>
      </c>
      <c r="E62" s="12" t="str">
        <f t="shared" ref="E62:E67" si="29">ModelCurrency</f>
        <v xml:space="preserve">[₦] </v>
      </c>
      <c r="K62" s="78">
        <f>K24</f>
        <v>49305543.040038884</v>
      </c>
      <c r="L62" s="78">
        <f t="shared" ref="L62:O62" si="30">L24</f>
        <v>62332101.870278344</v>
      </c>
      <c r="M62" s="78">
        <f t="shared" si="30"/>
        <v>82474592.883123517</v>
      </c>
      <c r="N62" s="78">
        <f t="shared" si="30"/>
        <v>100745984.86131738</v>
      </c>
      <c r="O62" s="78">
        <f t="shared" si="30"/>
        <v>128626678.37378456</v>
      </c>
    </row>
    <row r="63" spans="2:15" x14ac:dyDescent="0.25">
      <c r="D63" t="s">
        <v>174</v>
      </c>
      <c r="E63" s="12" t="str">
        <f t="shared" si="29"/>
        <v xml:space="preserve">[₦] </v>
      </c>
      <c r="K63" s="78">
        <f>K18</f>
        <v>587930.87692008563</v>
      </c>
      <c r="L63" s="78">
        <f t="shared" ref="L63:O63" si="31">L18</f>
        <v>590282.60042776598</v>
      </c>
      <c r="M63" s="78">
        <f t="shared" si="31"/>
        <v>592643.73082947708</v>
      </c>
      <c r="N63" s="78">
        <f t="shared" si="31"/>
        <v>595014.30575279507</v>
      </c>
      <c r="O63" s="78">
        <f t="shared" si="31"/>
        <v>597394.36297580623</v>
      </c>
    </row>
    <row r="64" spans="2:15" x14ac:dyDescent="0.25">
      <c r="D64" t="s">
        <v>175</v>
      </c>
      <c r="E64" s="12" t="str">
        <f t="shared" si="29"/>
        <v xml:space="preserve">[₦] </v>
      </c>
      <c r="K64" s="78">
        <f>Calc!K117</f>
        <v>-18452054.794520546</v>
      </c>
      <c r="L64" s="78">
        <f>Calc!L117</f>
        <v>-1882576.0273972638</v>
      </c>
      <c r="M64" s="78">
        <f>Calc!M117</f>
        <v>-3184158.4983310178</v>
      </c>
      <c r="N64" s="78">
        <f>Calc!N117</f>
        <v>-2400443.9329701364</v>
      </c>
      <c r="O64" s="78">
        <f>Calc!O117</f>
        <v>-4058816.3372809067</v>
      </c>
    </row>
    <row r="65" spans="4:15" x14ac:dyDescent="0.25">
      <c r="D65" t="s">
        <v>176</v>
      </c>
      <c r="E65" s="12" t="str">
        <f t="shared" si="29"/>
        <v xml:space="preserve">[₦] </v>
      </c>
      <c r="K65" s="78">
        <f>-K26</f>
        <v>-16024301.488012638</v>
      </c>
      <c r="L65" s="78">
        <f t="shared" ref="L65:O65" si="32">-L26</f>
        <v>-20257933.107840464</v>
      </c>
      <c r="M65" s="78">
        <f t="shared" si="32"/>
        <v>-26804242.687015142</v>
      </c>
      <c r="N65" s="78">
        <f t="shared" si="32"/>
        <v>-32742445.079928149</v>
      </c>
      <c r="O65" s="78">
        <f t="shared" si="32"/>
        <v>-41803670.471479982</v>
      </c>
    </row>
    <row r="66" spans="4:15" x14ac:dyDescent="0.25">
      <c r="D66" t="s">
        <v>202</v>
      </c>
      <c r="E66" s="12" t="str">
        <f t="shared" si="29"/>
        <v xml:space="preserve">[₦] </v>
      </c>
      <c r="K66" s="78">
        <f>K23</f>
        <v>638770.52304102667</v>
      </c>
      <c r="L66" s="78">
        <f t="shared" ref="L66:O66" si="33">L23</f>
        <v>483292.28939861711</v>
      </c>
      <c r="M66" s="78">
        <f t="shared" si="33"/>
        <v>358557.95245721797</v>
      </c>
      <c r="N66" s="78">
        <f t="shared" si="33"/>
        <v>196653.24037063355</v>
      </c>
      <c r="O66" s="78">
        <f t="shared" si="33"/>
        <v>0</v>
      </c>
    </row>
    <row r="67" spans="4:15" x14ac:dyDescent="0.25">
      <c r="D67" s="1" t="s">
        <v>177</v>
      </c>
      <c r="E67" s="12" t="str">
        <f t="shared" si="29"/>
        <v xml:space="preserve">[₦] </v>
      </c>
      <c r="K67" s="79">
        <f>SUM(K62:K66)</f>
        <v>16055888.157466816</v>
      </c>
      <c r="L67" s="79">
        <f t="shared" ref="L67:O67" si="34">SUM(L62:L66)</f>
        <v>41265167.624867</v>
      </c>
      <c r="M67" s="79">
        <f t="shared" si="34"/>
        <v>53437393.381064057</v>
      </c>
      <c r="N67" s="79">
        <f t="shared" si="34"/>
        <v>66394763.39454253</v>
      </c>
      <c r="O67" s="79">
        <f t="shared" si="34"/>
        <v>83361585.927999467</v>
      </c>
    </row>
    <row r="68" spans="4:15" x14ac:dyDescent="0.25">
      <c r="E68"/>
      <c r="K68" s="78"/>
      <c r="L68" s="78"/>
      <c r="M68" s="78"/>
      <c r="N68" s="78"/>
      <c r="O68" s="78"/>
    </row>
    <row r="69" spans="4:15" x14ac:dyDescent="0.25">
      <c r="D69" s="21" t="s">
        <v>178</v>
      </c>
      <c r="K69" s="78"/>
      <c r="L69" s="78"/>
      <c r="M69" s="78"/>
      <c r="N69" s="78"/>
      <c r="O69" s="78"/>
    </row>
    <row r="70" spans="4:15" x14ac:dyDescent="0.25">
      <c r="D70" t="s">
        <v>152</v>
      </c>
      <c r="E70" s="12" t="str">
        <f>ModelCurrency</f>
        <v xml:space="preserve">[₦] </v>
      </c>
      <c r="K70" s="78">
        <f>-Calc!K73</f>
        <v>-2939654.3846004279</v>
      </c>
      <c r="L70" s="78">
        <f>-Calc!L73</f>
        <v>-599689.49445848737</v>
      </c>
      <c r="M70" s="78">
        <f>-Calc!M73</f>
        <v>-602088.25243632135</v>
      </c>
      <c r="N70" s="78">
        <f>-Calc!N73</f>
        <v>-604496.60544606659</v>
      </c>
      <c r="O70" s="78">
        <f>-Calc!O73</f>
        <v>-606914.59186785098</v>
      </c>
    </row>
    <row r="71" spans="4:15" x14ac:dyDescent="0.25">
      <c r="D71" s="1" t="s">
        <v>179</v>
      </c>
      <c r="E71" s="12" t="str">
        <f>ModelCurrency</f>
        <v xml:space="preserve">[₦] </v>
      </c>
      <c r="K71" s="79">
        <f>SUM(K70)</f>
        <v>-2939654.3846004279</v>
      </c>
      <c r="L71" s="79">
        <f t="shared" ref="L71:O71" si="35">SUM(L70)</f>
        <v>-599689.49445848737</v>
      </c>
      <c r="M71" s="79">
        <f t="shared" si="35"/>
        <v>-602088.25243632135</v>
      </c>
      <c r="N71" s="79">
        <f t="shared" si="35"/>
        <v>-604496.60544606659</v>
      </c>
      <c r="O71" s="79">
        <f t="shared" si="35"/>
        <v>-606914.59186785098</v>
      </c>
    </row>
    <row r="72" spans="4:15" x14ac:dyDescent="0.25">
      <c r="E72"/>
      <c r="K72" s="78"/>
      <c r="L72" s="78"/>
      <c r="M72" s="78"/>
      <c r="N72" s="78"/>
      <c r="O72" s="78"/>
    </row>
    <row r="73" spans="4:15" x14ac:dyDescent="0.25">
      <c r="D73" s="21" t="s">
        <v>180</v>
      </c>
      <c r="K73" s="78"/>
      <c r="L73" s="78"/>
      <c r="M73" s="78"/>
      <c r="N73" s="78"/>
      <c r="O73" s="78"/>
    </row>
    <row r="74" spans="4:15" x14ac:dyDescent="0.25">
      <c r="D74" t="s">
        <v>181</v>
      </c>
      <c r="E74" s="12" t="str">
        <f>ModelCurrency</f>
        <v xml:space="preserve">[₦] </v>
      </c>
      <c r="K74" s="78">
        <f>Calc!K40</f>
        <v>4703447.0153606841</v>
      </c>
      <c r="L74" s="78">
        <f>Calc!L40</f>
        <v>0</v>
      </c>
      <c r="M74" s="78">
        <f>Calc!M40</f>
        <v>0</v>
      </c>
      <c r="N74" s="78">
        <f>Calc!N40</f>
        <v>0</v>
      </c>
      <c r="O74" s="78">
        <f>Calc!O40</f>
        <v>0</v>
      </c>
    </row>
    <row r="75" spans="4:15" x14ac:dyDescent="0.25">
      <c r="D75" t="s">
        <v>182</v>
      </c>
      <c r="E75" s="12" t="str">
        <f>ModelCurrency</f>
        <v xml:space="preserve">[₦] </v>
      </c>
      <c r="K75" s="78">
        <f>Calc!K20</f>
        <v>6416400</v>
      </c>
      <c r="L75" s="78">
        <f>Calc!L20</f>
        <v>0</v>
      </c>
      <c r="M75" s="78">
        <f>Calc!M20</f>
        <v>0</v>
      </c>
      <c r="N75" s="78">
        <f>Calc!N20</f>
        <v>0</v>
      </c>
      <c r="O75" s="78">
        <f>Calc!O20</f>
        <v>0</v>
      </c>
    </row>
    <row r="76" spans="4:15" x14ac:dyDescent="0.25">
      <c r="D76" t="s">
        <v>183</v>
      </c>
      <c r="E76" s="12" t="str">
        <f>ModelCurrency</f>
        <v xml:space="preserve">[₦] </v>
      </c>
      <c r="K76" s="78">
        <f>-Calc!K21</f>
        <v>-1763792.6307602567</v>
      </c>
      <c r="L76" s="78">
        <f>-Calc!L21</f>
        <v>-1924890.0605597955</v>
      </c>
      <c r="M76" s="78">
        <f>-Calc!M21</f>
        <v>-2104169.0367884045</v>
      </c>
      <c r="N76" s="78">
        <f>-Calc!N21</f>
        <v>-2300822.277159038</v>
      </c>
      <c r="O76" s="78">
        <f>-Calc!O21</f>
        <v>0</v>
      </c>
    </row>
    <row r="77" spans="4:15" x14ac:dyDescent="0.25">
      <c r="D77" t="s">
        <v>184</v>
      </c>
      <c r="E77" s="12" t="str">
        <f>ModelCurrency</f>
        <v xml:space="preserve">[₦] </v>
      </c>
      <c r="K77" s="78">
        <f>-Calc!K46</f>
        <v>-9984372.4656078741</v>
      </c>
      <c r="L77" s="78">
        <f>-Calc!L46</f>
        <v>-12622250.628731364</v>
      </c>
      <c r="M77" s="78">
        <f>-Calc!M46</f>
        <v>-16701105.058832511</v>
      </c>
      <c r="N77" s="78">
        <f>-Calc!N46</f>
        <v>-20401061.934416771</v>
      </c>
      <c r="O77" s="78">
        <f>-Calc!O46</f>
        <v>-26046902.37069137</v>
      </c>
    </row>
    <row r="78" spans="4:15" x14ac:dyDescent="0.25">
      <c r="D78" s="1" t="s">
        <v>185</v>
      </c>
      <c r="E78" s="12" t="str">
        <f>ModelCurrency</f>
        <v xml:space="preserve">[₦] </v>
      </c>
      <c r="K78" s="79">
        <f>SUM(K74:K77)</f>
        <v>-628318.08100744709</v>
      </c>
      <c r="L78" s="79">
        <f t="shared" ref="L78:O78" si="36">SUM(L74:L77)</f>
        <v>-14547140.689291161</v>
      </c>
      <c r="M78" s="79">
        <f t="shared" si="36"/>
        <v>-18805274.095620915</v>
      </c>
      <c r="N78" s="79">
        <f t="shared" si="36"/>
        <v>-22701884.21157581</v>
      </c>
      <c r="O78" s="79">
        <f t="shared" si="36"/>
        <v>-26046902.37069137</v>
      </c>
    </row>
    <row r="79" spans="4:15" x14ac:dyDescent="0.25">
      <c r="K79" s="78"/>
      <c r="L79" s="78"/>
      <c r="M79" s="78"/>
      <c r="N79" s="78"/>
      <c r="O79" s="78"/>
    </row>
    <row r="80" spans="4:15" x14ac:dyDescent="0.25">
      <c r="D80" s="21" t="s">
        <v>186</v>
      </c>
      <c r="K80" s="78"/>
      <c r="L80" s="78"/>
      <c r="M80" s="78"/>
      <c r="N80" s="78"/>
      <c r="O80" s="78"/>
    </row>
    <row r="81" spans="4:15" x14ac:dyDescent="0.25">
      <c r="D81" t="s">
        <v>187</v>
      </c>
      <c r="E81" s="12" t="str">
        <f>ModelCurrency</f>
        <v xml:space="preserve">[₦] </v>
      </c>
      <c r="K81" s="74">
        <f>J83</f>
        <v>0</v>
      </c>
      <c r="L81" s="74">
        <f t="shared" ref="L81:O81" si="37">K83</f>
        <v>12487915.69185894</v>
      </c>
      <c r="M81" s="74">
        <f t="shared" si="37"/>
        <v>38606253.132976294</v>
      </c>
      <c r="N81" s="74">
        <f t="shared" si="37"/>
        <v>72636284.165983111</v>
      </c>
      <c r="O81" s="74">
        <f t="shared" si="37"/>
        <v>115724666.74350376</v>
      </c>
    </row>
    <row r="82" spans="4:15" x14ac:dyDescent="0.25">
      <c r="D82" t="s">
        <v>188</v>
      </c>
      <c r="E82" s="12" t="str">
        <f>ModelCurrency</f>
        <v xml:space="preserve">[₦] </v>
      </c>
      <c r="K82" s="74">
        <f>K67+K71+K78</f>
        <v>12487915.69185894</v>
      </c>
      <c r="L82" s="74">
        <f t="shared" ref="L82:O82" si="38">L67+L71+L78</f>
        <v>26118337.44111735</v>
      </c>
      <c r="M82" s="74">
        <f t="shared" si="38"/>
        <v>34030031.033006817</v>
      </c>
      <c r="N82" s="74">
        <f t="shared" si="38"/>
        <v>43088382.577520654</v>
      </c>
      <c r="O82" s="74">
        <f t="shared" si="38"/>
        <v>56707768.965440243</v>
      </c>
    </row>
    <row r="83" spans="4:15" x14ac:dyDescent="0.25">
      <c r="D83" s="1" t="s">
        <v>189</v>
      </c>
      <c r="E83" s="12" t="str">
        <f>ModelCurrency</f>
        <v xml:space="preserve">[₦] </v>
      </c>
      <c r="K83" s="75">
        <f>SUM(K81:K82)</f>
        <v>12487915.69185894</v>
      </c>
      <c r="L83" s="75">
        <f t="shared" ref="L83:O83" si="39">SUM(L81:L82)</f>
        <v>38606253.132976294</v>
      </c>
      <c r="M83" s="75">
        <f t="shared" si="39"/>
        <v>72636284.165983111</v>
      </c>
      <c r="N83" s="75">
        <f t="shared" si="39"/>
        <v>115724666.74350376</v>
      </c>
      <c r="O83" s="75">
        <f t="shared" si="39"/>
        <v>172432435.70894402</v>
      </c>
    </row>
    <row r="84" spans="4:15" x14ac:dyDescent="0.25">
      <c r="K84" s="74"/>
      <c r="L84" s="74"/>
      <c r="M84" s="74"/>
      <c r="N84" s="74"/>
      <c r="O84" s="74"/>
    </row>
  </sheetData>
  <pageMargins left="0.70866141732283472" right="0.70866141732283472" top="0.74803149606299213" bottom="0.74803149606299213" header="0.31496062992125984" footer="0.31496062992125984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5</xdr:row>
                    <xdr:rowOff>8626</xdr:rowOff>
                  </from>
                  <to>
                    <xdr:col>7</xdr:col>
                    <xdr:colOff>198408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Blank</vt:lpstr>
      <vt:lpstr>Input</vt:lpstr>
      <vt:lpstr>Calc</vt:lpstr>
      <vt:lpstr>Output</vt:lpstr>
      <vt:lpstr>Coy</vt:lpstr>
      <vt:lpstr>currency_list</vt:lpstr>
      <vt:lpstr>Currency_switch</vt:lpstr>
      <vt:lpstr>DaysaYear</vt:lpstr>
      <vt:lpstr>Inflation_list</vt:lpstr>
      <vt:lpstr>Inflation_switch</vt:lpstr>
      <vt:lpstr>ModelCurrency</vt:lpstr>
      <vt:lpstr>Calc!Print_Titles</vt:lpstr>
      <vt:lpstr>Input!Print_Titles</vt:lpstr>
      <vt:lpstr>Output!Print_Titles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Ogundele</dc:creator>
  <cp:lastModifiedBy>Victor Ogundele</cp:lastModifiedBy>
  <cp:lastPrinted>2022-09-08T17:18:18Z</cp:lastPrinted>
  <dcterms:created xsi:type="dcterms:W3CDTF">2022-09-08T17:04:46Z</dcterms:created>
  <dcterms:modified xsi:type="dcterms:W3CDTF">2022-09-29T15:28:57Z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2022-09-08T17:18:52Z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8d5d6f11-1e2b-4759-8bdb-4e25f97cf6a3</vt:lpwstr>
  </property>
  <property fmtid="{D5CDD505-2E9C-101B-9397-08002B2CF9AE}" pid="7" name="MSIP_Label_defa4170-0d19-0005-0004-bc88714345d2_ActionId">
    <vt:lpwstr>bb3c4c87-703e-43bb-b0a2-d08f3ab43587</vt:lpwstr>
  </property>
  <property fmtid="{D5CDD505-2E9C-101B-9397-08002B2CF9AE}" pid="8" name="MSIP_Label_defa4170-0d19-0005-0004-bc88714345d2_ContentBits">
    <vt:lpwstr>0</vt:lpwstr>
  </property>
</Properties>
</file>