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ebo\OneDrive\Documents\School DOC\Module_3\ETM\"/>
    </mc:Choice>
  </mc:AlternateContent>
  <xr:revisionPtr revIDLastSave="0" documentId="13_ncr:1_{FB23E1A7-0EFB-4C5A-B2BE-49FAAC475C49}" xr6:coauthVersionLast="47" xr6:coauthVersionMax="47" xr10:uidLastSave="{00000000-0000-0000-0000-000000000000}"/>
  <bookViews>
    <workbookView xWindow="-108" yWindow="-108" windowWidth="23256" windowHeight="13896" tabRatio="821" activeTab="3" xr2:uid="{00000000-000D-0000-FFFF-FFFF00000000}"/>
  </bookViews>
  <sheets>
    <sheet name="Cover Page " sheetId="23" r:id="rId1"/>
    <sheet name="Presentation" sheetId="22" r:id="rId2"/>
    <sheet name="Dashboard&gt;&gt;&gt;" sheetId="25" r:id="rId3"/>
    <sheet name="Income Statement" sheetId="12" r:id="rId4"/>
    <sheet name="Balance Sheet" sheetId="14" r:id="rId5"/>
    <sheet name="Revenue Forecast" sheetId="9" r:id="rId6"/>
    <sheet name="Cash Flow" sheetId="15" r:id="rId7"/>
    <sheet name="Input&gt;&gt;&gt;" sheetId="24" r:id="rId8"/>
    <sheet name="Calculations" sheetId="19" r:id="rId9"/>
    <sheet name="Cost Assumptions" sheetId="8" r:id="rId10"/>
    <sheet name="Assumptions" sheetId="21" r:id="rId11"/>
    <sheet name="Sheet1" sheetId="26" r:id="rId12"/>
    <sheet name="LTV" sheetId="17" r:id="rId13"/>
    <sheet name="Startup Costs" sheetId="10" r:id="rId14"/>
    <sheet name="COCA" sheetId="18" r:id="rId15"/>
    <sheet name="Debt Schedule" sheetId="13" r:id="rId16"/>
    <sheet name="Capital Schedule" sheetId="11" r:id="rId17"/>
  </sheets>
  <definedNames>
    <definedName name="ColumnTitle1">#REF!</definedName>
    <definedName name="currency">#REF!</definedName>
    <definedName name="EndingBalance">-FV(InterestRate/12,PaymentNumber,-MonthlyPayment,LoanAmount)</definedName>
    <definedName name="HeaderRow">ROW(#REF!)</definedName>
    <definedName name="InterestAmt">-IPMT(InterestRate/12,PaymentNumber,NumberOfPayments,LoanAmount)</definedName>
    <definedName name="InterestRate">#REF!</definedName>
    <definedName name="LastCol">COUNTA(#REF!)</definedName>
    <definedName name="LastRow">MATCH(9.99E+307,#REF!)</definedName>
    <definedName name="LoanAmount">#REF!</definedName>
    <definedName name="LoanIsGood">IF(LoanAmount*InterestRate*LoanYears*LoanStartDate&gt;0,1,0)</definedName>
    <definedName name="LoanIsNotPaid">IF(PaymentNumber&lt;=NumberOfPayments,1,0)</definedName>
    <definedName name="LoanStartDate">#REF!</definedName>
    <definedName name="LoanValue">-FV(InterestRate/12,PaymentNumber-1,-MonthlyPayment,LoanAmount)</definedName>
    <definedName name="LoanYears">#REF!</definedName>
    <definedName name="MonthlyPayment">-PMT(InterestRate/12,NumberOfPayments,LoanAmount)</definedName>
    <definedName name="NumberOfPayments">#REF!</definedName>
    <definedName name="PaymentDate">DATE(YEAR(LoanStartDate),MONTH(LoanStartDate)+PaymentNumber,DAY(LoanStartDate))</definedName>
    <definedName name="PaymentNumber">ROW()-HeaderRow</definedName>
    <definedName name="Principal">-PPMT(InterestRate/12,PaymentNumber,NumberOfPayments,LoanAmount)</definedName>
    <definedName name="PrintArea_SET">OFFSET(#REF!,,,LastRow,LastCol)</definedName>
    <definedName name="thousand">#REF!</definedName>
    <definedName name="TotalLoanCo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4" l="1"/>
  <c r="D72" i="22"/>
  <c r="E72" i="22"/>
  <c r="F72" i="22"/>
  <c r="G72" i="22"/>
  <c r="C72" i="22"/>
  <c r="E29" i="10"/>
  <c r="N27" i="22"/>
  <c r="O27" i="22"/>
  <c r="P27" i="22"/>
  <c r="Q27" i="22"/>
  <c r="M27" i="22"/>
  <c r="D27" i="22"/>
  <c r="E27" i="22"/>
  <c r="F27" i="22"/>
  <c r="G27" i="22"/>
  <c r="D29" i="22"/>
  <c r="E29" i="22"/>
  <c r="F29" i="22"/>
  <c r="G29" i="22"/>
  <c r="C29" i="22"/>
  <c r="C27" i="22"/>
  <c r="B29" i="22"/>
  <c r="B28" i="22"/>
  <c r="B27" i="22"/>
  <c r="C23" i="12" l="1"/>
  <c r="C24" i="12"/>
  <c r="C25" i="12"/>
  <c r="C26" i="12"/>
  <c r="C27" i="12"/>
  <c r="C28" i="12"/>
  <c r="C29" i="12"/>
  <c r="C22" i="12"/>
  <c r="C9" i="12"/>
  <c r="C15" i="12" s="1"/>
  <c r="C8" i="12"/>
  <c r="C14" i="12" s="1"/>
  <c r="C7" i="12"/>
  <c r="C13" i="12" s="1"/>
  <c r="F30" i="9"/>
  <c r="G30" i="9"/>
  <c r="H30" i="9"/>
  <c r="I30" i="9"/>
  <c r="E30" i="9"/>
  <c r="E15" i="9"/>
  <c r="F23" i="9"/>
  <c r="F22" i="9" s="1"/>
  <c r="G23" i="9"/>
  <c r="G22" i="9" s="1"/>
  <c r="H23" i="9"/>
  <c r="H22" i="9" s="1"/>
  <c r="I23" i="9"/>
  <c r="I22" i="9" s="1"/>
  <c r="E23" i="9"/>
  <c r="E22" i="9" s="1"/>
  <c r="F16" i="9"/>
  <c r="F15" i="9" s="1"/>
  <c r="G16" i="9"/>
  <c r="G15" i="9" s="1"/>
  <c r="H16" i="9"/>
  <c r="H15" i="9" s="1"/>
  <c r="I16" i="9"/>
  <c r="I15" i="9" s="1"/>
  <c r="E16" i="9"/>
  <c r="O158" i="17" l="1"/>
  <c r="O161" i="17" s="1"/>
  <c r="C8" i="10"/>
  <c r="E28" i="10"/>
  <c r="E47" i="19"/>
  <c r="M27" i="17"/>
  <c r="L27" i="17"/>
  <c r="H184" i="17"/>
  <c r="G207" i="17"/>
  <c r="H198" i="17"/>
  <c r="I195" i="17"/>
  <c r="I198" i="17" s="1"/>
  <c r="H147" i="17"/>
  <c r="G112" i="17"/>
  <c r="G126" i="17"/>
  <c r="H123" i="17"/>
  <c r="I123" i="17" s="1"/>
  <c r="J63" i="17"/>
  <c r="I63" i="17"/>
  <c r="H63" i="17"/>
  <c r="G53" i="17"/>
  <c r="H53" i="17" s="1"/>
  <c r="F65" i="17"/>
  <c r="F71" i="19"/>
  <c r="I10" i="10"/>
  <c r="J12" i="10"/>
  <c r="K12" i="10" s="1"/>
  <c r="E31" i="10"/>
  <c r="D8" i="8"/>
  <c r="E23" i="12" s="1"/>
  <c r="I71" i="19"/>
  <c r="H71" i="19"/>
  <c r="G71" i="19"/>
  <c r="G28" i="9"/>
  <c r="H28" i="9"/>
  <c r="I28" i="9"/>
  <c r="E28" i="9"/>
  <c r="K2" i="19"/>
  <c r="J195" i="17" l="1"/>
  <c r="H126" i="17"/>
  <c r="I126" i="17"/>
  <c r="J123" i="17"/>
  <c r="I53" i="17"/>
  <c r="H56" i="17"/>
  <c r="G56" i="17"/>
  <c r="F28" i="9"/>
  <c r="E8" i="8"/>
  <c r="F23" i="12" s="1"/>
  <c r="F8" i="8"/>
  <c r="G23" i="12" s="1"/>
  <c r="L12" i="10"/>
  <c r="J198" i="17" l="1"/>
  <c r="K195" i="17"/>
  <c r="K198" i="17" s="1"/>
  <c r="J126" i="17"/>
  <c r="J53" i="17"/>
  <c r="I56" i="17"/>
  <c r="M12" i="10"/>
  <c r="H8" i="8" s="1"/>
  <c r="I23" i="12" s="1"/>
  <c r="G8" i="8"/>
  <c r="H23" i="12" s="1"/>
  <c r="J56" i="17" l="1"/>
  <c r="I73" i="19" l="1"/>
  <c r="H73" i="19"/>
  <c r="H74" i="19" s="1"/>
  <c r="G72" i="19"/>
  <c r="F72" i="19"/>
  <c r="E71" i="19"/>
  <c r="E73" i="19" s="1"/>
  <c r="E54" i="19"/>
  <c r="D58" i="19"/>
  <c r="E57" i="19"/>
  <c r="E58" i="19" s="1"/>
  <c r="E60" i="19" s="1"/>
  <c r="F57" i="19"/>
  <c r="G57" i="19"/>
  <c r="G58" i="19" s="1"/>
  <c r="H57" i="19"/>
  <c r="I57" i="19"/>
  <c r="I58" i="19" s="1"/>
  <c r="N19" i="19"/>
  <c r="O19" i="19" s="1"/>
  <c r="L26" i="19"/>
  <c r="M26" i="19" s="1"/>
  <c r="L25" i="19"/>
  <c r="M25" i="19" s="1"/>
  <c r="L24" i="19"/>
  <c r="M24" i="19" s="1"/>
  <c r="L23" i="19"/>
  <c r="M23" i="19" s="1"/>
  <c r="L22" i="19"/>
  <c r="M22" i="19" s="1"/>
  <c r="L21" i="19"/>
  <c r="E25" i="10"/>
  <c r="I52" i="19"/>
  <c r="I21" i="9" s="1"/>
  <c r="F52" i="19"/>
  <c r="F21" i="9" s="1"/>
  <c r="G52" i="19"/>
  <c r="G21" i="9" s="1"/>
  <c r="H52" i="19"/>
  <c r="H21" i="9" s="1"/>
  <c r="G8" i="19"/>
  <c r="S6" i="19" s="1"/>
  <c r="C17" i="10"/>
  <c r="C15" i="10"/>
  <c r="C28" i="10" s="1"/>
  <c r="I13" i="10"/>
  <c r="I18" i="10"/>
  <c r="C23" i="10" s="1"/>
  <c r="I17" i="10"/>
  <c r="C22" i="10" s="1"/>
  <c r="I15" i="10"/>
  <c r="I14" i="10"/>
  <c r="I11" i="10"/>
  <c r="J11" i="10" l="1"/>
  <c r="C16" i="10"/>
  <c r="D7" i="8"/>
  <c r="E22" i="12" s="1"/>
  <c r="D11" i="8"/>
  <c r="E26" i="12" s="1"/>
  <c r="C20" i="10"/>
  <c r="J15" i="10"/>
  <c r="J14" i="10"/>
  <c r="D10" i="8"/>
  <c r="E25" i="12" s="1"/>
  <c r="C19" i="10"/>
  <c r="J13" i="10"/>
  <c r="D9" i="8"/>
  <c r="E24" i="12" s="1"/>
  <c r="C18" i="10"/>
  <c r="K10" i="19"/>
  <c r="W8" i="19" s="1"/>
  <c r="X8" i="19" s="1"/>
  <c r="Y8" i="19" s="1"/>
  <c r="Z8" i="19" s="1"/>
  <c r="K7" i="19"/>
  <c r="W5" i="19" s="1"/>
  <c r="X5" i="19" s="1"/>
  <c r="Y5" i="19" s="1"/>
  <c r="Z5" i="19" s="1"/>
  <c r="H31" i="9"/>
  <c r="K148" i="17"/>
  <c r="G6" i="19"/>
  <c r="S4" i="19" s="1"/>
  <c r="G7" i="19"/>
  <c r="S5" i="19" s="1"/>
  <c r="G9" i="19"/>
  <c r="S7" i="19" s="1"/>
  <c r="G10" i="19"/>
  <c r="S8" i="19" s="1"/>
  <c r="J18" i="10"/>
  <c r="D14" i="8"/>
  <c r="E29" i="12" s="1"/>
  <c r="J17" i="10"/>
  <c r="D13" i="8"/>
  <c r="E28" i="12" s="1"/>
  <c r="P14" i="19"/>
  <c r="I74" i="19"/>
  <c r="O14" i="19"/>
  <c r="J10" i="19"/>
  <c r="V8" i="19" s="1"/>
  <c r="J7" i="19"/>
  <c r="V5" i="19" s="1"/>
  <c r="H10" i="19"/>
  <c r="T8" i="19" s="1"/>
  <c r="H7" i="19"/>
  <c r="T5" i="19" s="1"/>
  <c r="I7" i="19"/>
  <c r="U5" i="19" s="1"/>
  <c r="I9" i="19"/>
  <c r="U7" i="19" s="1"/>
  <c r="K9" i="19"/>
  <c r="W7" i="19" s="1"/>
  <c r="X7" i="19" s="1"/>
  <c r="Y7" i="19" s="1"/>
  <c r="Z7" i="19" s="1"/>
  <c r="J9" i="19"/>
  <c r="V7" i="19" s="1"/>
  <c r="I10" i="19"/>
  <c r="U8" i="19" s="1"/>
  <c r="O22" i="19"/>
  <c r="Q22" i="19" s="1"/>
  <c r="H6" i="19"/>
  <c r="T4" i="19" s="1"/>
  <c r="O23" i="19"/>
  <c r="Q23" i="19" s="1"/>
  <c r="I6" i="19"/>
  <c r="U4" i="19" s="1"/>
  <c r="J8" i="19"/>
  <c r="V6" i="19" s="1"/>
  <c r="H9" i="19"/>
  <c r="T7" i="19" s="1"/>
  <c r="K8" i="19"/>
  <c r="W6" i="19" s="1"/>
  <c r="X6" i="19" s="1"/>
  <c r="Y6" i="19" s="1"/>
  <c r="Z6" i="19" s="1"/>
  <c r="J6" i="19"/>
  <c r="V4" i="19" s="1"/>
  <c r="I8" i="19"/>
  <c r="U6" i="19" s="1"/>
  <c r="K6" i="19"/>
  <c r="W4" i="19" s="1"/>
  <c r="X4" i="19" s="1"/>
  <c r="H8" i="19"/>
  <c r="T6" i="19" s="1"/>
  <c r="E72" i="19"/>
  <c r="I72" i="19"/>
  <c r="F73" i="19"/>
  <c r="G73" i="19"/>
  <c r="H72" i="19"/>
  <c r="O24" i="19"/>
  <c r="Q24" i="19" s="1"/>
  <c r="O26" i="19"/>
  <c r="Q26" i="19" s="1"/>
  <c r="O25" i="19"/>
  <c r="Q25" i="19" s="1"/>
  <c r="L27" i="19"/>
  <c r="H58" i="19"/>
  <c r="H60" i="19" s="1"/>
  <c r="H61" i="19" s="1"/>
  <c r="H63" i="19" s="1"/>
  <c r="F58" i="19"/>
  <c r="F60" i="19" s="1"/>
  <c r="F61" i="19" s="1"/>
  <c r="F63" i="19" s="1"/>
  <c r="I60" i="19"/>
  <c r="I61" i="19" s="1"/>
  <c r="I63" i="19" s="1"/>
  <c r="N24" i="19"/>
  <c r="P24" i="19" s="1"/>
  <c r="N23" i="19"/>
  <c r="P23" i="19" s="1"/>
  <c r="N22" i="19"/>
  <c r="P22" i="19" s="1"/>
  <c r="N21" i="19"/>
  <c r="G60" i="19"/>
  <c r="G61" i="19" s="1"/>
  <c r="G63" i="19" s="1"/>
  <c r="N26" i="19"/>
  <c r="P26" i="19" s="1"/>
  <c r="N25" i="19"/>
  <c r="P25" i="19" s="1"/>
  <c r="E52" i="19"/>
  <c r="M21" i="19"/>
  <c r="J16" i="18"/>
  <c r="I16" i="18"/>
  <c r="H16" i="18"/>
  <c r="G16" i="18"/>
  <c r="F15" i="18"/>
  <c r="F14" i="18"/>
  <c r="J13" i="18"/>
  <c r="I13" i="18"/>
  <c r="H13" i="18"/>
  <c r="G13" i="18"/>
  <c r="F13" i="18"/>
  <c r="J12" i="18"/>
  <c r="I12" i="18"/>
  <c r="H12" i="18"/>
  <c r="G12" i="18"/>
  <c r="F12" i="18"/>
  <c r="J11" i="18"/>
  <c r="I11" i="18"/>
  <c r="H11" i="18"/>
  <c r="G11" i="18"/>
  <c r="F11" i="18"/>
  <c r="J9" i="18"/>
  <c r="I9" i="18"/>
  <c r="H9" i="18"/>
  <c r="G9" i="18"/>
  <c r="F9" i="18"/>
  <c r="I16" i="10" s="1"/>
  <c r="K303" i="17"/>
  <c r="L265" i="17"/>
  <c r="M265" i="17" s="1"/>
  <c r="K292" i="17"/>
  <c r="K289" i="17"/>
  <c r="J268" i="17"/>
  <c r="K265" i="17"/>
  <c r="L231" i="17" s="1"/>
  <c r="M158" i="17" s="1"/>
  <c r="M161" i="17" s="1"/>
  <c r="J257" i="17"/>
  <c r="J254" i="17"/>
  <c r="I234" i="17"/>
  <c r="J231" i="17"/>
  <c r="K231" i="17" s="1"/>
  <c r="I223" i="17"/>
  <c r="I220" i="17"/>
  <c r="H161" i="17"/>
  <c r="I158" i="17"/>
  <c r="I161" i="17" s="1"/>
  <c r="G91" i="17"/>
  <c r="H88" i="17"/>
  <c r="H91" i="17" s="1"/>
  <c r="G77" i="17"/>
  <c r="K27" i="17"/>
  <c r="J27" i="17"/>
  <c r="I27" i="17"/>
  <c r="H27" i="17"/>
  <c r="F20" i="17"/>
  <c r="G17" i="17"/>
  <c r="H17" i="17" s="1"/>
  <c r="K14" i="17"/>
  <c r="L14" i="17" s="1"/>
  <c r="F6" i="17"/>
  <c r="K15" i="10" l="1"/>
  <c r="E11" i="8"/>
  <c r="F26" i="12" s="1"/>
  <c r="E9" i="8"/>
  <c r="F24" i="12" s="1"/>
  <c r="K13" i="10"/>
  <c r="E10" i="8"/>
  <c r="F25" i="12" s="1"/>
  <c r="K14" i="10"/>
  <c r="E7" i="8"/>
  <c r="F22" i="12" s="1"/>
  <c r="K11" i="10"/>
  <c r="C21" i="10"/>
  <c r="C29" i="10" s="1"/>
  <c r="D12" i="8"/>
  <c r="E27" i="12" s="1"/>
  <c r="L16" i="10"/>
  <c r="G12" i="8" s="1"/>
  <c r="H27" i="12" s="1"/>
  <c r="J16" i="10"/>
  <c r="E12" i="8" s="1"/>
  <c r="F27" i="12" s="1"/>
  <c r="M16" i="10"/>
  <c r="H12" i="8" s="1"/>
  <c r="I27" i="12" s="1"/>
  <c r="K16" i="10"/>
  <c r="F12" i="8" s="1"/>
  <c r="G27" i="12" s="1"/>
  <c r="M14" i="17"/>
  <c r="Y4" i="19"/>
  <c r="X9" i="19"/>
  <c r="K150" i="17"/>
  <c r="J185" i="17"/>
  <c r="J187" i="17" s="1"/>
  <c r="J200" i="17" s="1"/>
  <c r="J207" i="17" s="1"/>
  <c r="L14" i="19"/>
  <c r="E74" i="19"/>
  <c r="E61" i="19"/>
  <c r="E63" i="19" s="1"/>
  <c r="E21" i="9"/>
  <c r="I31" i="9"/>
  <c r="L148" i="17"/>
  <c r="M148" i="17" s="1"/>
  <c r="J158" i="17"/>
  <c r="K158" i="17" s="1"/>
  <c r="K161" i="17" s="1"/>
  <c r="G20" i="17"/>
  <c r="I236" i="17"/>
  <c r="I243" i="17" s="1"/>
  <c r="K305" i="17"/>
  <c r="K312" i="17" s="1"/>
  <c r="L268" i="17"/>
  <c r="L270" i="17" s="1"/>
  <c r="L277" i="17" s="1"/>
  <c r="J270" i="17"/>
  <c r="J277" i="17" s="1"/>
  <c r="P12" i="19"/>
  <c r="I64" i="19"/>
  <c r="O12" i="19"/>
  <c r="H64" i="19"/>
  <c r="N12" i="19"/>
  <c r="G64" i="19"/>
  <c r="M12" i="19"/>
  <c r="F64" i="19"/>
  <c r="K18" i="10"/>
  <c r="E14" i="8"/>
  <c r="F29" i="12" s="1"/>
  <c r="E13" i="8"/>
  <c r="F28" i="12" s="1"/>
  <c r="K17" i="10"/>
  <c r="S9" i="19"/>
  <c r="E14" i="9" s="1"/>
  <c r="T9" i="19"/>
  <c r="F14" i="9" s="1"/>
  <c r="N14" i="19"/>
  <c r="G74" i="19"/>
  <c r="M14" i="19"/>
  <c r="F74" i="19"/>
  <c r="P21" i="19"/>
  <c r="P27" i="19" s="1"/>
  <c r="N27" i="19"/>
  <c r="O21" i="19"/>
  <c r="M27" i="19"/>
  <c r="F17" i="18"/>
  <c r="F20" i="18" s="1"/>
  <c r="G17" i="18"/>
  <c r="G20" i="18" s="1"/>
  <c r="I17" i="18"/>
  <c r="I20" i="18" s="1"/>
  <c r="H17" i="18"/>
  <c r="H20" i="18" s="1"/>
  <c r="J17" i="18"/>
  <c r="J20" i="18" s="1"/>
  <c r="M231" i="17"/>
  <c r="N158" i="17" s="1"/>
  <c r="N161" i="17" s="1"/>
  <c r="L234" i="17"/>
  <c r="L236" i="17" s="1"/>
  <c r="L243" i="17" s="1"/>
  <c r="H20" i="17"/>
  <c r="I17" i="17"/>
  <c r="K234" i="17"/>
  <c r="K236" i="17" s="1"/>
  <c r="K243" i="17" s="1"/>
  <c r="L158" i="17"/>
  <c r="M268" i="17"/>
  <c r="M270" i="17" s="1"/>
  <c r="M277" i="17" s="1"/>
  <c r="N232" i="17"/>
  <c r="I88" i="17"/>
  <c r="J234" i="17"/>
  <c r="J236" i="17" s="1"/>
  <c r="J243" i="17" s="1"/>
  <c r="K268" i="17"/>
  <c r="K270" i="17" s="1"/>
  <c r="K277" i="17" s="1"/>
  <c r="L14" i="10" l="1"/>
  <c r="F10" i="8"/>
  <c r="G25" i="12" s="1"/>
  <c r="L11" i="10"/>
  <c r="F7" i="8"/>
  <c r="G22" i="12" s="1"/>
  <c r="D17" i="8"/>
  <c r="L13" i="10"/>
  <c r="F9" i="8"/>
  <c r="G24" i="12" s="1"/>
  <c r="F11" i="8"/>
  <c r="G26" i="12" s="1"/>
  <c r="L15" i="10"/>
  <c r="N148" i="17"/>
  <c r="M150" i="17"/>
  <c r="M163" i="17" s="1"/>
  <c r="M170" i="17" s="1"/>
  <c r="E17" i="8"/>
  <c r="Z4" i="19"/>
  <c r="Z9" i="19" s="1"/>
  <c r="Y9" i="19"/>
  <c r="K163" i="17"/>
  <c r="K170" i="17" s="1"/>
  <c r="H148" i="17"/>
  <c r="H150" i="17" s="1"/>
  <c r="H163" i="17" s="1"/>
  <c r="H170" i="17" s="1"/>
  <c r="E31" i="9"/>
  <c r="F31" i="9"/>
  <c r="I148" i="17"/>
  <c r="F24" i="9"/>
  <c r="H78" i="17"/>
  <c r="G31" i="9"/>
  <c r="J148" i="17"/>
  <c r="G24" i="9"/>
  <c r="I78" i="17"/>
  <c r="H24" i="9"/>
  <c r="J78" i="17"/>
  <c r="L150" i="17"/>
  <c r="K185" i="17"/>
  <c r="K187" i="17" s="1"/>
  <c r="K200" i="17" s="1"/>
  <c r="K207" i="17" s="1"/>
  <c r="I24" i="9"/>
  <c r="K78" i="17"/>
  <c r="L12" i="19"/>
  <c r="E64" i="19"/>
  <c r="J161" i="17"/>
  <c r="N28" i="19"/>
  <c r="T20" i="19"/>
  <c r="L18" i="10"/>
  <c r="F14" i="8"/>
  <c r="G29" i="12" s="1"/>
  <c r="F13" i="8"/>
  <c r="G28" i="12" s="1"/>
  <c r="L17" i="10"/>
  <c r="V9" i="19"/>
  <c r="H14" i="9" s="1"/>
  <c r="W9" i="19"/>
  <c r="I14" i="9" s="1"/>
  <c r="U9" i="19"/>
  <c r="G14" i="9" s="1"/>
  <c r="Q21" i="19"/>
  <c r="Q27" i="19" s="1"/>
  <c r="U20" i="19" s="1"/>
  <c r="X20" i="19" s="1"/>
  <c r="AA20" i="19" s="1"/>
  <c r="AD20" i="19" s="1"/>
  <c r="AG20" i="19" s="1"/>
  <c r="AJ20" i="19" s="1"/>
  <c r="AM20" i="19" s="1"/>
  <c r="O27" i="19"/>
  <c r="L28" i="19"/>
  <c r="N235" i="17"/>
  <c r="N237" i="17" s="1"/>
  <c r="N244" i="17" s="1"/>
  <c r="J17" i="17"/>
  <c r="I20" i="17"/>
  <c r="M234" i="17"/>
  <c r="M236" i="17" s="1"/>
  <c r="M243" i="17" s="1"/>
  <c r="I91" i="17"/>
  <c r="J88" i="17"/>
  <c r="L161" i="17"/>
  <c r="G9" i="8" l="1"/>
  <c r="H24" i="12" s="1"/>
  <c r="M13" i="10"/>
  <c r="H9" i="8" s="1"/>
  <c r="I24" i="12" s="1"/>
  <c r="M11" i="10"/>
  <c r="H7" i="8" s="1"/>
  <c r="I22" i="12" s="1"/>
  <c r="G7" i="8"/>
  <c r="H22" i="12" s="1"/>
  <c r="M15" i="10"/>
  <c r="H11" i="8" s="1"/>
  <c r="I26" i="12" s="1"/>
  <c r="G11" i="8"/>
  <c r="H26" i="12" s="1"/>
  <c r="M14" i="10"/>
  <c r="H10" i="8" s="1"/>
  <c r="I25" i="12" s="1"/>
  <c r="G10" i="8"/>
  <c r="H25" i="12" s="1"/>
  <c r="L78" i="17"/>
  <c r="N150" i="17"/>
  <c r="N163" i="17" s="1"/>
  <c r="N170" i="17" s="1"/>
  <c r="O148" i="17"/>
  <c r="O150" i="17" s="1"/>
  <c r="O163" i="17" s="1"/>
  <c r="O170" i="17" s="1"/>
  <c r="F17" i="8"/>
  <c r="L163" i="17"/>
  <c r="L170" i="17" s="1"/>
  <c r="K81" i="17"/>
  <c r="J81" i="17"/>
  <c r="I81" i="17"/>
  <c r="J80" i="17"/>
  <c r="I113" i="17"/>
  <c r="I115" i="17" s="1"/>
  <c r="I128" i="17" s="1"/>
  <c r="I135" i="17" s="1"/>
  <c r="K80" i="17"/>
  <c r="J113" i="17"/>
  <c r="J115" i="17" s="1"/>
  <c r="J128" i="17" s="1"/>
  <c r="J135" i="17" s="1"/>
  <c r="H113" i="17"/>
  <c r="H115" i="17" s="1"/>
  <c r="H128" i="17" s="1"/>
  <c r="H135" i="17" s="1"/>
  <c r="I80" i="17"/>
  <c r="I93" i="17" s="1"/>
  <c r="I100" i="17" s="1"/>
  <c r="J150" i="17"/>
  <c r="J163" i="17" s="1"/>
  <c r="J170" i="17" s="1"/>
  <c r="I185" i="17"/>
  <c r="I187" i="17" s="1"/>
  <c r="I200" i="17" s="1"/>
  <c r="I207" i="17" s="1"/>
  <c r="E24" i="9"/>
  <c r="G78" i="17"/>
  <c r="G80" i="17" s="1"/>
  <c r="G93" i="17" s="1"/>
  <c r="G100" i="17" s="1"/>
  <c r="H80" i="17"/>
  <c r="H93" i="17" s="1"/>
  <c r="H100" i="17" s="1"/>
  <c r="G113" i="17"/>
  <c r="G115" i="17" s="1"/>
  <c r="G128" i="17" s="1"/>
  <c r="G135" i="17" s="1"/>
  <c r="I150" i="17"/>
  <c r="I163" i="17" s="1"/>
  <c r="I170" i="17" s="1"/>
  <c r="H185" i="17"/>
  <c r="H187" i="17" s="1"/>
  <c r="H200" i="17" s="1"/>
  <c r="H207" i="17" s="1"/>
  <c r="L6" i="19"/>
  <c r="L8" i="19"/>
  <c r="M10" i="19"/>
  <c r="M9" i="19"/>
  <c r="M8" i="19"/>
  <c r="M7" i="19"/>
  <c r="W20" i="19"/>
  <c r="M6" i="19"/>
  <c r="L7" i="19"/>
  <c r="L10" i="19"/>
  <c r="L9" i="19"/>
  <c r="M18" i="10"/>
  <c r="H14" i="8" s="1"/>
  <c r="I29" i="12" s="1"/>
  <c r="G14" i="8"/>
  <c r="H29" i="12" s="1"/>
  <c r="M17" i="10"/>
  <c r="H13" i="8" s="1"/>
  <c r="I28" i="12" s="1"/>
  <c r="G13" i="8"/>
  <c r="H28" i="12" s="1"/>
  <c r="J279" i="17"/>
  <c r="K17" i="17"/>
  <c r="J20" i="17"/>
  <c r="J91" i="17"/>
  <c r="K88" i="17"/>
  <c r="L88" i="17" s="1"/>
  <c r="K20" i="17" l="1"/>
  <c r="L17" i="17"/>
  <c r="M78" i="17"/>
  <c r="L80" i="17"/>
  <c r="L81" i="17"/>
  <c r="G17" i="8"/>
  <c r="H30" i="12" s="1"/>
  <c r="I19" i="14" s="1"/>
  <c r="H17" i="8"/>
  <c r="I30" i="12" s="1"/>
  <c r="J19" i="14" s="1"/>
  <c r="H81" i="17"/>
  <c r="H209" i="17"/>
  <c r="H172" i="17"/>
  <c r="L91" i="17"/>
  <c r="L93" i="17" s="1"/>
  <c r="L100" i="17" s="1"/>
  <c r="M88" i="17"/>
  <c r="J93" i="17"/>
  <c r="J100" i="17" s="1"/>
  <c r="G137" i="17"/>
  <c r="S10" i="19"/>
  <c r="S11" i="19" s="1"/>
  <c r="T10" i="19"/>
  <c r="T11" i="19" s="1"/>
  <c r="I245" i="17"/>
  <c r="N10" i="19"/>
  <c r="N9" i="19"/>
  <c r="Z20" i="19"/>
  <c r="N8" i="19"/>
  <c r="N7" i="19"/>
  <c r="N6" i="19"/>
  <c r="K314" i="17"/>
  <c r="K91" i="17"/>
  <c r="K93" i="17" s="1"/>
  <c r="K100" i="17" s="1"/>
  <c r="G30" i="12"/>
  <c r="H19" i="14" s="1"/>
  <c r="F30" i="12"/>
  <c r="G19" i="14" s="1"/>
  <c r="E30" i="12"/>
  <c r="F19" i="14" s="1"/>
  <c r="F12" i="11"/>
  <c r="F22" i="11" s="1"/>
  <c r="E22" i="11"/>
  <c r="F32" i="9"/>
  <c r="F9" i="12" s="1"/>
  <c r="F25" i="9"/>
  <c r="G32" i="9"/>
  <c r="G9" i="12" s="1"/>
  <c r="G25" i="9"/>
  <c r="H32" i="9"/>
  <c r="H9" i="12" s="1"/>
  <c r="H25" i="9"/>
  <c r="I32" i="9"/>
  <c r="I9" i="12" s="1"/>
  <c r="I25" i="9"/>
  <c r="E32" i="9"/>
  <c r="E9" i="12" s="1"/>
  <c r="E25" i="9"/>
  <c r="E12" i="14"/>
  <c r="E14" i="14" s="1"/>
  <c r="E8" i="13"/>
  <c r="E14" i="13" s="1"/>
  <c r="E18" i="13" s="1"/>
  <c r="D17" i="15"/>
  <c r="D15" i="15"/>
  <c r="E20" i="14"/>
  <c r="E21" i="14"/>
  <c r="F21" i="14" s="1"/>
  <c r="G21" i="14" s="1"/>
  <c r="H21" i="14" s="1"/>
  <c r="I21" i="14" s="1"/>
  <c r="J21" i="14" s="1"/>
  <c r="G12" i="11"/>
  <c r="G22" i="11" s="1"/>
  <c r="E9" i="11"/>
  <c r="E12" i="11" s="1"/>
  <c r="I12" i="11"/>
  <c r="I22" i="11" s="1"/>
  <c r="H12" i="11"/>
  <c r="H22" i="11" s="1"/>
  <c r="E23" i="14"/>
  <c r="E32" i="10"/>
  <c r="E22" i="14"/>
  <c r="F22" i="14" s="1"/>
  <c r="G22" i="14" s="1"/>
  <c r="H22" i="14" s="1"/>
  <c r="I22" i="14" s="1"/>
  <c r="J22" i="14" s="1"/>
  <c r="H8" i="12" l="1"/>
  <c r="F28" i="22"/>
  <c r="E8" i="12"/>
  <c r="C28" i="22"/>
  <c r="G8" i="12"/>
  <c r="E28" i="22"/>
  <c r="I8" i="12"/>
  <c r="G28" i="22"/>
  <c r="F8" i="12"/>
  <c r="D28" i="22"/>
  <c r="M91" i="17"/>
  <c r="N88" i="17"/>
  <c r="N91" i="17" s="1"/>
  <c r="M80" i="17"/>
  <c r="N78" i="17"/>
  <c r="M81" i="17"/>
  <c r="M17" i="17"/>
  <c r="M20" i="17" s="1"/>
  <c r="L20" i="17"/>
  <c r="F17" i="9"/>
  <c r="F18" i="9" s="1"/>
  <c r="E17" i="9"/>
  <c r="F7" i="17" s="1"/>
  <c r="F9" i="17" s="1"/>
  <c r="F22" i="17" s="1"/>
  <c r="F29" i="17" s="1"/>
  <c r="T12" i="19"/>
  <c r="U10" i="19"/>
  <c r="U11" i="19" s="1"/>
  <c r="O9" i="19"/>
  <c r="O8" i="19"/>
  <c r="O10" i="19"/>
  <c r="O7" i="19"/>
  <c r="O6" i="19"/>
  <c r="AC20" i="19"/>
  <c r="AF20" i="19" s="1"/>
  <c r="AI20" i="19" s="1"/>
  <c r="AL20" i="19" s="1"/>
  <c r="G102" i="17"/>
  <c r="H17" i="15"/>
  <c r="I30" i="11"/>
  <c r="F16" i="13"/>
  <c r="G16" i="13" s="1"/>
  <c r="F15" i="15" s="1"/>
  <c r="E21" i="11"/>
  <c r="D23" i="15"/>
  <c r="D26" i="15" s="1"/>
  <c r="E25" i="14"/>
  <c r="F20" i="14"/>
  <c r="E20" i="13"/>
  <c r="E35" i="12" s="1"/>
  <c r="F14" i="13"/>
  <c r="F17" i="15"/>
  <c r="G28" i="11"/>
  <c r="F27" i="11"/>
  <c r="G27" i="11" s="1"/>
  <c r="H27" i="11" s="1"/>
  <c r="I27" i="11" s="1"/>
  <c r="E17" i="15"/>
  <c r="G17" i="15"/>
  <c r="H29" i="11"/>
  <c r="I29" i="11" s="1"/>
  <c r="H28" i="11"/>
  <c r="I28" i="11" s="1"/>
  <c r="F35" i="9" l="1"/>
  <c r="F7" i="12"/>
  <c r="E18" i="9"/>
  <c r="N80" i="17"/>
  <c r="N93" i="17" s="1"/>
  <c r="N100" i="17" s="1"/>
  <c r="N81" i="17"/>
  <c r="M93" i="17"/>
  <c r="M100" i="17" s="1"/>
  <c r="G17" i="9"/>
  <c r="H7" i="17" s="1"/>
  <c r="H9" i="17" s="1"/>
  <c r="H22" i="17" s="1"/>
  <c r="H29" i="17" s="1"/>
  <c r="U12" i="19"/>
  <c r="G7" i="17"/>
  <c r="G9" i="17" s="1"/>
  <c r="G22" i="17" s="1"/>
  <c r="G29" i="17" s="1"/>
  <c r="V10" i="19"/>
  <c r="V11" i="19" s="1"/>
  <c r="P6" i="19"/>
  <c r="P10" i="19"/>
  <c r="P9" i="19"/>
  <c r="P8" i="19"/>
  <c r="P7" i="19"/>
  <c r="H16" i="13"/>
  <c r="G15" i="15" s="1"/>
  <c r="E15" i="15"/>
  <c r="E26" i="11"/>
  <c r="E23" i="11"/>
  <c r="F20" i="13"/>
  <c r="F35" i="12" s="1"/>
  <c r="F18" i="13"/>
  <c r="D8" i="22" l="1"/>
  <c r="D49" i="22"/>
  <c r="F29" i="8"/>
  <c r="E20" i="8"/>
  <c r="E23" i="8" s="1"/>
  <c r="F14" i="12" s="1"/>
  <c r="F10" i="12"/>
  <c r="G10" i="14" s="1"/>
  <c r="G27" i="14" s="1"/>
  <c r="E35" i="9"/>
  <c r="E7" i="12"/>
  <c r="H43" i="17"/>
  <c r="H45" i="17" s="1"/>
  <c r="H58" i="17" s="1"/>
  <c r="H65" i="17" s="1"/>
  <c r="G43" i="17"/>
  <c r="G45" i="17" s="1"/>
  <c r="G58" i="17" s="1"/>
  <c r="G65" i="17" s="1"/>
  <c r="G18" i="9"/>
  <c r="E24" i="8"/>
  <c r="F15" i="12" s="1"/>
  <c r="E22" i="8"/>
  <c r="F13" i="12" s="1"/>
  <c r="H17" i="9"/>
  <c r="H18" i="9" s="1"/>
  <c r="V12" i="19"/>
  <c r="W10" i="19"/>
  <c r="W11" i="19" s="1"/>
  <c r="F23" i="11"/>
  <c r="E34" i="11"/>
  <c r="F12" i="14"/>
  <c r="F26" i="11"/>
  <c r="E31" i="11"/>
  <c r="G14" i="13"/>
  <c r="G20" i="14"/>
  <c r="C8" i="22" l="1"/>
  <c r="C49" i="22"/>
  <c r="H35" i="9"/>
  <c r="H29" i="8" s="1"/>
  <c r="H7" i="12"/>
  <c r="G35" i="9"/>
  <c r="G7" i="12"/>
  <c r="E29" i="8"/>
  <c r="D20" i="8"/>
  <c r="E10" i="12"/>
  <c r="F10" i="14" s="1"/>
  <c r="I7" i="17"/>
  <c r="I9" i="17" s="1"/>
  <c r="I22" i="17" s="1"/>
  <c r="I29" i="17" s="1"/>
  <c r="E25" i="8"/>
  <c r="F30" i="8" s="1"/>
  <c r="F31" i="8" s="1"/>
  <c r="I17" i="9"/>
  <c r="I18" i="9" s="1"/>
  <c r="X11" i="19"/>
  <c r="W12" i="19"/>
  <c r="G20" i="8"/>
  <c r="H10" i="12"/>
  <c r="I10" i="14" s="1"/>
  <c r="I27" i="14" s="1"/>
  <c r="F31" i="11"/>
  <c r="G26" i="11"/>
  <c r="E34" i="12"/>
  <c r="E32" i="11"/>
  <c r="E35" i="11"/>
  <c r="G23" i="11"/>
  <c r="G12" i="14"/>
  <c r="G18" i="13"/>
  <c r="G20" i="13"/>
  <c r="G35" i="12" s="1"/>
  <c r="F49" i="22" l="1"/>
  <c r="F8" i="22"/>
  <c r="E49" i="22"/>
  <c r="E8" i="22"/>
  <c r="I35" i="9"/>
  <c r="I10" i="12" s="1"/>
  <c r="J10" i="14" s="1"/>
  <c r="J27" i="14" s="1"/>
  <c r="J28" i="14" s="1"/>
  <c r="H13" i="15" s="1"/>
  <c r="I7" i="12"/>
  <c r="F28" i="14"/>
  <c r="D13" i="15" s="1"/>
  <c r="G28" i="14"/>
  <c r="E13" i="15" s="1"/>
  <c r="I43" i="17"/>
  <c r="I45" i="17" s="1"/>
  <c r="I58" i="17" s="1"/>
  <c r="I65" i="17" s="1"/>
  <c r="G10" i="12"/>
  <c r="H10" i="14" s="1"/>
  <c r="H27" i="14" s="1"/>
  <c r="H28" i="14" s="1"/>
  <c r="F13" i="15" s="1"/>
  <c r="G29" i="8"/>
  <c r="F20" i="8"/>
  <c r="J7" i="17"/>
  <c r="J43" i="17" s="1"/>
  <c r="J45" i="17" s="1"/>
  <c r="J58" i="17" s="1"/>
  <c r="J65" i="17" s="1"/>
  <c r="F67" i="17" s="1"/>
  <c r="G28" i="18" s="1"/>
  <c r="D22" i="8"/>
  <c r="D23" i="8"/>
  <c r="E14" i="12" s="1"/>
  <c r="D24" i="8"/>
  <c r="E15" i="12" s="1"/>
  <c r="F34" i="12"/>
  <c r="E12" i="15" s="1"/>
  <c r="H20" i="8"/>
  <c r="I29" i="8"/>
  <c r="F16" i="12"/>
  <c r="F18" i="12" s="1"/>
  <c r="F32" i="12" s="1"/>
  <c r="X12" i="19"/>
  <c r="K7" i="17"/>
  <c r="Y11" i="19"/>
  <c r="J9" i="17"/>
  <c r="J22" i="17" s="1"/>
  <c r="J29" i="17" s="1"/>
  <c r="G24" i="8"/>
  <c r="H15" i="12" s="1"/>
  <c r="G23" i="8"/>
  <c r="H14" i="12" s="1"/>
  <c r="G22" i="8"/>
  <c r="H13" i="12" s="1"/>
  <c r="F14" i="14"/>
  <c r="F34" i="11"/>
  <c r="F35" i="11" s="1"/>
  <c r="F13" i="14"/>
  <c r="F32" i="11"/>
  <c r="D12" i="15"/>
  <c r="H23" i="11"/>
  <c r="H12" i="14"/>
  <c r="G31" i="11"/>
  <c r="H26" i="11"/>
  <c r="H20" i="14"/>
  <c r="H14" i="13"/>
  <c r="G49" i="22" l="1"/>
  <c r="G8" i="22"/>
  <c r="G31" i="18"/>
  <c r="N49" i="22"/>
  <c r="F37" i="12"/>
  <c r="F39" i="12" s="1"/>
  <c r="F41" i="12" s="1"/>
  <c r="E10" i="15" s="1"/>
  <c r="E24" i="15" s="1"/>
  <c r="I28" i="14"/>
  <c r="G13" i="15" s="1"/>
  <c r="F22" i="8"/>
  <c r="F23" i="8"/>
  <c r="G14" i="12" s="1"/>
  <c r="F24" i="8"/>
  <c r="G15" i="12" s="1"/>
  <c r="E13" i="12"/>
  <c r="D25" i="8"/>
  <c r="L7" i="8"/>
  <c r="L9" i="8"/>
  <c r="L6" i="8"/>
  <c r="L12" i="8"/>
  <c r="L13" i="8"/>
  <c r="L11" i="8"/>
  <c r="L14" i="8"/>
  <c r="L8" i="8"/>
  <c r="L10" i="8"/>
  <c r="G34" i="12"/>
  <c r="F12" i="15" s="1"/>
  <c r="F19" i="12"/>
  <c r="Y12" i="19"/>
  <c r="Z11" i="19"/>
  <c r="L7" i="17"/>
  <c r="L9" i="17" s="1"/>
  <c r="L22" i="17" s="1"/>
  <c r="L29" i="17" s="1"/>
  <c r="K43" i="17"/>
  <c r="K9" i="17"/>
  <c r="K22" i="17" s="1"/>
  <c r="K29" i="17" s="1"/>
  <c r="F31" i="17" s="1"/>
  <c r="F28" i="18" s="1"/>
  <c r="G25" i="8"/>
  <c r="H22" i="8"/>
  <c r="I13" i="12" s="1"/>
  <c r="H24" i="8"/>
  <c r="I15" i="12" s="1"/>
  <c r="H23" i="8"/>
  <c r="I14" i="12" s="1"/>
  <c r="I23" i="11"/>
  <c r="J12" i="14" s="1"/>
  <c r="I12" i="14"/>
  <c r="G34" i="11"/>
  <c r="G35" i="11" s="1"/>
  <c r="G14" i="14"/>
  <c r="I26" i="11"/>
  <c r="I31" i="11" s="1"/>
  <c r="H31" i="11"/>
  <c r="G32" i="11"/>
  <c r="G13" i="14"/>
  <c r="H18" i="13"/>
  <c r="H20" i="13"/>
  <c r="H35" i="12" s="1"/>
  <c r="F26" i="15" l="1"/>
  <c r="D50" i="22"/>
  <c r="F31" i="18"/>
  <c r="M49" i="22"/>
  <c r="F42" i="12"/>
  <c r="E30" i="8"/>
  <c r="E31" i="8" s="1"/>
  <c r="E16" i="12"/>
  <c r="E18" i="12" s="1"/>
  <c r="G13" i="12"/>
  <c r="F25" i="8"/>
  <c r="I34" i="12"/>
  <c r="H12" i="15" s="1"/>
  <c r="H34" i="12"/>
  <c r="G12" i="15" s="1"/>
  <c r="H28" i="18"/>
  <c r="M7" i="17"/>
  <c r="M9" i="17" s="1"/>
  <c r="M22" i="17" s="1"/>
  <c r="M29" i="17" s="1"/>
  <c r="I28" i="18" s="1"/>
  <c r="Z12" i="19"/>
  <c r="H16" i="12"/>
  <c r="H18" i="12" s="1"/>
  <c r="H32" i="12" s="1"/>
  <c r="H30" i="8"/>
  <c r="H31" i="8" s="1"/>
  <c r="H25" i="8"/>
  <c r="I16" i="12" s="1"/>
  <c r="I18" i="12" s="1"/>
  <c r="H13" i="14"/>
  <c r="H32" i="11"/>
  <c r="H14" i="14"/>
  <c r="H34" i="11"/>
  <c r="H35" i="11" s="1"/>
  <c r="I20" i="14"/>
  <c r="I14" i="13"/>
  <c r="H31" i="18" l="1"/>
  <c r="O49" i="22"/>
  <c r="I31" i="18"/>
  <c r="P49" i="22"/>
  <c r="H37" i="12"/>
  <c r="H39" i="12" s="1"/>
  <c r="G16" i="12"/>
  <c r="G18" i="12" s="1"/>
  <c r="G30" i="8"/>
  <c r="G31" i="8" s="1"/>
  <c r="E19" i="12"/>
  <c r="E32" i="12"/>
  <c r="E37" i="12" s="1"/>
  <c r="E41" i="12" s="1"/>
  <c r="J28" i="18"/>
  <c r="H19" i="12"/>
  <c r="I19" i="12"/>
  <c r="I32" i="12"/>
  <c r="I14" i="14"/>
  <c r="I34" i="11"/>
  <c r="I35" i="11" s="1"/>
  <c r="J14" i="14" s="1"/>
  <c r="I13" i="14"/>
  <c r="I32" i="11"/>
  <c r="J13" i="14" s="1"/>
  <c r="I16" i="13"/>
  <c r="H15" i="15" s="1"/>
  <c r="I20" i="13"/>
  <c r="I35" i="12" s="1"/>
  <c r="J31" i="18" l="1"/>
  <c r="Q49" i="22"/>
  <c r="H41" i="12"/>
  <c r="G10" i="15" s="1"/>
  <c r="G24" i="15" s="1"/>
  <c r="F50" i="22" s="1"/>
  <c r="E42" i="12"/>
  <c r="F23" i="14"/>
  <c r="D10" i="15"/>
  <c r="D24" i="15" s="1"/>
  <c r="C50" i="22" s="1"/>
  <c r="G32" i="12"/>
  <c r="G37" i="12" s="1"/>
  <c r="G39" i="12" s="1"/>
  <c r="G41" i="12" s="1"/>
  <c r="G19" i="12"/>
  <c r="I37" i="12"/>
  <c r="I39" i="12" s="1"/>
  <c r="I41" i="12" s="1"/>
  <c r="I18" i="13"/>
  <c r="J20" i="14" s="1"/>
  <c r="H42" i="12" l="1"/>
  <c r="H26" i="15"/>
  <c r="G42" i="12"/>
  <c r="F10" i="15"/>
  <c r="F24" i="15" s="1"/>
  <c r="G23" i="14"/>
  <c r="F25" i="14"/>
  <c r="D31" i="15"/>
  <c r="E26" i="15"/>
  <c r="H10" i="15"/>
  <c r="H24" i="15" s="1"/>
  <c r="G50" i="22" s="1"/>
  <c r="I42" i="12"/>
  <c r="E31" i="15" l="1"/>
  <c r="N8" i="22" s="1"/>
  <c r="M8" i="22"/>
  <c r="G26" i="15"/>
  <c r="D28" i="15" s="1"/>
  <c r="E50" i="22"/>
  <c r="G25" i="14"/>
  <c r="H23" i="14"/>
  <c r="C25" i="10"/>
  <c r="E9" i="14"/>
  <c r="F31" i="15" l="1"/>
  <c r="G31" i="15" s="1"/>
  <c r="H25" i="14"/>
  <c r="I23" i="14"/>
  <c r="E16" i="14"/>
  <c r="D8" i="15"/>
  <c r="D19" i="15" s="1"/>
  <c r="C30" i="10"/>
  <c r="O8" i="22" l="1"/>
  <c r="H31" i="15"/>
  <c r="Q8" i="22" s="1"/>
  <c r="P8" i="22"/>
  <c r="I25" i="14"/>
  <c r="J23" i="14"/>
  <c r="J25" i="14" s="1"/>
  <c r="F9" i="14"/>
  <c r="F16" i="14" s="1"/>
  <c r="F30" i="14" s="1"/>
  <c r="E8" i="15"/>
  <c r="E19" i="15" s="1"/>
  <c r="F8" i="15" l="1"/>
  <c r="F19" i="15" s="1"/>
  <c r="G9" i="14"/>
  <c r="G16" i="14" s="1"/>
  <c r="G30" i="14" s="1"/>
  <c r="H9" i="14" l="1"/>
  <c r="H16" i="14" s="1"/>
  <c r="H30" i="14" s="1"/>
  <c r="G8" i="15"/>
  <c r="G19" i="15" s="1"/>
  <c r="I9" i="14" l="1"/>
  <c r="I16" i="14" s="1"/>
  <c r="I30" i="14" s="1"/>
  <c r="H8" i="15"/>
  <c r="H19" i="15" s="1"/>
  <c r="J9" i="14" s="1"/>
  <c r="J16" i="14" s="1"/>
  <c r="J30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Doiron</author>
  </authors>
  <commentList>
    <comment ref="C10" authorId="0" shapeId="0" xr:uid="{00000000-0006-0000-0600-000001000000}">
      <text>
        <r>
          <rPr>
            <b/>
            <sz val="9"/>
            <color indexed="81"/>
            <rFont val="Calibri"/>
            <family val="2"/>
          </rPr>
          <t>Daniel Doiron:</t>
        </r>
        <r>
          <rPr>
            <sz val="9"/>
            <color indexed="81"/>
            <rFont val="Calibri"/>
            <family val="2"/>
          </rPr>
          <t xml:space="preserve">
Assumes partial year contracts with only a fraction extending to end of year and thus having A/R.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0" authorId="0" shapeId="0" xr:uid="{18B7BD37-3595-4C1E-A821-91490CCB168E}">
      <text>
        <r>
          <rPr>
            <sz val="11"/>
            <color rgb="FF000000"/>
            <rFont val="Calibri"/>
            <family val="2"/>
          </rPr>
          <t xml:space="preserve">front end tech's not back end tech's: i.e. tech's who are involved in quote creation, wastewater design, and implementation
</t>
        </r>
        <r>
          <rPr>
            <sz val="11"/>
            <color rgb="FF000000"/>
            <rFont val="Calibri"/>
            <family val="2"/>
          </rPr>
          <t xml:space="preserve">	-Nicholas LaValle</t>
        </r>
      </text>
    </comment>
    <comment ref="B13" authorId="0" shapeId="0" xr:uid="{14F5D61C-9B4F-4039-81F8-57B23970FC15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Conferences and such?
</t>
        </r>
      </text>
    </comment>
    <comment ref="B14" authorId="0" shapeId="0" xr:uid="{1EEEBDBC-4E5C-41FB-979F-6C0CF772F39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Income or cost?
Reply:
    Cost of registration, building content and writing it</t>
        </r>
      </text>
    </comment>
    <comment ref="B15" authorId="0" shapeId="0" xr:uid="{9AFC04D6-5E71-4E3F-8D62-00C391B5518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?
Reply:
    Anything produced: product sheets, business cards, signage, or anything printed/published
Reply:
    LOIs, agreements, and other legal or sales documents</t>
        </r>
      </text>
    </comment>
  </commentList>
</comments>
</file>

<file path=xl/sharedStrings.xml><?xml version="1.0" encoding="utf-8"?>
<sst xmlns="http://schemas.openxmlformats.org/spreadsheetml/2006/main" count="833" uniqueCount="318">
  <si>
    <t>Overhead Costs</t>
  </si>
  <si>
    <t>Revenue</t>
  </si>
  <si>
    <t>Total</t>
  </si>
  <si>
    <t>Total Revenue</t>
  </si>
  <si>
    <t>Year 1</t>
  </si>
  <si>
    <t>Year 2</t>
  </si>
  <si>
    <t>Year 3</t>
  </si>
  <si>
    <t>Retained Earnings</t>
  </si>
  <si>
    <t>Year 4</t>
  </si>
  <si>
    <t>Year 5</t>
  </si>
  <si>
    <t>Uses of Cash</t>
  </si>
  <si>
    <t>Sources of Cash</t>
  </si>
  <si>
    <t>Working Capital</t>
  </si>
  <si>
    <t>Lead Customers</t>
  </si>
  <si>
    <t>Owners Equity</t>
  </si>
  <si>
    <t>IRAP</t>
  </si>
  <si>
    <t>Angel Investor</t>
  </si>
  <si>
    <t>Startup Costs</t>
  </si>
  <si>
    <t>Capital Schedule</t>
  </si>
  <si>
    <t>Depreciable Life</t>
  </si>
  <si>
    <t>years</t>
  </si>
  <si>
    <t>Starting Assets</t>
  </si>
  <si>
    <t>Annual Capital Additions</t>
  </si>
  <si>
    <t>Total Assets</t>
  </si>
  <si>
    <t>Depreciation</t>
  </si>
  <si>
    <t>Annual Depreciation</t>
  </si>
  <si>
    <t>Cummulative Depreciation</t>
  </si>
  <si>
    <t>Beginning Balance</t>
  </si>
  <si>
    <t>Ending Balance</t>
  </si>
  <si>
    <t>Assets</t>
  </si>
  <si>
    <t>Equity</t>
  </si>
  <si>
    <t>Debt</t>
  </si>
  <si>
    <t>Grants</t>
  </si>
  <si>
    <t>Gross Margin</t>
  </si>
  <si>
    <t>EBITDA</t>
  </si>
  <si>
    <t>Total Overhead Costs</t>
  </si>
  <si>
    <t>Interest</t>
  </si>
  <si>
    <t>EBIT</t>
  </si>
  <si>
    <t>Income Tax</t>
  </si>
  <si>
    <t>Net Income</t>
  </si>
  <si>
    <t>Initial Debt</t>
  </si>
  <si>
    <t>Interest Rate</t>
  </si>
  <si>
    <t>Starting Balance</t>
  </si>
  <si>
    <t>Principle Payments</t>
  </si>
  <si>
    <t>Interest Costs</t>
  </si>
  <si>
    <t>Balance Sheet</t>
  </si>
  <si>
    <t>Opening</t>
  </si>
  <si>
    <t>Cash</t>
  </si>
  <si>
    <t>A/R</t>
  </si>
  <si>
    <t>Equipment</t>
  </si>
  <si>
    <t>Less Depreciation</t>
  </si>
  <si>
    <t>Net Equipment</t>
  </si>
  <si>
    <t>Liabilities</t>
  </si>
  <si>
    <t>A/P</t>
  </si>
  <si>
    <t>Total Liabilities &amp; Equity</t>
  </si>
  <si>
    <t>Gov't Grants</t>
  </si>
  <si>
    <t>Cash Flow Statement</t>
  </si>
  <si>
    <t>Opening Balance</t>
  </si>
  <si>
    <t>Income</t>
  </si>
  <si>
    <t>Change in Working Capital</t>
  </si>
  <si>
    <t>Less Debt Payments</t>
  </si>
  <si>
    <t>Less Capital Expenditures</t>
  </si>
  <si>
    <t>VC Investors</t>
  </si>
  <si>
    <t>IRR</t>
  </si>
  <si>
    <t>Investment</t>
  </si>
  <si>
    <t>Cash Flow</t>
  </si>
  <si>
    <t>Note: used for change in working capital Calc.</t>
  </si>
  <si>
    <t>Balance Check</t>
  </si>
  <si>
    <t>Government Grants</t>
  </si>
  <si>
    <t>Yearly Revenue</t>
  </si>
  <si>
    <t>Friends/Family Loans</t>
  </si>
  <si>
    <t>Startup period assumed at 6 months with four lead customers</t>
  </si>
  <si>
    <t>Initial Assets</t>
  </si>
  <si>
    <t>Asset Additions</t>
  </si>
  <si>
    <t>IRR (5 Years)</t>
  </si>
  <si>
    <t>Total Investment</t>
  </si>
  <si>
    <t>Other</t>
  </si>
  <si>
    <t>NEW VENTURE</t>
  </si>
  <si>
    <r>
      <t>*Interest rate assumed to be roughly 5% for</t>
    </r>
    <r>
      <rPr>
        <sz val="12"/>
        <color theme="1"/>
        <rFont val="Calibri"/>
        <family val="2"/>
        <scheme val="minor"/>
      </rPr>
      <t xml:space="preserve"> loans. </t>
    </r>
  </si>
  <si>
    <t>Assumption: COGS as % Revenues</t>
  </si>
  <si>
    <t>Overhead Costs (G&amp;A)</t>
  </si>
  <si>
    <t>Yearly Revenue from Service Line 1</t>
  </si>
  <si>
    <t>Yearly Revenue from Service Line 2</t>
  </si>
  <si>
    <t>Yearly Revenue from Service Line 3</t>
  </si>
  <si>
    <t>SERVICE LINE 1</t>
  </si>
  <si>
    <t>SERVICE LINE 2</t>
  </si>
  <si>
    <t>SERVICE LINE 3</t>
  </si>
  <si>
    <t># of New Subscribers (this year)</t>
  </si>
  <si>
    <t>Cost of Service Sold</t>
  </si>
  <si>
    <t>Service 1</t>
  </si>
  <si>
    <t>Service 2</t>
  </si>
  <si>
    <t>Service 3</t>
  </si>
  <si>
    <t>Total COSS</t>
  </si>
  <si>
    <t>Average Annual Revenue per Subscriber</t>
  </si>
  <si>
    <t>Cost of Servcies Sold</t>
  </si>
  <si>
    <t>Year 0</t>
  </si>
  <si>
    <t>Year 6</t>
  </si>
  <si>
    <t>Year 7</t>
  </si>
  <si>
    <t>Year 8</t>
  </si>
  <si>
    <t>Year 9</t>
  </si>
  <si>
    <t>Year 10</t>
  </si>
  <si>
    <t xml:space="preserve">Revenue Time series: Product </t>
  </si>
  <si>
    <t>Initial Price</t>
  </si>
  <si>
    <t>Profit from Product Sales</t>
  </si>
  <si>
    <t>Revenue Time Series: Maintenance / Subscriptions</t>
  </si>
  <si>
    <t>Price Yearly Maintenance</t>
  </si>
  <si>
    <t>Retention Rate</t>
  </si>
  <si>
    <t>Cumulative Retention Rate</t>
  </si>
  <si>
    <t>Price of Annual Consummable Subscription</t>
  </si>
  <si>
    <t>Gross Margin on Maintenance &amp; Subscription</t>
  </si>
  <si>
    <t>Profit from Maintenance &amp; Subscription</t>
  </si>
  <si>
    <t>Sum of Profits</t>
  </si>
  <si>
    <t>Capital of Cost Rate</t>
  </si>
  <si>
    <t>r</t>
  </si>
  <si>
    <t>Year</t>
  </si>
  <si>
    <t>YR</t>
  </si>
  <si>
    <t>NPV Equation</t>
  </si>
  <si>
    <t>PV=FV*(1-r)^yr</t>
  </si>
  <si>
    <t>NPV Factor</t>
  </si>
  <si>
    <t>1/(1+r)^yr</t>
  </si>
  <si>
    <t>Present Value above Cost Capital</t>
  </si>
  <si>
    <t>Net Present Value</t>
  </si>
  <si>
    <t>LTV for Customer Acquired in Year-0</t>
  </si>
  <si>
    <t>Present Value</t>
  </si>
  <si>
    <t>PV</t>
  </si>
  <si>
    <t>Notes</t>
  </si>
  <si>
    <t>Future Value</t>
  </si>
  <si>
    <t>FV</t>
  </si>
  <si>
    <t>COC = 50%</t>
  </si>
  <si>
    <t>Required RoR</t>
  </si>
  <si>
    <t># Periods (yr)</t>
  </si>
  <si>
    <t>yr</t>
  </si>
  <si>
    <t>LTV for Customer Acquired in Year-1</t>
  </si>
  <si>
    <t>LTV for Customer Acquired in Year-2</t>
  </si>
  <si>
    <t>LTV for Customer Acquired in Year-3</t>
  </si>
  <si>
    <t>LTV for Customer Acquired in Year-4</t>
  </si>
  <si>
    <t>LTV for Customer Acquired in Year-5</t>
  </si>
  <si>
    <t>COCA</t>
  </si>
  <si>
    <t>Number of Salespeople</t>
  </si>
  <si>
    <t>Sales Salary (Fully Burdened)</t>
  </si>
  <si>
    <t>Number of Tech/Eng</t>
  </si>
  <si>
    <t>Tech-Support (Fully Burdened)</t>
  </si>
  <si>
    <t xml:space="preserve">Travel / Entertainment </t>
  </si>
  <si>
    <t>per sales</t>
  </si>
  <si>
    <t>Events (fixed)</t>
  </si>
  <si>
    <t>per year</t>
  </si>
  <si>
    <t>Website (initial)</t>
  </si>
  <si>
    <t>year 1</t>
  </si>
  <si>
    <t>Marketing Collatoral (Initial)</t>
  </si>
  <si>
    <t>Marketing &amp; Web (ongoing)</t>
  </si>
  <si>
    <t>year 2-5</t>
  </si>
  <si>
    <t>TOTAL M&amp;S</t>
  </si>
  <si>
    <t># New Customers</t>
  </si>
  <si>
    <t>G &amp; A Costs</t>
  </si>
  <si>
    <t>Fixed Costs</t>
  </si>
  <si>
    <t>LTV    SUMMARY</t>
  </si>
  <si>
    <t>(see previous sheet &amp; assumptions)</t>
  </si>
  <si>
    <t>Ratio LTV / COCA</t>
  </si>
  <si>
    <t>(Target to exceed 3:1 Ratio)</t>
  </si>
  <si>
    <t>FY1</t>
  </si>
  <si>
    <t>FY2</t>
  </si>
  <si>
    <t>FY3</t>
  </si>
  <si>
    <t>7-12months</t>
  </si>
  <si>
    <t>FY4</t>
  </si>
  <si>
    <t>FY5</t>
  </si>
  <si>
    <t>Types of customer</t>
  </si>
  <si>
    <t>Travel agency</t>
  </si>
  <si>
    <t>Local businesses</t>
  </si>
  <si>
    <t>Revenue Stream/Status</t>
  </si>
  <si>
    <t>Europe</t>
  </si>
  <si>
    <t>Asia</t>
  </si>
  <si>
    <t>Africa</t>
  </si>
  <si>
    <t>North America</t>
  </si>
  <si>
    <t>Continent</t>
  </si>
  <si>
    <t>South America</t>
  </si>
  <si>
    <t>Carribean island</t>
  </si>
  <si>
    <t>Toure Guide ONE WEEK</t>
  </si>
  <si>
    <t>Transfer Car 2 trip</t>
  </si>
  <si>
    <t>Events per person</t>
  </si>
  <si>
    <t>Travell Buddy per person</t>
  </si>
  <si>
    <t>Laptops</t>
  </si>
  <si>
    <t>Business owners</t>
  </si>
  <si>
    <t xml:space="preserve">Travel &amp; entertainment </t>
  </si>
  <si>
    <t>Legal (SLAs)</t>
  </si>
  <si>
    <t>Lead Customer Development (COCA)</t>
  </si>
  <si>
    <t>Average per person</t>
  </si>
  <si>
    <t>per month</t>
  </si>
  <si>
    <t>App maintenance</t>
  </si>
  <si>
    <t>Employee salary(3 tech guys)</t>
  </si>
  <si>
    <t>Miscellaneous(Internet, food, )</t>
  </si>
  <si>
    <t>Purchasing initial item(letterhead, company stationaries etc)</t>
  </si>
  <si>
    <t>Per Yr</t>
  </si>
  <si>
    <t>Budget-conscious Travelers</t>
  </si>
  <si>
    <t>Socially-oriented Travelers</t>
  </si>
  <si>
    <t>Business travelers</t>
  </si>
  <si>
    <t>CPM</t>
  </si>
  <si>
    <t>CPA(COST Per acquisition)</t>
  </si>
  <si>
    <t>CPC(cost per click)</t>
  </si>
  <si>
    <t>Flight Two round($)</t>
  </si>
  <si>
    <t>Hotels One Day($)</t>
  </si>
  <si>
    <t>Breakfast one day($)</t>
  </si>
  <si>
    <t>transaction fees</t>
  </si>
  <si>
    <t>direct marketing expenses</t>
  </si>
  <si>
    <t>payments to third parties such as hotels</t>
  </si>
  <si>
    <t>Direct cost to Revenue</t>
  </si>
  <si>
    <t xml:space="preserve">Subscription-Based Travel Apps: </t>
  </si>
  <si>
    <t xml:space="preserve">Ad-Based Revenue Models: </t>
  </si>
  <si>
    <t>Experience and Activity-Based Apps:</t>
  </si>
  <si>
    <t>Booking and Reservation Apps:</t>
  </si>
  <si>
    <t>Industry Gross Margin</t>
  </si>
  <si>
    <t>Average gross margin/model</t>
  </si>
  <si>
    <t>Solo travellers:</t>
  </si>
  <si>
    <t>Solo travellers</t>
  </si>
  <si>
    <t>No Revenue- Freemium</t>
  </si>
  <si>
    <t>COGS</t>
  </si>
  <si>
    <t>Normal Profit</t>
  </si>
  <si>
    <t>Premium profit</t>
  </si>
  <si>
    <t>Initial price</t>
  </si>
  <si>
    <t>Premium price(10%)</t>
  </si>
  <si>
    <t>GTV1</t>
  </si>
  <si>
    <t>GTV2</t>
  </si>
  <si>
    <t>Adventure Seekers/Sollo</t>
  </si>
  <si>
    <t>Weeks</t>
  </si>
  <si>
    <t>Sessions</t>
  </si>
  <si>
    <t>Clicks/session</t>
  </si>
  <si>
    <t>Total session</t>
  </si>
  <si>
    <t>Total clicks per user per year</t>
  </si>
  <si>
    <t>CPC Caluculation</t>
  </si>
  <si>
    <t>Total clicks per year for users</t>
  </si>
  <si>
    <t>Average CPC/click</t>
  </si>
  <si>
    <t>ATG gross margin</t>
  </si>
  <si>
    <t>0-5MONTHS (Testing face &amp; market )</t>
  </si>
  <si>
    <t>Useage</t>
  </si>
  <si>
    <t>Exp related to maintaining the app's platform</t>
  </si>
  <si>
    <t>Each travel agency partners on a commission basis.</t>
  </si>
  <si>
    <t>Average commission rate is 10% per booking.</t>
  </si>
  <si>
    <t>Average monthly bookings per agency through the app are 50.</t>
  </si>
  <si>
    <t>Average booking value is $200.</t>
  </si>
  <si>
    <t>Monthly Commission per Agency:</t>
  </si>
  <si>
    <t>Monthly Commission</t>
  </si>
  <si>
    <t>Average boking value</t>
  </si>
  <si>
    <t>6months</t>
  </si>
  <si>
    <t>12months</t>
  </si>
  <si>
    <t xml:space="preserve"> Average Booking Value: This depends on the type of services booked (hotels, flights, tours, etc.).</t>
  </si>
  <si>
    <t>#Customers</t>
  </si>
  <si>
    <t>1 full year</t>
  </si>
  <si>
    <t>7months</t>
  </si>
  <si>
    <r>
      <rPr>
        <b/>
        <sz val="9"/>
        <color theme="1"/>
        <rFont val="Trebuchet MS"/>
        <family val="2"/>
      </rPr>
      <t xml:space="preserve">subscription &amp; features and premium features like </t>
    </r>
    <r>
      <rPr>
        <sz val="9"/>
        <color theme="1"/>
        <rFont val="Trebuchet MS"/>
        <family val="2"/>
      </rPr>
      <t>(charging for premium charges such as advanced travel guides, offline access)</t>
    </r>
  </si>
  <si>
    <r>
      <rPr>
        <b/>
        <sz val="9"/>
        <color theme="1"/>
        <rFont val="Trebuchet MS"/>
        <family val="2"/>
      </rPr>
      <t>Advertisement</t>
    </r>
    <r>
      <rPr>
        <sz val="9"/>
        <color theme="1"/>
        <rFont val="Trebuchet MS"/>
        <family val="2"/>
      </rPr>
      <t>: The adds will display ads or more targeted promotions from local business , resturants and hotels</t>
    </r>
  </si>
  <si>
    <r>
      <rPr>
        <b/>
        <sz val="9"/>
        <color theme="1"/>
        <rFont val="Trebuchet MS"/>
        <family val="2"/>
      </rPr>
      <t>Affliate marketing</t>
    </r>
    <r>
      <rPr>
        <sz val="9"/>
        <color theme="1"/>
        <rFont val="Trebuchet MS"/>
        <family val="2"/>
      </rPr>
      <t>: Commisions from local attractions and businesses, the app can feature exclusive deals or content, a fee for referral booking</t>
    </r>
  </si>
  <si>
    <t>Period - 0</t>
  </si>
  <si>
    <t>Gross profit</t>
  </si>
  <si>
    <t xml:space="preserve">GTV </t>
  </si>
  <si>
    <t>Average boking -$</t>
  </si>
  <si>
    <t>Licensing</t>
  </si>
  <si>
    <t>Revenue Time series: Sollo Traveller</t>
  </si>
  <si>
    <t>Revenue Time series: Local Businesses</t>
  </si>
  <si>
    <t>Revenue Time series: Travel Agency</t>
  </si>
  <si>
    <t>Lead Customer Development Part of (COCA)</t>
  </si>
  <si>
    <t>Subscribers model</t>
  </si>
  <si>
    <t>FY6</t>
  </si>
  <si>
    <t>FY7</t>
  </si>
  <si>
    <t>FY8</t>
  </si>
  <si>
    <t xml:space="preserve"> Each user opens the app twice a week.</t>
  </si>
  <si>
    <t>Each session involves around 10 clicks (navigating through offers, clicking on details, etc.)</t>
  </si>
  <si>
    <t>ASSUMPTIONS</t>
  </si>
  <si>
    <t xml:space="preserve">Multiple year forecast income statement </t>
  </si>
  <si>
    <t xml:space="preserve">Income statement item (if applicable) </t>
  </si>
  <si>
    <t xml:space="preserve">Year 1 assumptions </t>
  </si>
  <si>
    <t xml:space="preserve">Year 2 assumptions </t>
  </si>
  <si>
    <t xml:space="preserve">Cost of good sold </t>
  </si>
  <si>
    <t xml:space="preserve">1% increase as a % of sales </t>
  </si>
  <si>
    <t xml:space="preserve">1.5% increase as a % of sales </t>
  </si>
  <si>
    <t xml:space="preserve">Selling, general, administration expense </t>
  </si>
  <si>
    <t xml:space="preserve">1% increase </t>
  </si>
  <si>
    <t xml:space="preserve">Income taxes on continuing operations </t>
  </si>
  <si>
    <t>R&amp;D</t>
  </si>
  <si>
    <t xml:space="preserve">Multiple year forecast balance sheet </t>
  </si>
  <si>
    <t xml:space="preserve">Balance sheet item (if applicable) </t>
  </si>
  <si>
    <t xml:space="preserve">Capital expenditures </t>
  </si>
  <si>
    <t xml:space="preserve">Current maturing debt </t>
  </si>
  <si>
    <t xml:space="preserve">Dividend </t>
  </si>
  <si>
    <t xml:space="preserve">Year 3 assumptions </t>
  </si>
  <si>
    <t xml:space="preserve">Year 4 assumptions </t>
  </si>
  <si>
    <t xml:space="preserve">Year 5 assumptions </t>
  </si>
  <si>
    <t># of Sollo travellers (this year)</t>
  </si>
  <si>
    <t># of  Solo travellers Lost (this year)</t>
  </si>
  <si>
    <t># of App users (this year)</t>
  </si>
  <si>
    <t>Cumulative App users Base at Year-End</t>
  </si>
  <si>
    <t># of  App users Lost (this year)</t>
  </si>
  <si>
    <t>Sollo Travellers</t>
  </si>
  <si>
    <t># of New Bookings (this year)</t>
  </si>
  <si>
    <t># of  Declined Bookings (this year)</t>
  </si>
  <si>
    <t>Cumulative Bookings Base at Year-End</t>
  </si>
  <si>
    <t>Estimates of app users</t>
  </si>
  <si>
    <t>2% growth</t>
  </si>
  <si>
    <t>4% growth</t>
  </si>
  <si>
    <t>5% growth</t>
  </si>
  <si>
    <t>7% growth</t>
  </si>
  <si>
    <t>15% on net income</t>
  </si>
  <si>
    <t xml:space="preserve">1.6% increase </t>
  </si>
  <si>
    <t xml:space="preserve">1.9% increase </t>
  </si>
  <si>
    <t xml:space="preserve">1.5% increase </t>
  </si>
  <si>
    <t>zero increase</t>
  </si>
  <si>
    <t>35% of sales</t>
  </si>
  <si>
    <t>41% of sales reveenue</t>
  </si>
  <si>
    <t>0.3% of sales</t>
  </si>
  <si>
    <t>Initial 250 users</t>
  </si>
  <si>
    <t>Initial 250</t>
  </si>
  <si>
    <t>Mwanga Business Support</t>
  </si>
  <si>
    <t>`</t>
  </si>
  <si>
    <t>Estimates</t>
  </si>
  <si>
    <t>Cashflow</t>
  </si>
  <si>
    <t>LTV</t>
  </si>
  <si>
    <t>Revenue Forecast</t>
  </si>
  <si>
    <t>CPC &amp; Bookings assumptions</t>
  </si>
  <si>
    <t>Local Business(Adv)</t>
  </si>
  <si>
    <t>Travel Agency(Comm)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</si>
</sst>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;[Red]&quot;$&quot;#,##0"/>
    <numFmt numFmtId="166" formatCode="&quot;$&quot;#,##0;[Red]\-&quot;$&quot;#,##0"/>
    <numFmt numFmtId="167" formatCode="0.0%"/>
    <numFmt numFmtId="168" formatCode="&quot;$&quot;#,##0"/>
    <numFmt numFmtId="169" formatCode="&quot;$&quot;#,##0.00;[Red]\-&quot;$&quot;#,##0.00"/>
    <numFmt numFmtId="170" formatCode="_-* #,##0.00_-;\-* #,##0.00_-;_-* &quot;-&quot;??_-;_-@"/>
    <numFmt numFmtId="171" formatCode="_-* #,##0_-;\-* #,##0_-;_-* &quot;-&quot;??_-;_-@"/>
    <numFmt numFmtId="172" formatCode="&quot;$&quot;#,##0.00"/>
    <numFmt numFmtId="173" formatCode="_(&quot;$&quot;* #,##0_);_(&quot;$&quot;* \(#,##0\);_(&quot;$&quot;* &quot;-&quot;??_);_(@_)"/>
    <numFmt numFmtId="174" formatCode="0.0"/>
    <numFmt numFmtId="175" formatCode="0.000"/>
  </numFmts>
  <fonts count="7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  <font>
      <sz val="16"/>
      <color theme="1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62"/>
      <name val="Arial"/>
      <family val="2"/>
    </font>
    <font>
      <sz val="12"/>
      <color indexed="1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indexed="62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</font>
    <font>
      <b/>
      <sz val="14"/>
      <color theme="1"/>
      <name val="Calibri (Body)"/>
    </font>
    <font>
      <sz val="11"/>
      <color rgb="FF000000"/>
      <name val="Calibri"/>
      <family val="2"/>
    </font>
    <font>
      <sz val="9"/>
      <color theme="1"/>
      <name val="Trebuchet MS"/>
      <family val="2"/>
    </font>
    <font>
      <b/>
      <i/>
      <sz val="9"/>
      <color theme="1"/>
      <name val="Trebuchet MS"/>
      <family val="2"/>
    </font>
    <font>
      <b/>
      <sz val="9"/>
      <color theme="1"/>
      <name val="Trebuchet MS"/>
      <family val="2"/>
    </font>
    <font>
      <i/>
      <sz val="9"/>
      <color theme="1"/>
      <name val="Trebuchet MS"/>
      <family val="2"/>
    </font>
    <font>
      <i/>
      <sz val="9"/>
      <color rgb="FFFF0000"/>
      <name val="Trebuchet MS"/>
      <family val="2"/>
    </font>
    <font>
      <sz val="9"/>
      <color rgb="FF0D0D0D"/>
      <name val="Trebuchet MS"/>
      <family val="2"/>
    </font>
    <font>
      <i/>
      <sz val="9"/>
      <color rgb="FF0D0D0D"/>
      <name val="Trebuchet MS"/>
      <family val="2"/>
    </font>
    <font>
      <b/>
      <sz val="10"/>
      <color theme="1"/>
      <name val="Trebuchet MS"/>
      <family val="2"/>
    </font>
    <font>
      <b/>
      <sz val="12"/>
      <color theme="1"/>
      <name val="Trebuchet MS"/>
      <family val="2"/>
    </font>
    <font>
      <sz val="12"/>
      <color theme="1"/>
      <name val="Trebuchet MS"/>
      <family val="2"/>
    </font>
    <font>
      <sz val="12"/>
      <name val="Trebuchet MS"/>
      <family val="2"/>
    </font>
    <font>
      <b/>
      <sz val="12"/>
      <name val="Trebuchet MS"/>
      <family val="2"/>
    </font>
    <font>
      <b/>
      <sz val="12"/>
      <color rgb="FF000000"/>
      <name val="Trebuchet MS"/>
      <family val="2"/>
    </font>
    <font>
      <sz val="12"/>
      <color rgb="FF000000"/>
      <name val="Trebuchet MS"/>
      <family val="2"/>
    </font>
    <font>
      <sz val="9"/>
      <color rgb="FF0000FF"/>
      <name val="Trebuchet MS"/>
      <family val="2"/>
    </font>
    <font>
      <sz val="9"/>
      <name val="Trebuchet MS"/>
      <family val="2"/>
    </font>
    <font>
      <sz val="8"/>
      <color theme="0"/>
      <name val="Open Sans"/>
      <family val="2"/>
    </font>
    <font>
      <b/>
      <sz val="8"/>
      <color theme="0"/>
      <name val="Open Sans"/>
      <family val="2"/>
    </font>
    <font>
      <sz val="11"/>
      <color theme="1"/>
      <name val="Arial Narrow"/>
      <family val="2"/>
    </font>
    <font>
      <sz val="9"/>
      <color theme="1"/>
      <name val="Century Gothic"/>
      <family val="2"/>
    </font>
    <font>
      <sz val="9"/>
      <color rgb="FFFF0000"/>
      <name val="Century Gothic"/>
      <family val="2"/>
    </font>
    <font>
      <sz val="9"/>
      <color theme="0"/>
      <name val="Century Gothic"/>
      <family val="2"/>
    </font>
    <font>
      <b/>
      <sz val="9"/>
      <color rgb="FFFF0000"/>
      <name val="Century Gothic"/>
      <family val="2"/>
    </font>
    <font>
      <b/>
      <sz val="9"/>
      <color theme="1"/>
      <name val="Century Gothic"/>
      <family val="2"/>
    </font>
    <font>
      <sz val="9"/>
      <color rgb="FF00A6C1"/>
      <name val="Century Gothic"/>
      <family val="2"/>
    </font>
    <font>
      <b/>
      <sz val="9"/>
      <color rgb="FF18216E"/>
      <name val="Century Gothic"/>
      <family val="2"/>
    </font>
    <font>
      <b/>
      <sz val="9"/>
      <color rgb="FF00A6C1"/>
      <name val="Century Gothic"/>
      <family val="2"/>
    </font>
    <font>
      <b/>
      <sz val="11"/>
      <color theme="0"/>
      <name val="Century Gothic"/>
      <family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color theme="0"/>
      <name val="Century Gothic"/>
      <family val="2"/>
    </font>
    <font>
      <b/>
      <sz val="11"/>
      <name val="Century Gothic"/>
      <family val="2"/>
    </font>
    <font>
      <sz val="11"/>
      <name val="Century Gothic"/>
      <family val="2"/>
    </font>
    <font>
      <sz val="11"/>
      <color rgb="FFFF0000"/>
      <name val="Century Gothic"/>
      <family val="2"/>
    </font>
    <font>
      <sz val="11"/>
      <color rgb="FF0000FF"/>
      <name val="Century Gothic"/>
      <family val="2"/>
    </font>
    <font>
      <b/>
      <sz val="9"/>
      <color theme="0"/>
      <name val="Century Gothic"/>
      <family val="2"/>
    </font>
  </fonts>
  <fills count="21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132E57"/>
        <bgColor indexed="64"/>
      </patternFill>
    </fill>
    <fill>
      <patternFill patternType="darkDown">
        <fgColor theme="2" tint="-0.499984740745262"/>
        <bgColor theme="1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5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0">
    <xf numFmtId="0" fontId="0" fillId="0" borderId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24" fillId="0" borderId="0"/>
    <xf numFmtId="0" fontId="1" fillId="0" borderId="0"/>
    <xf numFmtId="44" fontId="1" fillId="0" borderId="0" applyFont="0" applyFill="0" applyBorder="0" applyAlignment="0" applyProtection="0"/>
    <xf numFmtId="0" fontId="5" fillId="0" borderId="0"/>
  </cellStyleXfs>
  <cellXfs count="485">
    <xf numFmtId="0" fontId="0" fillId="0" borderId="0" xfId="0"/>
    <xf numFmtId="0" fontId="3" fillId="0" borderId="0" xfId="0" applyFont="1"/>
    <xf numFmtId="0" fontId="12" fillId="0" borderId="0" xfId="0" applyFont="1"/>
    <xf numFmtId="0" fontId="11" fillId="0" borderId="0" xfId="0" applyFont="1" applyAlignment="1">
      <alignment horizontal="center"/>
    </xf>
    <xf numFmtId="164" fontId="15" fillId="0" borderId="0" xfId="17" applyNumberFormat="1" applyFont="1"/>
    <xf numFmtId="6" fontId="16" fillId="0" borderId="0" xfId="17" applyNumberFormat="1" applyFont="1"/>
    <xf numFmtId="164" fontId="16" fillId="0" borderId="0" xfId="17" applyNumberFormat="1" applyFont="1"/>
    <xf numFmtId="164" fontId="16" fillId="0" borderId="4" xfId="17" applyNumberFormat="1" applyFont="1" applyBorder="1"/>
    <xf numFmtId="164" fontId="16" fillId="0" borderId="0" xfId="17" applyNumberFormat="1" applyFont="1" applyBorder="1"/>
    <xf numFmtId="164" fontId="16" fillId="0" borderId="5" xfId="17" applyNumberFormat="1" applyFont="1" applyBorder="1"/>
    <xf numFmtId="164" fontId="15" fillId="0" borderId="0" xfId="17" applyNumberFormat="1" applyFont="1" applyBorder="1" applyAlignment="1">
      <alignment horizontal="center"/>
    </xf>
    <xf numFmtId="164" fontId="15" fillId="0" borderId="5" xfId="17" applyNumberFormat="1" applyFont="1" applyBorder="1" applyAlignment="1">
      <alignment horizontal="center"/>
    </xf>
    <xf numFmtId="6" fontId="16" fillId="0" borderId="0" xfId="17" applyNumberFormat="1" applyFont="1" applyBorder="1"/>
    <xf numFmtId="6" fontId="16" fillId="0" borderId="5" xfId="17" applyNumberFormat="1" applyFont="1" applyBorder="1"/>
    <xf numFmtId="164" fontId="20" fillId="0" borderId="0" xfId="17" applyNumberFormat="1" applyFont="1"/>
    <xf numFmtId="164" fontId="20" fillId="0" borderId="0" xfId="17" applyNumberFormat="1" applyFont="1" applyBorder="1"/>
    <xf numFmtId="164" fontId="20" fillId="0" borderId="5" xfId="17" applyNumberFormat="1" applyFont="1" applyBorder="1"/>
    <xf numFmtId="164" fontId="19" fillId="0" borderId="0" xfId="17" applyNumberFormat="1" applyFont="1" applyBorder="1" applyAlignment="1">
      <alignment horizontal="center"/>
    </xf>
    <xf numFmtId="164" fontId="19" fillId="0" borderId="5" xfId="17" applyNumberFormat="1" applyFont="1" applyBorder="1" applyAlignment="1">
      <alignment horizontal="center"/>
    </xf>
    <xf numFmtId="0" fontId="12" fillId="0" borderId="0" xfId="0" applyFont="1" applyAlignment="1">
      <alignment wrapText="1"/>
    </xf>
    <xf numFmtId="164" fontId="12" fillId="0" borderId="0" xfId="2" applyNumberFormat="1" applyFont="1" applyAlignment="1">
      <alignment horizontal="center"/>
    </xf>
    <xf numFmtId="164" fontId="13" fillId="0" borderId="0" xfId="2" applyNumberFormat="1" applyFont="1" applyFill="1"/>
    <xf numFmtId="164" fontId="12" fillId="0" borderId="9" xfId="2" applyNumberFormat="1" applyFont="1" applyBorder="1"/>
    <xf numFmtId="164" fontId="19" fillId="0" borderId="0" xfId="17" applyNumberFormat="1" applyFont="1" applyAlignment="1">
      <alignment horizontal="left"/>
    </xf>
    <xf numFmtId="0" fontId="20" fillId="0" borderId="0" xfId="18" applyFont="1"/>
    <xf numFmtId="0" fontId="19" fillId="2" borderId="1" xfId="18" applyFont="1" applyFill="1" applyBorder="1"/>
    <xf numFmtId="164" fontId="21" fillId="2" borderId="13" xfId="17" applyNumberFormat="1" applyFont="1" applyFill="1" applyBorder="1" applyAlignment="1">
      <alignment horizontal="center"/>
    </xf>
    <xf numFmtId="164" fontId="19" fillId="2" borderId="2" xfId="17" applyNumberFormat="1" applyFont="1" applyFill="1" applyBorder="1"/>
    <xf numFmtId="164" fontId="20" fillId="2" borderId="2" xfId="17" applyNumberFormat="1" applyFont="1" applyFill="1" applyBorder="1"/>
    <xf numFmtId="164" fontId="20" fillId="2" borderId="3" xfId="17" applyNumberFormat="1" applyFont="1" applyFill="1" applyBorder="1"/>
    <xf numFmtId="0" fontId="20" fillId="0" borderId="4" xfId="18" applyFont="1" applyBorder="1"/>
    <xf numFmtId="164" fontId="20" fillId="0" borderId="11" xfId="17" applyNumberFormat="1" applyFont="1" applyBorder="1"/>
    <xf numFmtId="164" fontId="19" fillId="0" borderId="11" xfId="17" applyNumberFormat="1" applyFont="1" applyBorder="1" applyAlignment="1">
      <alignment horizontal="center"/>
    </xf>
    <xf numFmtId="0" fontId="19" fillId="0" borderId="4" xfId="18" applyFont="1" applyBorder="1"/>
    <xf numFmtId="164" fontId="21" fillId="0" borderId="11" xfId="17" applyNumberFormat="1" applyFont="1" applyBorder="1"/>
    <xf numFmtId="164" fontId="21" fillId="0" borderId="10" xfId="17" applyNumberFormat="1" applyFont="1" applyBorder="1"/>
    <xf numFmtId="164" fontId="21" fillId="0" borderId="9" xfId="17" applyNumberFormat="1" applyFont="1" applyBorder="1"/>
    <xf numFmtId="164" fontId="21" fillId="0" borderId="12" xfId="17" applyNumberFormat="1" applyFont="1" applyBorder="1"/>
    <xf numFmtId="0" fontId="19" fillId="2" borderId="4" xfId="18" applyFont="1" applyFill="1" applyBorder="1"/>
    <xf numFmtId="164" fontId="20" fillId="2" borderId="11" xfId="17" applyNumberFormat="1" applyFont="1" applyFill="1" applyBorder="1"/>
    <xf numFmtId="164" fontId="20" fillId="2" borderId="0" xfId="17" applyNumberFormat="1" applyFont="1" applyFill="1" applyBorder="1"/>
    <xf numFmtId="164" fontId="20" fillId="2" borderId="5" xfId="17" applyNumberFormat="1" applyFont="1" applyFill="1" applyBorder="1"/>
    <xf numFmtId="0" fontId="20" fillId="3" borderId="4" xfId="18" applyFont="1" applyFill="1" applyBorder="1"/>
    <xf numFmtId="164" fontId="20" fillId="3" borderId="11" xfId="17" applyNumberFormat="1" applyFont="1" applyFill="1" applyBorder="1"/>
    <xf numFmtId="164" fontId="20" fillId="3" borderId="0" xfId="17" applyNumberFormat="1" applyFont="1" applyFill="1" applyBorder="1"/>
    <xf numFmtId="164" fontId="20" fillId="3" borderId="5" xfId="17" applyNumberFormat="1" applyFont="1" applyFill="1" applyBorder="1"/>
    <xf numFmtId="164" fontId="20" fillId="3" borderId="10" xfId="17" applyNumberFormat="1" applyFont="1" applyFill="1" applyBorder="1"/>
    <xf numFmtId="164" fontId="20" fillId="3" borderId="9" xfId="17" applyNumberFormat="1" applyFont="1" applyFill="1" applyBorder="1"/>
    <xf numFmtId="164" fontId="20" fillId="3" borderId="12" xfId="17" applyNumberFormat="1" applyFont="1" applyFill="1" applyBorder="1"/>
    <xf numFmtId="0" fontId="19" fillId="0" borderId="6" xfId="18" applyFont="1" applyBorder="1"/>
    <xf numFmtId="164" fontId="20" fillId="0" borderId="14" xfId="17" applyNumberFormat="1" applyFont="1" applyBorder="1"/>
    <xf numFmtId="164" fontId="20" fillId="0" borderId="7" xfId="17" applyNumberFormat="1" applyFont="1" applyBorder="1"/>
    <xf numFmtId="164" fontId="20" fillId="0" borderId="8" xfId="17" applyNumberFormat="1" applyFont="1" applyBorder="1"/>
    <xf numFmtId="0" fontId="12" fillId="0" borderId="0" xfId="0" applyFont="1" applyAlignment="1">
      <alignment horizontal="center"/>
    </xf>
    <xf numFmtId="164" fontId="11" fillId="0" borderId="0" xfId="0" applyNumberFormat="1" applyFont="1"/>
    <xf numFmtId="164" fontId="15" fillId="8" borderId="1" xfId="17" applyNumberFormat="1" applyFont="1" applyFill="1" applyBorder="1"/>
    <xf numFmtId="9" fontId="17" fillId="8" borderId="2" xfId="17" applyNumberFormat="1" applyFont="1" applyFill="1" applyBorder="1"/>
    <xf numFmtId="164" fontId="16" fillId="8" borderId="2" xfId="17" applyNumberFormat="1" applyFont="1" applyFill="1" applyBorder="1"/>
    <xf numFmtId="164" fontId="16" fillId="8" borderId="3" xfId="17" applyNumberFormat="1" applyFont="1" applyFill="1" applyBorder="1"/>
    <xf numFmtId="164" fontId="15" fillId="7" borderId="6" xfId="17" applyNumberFormat="1" applyFont="1" applyFill="1" applyBorder="1"/>
    <xf numFmtId="165" fontId="15" fillId="7" borderId="7" xfId="17" applyNumberFormat="1" applyFont="1" applyFill="1" applyBorder="1"/>
    <xf numFmtId="165" fontId="15" fillId="7" borderId="8" xfId="17" applyNumberFormat="1" applyFont="1" applyFill="1" applyBorder="1"/>
    <xf numFmtId="164" fontId="15" fillId="7" borderId="4" xfId="17" applyNumberFormat="1" applyFont="1" applyFill="1" applyBorder="1"/>
    <xf numFmtId="6" fontId="18" fillId="7" borderId="0" xfId="17" applyNumberFormat="1" applyFont="1" applyFill="1" applyBorder="1"/>
    <xf numFmtId="6" fontId="18" fillId="7" borderId="5" xfId="17" applyNumberFormat="1" applyFont="1" applyFill="1" applyBorder="1"/>
    <xf numFmtId="0" fontId="25" fillId="0" borderId="0" xfId="46" applyFont="1"/>
    <xf numFmtId="0" fontId="25" fillId="0" borderId="0" xfId="46" applyFont="1" applyAlignment="1">
      <alignment horizontal="center"/>
    </xf>
    <xf numFmtId="0" fontId="24" fillId="0" borderId="0" xfId="46"/>
    <xf numFmtId="0" fontId="26" fillId="0" borderId="1" xfId="46" applyFont="1" applyBorder="1"/>
    <xf numFmtId="0" fontId="27" fillId="0" borderId="2" xfId="46" applyFont="1" applyBorder="1"/>
    <xf numFmtId="0" fontId="26" fillId="0" borderId="2" xfId="46" applyFont="1" applyBorder="1"/>
    <xf numFmtId="0" fontId="14" fillId="0" borderId="0" xfId="46" applyFont="1"/>
    <xf numFmtId="0" fontId="27" fillId="0" borderId="4" xfId="46" applyFont="1" applyBorder="1"/>
    <xf numFmtId="0" fontId="27" fillId="0" borderId="0" xfId="46" applyFont="1"/>
    <xf numFmtId="9" fontId="27" fillId="7" borderId="0" xfId="46" applyNumberFormat="1" applyFont="1" applyFill="1"/>
    <xf numFmtId="0" fontId="26" fillId="0" borderId="4" xfId="46" applyFont="1" applyBorder="1"/>
    <xf numFmtId="0" fontId="28" fillId="0" borderId="1" xfId="46" applyFont="1" applyBorder="1"/>
    <xf numFmtId="0" fontId="28" fillId="0" borderId="2" xfId="46" applyFont="1" applyBorder="1"/>
    <xf numFmtId="0" fontId="28" fillId="0" borderId="3" xfId="46" applyFont="1" applyBorder="1"/>
    <xf numFmtId="166" fontId="28" fillId="0" borderId="5" xfId="46" applyNumberFormat="1" applyFont="1" applyBorder="1"/>
    <xf numFmtId="0" fontId="28" fillId="0" borderId="4" xfId="46" applyFont="1" applyBorder="1"/>
    <xf numFmtId="0" fontId="28" fillId="0" borderId="5" xfId="46" applyFont="1" applyBorder="1"/>
    <xf numFmtId="9" fontId="28" fillId="0" borderId="5" xfId="46" applyNumberFormat="1" applyFont="1" applyBorder="1"/>
    <xf numFmtId="0" fontId="28" fillId="0" borderId="6" xfId="46" applyFont="1" applyBorder="1"/>
    <xf numFmtId="0" fontId="28" fillId="0" borderId="7" xfId="46" applyFont="1" applyBorder="1"/>
    <xf numFmtId="0" fontId="28" fillId="0" borderId="8" xfId="46" applyFont="1" applyBorder="1"/>
    <xf numFmtId="167" fontId="28" fillId="0" borderId="5" xfId="46" applyNumberFormat="1" applyFont="1" applyBorder="1"/>
    <xf numFmtId="168" fontId="28" fillId="0" borderId="5" xfId="46" applyNumberFormat="1" applyFont="1" applyBorder="1"/>
    <xf numFmtId="0" fontId="27" fillId="0" borderId="6" xfId="46" applyFont="1" applyBorder="1"/>
    <xf numFmtId="0" fontId="27" fillId="0" borderId="7" xfId="46" applyFont="1" applyBorder="1"/>
    <xf numFmtId="0" fontId="29" fillId="0" borderId="2" xfId="46" applyFont="1" applyBorder="1"/>
    <xf numFmtId="0" fontId="14" fillId="0" borderId="3" xfId="46" applyFont="1" applyBorder="1"/>
    <xf numFmtId="0" fontId="14" fillId="0" borderId="5" xfId="46" applyFont="1" applyBorder="1"/>
    <xf numFmtId="9" fontId="28" fillId="7" borderId="5" xfId="46" applyNumberFormat="1" applyFont="1" applyFill="1" applyBorder="1"/>
    <xf numFmtId="9" fontId="14" fillId="0" borderId="5" xfId="46" applyNumberFormat="1" applyFont="1" applyBorder="1"/>
    <xf numFmtId="168" fontId="14" fillId="0" borderId="5" xfId="46" applyNumberFormat="1" applyFont="1" applyBorder="1"/>
    <xf numFmtId="10" fontId="28" fillId="0" borderId="5" xfId="46" applyNumberFormat="1" applyFont="1" applyBorder="1"/>
    <xf numFmtId="0" fontId="14" fillId="0" borderId="8" xfId="46" applyFont="1" applyBorder="1"/>
    <xf numFmtId="0" fontId="14" fillId="0" borderId="2" xfId="46" applyFont="1" applyBorder="1"/>
    <xf numFmtId="0" fontId="14" fillId="0" borderId="7" xfId="46" applyFont="1" applyBorder="1"/>
    <xf numFmtId="0" fontId="30" fillId="0" borderId="25" xfId="46" applyFont="1" applyBorder="1" applyAlignment="1">
      <alignment horizontal="center" vertical="center"/>
    </xf>
    <xf numFmtId="168" fontId="27" fillId="0" borderId="0" xfId="46" applyNumberFormat="1" applyFont="1"/>
    <xf numFmtId="168" fontId="27" fillId="0" borderId="0" xfId="46" applyNumberFormat="1" applyFont="1" applyAlignment="1">
      <alignment horizontal="center"/>
    </xf>
    <xf numFmtId="0" fontId="1" fillId="0" borderId="0" xfId="46" applyFont="1"/>
    <xf numFmtId="0" fontId="30" fillId="0" borderId="0" xfId="46" applyFont="1"/>
    <xf numFmtId="6" fontId="27" fillId="0" borderId="0" xfId="46" applyNumberFormat="1" applyFont="1"/>
    <xf numFmtId="0" fontId="30" fillId="0" borderId="25" xfId="46" applyFont="1" applyBorder="1" applyAlignment="1">
      <alignment horizontal="center"/>
    </xf>
    <xf numFmtId="0" fontId="23" fillId="0" borderId="0" xfId="46" applyFont="1"/>
    <xf numFmtId="172" fontId="31" fillId="0" borderId="0" xfId="46" applyNumberFormat="1" applyFont="1"/>
    <xf numFmtId="6" fontId="27" fillId="0" borderId="0" xfId="46" applyNumberFormat="1" applyFont="1" applyAlignment="1">
      <alignment horizontal="center"/>
    </xf>
    <xf numFmtId="0" fontId="32" fillId="0" borderId="0" xfId="46" applyFont="1" applyAlignment="1">
      <alignment horizontal="right"/>
    </xf>
    <xf numFmtId="0" fontId="27" fillId="0" borderId="0" xfId="46" applyFont="1" applyAlignment="1">
      <alignment horizontal="center"/>
    </xf>
    <xf numFmtId="0" fontId="26" fillId="0" borderId="0" xfId="46" applyFont="1" applyAlignment="1">
      <alignment horizontal="right"/>
    </xf>
    <xf numFmtId="168" fontId="27" fillId="0" borderId="26" xfId="46" applyNumberFormat="1" applyFont="1" applyBorder="1" applyAlignment="1">
      <alignment horizontal="center"/>
    </xf>
    <xf numFmtId="168" fontId="26" fillId="0" borderId="26" xfId="46" applyNumberFormat="1" applyFont="1" applyBorder="1" applyAlignment="1">
      <alignment horizontal="center"/>
    </xf>
    <xf numFmtId="0" fontId="27" fillId="7" borderId="1" xfId="46" applyFont="1" applyFill="1" applyBorder="1"/>
    <xf numFmtId="0" fontId="27" fillId="7" borderId="2" xfId="46" applyFont="1" applyFill="1" applyBorder="1"/>
    <xf numFmtId="0" fontId="25" fillId="7" borderId="2" xfId="46" applyFont="1" applyFill="1" applyBorder="1" applyAlignment="1">
      <alignment horizontal="center"/>
    </xf>
    <xf numFmtId="0" fontId="25" fillId="7" borderId="3" xfId="46" applyFont="1" applyFill="1" applyBorder="1" applyAlignment="1">
      <alignment horizontal="center"/>
    </xf>
    <xf numFmtId="0" fontId="24" fillId="7" borderId="4" xfId="46" applyFill="1" applyBorder="1"/>
    <xf numFmtId="0" fontId="24" fillId="7" borderId="0" xfId="46" applyFill="1"/>
    <xf numFmtId="0" fontId="24" fillId="7" borderId="5" xfId="46" applyFill="1" applyBorder="1"/>
    <xf numFmtId="0" fontId="33" fillId="7" borderId="4" xfId="46" applyFont="1" applyFill="1" applyBorder="1"/>
    <xf numFmtId="0" fontId="14" fillId="7" borderId="4" xfId="46" applyFont="1" applyFill="1" applyBorder="1"/>
    <xf numFmtId="0" fontId="14" fillId="7" borderId="0" xfId="46" applyFont="1" applyFill="1"/>
    <xf numFmtId="6" fontId="14" fillId="7" borderId="0" xfId="46" applyNumberFormat="1" applyFont="1" applyFill="1"/>
    <xf numFmtId="173" fontId="14" fillId="7" borderId="0" xfId="45" applyNumberFormat="1" applyFont="1" applyFill="1" applyBorder="1"/>
    <xf numFmtId="173" fontId="14" fillId="7" borderId="5" xfId="45" applyNumberFormat="1" applyFont="1" applyFill="1" applyBorder="1"/>
    <xf numFmtId="0" fontId="14" fillId="7" borderId="6" xfId="46" applyFont="1" applyFill="1" applyBorder="1"/>
    <xf numFmtId="0" fontId="14" fillId="7" borderId="7" xfId="46" applyFont="1" applyFill="1" applyBorder="1"/>
    <xf numFmtId="0" fontId="14" fillId="7" borderId="8" xfId="46" applyFont="1" applyFill="1" applyBorder="1"/>
    <xf numFmtId="0" fontId="14" fillId="7" borderId="1" xfId="46" applyFont="1" applyFill="1" applyBorder="1"/>
    <xf numFmtId="0" fontId="14" fillId="7" borderId="2" xfId="46" applyFont="1" applyFill="1" applyBorder="1"/>
    <xf numFmtId="0" fontId="14" fillId="7" borderId="3" xfId="46" applyFont="1" applyFill="1" applyBorder="1"/>
    <xf numFmtId="0" fontId="25" fillId="7" borderId="4" xfId="46" applyFont="1" applyFill="1" applyBorder="1"/>
    <xf numFmtId="2" fontId="14" fillId="7" borderId="0" xfId="46" applyNumberFormat="1" applyFont="1" applyFill="1" applyAlignment="1">
      <alignment horizontal="center"/>
    </xf>
    <xf numFmtId="2" fontId="14" fillId="7" borderId="5" xfId="46" applyNumberFormat="1" applyFont="1" applyFill="1" applyBorder="1" applyAlignment="1">
      <alignment horizontal="center"/>
    </xf>
    <xf numFmtId="0" fontId="14" fillId="7" borderId="5" xfId="46" applyFont="1" applyFill="1" applyBorder="1"/>
    <xf numFmtId="0" fontId="35" fillId="0" borderId="0" xfId="0" applyFont="1"/>
    <xf numFmtId="0" fontId="35" fillId="0" borderId="0" xfId="0" applyFont="1" applyAlignment="1">
      <alignment horizontal="center"/>
    </xf>
    <xf numFmtId="9" fontId="35" fillId="0" borderId="0" xfId="0" applyNumberFormat="1" applyFont="1" applyAlignment="1">
      <alignment horizontal="center"/>
    </xf>
    <xf numFmtId="0" fontId="35" fillId="0" borderId="0" xfId="0" applyFont="1" applyAlignment="1">
      <alignment horizontal="left"/>
    </xf>
    <xf numFmtId="0" fontId="37" fillId="0" borderId="0" xfId="0" applyFont="1" applyAlignment="1">
      <alignment horizontal="center"/>
    </xf>
    <xf numFmtId="43" fontId="35" fillId="0" borderId="0" xfId="2" applyFont="1" applyAlignment="1">
      <alignment horizontal="center"/>
    </xf>
    <xf numFmtId="0" fontId="37" fillId="0" borderId="0" xfId="0" applyFont="1"/>
    <xf numFmtId="0" fontId="38" fillId="0" borderId="0" xfId="0" applyFont="1" applyAlignment="1">
      <alignment horizontal="center"/>
    </xf>
    <xf numFmtId="9" fontId="35" fillId="0" borderId="0" xfId="0" applyNumberFormat="1" applyFont="1"/>
    <xf numFmtId="0" fontId="38" fillId="0" borderId="0" xfId="0" applyFont="1"/>
    <xf numFmtId="0" fontId="35" fillId="0" borderId="0" xfId="0" applyFont="1" applyAlignment="1">
      <alignment horizontal="center" vertical="center"/>
    </xf>
    <xf numFmtId="1" fontId="35" fillId="0" borderId="0" xfId="0" applyNumberFormat="1" applyFont="1"/>
    <xf numFmtId="43" fontId="35" fillId="0" borderId="0" xfId="0" applyNumberFormat="1" applyFont="1" applyAlignment="1">
      <alignment horizont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left" wrapText="1"/>
    </xf>
    <xf numFmtId="0" fontId="37" fillId="0" borderId="29" xfId="0" applyFont="1" applyBorder="1" applyAlignment="1">
      <alignment horizontal="left"/>
    </xf>
    <xf numFmtId="0" fontId="37" fillId="0" borderId="30" xfId="0" applyFont="1" applyBorder="1" applyAlignment="1">
      <alignment horizontal="center"/>
    </xf>
    <xf numFmtId="0" fontId="37" fillId="0" borderId="31" xfId="0" applyFont="1" applyBorder="1" applyAlignment="1">
      <alignment horizontal="center"/>
    </xf>
    <xf numFmtId="0" fontId="37" fillId="9" borderId="0" xfId="0" applyFont="1" applyFill="1" applyAlignment="1">
      <alignment horizontal="center"/>
    </xf>
    <xf numFmtId="0" fontId="37" fillId="5" borderId="0" xfId="0" applyFont="1" applyFill="1" applyAlignment="1">
      <alignment horizontal="center"/>
    </xf>
    <xf numFmtId="0" fontId="37" fillId="7" borderId="0" xfId="0" applyFont="1" applyFill="1" applyAlignment="1">
      <alignment horizontal="center"/>
    </xf>
    <xf numFmtId="0" fontId="37" fillId="7" borderId="0" xfId="0" applyFont="1" applyFill="1"/>
    <xf numFmtId="0" fontId="35" fillId="0" borderId="11" xfId="0" applyFont="1" applyBorder="1" applyAlignment="1">
      <alignment horizontal="left"/>
    </xf>
    <xf numFmtId="0" fontId="35" fillId="0" borderId="27" xfId="0" applyFont="1" applyBorder="1" applyAlignment="1">
      <alignment horizontal="center"/>
    </xf>
    <xf numFmtId="43" fontId="35" fillId="9" borderId="0" xfId="2" applyFont="1" applyFill="1" applyAlignment="1">
      <alignment horizontal="center"/>
    </xf>
    <xf numFmtId="43" fontId="35" fillId="5" borderId="0" xfId="0" applyNumberFormat="1" applyFont="1" applyFill="1" applyAlignment="1">
      <alignment horizontal="center"/>
    </xf>
    <xf numFmtId="43" fontId="35" fillId="7" borderId="0" xfId="0" applyNumberFormat="1" applyFont="1" applyFill="1"/>
    <xf numFmtId="0" fontId="35" fillId="0" borderId="10" xfId="0" applyFont="1" applyBorder="1" applyAlignment="1">
      <alignment horizontal="center"/>
    </xf>
    <xf numFmtId="0" fontId="35" fillId="0" borderId="9" xfId="0" applyFont="1" applyBorder="1" applyAlignment="1">
      <alignment horizontal="center"/>
    </xf>
    <xf numFmtId="0" fontId="35" fillId="0" borderId="9" xfId="0" applyFont="1" applyBorder="1"/>
    <xf numFmtId="0" fontId="35" fillId="0" borderId="28" xfId="0" applyFont="1" applyBorder="1"/>
    <xf numFmtId="43" fontId="37" fillId="9" borderId="33" xfId="2" applyFont="1" applyFill="1" applyBorder="1" applyAlignment="1">
      <alignment horizontal="center"/>
    </xf>
    <xf numFmtId="43" fontId="37" fillId="5" borderId="34" xfId="2" applyFont="1" applyFill="1" applyBorder="1" applyAlignment="1">
      <alignment horizontal="center"/>
    </xf>
    <xf numFmtId="43" fontId="37" fillId="7" borderId="34" xfId="2" applyFont="1" applyFill="1" applyBorder="1" applyAlignment="1">
      <alignment horizontal="center"/>
    </xf>
    <xf numFmtId="9" fontId="35" fillId="0" borderId="0" xfId="1" applyFont="1" applyAlignment="1">
      <alignment horizontal="center"/>
    </xf>
    <xf numFmtId="0" fontId="37" fillId="0" borderId="38" xfId="0" applyFont="1" applyBorder="1" applyAlignment="1">
      <alignment horizontal="center"/>
    </xf>
    <xf numFmtId="0" fontId="37" fillId="0" borderId="35" xfId="0" applyFont="1" applyBorder="1" applyAlignment="1">
      <alignment horizontal="center"/>
    </xf>
    <xf numFmtId="0" fontId="37" fillId="0" borderId="37" xfId="0" applyFont="1" applyBorder="1"/>
    <xf numFmtId="0" fontId="35" fillId="0" borderId="27" xfId="0" applyFont="1" applyBorder="1"/>
    <xf numFmtId="0" fontId="35" fillId="0" borderId="10" xfId="0" applyFont="1" applyBorder="1" applyAlignment="1">
      <alignment horizontal="left"/>
    </xf>
    <xf numFmtId="9" fontId="35" fillId="0" borderId="28" xfId="0" applyNumberFormat="1" applyFont="1" applyBorder="1"/>
    <xf numFmtId="0" fontId="37" fillId="0" borderId="32" xfId="0" applyFont="1" applyBorder="1" applyAlignment="1">
      <alignment horizontal="left"/>
    </xf>
    <xf numFmtId="0" fontId="37" fillId="0" borderId="39" xfId="0" applyFont="1" applyBorder="1" applyAlignment="1">
      <alignment horizontal="left"/>
    </xf>
    <xf numFmtId="0" fontId="37" fillId="0" borderId="40" xfId="0" applyFont="1" applyBorder="1" applyAlignment="1">
      <alignment horizontal="center"/>
    </xf>
    <xf numFmtId="9" fontId="35" fillId="0" borderId="27" xfId="0" applyNumberFormat="1" applyFont="1" applyBorder="1" applyAlignment="1">
      <alignment horizontal="center"/>
    </xf>
    <xf numFmtId="0" fontId="35" fillId="0" borderId="11" xfId="0" applyFont="1" applyBorder="1" applyAlignment="1">
      <alignment horizontal="center"/>
    </xf>
    <xf numFmtId="0" fontId="37" fillId="0" borderId="33" xfId="0" applyFont="1" applyBorder="1" applyAlignment="1">
      <alignment horizontal="left"/>
    </xf>
    <xf numFmtId="9" fontId="37" fillId="0" borderId="36" xfId="0" applyNumberFormat="1" applyFont="1" applyBorder="1" applyAlignment="1">
      <alignment horizontal="center"/>
    </xf>
    <xf numFmtId="0" fontId="37" fillId="10" borderId="33" xfId="0" applyFont="1" applyFill="1" applyBorder="1" applyAlignment="1">
      <alignment horizontal="center"/>
    </xf>
    <xf numFmtId="0" fontId="35" fillId="0" borderId="38" xfId="0" applyFont="1" applyBorder="1" applyAlignment="1">
      <alignment horizontal="left"/>
    </xf>
    <xf numFmtId="43" fontId="35" fillId="0" borderId="0" xfId="2" applyFont="1" applyBorder="1" applyAlignment="1">
      <alignment horizontal="center"/>
    </xf>
    <xf numFmtId="43" fontId="35" fillId="0" borderId="27" xfId="2" applyFont="1" applyBorder="1" applyAlignment="1">
      <alignment horizontal="center"/>
    </xf>
    <xf numFmtId="43" fontId="35" fillId="0" borderId="9" xfId="2" applyFont="1" applyBorder="1" applyAlignment="1">
      <alignment horizontal="center"/>
    </xf>
    <xf numFmtId="43" fontId="35" fillId="0" borderId="28" xfId="2" applyFont="1" applyBorder="1" applyAlignment="1">
      <alignment horizontal="center"/>
    </xf>
    <xf numFmtId="0" fontId="40" fillId="0" borderId="41" xfId="0" applyFont="1" applyBorder="1"/>
    <xf numFmtId="0" fontId="40" fillId="0" borderId="42" xfId="0" applyFont="1" applyBorder="1"/>
    <xf numFmtId="0" fontId="40" fillId="0" borderId="11" xfId="0" applyFont="1" applyBorder="1"/>
    <xf numFmtId="0" fontId="35" fillId="0" borderId="38" xfId="0" applyFont="1" applyBorder="1"/>
    <xf numFmtId="0" fontId="35" fillId="0" borderId="35" xfId="0" applyFont="1" applyBorder="1"/>
    <xf numFmtId="0" fontId="35" fillId="0" borderId="37" xfId="0" applyFont="1" applyBorder="1"/>
    <xf numFmtId="0" fontId="35" fillId="0" borderId="11" xfId="0" applyFont="1" applyBorder="1"/>
    <xf numFmtId="1" fontId="35" fillId="0" borderId="27" xfId="0" applyNumberFormat="1" applyFont="1" applyBorder="1"/>
    <xf numFmtId="0" fontId="41" fillId="0" borderId="11" xfId="0" applyFont="1" applyBorder="1"/>
    <xf numFmtId="43" fontId="38" fillId="0" borderId="0" xfId="2" applyFont="1" applyBorder="1"/>
    <xf numFmtId="43" fontId="38" fillId="0" borderId="27" xfId="2" applyFont="1" applyBorder="1"/>
    <xf numFmtId="0" fontId="35" fillId="0" borderId="10" xfId="0" applyFont="1" applyBorder="1"/>
    <xf numFmtId="0" fontId="41" fillId="0" borderId="11" xfId="0" applyFont="1" applyBorder="1" applyAlignment="1">
      <alignment vertical="center"/>
    </xf>
    <xf numFmtId="0" fontId="37" fillId="0" borderId="35" xfId="0" applyFont="1" applyBorder="1" applyAlignment="1">
      <alignment horizontal="right"/>
    </xf>
    <xf numFmtId="0" fontId="35" fillId="0" borderId="37" xfId="0" applyFont="1" applyBorder="1" applyAlignment="1">
      <alignment horizontal="right"/>
    </xf>
    <xf numFmtId="0" fontId="35" fillId="0" borderId="0" xfId="0" applyFont="1" applyAlignment="1">
      <alignment horizontal="right"/>
    </xf>
    <xf numFmtId="0" fontId="35" fillId="0" borderId="27" xfId="0" applyFont="1" applyBorder="1" applyAlignment="1">
      <alignment horizontal="right"/>
    </xf>
    <xf numFmtId="0" fontId="37" fillId="0" borderId="0" xfId="0" applyFont="1" applyAlignment="1">
      <alignment horizontal="right"/>
    </xf>
    <xf numFmtId="43" fontId="35" fillId="0" borderId="0" xfId="0" applyNumberFormat="1" applyFont="1"/>
    <xf numFmtId="10" fontId="35" fillId="0" borderId="0" xfId="0" applyNumberFormat="1" applyFont="1" applyAlignment="1">
      <alignment horizontal="center"/>
    </xf>
    <xf numFmtId="0" fontId="44" fillId="0" borderId="0" xfId="0" applyFont="1"/>
    <xf numFmtId="9" fontId="44" fillId="0" borderId="0" xfId="1" applyFont="1"/>
    <xf numFmtId="43" fontId="44" fillId="0" borderId="0" xfId="2" applyFont="1"/>
    <xf numFmtId="164" fontId="44" fillId="0" borderId="0" xfId="2" applyNumberFormat="1" applyFont="1" applyBorder="1"/>
    <xf numFmtId="10" fontId="44" fillId="0" borderId="44" xfId="0" applyNumberFormat="1" applyFont="1" applyBorder="1"/>
    <xf numFmtId="0" fontId="47" fillId="0" borderId="0" xfId="0" applyFont="1"/>
    <xf numFmtId="0" fontId="48" fillId="0" borderId="0" xfId="0" applyFont="1"/>
    <xf numFmtId="164" fontId="45" fillId="0" borderId="0" xfId="0" applyNumberFormat="1" applyFont="1"/>
    <xf numFmtId="164" fontId="47" fillId="7" borderId="24" xfId="0" applyNumberFormat="1" applyFont="1" applyFill="1" applyBorder="1"/>
    <xf numFmtId="0" fontId="49" fillId="0" borderId="0" xfId="0" applyFont="1"/>
    <xf numFmtId="0" fontId="35" fillId="0" borderId="4" xfId="0" applyFont="1" applyBorder="1"/>
    <xf numFmtId="164" fontId="35" fillId="0" borderId="11" xfId="2" applyNumberFormat="1" applyFont="1" applyFill="1" applyBorder="1"/>
    <xf numFmtId="164" fontId="35" fillId="0" borderId="19" xfId="2" applyNumberFormat="1" applyFont="1" applyFill="1" applyBorder="1"/>
    <xf numFmtId="164" fontId="50" fillId="0" borderId="19" xfId="2" applyNumberFormat="1" applyFont="1" applyFill="1" applyBorder="1"/>
    <xf numFmtId="0" fontId="35" fillId="0" borderId="20" xfId="0" applyFont="1" applyBorder="1"/>
    <xf numFmtId="164" fontId="49" fillId="0" borderId="10" xfId="2" applyNumberFormat="1" applyFont="1" applyFill="1" applyBorder="1"/>
    <xf numFmtId="164" fontId="35" fillId="0" borderId="15" xfId="2" applyNumberFormat="1" applyFont="1" applyFill="1" applyBorder="1"/>
    <xf numFmtId="0" fontId="37" fillId="0" borderId="6" xfId="0" applyFont="1" applyBorder="1"/>
    <xf numFmtId="164" fontId="37" fillId="7" borderId="14" xfId="2" applyNumberFormat="1" applyFont="1" applyFill="1" applyBorder="1"/>
    <xf numFmtId="0" fontId="35" fillId="0" borderId="6" xfId="0" applyFont="1" applyBorder="1"/>
    <xf numFmtId="164" fontId="35" fillId="0" borderId="0" xfId="0" applyNumberFormat="1" applyFont="1"/>
    <xf numFmtId="164" fontId="35" fillId="0" borderId="0" xfId="2" applyNumberFormat="1" applyFont="1"/>
    <xf numFmtId="164" fontId="35" fillId="0" borderId="9" xfId="0" applyNumberFormat="1" applyFont="1" applyBorder="1"/>
    <xf numFmtId="164" fontId="37" fillId="7" borderId="0" xfId="0" applyNumberFormat="1" applyFont="1" applyFill="1"/>
    <xf numFmtId="174" fontId="35" fillId="0" borderId="0" xfId="0" applyNumberFormat="1" applyFont="1"/>
    <xf numFmtId="0" fontId="28" fillId="0" borderId="0" xfId="46" applyFont="1"/>
    <xf numFmtId="0" fontId="26" fillId="0" borderId="0" xfId="46" applyFont="1"/>
    <xf numFmtId="0" fontId="29" fillId="0" borderId="0" xfId="46" applyFont="1"/>
    <xf numFmtId="0" fontId="14" fillId="11" borderId="0" xfId="46" applyFont="1" applyFill="1"/>
    <xf numFmtId="166" fontId="28" fillId="0" borderId="0" xfId="46" applyNumberFormat="1" applyFont="1"/>
    <xf numFmtId="9" fontId="28" fillId="0" borderId="0" xfId="46" applyNumberFormat="1" applyFont="1"/>
    <xf numFmtId="167" fontId="28" fillId="0" borderId="0" xfId="46" applyNumberFormat="1" applyFont="1"/>
    <xf numFmtId="168" fontId="28" fillId="0" borderId="0" xfId="46" applyNumberFormat="1" applyFont="1"/>
    <xf numFmtId="9" fontId="28" fillId="7" borderId="0" xfId="46" applyNumberFormat="1" applyFont="1" applyFill="1"/>
    <xf numFmtId="9" fontId="14" fillId="0" borderId="0" xfId="46" applyNumberFormat="1" applyFont="1"/>
    <xf numFmtId="168" fontId="14" fillId="0" borderId="0" xfId="46" applyNumberFormat="1" applyFont="1"/>
    <xf numFmtId="169" fontId="28" fillId="0" borderId="0" xfId="46" applyNumberFormat="1" applyFont="1"/>
    <xf numFmtId="171" fontId="28" fillId="0" borderId="0" xfId="46" applyNumberFormat="1" applyFont="1" applyAlignment="1">
      <alignment horizontal="center"/>
    </xf>
    <xf numFmtId="10" fontId="28" fillId="0" borderId="0" xfId="46" applyNumberFormat="1" applyFont="1"/>
    <xf numFmtId="172" fontId="28" fillId="0" borderId="0" xfId="46" applyNumberFormat="1" applyFont="1"/>
    <xf numFmtId="0" fontId="28" fillId="0" borderId="0" xfId="46" applyFont="1" applyAlignment="1">
      <alignment horizontal="right"/>
    </xf>
    <xf numFmtId="170" fontId="28" fillId="0" borderId="0" xfId="46" applyNumberFormat="1" applyFont="1" applyAlignment="1">
      <alignment horizontal="center"/>
    </xf>
    <xf numFmtId="169" fontId="29" fillId="0" borderId="0" xfId="46" applyNumberFormat="1" applyFont="1"/>
    <xf numFmtId="6" fontId="29" fillId="7" borderId="0" xfId="46" applyNumberFormat="1" applyFont="1" applyFill="1"/>
    <xf numFmtId="8" fontId="29" fillId="0" borderId="0" xfId="46" applyNumberFormat="1" applyFont="1"/>
    <xf numFmtId="166" fontId="29" fillId="7" borderId="0" xfId="46" applyNumberFormat="1" applyFont="1" applyFill="1"/>
    <xf numFmtId="166" fontId="11" fillId="7" borderId="0" xfId="46" applyNumberFormat="1" applyFont="1" applyFill="1"/>
    <xf numFmtId="0" fontId="14" fillId="0" borderId="4" xfId="46" applyFont="1" applyBorder="1"/>
    <xf numFmtId="0" fontId="36" fillId="0" borderId="35" xfId="0" applyFont="1" applyBorder="1" applyAlignment="1">
      <alignment horizontal="left"/>
    </xf>
    <xf numFmtId="0" fontId="35" fillId="0" borderId="35" xfId="0" applyFont="1" applyBorder="1" applyAlignment="1">
      <alignment horizontal="center"/>
    </xf>
    <xf numFmtId="9" fontId="35" fillId="0" borderId="35" xfId="0" applyNumberFormat="1" applyFont="1" applyBorder="1" applyAlignment="1">
      <alignment horizontal="center"/>
    </xf>
    <xf numFmtId="0" fontId="38" fillId="0" borderId="0" xfId="0" applyFont="1" applyAlignment="1">
      <alignment horizontal="left"/>
    </xf>
    <xf numFmtId="0" fontId="39" fillId="0" borderId="0" xfId="0" applyFont="1" applyAlignment="1">
      <alignment horizontal="center"/>
    </xf>
    <xf numFmtId="0" fontId="37" fillId="0" borderId="11" xfId="0" applyFont="1" applyBorder="1"/>
    <xf numFmtId="9" fontId="35" fillId="0" borderId="11" xfId="0" applyNumberFormat="1" applyFont="1" applyBorder="1"/>
    <xf numFmtId="43" fontId="35" fillId="0" borderId="27" xfId="0" applyNumberFormat="1" applyFont="1" applyBorder="1" applyAlignment="1">
      <alignment horizontal="center"/>
    </xf>
    <xf numFmtId="0" fontId="35" fillId="0" borderId="9" xfId="0" applyFont="1" applyBorder="1" applyAlignment="1">
      <alignment horizontal="left" vertical="center"/>
    </xf>
    <xf numFmtId="0" fontId="35" fillId="0" borderId="9" xfId="0" applyFont="1" applyBorder="1" applyAlignment="1">
      <alignment horizontal="left"/>
    </xf>
    <xf numFmtId="0" fontId="35" fillId="0" borderId="39" xfId="0" applyFont="1" applyBorder="1"/>
    <xf numFmtId="0" fontId="35" fillId="0" borderId="24" xfId="0" applyFont="1" applyBorder="1"/>
    <xf numFmtId="0" fontId="35" fillId="0" borderId="24" xfId="0" applyFont="1" applyBorder="1" applyAlignment="1">
      <alignment horizontal="left"/>
    </xf>
    <xf numFmtId="0" fontId="37" fillId="0" borderId="24" xfId="0" applyFont="1" applyBorder="1" applyAlignment="1">
      <alignment horizontal="left"/>
    </xf>
    <xf numFmtId="0" fontId="37" fillId="0" borderId="24" xfId="0" applyFont="1" applyBorder="1" applyAlignment="1">
      <alignment horizontal="center"/>
    </xf>
    <xf numFmtId="0" fontId="36" fillId="0" borderId="24" xfId="0" applyFont="1" applyBorder="1" applyAlignment="1">
      <alignment horizontal="center"/>
    </xf>
    <xf numFmtId="0" fontId="35" fillId="0" borderId="40" xfId="0" applyFont="1" applyBorder="1"/>
    <xf numFmtId="43" fontId="37" fillId="7" borderId="0" xfId="2" applyFont="1" applyFill="1" applyBorder="1" applyAlignment="1">
      <alignment horizontal="center"/>
    </xf>
    <xf numFmtId="1" fontId="35" fillId="0" borderId="11" xfId="0" applyNumberFormat="1" applyFont="1" applyBorder="1"/>
    <xf numFmtId="174" fontId="35" fillId="0" borderId="11" xfId="0" applyNumberFormat="1" applyFont="1" applyBorder="1"/>
    <xf numFmtId="175" fontId="35" fillId="0" borderId="0" xfId="0" applyNumberFormat="1" applyFont="1"/>
    <xf numFmtId="1" fontId="37" fillId="0" borderId="39" xfId="0" applyNumberFormat="1" applyFont="1" applyBorder="1"/>
    <xf numFmtId="1" fontId="37" fillId="0" borderId="24" xfId="0" applyNumberFormat="1" applyFont="1" applyBorder="1"/>
    <xf numFmtId="0" fontId="36" fillId="0" borderId="39" xfId="0" applyFont="1" applyBorder="1" applyAlignment="1">
      <alignment horizontal="center"/>
    </xf>
    <xf numFmtId="9" fontId="35" fillId="0" borderId="0" xfId="1" applyFont="1"/>
    <xf numFmtId="9" fontId="27" fillId="0" borderId="0" xfId="1" applyFont="1"/>
    <xf numFmtId="9" fontId="28" fillId="0" borderId="0" xfId="1" applyFont="1" applyBorder="1"/>
    <xf numFmtId="166" fontId="28" fillId="11" borderId="0" xfId="46" applyNumberFormat="1" applyFont="1" applyFill="1"/>
    <xf numFmtId="9" fontId="28" fillId="11" borderId="0" xfId="46" applyNumberFormat="1" applyFont="1" applyFill="1"/>
    <xf numFmtId="167" fontId="28" fillId="11" borderId="0" xfId="46" applyNumberFormat="1" applyFont="1" applyFill="1"/>
    <xf numFmtId="168" fontId="28" fillId="11" borderId="0" xfId="46" applyNumberFormat="1" applyFont="1" applyFill="1"/>
    <xf numFmtId="9" fontId="14" fillId="11" borderId="0" xfId="46" applyNumberFormat="1" applyFont="1" applyFill="1"/>
    <xf numFmtId="168" fontId="14" fillId="11" borderId="0" xfId="46" applyNumberFormat="1" applyFont="1" applyFill="1"/>
    <xf numFmtId="10" fontId="28" fillId="11" borderId="0" xfId="46" applyNumberFormat="1" applyFont="1" applyFill="1"/>
    <xf numFmtId="0" fontId="51" fillId="12" borderId="0" xfId="0" applyFont="1" applyFill="1"/>
    <xf numFmtId="0" fontId="52" fillId="12" borderId="0" xfId="0" applyFont="1" applyFill="1"/>
    <xf numFmtId="0" fontId="37" fillId="13" borderId="0" xfId="0" applyFont="1" applyFill="1" applyProtection="1">
      <protection hidden="1"/>
    </xf>
    <xf numFmtId="0" fontId="53" fillId="12" borderId="0" xfId="0" applyFont="1" applyFill="1"/>
    <xf numFmtId="0" fontId="51" fillId="0" borderId="0" xfId="0" applyFont="1"/>
    <xf numFmtId="0" fontId="35" fillId="14" borderId="0" xfId="0" applyFont="1" applyFill="1"/>
    <xf numFmtId="0" fontId="38" fillId="0" borderId="32" xfId="0" applyFont="1" applyBorder="1"/>
    <xf numFmtId="0" fontId="35" fillId="0" borderId="32" xfId="0" applyFont="1" applyBorder="1"/>
    <xf numFmtId="164" fontId="44" fillId="0" borderId="0" xfId="0" applyNumberFormat="1" applyFont="1"/>
    <xf numFmtId="164" fontId="37" fillId="10" borderId="34" xfId="0" applyNumberFormat="1" applyFont="1" applyFill="1" applyBorder="1" applyAlignment="1">
      <alignment horizontal="center"/>
    </xf>
    <xf numFmtId="164" fontId="37" fillId="10" borderId="36" xfId="0" applyNumberFormat="1" applyFont="1" applyFill="1" applyBorder="1" applyAlignment="1">
      <alignment horizontal="center"/>
    </xf>
    <xf numFmtId="9" fontId="44" fillId="0" borderId="43" xfId="0" applyNumberFormat="1" applyFont="1" applyBorder="1"/>
    <xf numFmtId="0" fontId="44" fillId="0" borderId="38" xfId="0" applyFont="1" applyBorder="1"/>
    <xf numFmtId="0" fontId="48" fillId="0" borderId="35" xfId="0" applyFont="1" applyBorder="1"/>
    <xf numFmtId="164" fontId="45" fillId="0" borderId="35" xfId="0" applyNumberFormat="1" applyFont="1" applyBorder="1"/>
    <xf numFmtId="164" fontId="45" fillId="0" borderId="37" xfId="0" applyNumberFormat="1" applyFont="1" applyBorder="1"/>
    <xf numFmtId="0" fontId="44" fillId="0" borderId="11" xfId="0" applyFont="1" applyBorder="1"/>
    <xf numFmtId="164" fontId="45" fillId="0" borderId="27" xfId="0" applyNumberFormat="1" applyFont="1" applyBorder="1"/>
    <xf numFmtId="0" fontId="44" fillId="0" borderId="10" xfId="0" applyFont="1" applyBorder="1"/>
    <xf numFmtId="0" fontId="48" fillId="0" borderId="9" xfId="0" applyFont="1" applyBorder="1"/>
    <xf numFmtId="164" fontId="45" fillId="0" borderId="9" xfId="0" applyNumberFormat="1" applyFont="1" applyBorder="1"/>
    <xf numFmtId="164" fontId="45" fillId="0" borderId="28" xfId="0" applyNumberFormat="1" applyFont="1" applyBorder="1"/>
    <xf numFmtId="167" fontId="44" fillId="0" borderId="44" xfId="0" applyNumberFormat="1" applyFont="1" applyBorder="1"/>
    <xf numFmtId="0" fontId="47" fillId="0" borderId="39" xfId="0" applyFont="1" applyBorder="1"/>
    <xf numFmtId="0" fontId="48" fillId="0" borderId="24" xfId="0" applyFont="1" applyBorder="1"/>
    <xf numFmtId="164" fontId="46" fillId="0" borderId="24" xfId="0" applyNumberFormat="1" applyFont="1" applyBorder="1" applyAlignment="1">
      <alignment horizontal="center"/>
    </xf>
    <xf numFmtId="164" fontId="46" fillId="0" borderId="40" xfId="0" applyNumberFormat="1" applyFont="1" applyBorder="1" applyAlignment="1">
      <alignment horizontal="center"/>
    </xf>
    <xf numFmtId="164" fontId="43" fillId="7" borderId="9" xfId="2" applyNumberFormat="1" applyFont="1" applyFill="1" applyBorder="1"/>
    <xf numFmtId="164" fontId="44" fillId="0" borderId="27" xfId="2" applyNumberFormat="1" applyFont="1" applyBorder="1"/>
    <xf numFmtId="10" fontId="44" fillId="0" borderId="46" xfId="0" applyNumberFormat="1" applyFont="1" applyBorder="1"/>
    <xf numFmtId="164" fontId="44" fillId="0" borderId="9" xfId="2" applyNumberFormat="1" applyFont="1" applyBorder="1"/>
    <xf numFmtId="164" fontId="44" fillId="0" borderId="28" xfId="2" applyNumberFormat="1" applyFont="1" applyBorder="1"/>
    <xf numFmtId="10" fontId="44" fillId="0" borderId="47" xfId="0" applyNumberFormat="1" applyFont="1" applyBorder="1"/>
    <xf numFmtId="8" fontId="14" fillId="11" borderId="0" xfId="46" applyNumberFormat="1" applyFont="1" applyFill="1"/>
    <xf numFmtId="8" fontId="14" fillId="0" borderId="0" xfId="46" applyNumberFormat="1" applyFont="1"/>
    <xf numFmtId="167" fontId="14" fillId="0" borderId="0" xfId="1" applyNumberFormat="1" applyFont="1"/>
    <xf numFmtId="10" fontId="12" fillId="0" borderId="0" xfId="1" applyNumberFormat="1" applyFont="1"/>
    <xf numFmtId="166" fontId="27" fillId="0" borderId="0" xfId="46" applyNumberFormat="1" applyFont="1"/>
    <xf numFmtId="169" fontId="27" fillId="0" borderId="0" xfId="46" applyNumberFormat="1" applyFont="1"/>
    <xf numFmtId="0" fontId="27" fillId="0" borderId="0" xfId="46" applyFont="1" applyAlignment="1">
      <alignment horizontal="right"/>
    </xf>
    <xf numFmtId="9" fontId="27" fillId="0" borderId="0" xfId="46" applyNumberFormat="1" applyFont="1"/>
    <xf numFmtId="170" fontId="27" fillId="0" borderId="0" xfId="46" applyNumberFormat="1" applyFont="1" applyAlignment="1">
      <alignment horizontal="center"/>
    </xf>
    <xf numFmtId="171" fontId="27" fillId="0" borderId="0" xfId="46" applyNumberFormat="1" applyFont="1" applyAlignment="1">
      <alignment horizontal="center"/>
    </xf>
    <xf numFmtId="10" fontId="27" fillId="0" borderId="0" xfId="46" applyNumberFormat="1" applyFont="1"/>
    <xf numFmtId="169" fontId="26" fillId="0" borderId="0" xfId="46" applyNumberFormat="1" applyFont="1"/>
    <xf numFmtId="166" fontId="26" fillId="7" borderId="0" xfId="46" applyNumberFormat="1" applyFont="1" applyFill="1"/>
    <xf numFmtId="166" fontId="14" fillId="0" borderId="0" xfId="46" applyNumberFormat="1" applyFont="1"/>
    <xf numFmtId="9" fontId="14" fillId="0" borderId="0" xfId="1" applyFont="1" applyBorder="1"/>
    <xf numFmtId="0" fontId="25" fillId="0" borderId="2" xfId="46" applyFont="1" applyBorder="1" applyAlignment="1">
      <alignment horizontal="center"/>
    </xf>
    <xf numFmtId="0" fontId="14" fillId="11" borderId="2" xfId="46" applyFont="1" applyFill="1" applyBorder="1"/>
    <xf numFmtId="0" fontId="54" fillId="15" borderId="0" xfId="49" applyFont="1" applyFill="1"/>
    <xf numFmtId="0" fontId="54" fillId="16" borderId="0" xfId="49" applyFont="1" applyFill="1"/>
    <xf numFmtId="0" fontId="5" fillId="0" borderId="0" xfId="49"/>
    <xf numFmtId="0" fontId="54" fillId="17" borderId="0" xfId="49" applyFont="1" applyFill="1"/>
    <xf numFmtId="0" fontId="54" fillId="0" borderId="0" xfId="49" applyFont="1"/>
    <xf numFmtId="0" fontId="55" fillId="17" borderId="0" xfId="49" applyFont="1" applyFill="1"/>
    <xf numFmtId="0" fontId="56" fillId="17" borderId="0" xfId="49" applyFont="1" applyFill="1"/>
    <xf numFmtId="0" fontId="57" fillId="17" borderId="0" xfId="49" applyFont="1" applyFill="1"/>
    <xf numFmtId="0" fontId="58" fillId="17" borderId="0" xfId="49" quotePrefix="1" applyFont="1" applyFill="1"/>
    <xf numFmtId="0" fontId="59" fillId="17" borderId="0" xfId="49" applyFont="1" applyFill="1"/>
    <xf numFmtId="0" fontId="58" fillId="17" borderId="0" xfId="49" applyFont="1" applyFill="1" applyAlignment="1">
      <alignment horizontal="left" indent="1"/>
    </xf>
    <xf numFmtId="0" fontId="60" fillId="17" borderId="0" xfId="49" applyFont="1" applyFill="1" applyAlignment="1">
      <alignment horizontal="left" indent="1"/>
    </xf>
    <xf numFmtId="0" fontId="61" fillId="17" borderId="0" xfId="49" applyFont="1" applyFill="1"/>
    <xf numFmtId="0" fontId="54" fillId="18" borderId="0" xfId="49" applyFont="1" applyFill="1"/>
    <xf numFmtId="0" fontId="5" fillId="0" borderId="27" xfId="49" applyBorder="1"/>
    <xf numFmtId="0" fontId="53" fillId="0" borderId="0" xfId="0" applyFont="1"/>
    <xf numFmtId="0" fontId="62" fillId="12" borderId="0" xfId="0" applyFont="1" applyFill="1"/>
    <xf numFmtId="0" fontId="63" fillId="13" borderId="0" xfId="0" applyFont="1" applyFill="1" applyProtection="1">
      <protection hidden="1"/>
    </xf>
    <xf numFmtId="0" fontId="64" fillId="0" borderId="0" xfId="0" applyFont="1"/>
    <xf numFmtId="0" fontId="64" fillId="14" borderId="0" xfId="0" applyFont="1" applyFill="1"/>
    <xf numFmtId="164" fontId="64" fillId="0" borderId="0" xfId="2" applyNumberFormat="1" applyFont="1"/>
    <xf numFmtId="0" fontId="65" fillId="0" borderId="0" xfId="0" applyFont="1"/>
    <xf numFmtId="0" fontId="64" fillId="0" borderId="1" xfId="0" applyFont="1" applyBorder="1"/>
    <xf numFmtId="0" fontId="64" fillId="0" borderId="2" xfId="0" applyFont="1" applyBorder="1"/>
    <xf numFmtId="164" fontId="63" fillId="0" borderId="18" xfId="2" applyNumberFormat="1" applyFont="1" applyBorder="1" applyAlignment="1">
      <alignment horizontal="center"/>
    </xf>
    <xf numFmtId="164" fontId="63" fillId="0" borderId="16" xfId="2" applyNumberFormat="1" applyFont="1" applyBorder="1" applyAlignment="1">
      <alignment horizontal="center"/>
    </xf>
    <xf numFmtId="164" fontId="63" fillId="0" borderId="17" xfId="2" applyNumberFormat="1" applyFont="1" applyBorder="1" applyAlignment="1">
      <alignment horizontal="center"/>
    </xf>
    <xf numFmtId="164" fontId="64" fillId="0" borderId="11" xfId="2" applyNumberFormat="1" applyFont="1" applyBorder="1"/>
    <xf numFmtId="164" fontId="64" fillId="0" borderId="0" xfId="2" applyNumberFormat="1" applyFont="1" applyBorder="1"/>
    <xf numFmtId="164" fontId="64" fillId="0" borderId="5" xfId="2" applyNumberFormat="1" applyFont="1" applyBorder="1"/>
    <xf numFmtId="0" fontId="64" fillId="0" borderId="4" xfId="0" applyFont="1" applyBorder="1"/>
    <xf numFmtId="164" fontId="64" fillId="0" borderId="7" xfId="2" applyNumberFormat="1" applyFont="1" applyBorder="1"/>
    <xf numFmtId="164" fontId="64" fillId="0" borderId="8" xfId="2" applyNumberFormat="1" applyFont="1" applyBorder="1"/>
    <xf numFmtId="164" fontId="63" fillId="6" borderId="11" xfId="2" applyNumberFormat="1" applyFont="1" applyFill="1" applyBorder="1"/>
    <xf numFmtId="164" fontId="63" fillId="6" borderId="0" xfId="2" applyNumberFormat="1" applyFont="1" applyFill="1" applyBorder="1"/>
    <xf numFmtId="164" fontId="63" fillId="6" borderId="5" xfId="2" applyNumberFormat="1" applyFont="1" applyFill="1" applyBorder="1"/>
    <xf numFmtId="9" fontId="64" fillId="6" borderId="0" xfId="0" applyNumberFormat="1" applyFont="1" applyFill="1"/>
    <xf numFmtId="164" fontId="63" fillId="0" borderId="0" xfId="2" applyNumberFormat="1" applyFont="1" applyBorder="1" applyAlignment="1">
      <alignment horizontal="center"/>
    </xf>
    <xf numFmtId="1" fontId="66" fillId="0" borderId="0" xfId="1" applyNumberFormat="1" applyFont="1" applyBorder="1" applyAlignment="1">
      <alignment horizontal="right"/>
    </xf>
    <xf numFmtId="1" fontId="67" fillId="0" borderId="0" xfId="1" applyNumberFormat="1" applyFont="1" applyBorder="1" applyAlignment="1">
      <alignment horizontal="right"/>
    </xf>
    <xf numFmtId="9" fontId="68" fillId="0" borderId="11" xfId="1" applyFont="1" applyBorder="1" applyAlignment="1">
      <alignment horizontal="right"/>
    </xf>
    <xf numFmtId="9" fontId="68" fillId="0" borderId="0" xfId="1" applyFont="1" applyBorder="1" applyAlignment="1">
      <alignment horizontal="right"/>
    </xf>
    <xf numFmtId="9" fontId="68" fillId="0" borderId="5" xfId="1" applyFont="1" applyBorder="1" applyAlignment="1">
      <alignment horizontal="right"/>
    </xf>
    <xf numFmtId="0" fontId="63" fillId="0" borderId="4" xfId="0" applyFont="1" applyBorder="1"/>
    <xf numFmtId="164" fontId="66" fillId="0" borderId="11" xfId="2" applyNumberFormat="1" applyFont="1" applyBorder="1" applyAlignment="1">
      <alignment horizontal="center"/>
    </xf>
    <xf numFmtId="164" fontId="66" fillId="0" borderId="0" xfId="2" applyNumberFormat="1" applyFont="1" applyBorder="1" applyAlignment="1">
      <alignment horizontal="center"/>
    </xf>
    <xf numFmtId="164" fontId="66" fillId="0" borderId="5" xfId="2" applyNumberFormat="1" applyFont="1" applyBorder="1" applyAlignment="1">
      <alignment horizontal="center"/>
    </xf>
    <xf numFmtId="164" fontId="67" fillId="0" borderId="0" xfId="2" applyNumberFormat="1" applyFont="1" applyBorder="1"/>
    <xf numFmtId="164" fontId="67" fillId="0" borderId="5" xfId="2" applyNumberFormat="1" applyFont="1" applyBorder="1"/>
    <xf numFmtId="164" fontId="69" fillId="0" borderId="0" xfId="2" applyNumberFormat="1" applyFont="1"/>
    <xf numFmtId="164" fontId="63" fillId="5" borderId="11" xfId="2" applyNumberFormat="1" applyFont="1" applyFill="1" applyBorder="1"/>
    <xf numFmtId="164" fontId="63" fillId="5" borderId="0" xfId="2" applyNumberFormat="1" applyFont="1" applyFill="1" applyBorder="1"/>
    <xf numFmtId="164" fontId="63" fillId="5" borderId="5" xfId="2" applyNumberFormat="1" applyFont="1" applyFill="1" applyBorder="1"/>
    <xf numFmtId="9" fontId="69" fillId="0" borderId="0" xfId="0" applyNumberFormat="1" applyFont="1"/>
    <xf numFmtId="0" fontId="63" fillId="0" borderId="6" xfId="0" applyFont="1" applyBorder="1"/>
    <xf numFmtId="0" fontId="64" fillId="0" borderId="7" xfId="0" applyFont="1" applyBorder="1"/>
    <xf numFmtId="164" fontId="63" fillId="0" borderId="14" xfId="2" applyNumberFormat="1" applyFont="1" applyBorder="1"/>
    <xf numFmtId="164" fontId="63" fillId="0" borderId="7" xfId="2" applyNumberFormat="1" applyFont="1" applyBorder="1"/>
    <xf numFmtId="164" fontId="63" fillId="0" borderId="8" xfId="2" applyNumberFormat="1" applyFont="1" applyBorder="1"/>
    <xf numFmtId="9" fontId="68" fillId="0" borderId="0" xfId="1" applyFont="1" applyAlignment="1">
      <alignment horizontal="center"/>
    </xf>
    <xf numFmtId="0" fontId="0" fillId="0" borderId="32" xfId="0" applyBorder="1"/>
    <xf numFmtId="0" fontId="35" fillId="0" borderId="1" xfId="0" applyFont="1" applyBorder="1"/>
    <xf numFmtId="0" fontId="35" fillId="0" borderId="2" xfId="0" applyFont="1" applyBorder="1"/>
    <xf numFmtId="0" fontId="35" fillId="0" borderId="3" xfId="0" applyFont="1" applyBorder="1"/>
    <xf numFmtId="0" fontId="35" fillId="0" borderId="5" xfId="0" applyFont="1" applyBorder="1"/>
    <xf numFmtId="43" fontId="35" fillId="0" borderId="0" xfId="2" applyFont="1" applyBorder="1"/>
    <xf numFmtId="0" fontId="37" fillId="0" borderId="4" xfId="0" applyFont="1" applyBorder="1"/>
    <xf numFmtId="43" fontId="35" fillId="0" borderId="5" xfId="2" applyFont="1" applyBorder="1"/>
    <xf numFmtId="6" fontId="35" fillId="0" borderId="0" xfId="2" applyNumberFormat="1" applyFont="1" applyBorder="1"/>
    <xf numFmtId="0" fontId="35" fillId="0" borderId="7" xfId="0" applyFont="1" applyBorder="1"/>
    <xf numFmtId="0" fontId="35" fillId="0" borderId="8" xfId="0" applyFont="1" applyBorder="1"/>
    <xf numFmtId="0" fontId="64" fillId="12" borderId="0" xfId="0" applyFont="1" applyFill="1"/>
    <xf numFmtId="0" fontId="63" fillId="0" borderId="0" xfId="0" applyFont="1"/>
    <xf numFmtId="0" fontId="63" fillId="0" borderId="0" xfId="0" applyFont="1" applyAlignment="1">
      <alignment horizontal="center"/>
    </xf>
    <xf numFmtId="0" fontId="69" fillId="0" borderId="0" xfId="0" applyFont="1"/>
    <xf numFmtId="164" fontId="67" fillId="0" borderId="0" xfId="2" applyNumberFormat="1" applyFont="1"/>
    <xf numFmtId="3" fontId="67" fillId="0" borderId="9" xfId="2" applyNumberFormat="1" applyFont="1" applyBorder="1"/>
    <xf numFmtId="3" fontId="67" fillId="0" borderId="0" xfId="2" applyNumberFormat="1" applyFont="1"/>
    <xf numFmtId="164" fontId="67" fillId="0" borderId="9" xfId="2" applyNumberFormat="1" applyFont="1" applyBorder="1"/>
    <xf numFmtId="3" fontId="63" fillId="7" borderId="0" xfId="0" applyNumberFormat="1" applyFont="1" applyFill="1"/>
    <xf numFmtId="0" fontId="63" fillId="0" borderId="1" xfId="0" applyFont="1" applyBorder="1"/>
    <xf numFmtId="0" fontId="63" fillId="0" borderId="2" xfId="0" applyFont="1" applyBorder="1" applyAlignment="1">
      <alignment horizontal="center"/>
    </xf>
    <xf numFmtId="0" fontId="63" fillId="0" borderId="13" xfId="0" applyFont="1" applyBorder="1" applyAlignment="1">
      <alignment horizontal="center"/>
    </xf>
    <xf numFmtId="0" fontId="63" fillId="0" borderId="3" xfId="0" applyFont="1" applyBorder="1" applyAlignment="1">
      <alignment horizontal="center"/>
    </xf>
    <xf numFmtId="0" fontId="63" fillId="0" borderId="11" xfId="0" applyFont="1" applyBorder="1"/>
    <xf numFmtId="0" fontId="63" fillId="0" borderId="5" xfId="0" applyFont="1" applyBorder="1"/>
    <xf numFmtId="0" fontId="64" fillId="0" borderId="4" xfId="0" applyFont="1" applyBorder="1" applyAlignment="1">
      <alignment horizontal="right"/>
    </xf>
    <xf numFmtId="164" fontId="63" fillId="0" borderId="0" xfId="2" applyNumberFormat="1" applyFont="1" applyBorder="1"/>
    <xf numFmtId="164" fontId="63" fillId="0" borderId="11" xfId="2" applyNumberFormat="1" applyFont="1" applyBorder="1"/>
    <xf numFmtId="164" fontId="63" fillId="0" borderId="5" xfId="2" applyNumberFormat="1" applyFont="1" applyBorder="1"/>
    <xf numFmtId="164" fontId="64" fillId="0" borderId="0" xfId="0" applyNumberFormat="1" applyFont="1"/>
    <xf numFmtId="164" fontId="63" fillId="0" borderId="14" xfId="2" applyNumberFormat="1" applyFont="1" applyFill="1" applyBorder="1"/>
    <xf numFmtId="164" fontId="63" fillId="0" borderId="7" xfId="2" applyNumberFormat="1" applyFont="1" applyFill="1" applyBorder="1"/>
    <xf numFmtId="164" fontId="63" fillId="0" borderId="8" xfId="2" applyNumberFormat="1" applyFont="1" applyFill="1" applyBorder="1"/>
    <xf numFmtId="164" fontId="63" fillId="0" borderId="0" xfId="2" applyNumberFormat="1" applyFont="1"/>
    <xf numFmtId="9" fontId="64" fillId="0" borderId="0" xfId="0" applyNumberFormat="1" applyFont="1"/>
    <xf numFmtId="0" fontId="63" fillId="4" borderId="0" xfId="0" applyFont="1" applyFill="1"/>
    <xf numFmtId="9" fontId="63" fillId="4" borderId="0" xfId="0" applyNumberFormat="1" applyFont="1" applyFill="1"/>
    <xf numFmtId="164" fontId="64" fillId="0" borderId="0" xfId="2" applyNumberFormat="1" applyFont="1" applyFill="1"/>
    <xf numFmtId="0" fontId="70" fillId="19" borderId="0" xfId="0" applyFont="1" applyFill="1" applyAlignment="1">
      <alignment horizontal="left" vertical="center"/>
    </xf>
    <xf numFmtId="0" fontId="54" fillId="19" borderId="0" xfId="0" applyFont="1" applyFill="1" applyAlignment="1">
      <alignment horizontal="left" vertical="center"/>
    </xf>
    <xf numFmtId="174" fontId="70" fillId="20" borderId="0" xfId="0" applyNumberFormat="1" applyFont="1" applyFill="1" applyAlignment="1">
      <alignment horizontal="center"/>
    </xf>
    <xf numFmtId="0" fontId="54" fillId="20" borderId="0" xfId="0" applyFont="1" applyFill="1"/>
    <xf numFmtId="0" fontId="58" fillId="13" borderId="0" xfId="0" applyFont="1" applyFill="1"/>
    <xf numFmtId="0" fontId="54" fillId="7" borderId="9" xfId="0" applyFont="1" applyFill="1" applyBorder="1"/>
    <xf numFmtId="0" fontId="58" fillId="7" borderId="9" xfId="0" applyFont="1" applyFill="1" applyBorder="1"/>
    <xf numFmtId="0" fontId="58" fillId="7" borderId="9" xfId="0" applyFont="1" applyFill="1" applyBorder="1" applyAlignment="1">
      <alignment horizontal="center"/>
    </xf>
    <xf numFmtId="0" fontId="0" fillId="0" borderId="9" xfId="0" applyBorder="1"/>
    <xf numFmtId="3" fontId="0" fillId="0" borderId="0" xfId="0" applyNumberFormat="1"/>
    <xf numFmtId="43" fontId="0" fillId="0" borderId="0" xfId="2" applyFont="1"/>
    <xf numFmtId="0" fontId="58" fillId="0" borderId="9" xfId="0" applyFont="1" applyBorder="1" applyAlignment="1">
      <alignment horizontal="center"/>
    </xf>
    <xf numFmtId="0" fontId="40" fillId="0" borderId="38" xfId="0" applyFont="1" applyBorder="1"/>
    <xf numFmtId="0" fontId="40" fillId="0" borderId="35" xfId="0" applyFont="1" applyBorder="1"/>
    <xf numFmtId="0" fontId="0" fillId="0" borderId="37" xfId="0" applyBorder="1"/>
    <xf numFmtId="0" fontId="40" fillId="0" borderId="0" xfId="0" applyFont="1"/>
    <xf numFmtId="0" fontId="0" fillId="0" borderId="27" xfId="0" applyBorder="1"/>
    <xf numFmtId="0" fontId="40" fillId="0" borderId="10" xfId="0" applyFont="1" applyBorder="1"/>
    <xf numFmtId="0" fontId="40" fillId="0" borderId="9" xfId="0" applyFont="1" applyBorder="1"/>
    <xf numFmtId="0" fontId="0" fillId="0" borderId="28" xfId="0" applyBorder="1"/>
    <xf numFmtId="0" fontId="63" fillId="0" borderId="4" xfId="0" applyFont="1" applyBorder="1" applyAlignment="1">
      <alignment horizontal="left"/>
    </xf>
    <xf numFmtId="0" fontId="63" fillId="0" borderId="0" xfId="0" applyFont="1" applyAlignment="1">
      <alignment horizontal="left"/>
    </xf>
    <xf numFmtId="0" fontId="63" fillId="0" borderId="0" xfId="0" applyFont="1" applyAlignment="1">
      <alignment horizontal="center"/>
    </xf>
    <xf numFmtId="0" fontId="35" fillId="0" borderId="0" xfId="0" applyFont="1" applyAlignment="1">
      <alignment horizontal="left" vertical="center" wrapText="1"/>
    </xf>
    <xf numFmtId="0" fontId="42" fillId="0" borderId="39" xfId="0" applyFont="1" applyBorder="1" applyAlignment="1">
      <alignment horizontal="center"/>
    </xf>
    <xf numFmtId="0" fontId="42" fillId="0" borderId="24" xfId="0" applyFont="1" applyBorder="1" applyAlignment="1">
      <alignment horizontal="center"/>
    </xf>
    <xf numFmtId="0" fontId="42" fillId="0" borderId="40" xfId="0" applyFont="1" applyBorder="1" applyAlignment="1">
      <alignment horizontal="center"/>
    </xf>
    <xf numFmtId="0" fontId="37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9" fontId="35" fillId="0" borderId="0" xfId="0" applyNumberFormat="1" applyFont="1" applyAlignment="1">
      <alignment horizontal="center"/>
    </xf>
    <xf numFmtId="0" fontId="43" fillId="0" borderId="39" xfId="0" applyFont="1" applyBorder="1" applyAlignment="1">
      <alignment horizontal="left"/>
    </xf>
    <xf numFmtId="0" fontId="43" fillId="0" borderId="24" xfId="0" applyFont="1" applyBorder="1" applyAlignment="1">
      <alignment horizontal="left"/>
    </xf>
    <xf numFmtId="0" fontId="43" fillId="0" borderId="0" xfId="0" applyFont="1" applyAlignment="1">
      <alignment horizontal="left"/>
    </xf>
    <xf numFmtId="0" fontId="26" fillId="7" borderId="0" xfId="46" applyFont="1" applyFill="1" applyAlignment="1">
      <alignment horizontal="center"/>
    </xf>
    <xf numFmtId="0" fontId="37" fillId="0" borderId="21" xfId="0" applyFont="1" applyBorder="1" applyAlignment="1">
      <alignment horizontal="center"/>
    </xf>
    <xf numFmtId="0" fontId="37" fillId="0" borderId="23" xfId="0" applyFont="1" applyBorder="1" applyAlignment="1">
      <alignment horizontal="center"/>
    </xf>
    <xf numFmtId="0" fontId="37" fillId="0" borderId="22" xfId="0" applyFont="1" applyBorder="1" applyAlignment="1">
      <alignment horizontal="center"/>
    </xf>
    <xf numFmtId="0" fontId="35" fillId="0" borderId="48" xfId="0" applyFont="1" applyBorder="1" applyAlignment="1">
      <alignment horizontal="center"/>
    </xf>
    <xf numFmtId="0" fontId="35" fillId="0" borderId="49" xfId="0" applyFont="1" applyBorder="1" applyAlignment="1">
      <alignment horizontal="center"/>
    </xf>
    <xf numFmtId="0" fontId="35" fillId="0" borderId="45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</cellXfs>
  <cellStyles count="50">
    <cellStyle name="Comma" xfId="2" builtinId="3"/>
    <cellStyle name="Comma 2" xfId="17" xr:uid="{00000000-0005-0000-0000-000001000000}"/>
    <cellStyle name="Currency" xfId="45" builtinId="4"/>
    <cellStyle name="Currency 2" xfId="48" xr:uid="{98BD82A6-D0DD-406F-B794-0EE696F2D49D}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  <cellStyle name="Normal 2" xfId="18" xr:uid="{00000000-0005-0000-0000-00002B000000}"/>
    <cellStyle name="Normal 2 2" xfId="49" xr:uid="{E46C9D3C-2D0E-40CD-96F5-FF8CEA8B25B3}"/>
    <cellStyle name="Normal 3" xfId="46" xr:uid="{0FD46C90-16D3-43D9-8F83-16C81596A326}"/>
    <cellStyle name="Normal 4" xfId="47" xr:uid="{E6B56D3E-2A51-479A-B29E-E5B0A8834D1E}"/>
    <cellStyle name="Percent" xfId="1" builtinId="5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Presentation!$B$8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Presentation!$C$7:$G$7</c:f>
              <c:strCache>
                <c:ptCount val="5"/>
                <c:pt idx="0">
                  <c:v>FY1</c:v>
                </c:pt>
                <c:pt idx="1">
                  <c:v>FY2</c:v>
                </c:pt>
                <c:pt idx="2">
                  <c:v>FY3</c:v>
                </c:pt>
                <c:pt idx="3">
                  <c:v>FY4</c:v>
                </c:pt>
                <c:pt idx="4">
                  <c:v>FY5</c:v>
                </c:pt>
              </c:strCache>
            </c:strRef>
          </c:cat>
          <c:val>
            <c:numRef>
              <c:f>Presentation!$C$8:$G$8</c:f>
              <c:numCache>
                <c:formatCode>#,##0</c:formatCode>
                <c:ptCount val="5"/>
                <c:pt idx="0">
                  <c:v>135584.75434965279</c:v>
                </c:pt>
                <c:pt idx="1">
                  <c:v>653816.31202154304</c:v>
                </c:pt>
                <c:pt idx="2">
                  <c:v>1075040.8361007893</c:v>
                </c:pt>
                <c:pt idx="3">
                  <c:v>1551476.1650304683</c:v>
                </c:pt>
                <c:pt idx="4">
                  <c:v>2911926.5454581291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D-412A-BCDA-6B147AD54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453839"/>
        <c:axId val="2027449999"/>
      </c:lineChart>
      <c:catAx>
        <c:axId val="202745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449999"/>
        <c:crosses val="autoZero"/>
        <c:auto val="1"/>
        <c:lblAlgn val="ctr"/>
        <c:lblOffset val="100"/>
        <c:noMultiLvlLbl val="0"/>
      </c:catAx>
      <c:valAx>
        <c:axId val="2027449999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45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 Per Service Line - $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Presentation!$B$27</c:f>
              <c:strCache>
                <c:ptCount val="1"/>
                <c:pt idx="0">
                  <c:v>Sollo Travellers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Presentation!$C$26:$G$26</c:f>
              <c:strCache>
                <c:ptCount val="5"/>
                <c:pt idx="0">
                  <c:v>FY1</c:v>
                </c:pt>
                <c:pt idx="1">
                  <c:v>FY2</c:v>
                </c:pt>
                <c:pt idx="2">
                  <c:v>FY3</c:v>
                </c:pt>
                <c:pt idx="3">
                  <c:v>FY4</c:v>
                </c:pt>
                <c:pt idx="4">
                  <c:v>FY5</c:v>
                </c:pt>
              </c:strCache>
            </c:strRef>
          </c:cat>
          <c:val>
            <c:numRef>
              <c:f>Presentation!$C$27:$G$27</c:f>
              <c:numCache>
                <c:formatCode>#,##0</c:formatCode>
                <c:ptCount val="5"/>
                <c:pt idx="0">
                  <c:v>110124.75434965278</c:v>
                </c:pt>
                <c:pt idx="1">
                  <c:v>410505.11202154297</c:v>
                </c:pt>
                <c:pt idx="2">
                  <c:v>567331.23610078916</c:v>
                </c:pt>
                <c:pt idx="3">
                  <c:v>794156.16503046814</c:v>
                </c:pt>
                <c:pt idx="4">
                  <c:v>1438236.5454581289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9-49FB-AF5F-A1F3BD4BAAE5}"/>
            </c:ext>
          </c:extLst>
        </c:ser>
        <c:ser>
          <c:idx val="1"/>
          <c:order val="1"/>
          <c:tx>
            <c:strRef>
              <c:f>Presentation!$B$28</c:f>
              <c:strCache>
                <c:ptCount val="1"/>
                <c:pt idx="0">
                  <c:v>Local Business(Adv)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Presentation!$C$26:$G$26</c:f>
              <c:strCache>
                <c:ptCount val="5"/>
                <c:pt idx="0">
                  <c:v>FY1</c:v>
                </c:pt>
                <c:pt idx="1">
                  <c:v>FY2</c:v>
                </c:pt>
                <c:pt idx="2">
                  <c:v>FY3</c:v>
                </c:pt>
                <c:pt idx="3">
                  <c:v>FY4</c:v>
                </c:pt>
                <c:pt idx="4">
                  <c:v>FY5</c:v>
                </c:pt>
              </c:strCache>
            </c:strRef>
          </c:cat>
          <c:val>
            <c:numRef>
              <c:f>Presentation!$C$28:$G$28</c:f>
              <c:numCache>
                <c:formatCode>#,##0</c:formatCode>
                <c:ptCount val="5"/>
                <c:pt idx="0">
                  <c:v>23660.000000000004</c:v>
                </c:pt>
                <c:pt idx="1">
                  <c:v>237952.00000000006</c:v>
                </c:pt>
                <c:pt idx="2">
                  <c:v>499158.40000000008</c:v>
                </c:pt>
                <c:pt idx="3">
                  <c:v>746304.00000000012</c:v>
                </c:pt>
                <c:pt idx="4">
                  <c:v>1460160.0000000002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F9-49FB-AF5F-A1F3BD4BAAE5}"/>
            </c:ext>
          </c:extLst>
        </c:ser>
        <c:ser>
          <c:idx val="2"/>
          <c:order val="2"/>
          <c:tx>
            <c:strRef>
              <c:f>Presentation!$B$29</c:f>
              <c:strCache>
                <c:ptCount val="1"/>
                <c:pt idx="0">
                  <c:v>Travel Agency(Comm)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Presentation!$C$26:$G$26</c:f>
              <c:strCache>
                <c:ptCount val="5"/>
                <c:pt idx="0">
                  <c:v>FY1</c:v>
                </c:pt>
                <c:pt idx="1">
                  <c:v>FY2</c:v>
                </c:pt>
                <c:pt idx="2">
                  <c:v>FY3</c:v>
                </c:pt>
                <c:pt idx="3">
                  <c:v>FY4</c:v>
                </c:pt>
                <c:pt idx="4">
                  <c:v>FY5</c:v>
                </c:pt>
              </c:strCache>
            </c:strRef>
          </c:cat>
          <c:val>
            <c:numRef>
              <c:f>Presentation!$C$29:$G$29</c:f>
              <c:numCache>
                <c:formatCode>#,##0</c:formatCode>
                <c:ptCount val="5"/>
                <c:pt idx="0">
                  <c:v>1800</c:v>
                </c:pt>
                <c:pt idx="1">
                  <c:v>5359.2</c:v>
                </c:pt>
                <c:pt idx="2">
                  <c:v>8551.2000000000007</c:v>
                </c:pt>
                <c:pt idx="3">
                  <c:v>11016</c:v>
                </c:pt>
                <c:pt idx="4">
                  <c:v>13530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F9-49FB-AF5F-A1F3BD4BA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352671"/>
        <c:axId val="1493353151"/>
      </c:lineChart>
      <c:catAx>
        <c:axId val="149335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353151"/>
        <c:crosses val="autoZero"/>
        <c:auto val="1"/>
        <c:lblAlgn val="ctr"/>
        <c:lblOffset val="100"/>
        <c:noMultiLvlLbl val="0"/>
      </c:catAx>
      <c:valAx>
        <c:axId val="1493353151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35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Break Even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Presentation!$L$8</c:f>
              <c:strCache>
                <c:ptCount val="1"/>
                <c:pt idx="0">
                  <c:v>Total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Presentation!$M$7:$Q$7</c:f>
              <c:strCache>
                <c:ptCount val="5"/>
                <c:pt idx="0">
                  <c:v>FY1</c:v>
                </c:pt>
                <c:pt idx="1">
                  <c:v>FY2</c:v>
                </c:pt>
                <c:pt idx="2">
                  <c:v>FY3</c:v>
                </c:pt>
                <c:pt idx="3">
                  <c:v>FY4</c:v>
                </c:pt>
                <c:pt idx="4">
                  <c:v>FY5</c:v>
                </c:pt>
              </c:strCache>
            </c:strRef>
          </c:cat>
          <c:val>
            <c:numRef>
              <c:f>Presentation!$M$8:$Q$8</c:f>
              <c:numCache>
                <c:formatCode>#,##0</c:formatCode>
                <c:ptCount val="5"/>
                <c:pt idx="0">
                  <c:v>-377767.38209875906</c:v>
                </c:pt>
                <c:pt idx="1">
                  <c:v>-392563.39002727589</c:v>
                </c:pt>
                <c:pt idx="2">
                  <c:v>-190881.81729876067</c:v>
                </c:pt>
                <c:pt idx="3">
                  <c:v>145508.61387701196</c:v>
                </c:pt>
                <c:pt idx="4">
                  <c:v>1049352.2382263956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E-4961-BCEE-2E441F9FE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242655"/>
        <c:axId val="2083244575"/>
      </c:lineChart>
      <c:catAx>
        <c:axId val="208324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44575"/>
        <c:crosses val="autoZero"/>
        <c:auto val="1"/>
        <c:lblAlgn val="ctr"/>
        <c:lblOffset val="100"/>
        <c:noMultiLvlLbl val="0"/>
      </c:catAx>
      <c:valAx>
        <c:axId val="2083244575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4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COCA - $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Presentation!$L$27</c:f>
              <c:strCache>
                <c:ptCount val="1"/>
                <c:pt idx="0">
                  <c:v>COCA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Presentation!$M$26:$Q$26</c:f>
              <c:strCache>
                <c:ptCount val="5"/>
                <c:pt idx="0">
                  <c:v>FY1</c:v>
                </c:pt>
                <c:pt idx="1">
                  <c:v>FY2</c:v>
                </c:pt>
                <c:pt idx="2">
                  <c:v>FY3</c:v>
                </c:pt>
                <c:pt idx="3">
                  <c:v>FY4</c:v>
                </c:pt>
                <c:pt idx="4">
                  <c:v>FY5</c:v>
                </c:pt>
              </c:strCache>
            </c:strRef>
          </c:cat>
          <c:val>
            <c:numRef>
              <c:f>Presentation!$M$27:$Q$27</c:f>
              <c:numCache>
                <c:formatCode>#,##0</c:formatCode>
                <c:ptCount val="5"/>
                <c:pt idx="0">
                  <c:v>966.67333333333329</c:v>
                </c:pt>
                <c:pt idx="1">
                  <c:v>675.00312499999995</c:v>
                </c:pt>
                <c:pt idx="2">
                  <c:v>385.71607142857141</c:v>
                </c:pt>
                <c:pt idx="3">
                  <c:v>389.65747126436781</c:v>
                </c:pt>
                <c:pt idx="4">
                  <c:v>347.50166666666667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8-40D7-A170-E4165A06F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246975"/>
        <c:axId val="2083239775"/>
      </c:lineChart>
      <c:catAx>
        <c:axId val="208324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39775"/>
        <c:crosses val="autoZero"/>
        <c:auto val="1"/>
        <c:lblAlgn val="ctr"/>
        <c:lblOffset val="100"/>
        <c:noMultiLvlLbl val="0"/>
      </c:catAx>
      <c:valAx>
        <c:axId val="2083239775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4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 and Cashflow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Presentation!$B$49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Presentation!$C$48:$G$48</c:f>
              <c:strCache>
                <c:ptCount val="5"/>
                <c:pt idx="0">
                  <c:v>FY1</c:v>
                </c:pt>
                <c:pt idx="1">
                  <c:v>FY2</c:v>
                </c:pt>
                <c:pt idx="2">
                  <c:v>FY3</c:v>
                </c:pt>
                <c:pt idx="3">
                  <c:v>FY4</c:v>
                </c:pt>
                <c:pt idx="4">
                  <c:v>FY5</c:v>
                </c:pt>
              </c:strCache>
            </c:strRef>
          </c:cat>
          <c:val>
            <c:numRef>
              <c:f>Presentation!$C$49:$G$49</c:f>
              <c:numCache>
                <c:formatCode>_(* #,##0.00_);_(* \(#,##0.00\);_(* "-"??_);_(@_)</c:formatCode>
                <c:ptCount val="5"/>
                <c:pt idx="0">
                  <c:v>135584.75434965279</c:v>
                </c:pt>
                <c:pt idx="1">
                  <c:v>653816.31202154304</c:v>
                </c:pt>
                <c:pt idx="2">
                  <c:v>1075040.8361007893</c:v>
                </c:pt>
                <c:pt idx="3">
                  <c:v>1551476.1650304683</c:v>
                </c:pt>
                <c:pt idx="4">
                  <c:v>2911926.5454581291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2-4742-A371-BA5A7DC8ABF9}"/>
            </c:ext>
          </c:extLst>
        </c:ser>
        <c:ser>
          <c:idx val="1"/>
          <c:order val="1"/>
          <c:tx>
            <c:strRef>
              <c:f>Presentation!$B$50</c:f>
              <c:strCache>
                <c:ptCount val="1"/>
                <c:pt idx="0">
                  <c:v>Cashflow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Presentation!$C$48:$G$48</c:f>
              <c:strCache>
                <c:ptCount val="5"/>
                <c:pt idx="0">
                  <c:v>FY1</c:v>
                </c:pt>
                <c:pt idx="1">
                  <c:v>FY2</c:v>
                </c:pt>
                <c:pt idx="2">
                  <c:v>FY3</c:v>
                </c:pt>
                <c:pt idx="3">
                  <c:v>FY4</c:v>
                </c:pt>
                <c:pt idx="4">
                  <c:v>FY5</c:v>
                </c:pt>
              </c:strCache>
            </c:strRef>
          </c:cat>
          <c:val>
            <c:numRef>
              <c:f>Presentation!$C$50:$G$50</c:f>
              <c:numCache>
                <c:formatCode>_(* #,##0.00_);_(* \(#,##0.00\);_(* "-"??_);_(@_)</c:formatCode>
                <c:ptCount val="5"/>
                <c:pt idx="0">
                  <c:v>-177767.38209875906</c:v>
                </c:pt>
                <c:pt idx="1">
                  <c:v>-14796.007928516814</c:v>
                </c:pt>
                <c:pt idx="2">
                  <c:v>201681.57272851522</c:v>
                </c:pt>
                <c:pt idx="3">
                  <c:v>336390.43117577262</c:v>
                </c:pt>
                <c:pt idx="4">
                  <c:v>903843.62434938352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2-4742-A371-BA5A7DC8A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366959"/>
        <c:axId val="1525356399"/>
      </c:lineChart>
      <c:catAx>
        <c:axId val="152536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356399"/>
        <c:crosses val="autoZero"/>
        <c:auto val="1"/>
        <c:lblAlgn val="ctr"/>
        <c:lblOffset val="100"/>
        <c:noMultiLvlLbl val="0"/>
      </c:catAx>
      <c:valAx>
        <c:axId val="1525356399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3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LTV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Presentation!$L$49</c:f>
              <c:strCache>
                <c:ptCount val="1"/>
                <c:pt idx="0">
                  <c:v>LTV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Presentation!$M$48:$Q$48</c:f>
              <c:strCache>
                <c:ptCount val="5"/>
                <c:pt idx="0">
                  <c:v>FY1</c:v>
                </c:pt>
                <c:pt idx="1">
                  <c:v>FY2</c:v>
                </c:pt>
                <c:pt idx="2">
                  <c:v>FY3</c:v>
                </c:pt>
                <c:pt idx="3">
                  <c:v>FY4</c:v>
                </c:pt>
                <c:pt idx="4">
                  <c:v>FY5</c:v>
                </c:pt>
              </c:strCache>
            </c:strRef>
          </c:cat>
          <c:val>
            <c:numRef>
              <c:f>Presentation!$M$49:$Q$49</c:f>
              <c:numCache>
                <c:formatCode>#,##0</c:formatCode>
                <c:ptCount val="5"/>
                <c:pt idx="0">
                  <c:v>11572.584958010735</c:v>
                </c:pt>
                <c:pt idx="1">
                  <c:v>9242.9501002985398</c:v>
                </c:pt>
                <c:pt idx="2">
                  <c:v>6576.8045940241645</c:v>
                </c:pt>
                <c:pt idx="3">
                  <c:v>5136.509958156942</c:v>
                </c:pt>
                <c:pt idx="4">
                  <c:v>4859.807415392539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E-42F4-9F94-DB06034E7E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0113695"/>
        <c:axId val="2080124735"/>
      </c:barChart>
      <c:catAx>
        <c:axId val="208011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124735"/>
        <c:crosses val="autoZero"/>
        <c:auto val="1"/>
        <c:lblAlgn val="ctr"/>
        <c:lblOffset val="100"/>
        <c:noMultiLvlLbl val="0"/>
      </c:catAx>
      <c:valAx>
        <c:axId val="2080124735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11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Presentation!$B$72</c:f>
              <c:strCache>
                <c:ptCount val="1"/>
                <c:pt idx="0">
                  <c:v>EBITDA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Presentation!$C$71:$G$71</c:f>
              <c:strCache>
                <c:ptCount val="5"/>
                <c:pt idx="0">
                  <c:v>FY1</c:v>
                </c:pt>
                <c:pt idx="1">
                  <c:v>FY2</c:v>
                </c:pt>
                <c:pt idx="2">
                  <c:v>FY3</c:v>
                </c:pt>
                <c:pt idx="3">
                  <c:v>FY4</c:v>
                </c:pt>
                <c:pt idx="4">
                  <c:v>FY5</c:v>
                </c:pt>
              </c:strCache>
            </c:strRef>
          </c:cat>
          <c:val>
            <c:numRef>
              <c:f>Presentation!$C$72:$G$72</c:f>
              <c:numCache>
                <c:formatCode>_(* #,##0.00_);_(* \(#,##0.00\);_(* "-"??_);_(@_)</c:formatCode>
                <c:ptCount val="5"/>
                <c:pt idx="0">
                  <c:v>-189004.99493370485</c:v>
                </c:pt>
                <c:pt idx="1">
                  <c:v>4352.547852279502</c:v>
                </c:pt>
                <c:pt idx="2">
                  <c:v>260831.93704946578</c:v>
                </c:pt>
                <c:pt idx="3">
                  <c:v>409815.06611797644</c:v>
                </c:pt>
                <c:pt idx="4">
                  <c:v>1121245.9240921712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D-4870-A2C3-A8D916AC8A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7997087"/>
        <c:axId val="1398001887"/>
      </c:barChart>
      <c:catAx>
        <c:axId val="139799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01887"/>
        <c:crosses val="autoZero"/>
        <c:auto val="1"/>
        <c:lblAlgn val="ctr"/>
        <c:lblOffset val="100"/>
        <c:noMultiLvlLbl val="0"/>
      </c:catAx>
      <c:valAx>
        <c:axId val="1398001887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99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Breakeven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17710914348157E-2"/>
          <c:y val="0.14773944778718431"/>
          <c:w val="0.89176912566111988"/>
          <c:h val="0.80844459304163674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'Cash Flow'!$D$6:$H$6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'Cash Flow'!$D$31:$H$31</c:f>
              <c:numCache>
                <c:formatCode>_(* #,##0_);_(* \(#,##0\);_(* "-"??_);_(@_)</c:formatCode>
                <c:ptCount val="5"/>
                <c:pt idx="0">
                  <c:v>-377767.38209875906</c:v>
                </c:pt>
                <c:pt idx="1">
                  <c:v>-392563.39002727589</c:v>
                </c:pt>
                <c:pt idx="2">
                  <c:v>-190881.81729876067</c:v>
                </c:pt>
                <c:pt idx="3">
                  <c:v>145508.61387701196</c:v>
                </c:pt>
                <c:pt idx="4">
                  <c:v>1049352.2382263956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3-4B8A-9FCD-8630D295A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716408"/>
        <c:axId val="2092254984"/>
      </c:lineChart>
      <c:catAx>
        <c:axId val="206571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254984"/>
        <c:crosses val="autoZero"/>
        <c:auto val="1"/>
        <c:lblAlgn val="ctr"/>
        <c:lblOffset val="100"/>
        <c:noMultiLvlLbl val="0"/>
      </c:catAx>
      <c:valAx>
        <c:axId val="209225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716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9</xdr:row>
      <xdr:rowOff>121920</xdr:rowOff>
    </xdr:from>
    <xdr:to>
      <xdr:col>11</xdr:col>
      <xdr:colOff>472440</xdr:colOff>
      <xdr:row>24</xdr:row>
      <xdr:rowOff>76200</xdr:rowOff>
    </xdr:to>
    <xdr:sp macro="" textlink="">
      <xdr:nvSpPr>
        <xdr:cNvPr id="2" name="TextBox 9">
          <a:extLst>
            <a:ext uri="{FF2B5EF4-FFF2-40B4-BE49-F238E27FC236}">
              <a16:creationId xmlns:a16="http://schemas.microsoft.com/office/drawing/2014/main" id="{CDDFF49A-6FFE-4119-8E20-35D4BF60F9DC}"/>
            </a:ext>
          </a:extLst>
        </xdr:cNvPr>
        <xdr:cNvSpPr txBox="1"/>
      </xdr:nvSpPr>
      <xdr:spPr>
        <a:xfrm>
          <a:off x="441960" y="1767840"/>
          <a:ext cx="6766560" cy="269748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  <a:effectLst/>
      </xdr:spPr>
      <xdr:txBody>
        <a:bodyPr wrap="square" lIns="54610" tIns="54610" rIns="54610" bIns="5461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ts val="32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kumimoji="0" lang="en-US" sz="3400" b="1" i="0" u="none" strike="noStrike" kern="1200" cap="none" spc="0" normalizeH="0" baseline="0" noProof="0">
              <a:ln>
                <a:noFill/>
              </a:ln>
              <a:solidFill>
                <a:srgbClr val="E7E6E6"/>
              </a:solidFill>
              <a:effectLst/>
              <a:uLnTx/>
              <a:uFillTx/>
              <a:latin typeface="Century Gothic" panose="020B0502020202020204" pitchFamily="34" charset="0"/>
              <a:ea typeface="+mn-ea"/>
              <a:cs typeface="Arial" panose="020B0604020202020204" pitchFamily="34" charset="0"/>
            </a:rPr>
            <a:t> Five year Financial Projections</a:t>
          </a:r>
        </a:p>
        <a:p>
          <a:pPr marL="0" marR="0" lvl="0" indent="0" algn="l" defTabSz="914400" rtl="0" eaLnBrk="1" fontAlgn="auto" latinLnBrk="0" hangingPunct="1">
            <a:lnSpc>
              <a:spcPts val="17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1200" cap="none" spc="0" normalizeH="0" baseline="0" noProof="0">
              <a:ln>
                <a:noFill/>
              </a:ln>
              <a:solidFill>
                <a:srgbClr val="E7E6E6"/>
              </a:solidFill>
              <a:effectLst/>
              <a:uLnTx/>
              <a:uFillTx/>
              <a:latin typeface="Century Gothic" panose="020B0502020202020204" pitchFamily="34" charset="0"/>
              <a:ea typeface="+mn-ea"/>
              <a:cs typeface="Arial" panose="020B0604020202020204" pitchFamily="34" charset="0"/>
            </a:rPr>
            <a:t>- </a:t>
          </a:r>
          <a:r>
            <a:rPr kumimoji="0" lang="en-US" sz="1200" b="1" i="0" u="none" strike="noStrike" kern="1200" cap="none" spc="0" normalizeH="0" baseline="0" noProof="0">
              <a:ln>
                <a:noFill/>
              </a:ln>
              <a:solidFill>
                <a:srgbClr val="E7E6E6"/>
              </a:solidFill>
              <a:effectLst/>
              <a:uLnTx/>
              <a:uFillTx/>
              <a:latin typeface="Century Gothic" panose="020B0502020202020204" pitchFamily="34" charset="0"/>
              <a:ea typeface="+mn-ea"/>
              <a:cs typeface="Arial" panose="020B0604020202020204" pitchFamily="34" charset="0"/>
            </a:rPr>
            <a:t>ATG(Around The Globle App)</a:t>
          </a:r>
        </a:p>
        <a:p>
          <a:pPr marL="0" marR="0" lvl="0" indent="0" algn="l" defTabSz="914400" rtl="0" eaLnBrk="1" fontAlgn="auto" latinLnBrk="0" hangingPunct="1">
            <a:lnSpc>
              <a:spcPts val="17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endParaRPr kumimoji="0" lang="en-US" sz="1000" b="1" i="0" u="none" strike="noStrike" kern="1200" cap="none" spc="0" normalizeH="0" baseline="0" noProof="0">
            <a:ln>
              <a:noFill/>
            </a:ln>
            <a:solidFill>
              <a:srgbClr val="E7E6E6"/>
            </a:solidFill>
            <a:effectLst/>
            <a:uLnTx/>
            <a:uFillTx/>
            <a:latin typeface="Century Gothic" panose="020B0502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l" defTabSz="914400" rtl="0" eaLnBrk="1" fontAlgn="auto" latinLnBrk="0" hangingPunct="1">
            <a:lnSpc>
              <a:spcPts val="17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120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entury Gothic" panose="020B0502020202020204" pitchFamily="34" charset="0"/>
              <a:ea typeface="+mn-ea"/>
              <a:cs typeface="Arial" panose="020B0604020202020204" pitchFamily="34" charset="0"/>
            </a:rPr>
            <a:t>January 2024 -December 2029</a:t>
          </a:r>
        </a:p>
        <a:p>
          <a:pPr marL="0" marR="0" lvl="0" indent="0" algn="l" defTabSz="914400" rtl="0" eaLnBrk="1" fontAlgn="auto" latinLnBrk="0" hangingPunct="1">
            <a:lnSpc>
              <a:spcPts val="16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endParaRPr kumimoji="0" lang="en-US" sz="1000" b="1" i="0" u="none" strike="noStrike" kern="1200" cap="none" spc="0" normalizeH="0" baseline="0" noProof="0">
            <a:ln>
              <a:noFill/>
            </a:ln>
            <a:solidFill>
              <a:srgbClr val="E7E6E6"/>
            </a:solidFill>
            <a:effectLst/>
            <a:uLnTx/>
            <a:uFillTx/>
            <a:latin typeface="Century Gothic" panose="020B0502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endParaRPr kumimoji="0" lang="en-US" sz="1000" b="1" i="0" u="none" strike="noStrike" kern="1200" cap="none" spc="0" normalizeH="0" baseline="0" noProof="0">
            <a:ln>
              <a:noFill/>
            </a:ln>
            <a:solidFill>
              <a:srgbClr val="E7E6E6"/>
            </a:solidFill>
            <a:effectLst/>
            <a:uLnTx/>
            <a:uFillTx/>
            <a:latin typeface="Century Gothic" panose="020B0502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8</xdr:row>
      <xdr:rowOff>120650</xdr:rowOff>
    </xdr:to>
    <xdr:sp macro="" textlink="">
      <xdr:nvSpPr>
        <xdr:cNvPr id="3" name="AutoShape 1" descr="Image result for kobo care logo">
          <a:extLst>
            <a:ext uri="{FF2B5EF4-FFF2-40B4-BE49-F238E27FC236}">
              <a16:creationId xmlns:a16="http://schemas.microsoft.com/office/drawing/2014/main" id="{6FA3C04F-8872-41BD-9EC9-1B4517B0FA6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80160"/>
          <a:ext cx="304800" cy="303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7</xdr:row>
      <xdr:rowOff>120650</xdr:rowOff>
    </xdr:to>
    <xdr:sp macro="" textlink="">
      <xdr:nvSpPr>
        <xdr:cNvPr id="4" name="AutoShape 2" descr="Image result for kobo care logo">
          <a:extLst>
            <a:ext uri="{FF2B5EF4-FFF2-40B4-BE49-F238E27FC236}">
              <a16:creationId xmlns:a16="http://schemas.microsoft.com/office/drawing/2014/main" id="{E509D23B-D9AD-4F29-B744-408D0315CD0A}"/>
            </a:ext>
          </a:extLst>
        </xdr:cNvPr>
        <xdr:cNvSpPr>
          <a:spLocks noChangeAspect="1" noChangeArrowheads="1"/>
        </xdr:cNvSpPr>
      </xdr:nvSpPr>
      <xdr:spPr bwMode="auto">
        <a:xfrm>
          <a:off x="1615440" y="1097280"/>
          <a:ext cx="304800" cy="303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9</xdr:row>
      <xdr:rowOff>0</xdr:rowOff>
    </xdr:from>
    <xdr:to>
      <xdr:col>7</xdr:col>
      <xdr:colOff>601980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687E5-B733-72AC-5E19-18D2F7C52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</xdr:colOff>
      <xdr:row>29</xdr:row>
      <xdr:rowOff>140970</xdr:rowOff>
    </xdr:from>
    <xdr:to>
      <xdr:col>8</xdr:col>
      <xdr:colOff>7620</xdr:colOff>
      <xdr:row>44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C9AC58-928A-8D45-2678-ECC3E7BB0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</xdr:colOff>
      <xdr:row>9</xdr:row>
      <xdr:rowOff>15240</xdr:rowOff>
    </xdr:from>
    <xdr:to>
      <xdr:col>19</xdr:col>
      <xdr:colOff>365760</xdr:colOff>
      <xdr:row>21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C63965-8AC2-0A07-E526-444D7AEDE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586740</xdr:colOff>
      <xdr:row>27</xdr:row>
      <xdr:rowOff>179070</xdr:rowOff>
    </xdr:from>
    <xdr:to>
      <xdr:col>18</xdr:col>
      <xdr:colOff>396240</xdr:colOff>
      <xdr:row>41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099E35-F25E-B858-A4F7-CDDD40B80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</xdr:colOff>
      <xdr:row>51</xdr:row>
      <xdr:rowOff>3810</xdr:rowOff>
    </xdr:from>
    <xdr:to>
      <xdr:col>7</xdr:col>
      <xdr:colOff>114300</xdr:colOff>
      <xdr:row>66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125849-4573-8DC3-1031-C690FB253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312420</xdr:colOff>
      <xdr:row>50</xdr:row>
      <xdr:rowOff>57150</xdr:rowOff>
    </xdr:from>
    <xdr:to>
      <xdr:col>18</xdr:col>
      <xdr:colOff>571500</xdr:colOff>
      <xdr:row>65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2973FD-E7B4-A133-6246-0403EADEE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119062</xdr:colOff>
      <xdr:row>67</xdr:row>
      <xdr:rowOff>23812</xdr:rowOff>
    </xdr:from>
    <xdr:to>
      <xdr:col>18</xdr:col>
      <xdr:colOff>476249</xdr:colOff>
      <xdr:row>85</xdr:row>
      <xdr:rowOff>76199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1B6935-8044-69FB-EFFD-58DC61A6B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32</xdr:row>
      <xdr:rowOff>53974</xdr:rowOff>
    </xdr:from>
    <xdr:to>
      <xdr:col>9</xdr:col>
      <xdr:colOff>288924</xdr:colOff>
      <xdr:row>49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25</xdr:row>
      <xdr:rowOff>0</xdr:rowOff>
    </xdr:from>
    <xdr:ext cx="1968500" cy="0"/>
    <xdr:pic>
      <xdr:nvPicPr>
        <xdr:cNvPr id="2" name="Picture 1" descr="page2image5422080">
          <a:extLst>
            <a:ext uri="{FF2B5EF4-FFF2-40B4-BE49-F238E27FC236}">
              <a16:creationId xmlns:a16="http://schemas.microsoft.com/office/drawing/2014/main" id="{B8608267-36F6-466D-9934-7FD48F50E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2865120"/>
          <a:ext cx="1968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685800</xdr:colOff>
      <xdr:row>25</xdr:row>
      <xdr:rowOff>0</xdr:rowOff>
    </xdr:from>
    <xdr:ext cx="1968500" cy="0"/>
    <xdr:pic>
      <xdr:nvPicPr>
        <xdr:cNvPr id="3" name="Picture 2" descr="page2image5419584">
          <a:extLst>
            <a:ext uri="{FF2B5EF4-FFF2-40B4-BE49-F238E27FC236}">
              <a16:creationId xmlns:a16="http://schemas.microsoft.com/office/drawing/2014/main" id="{A882E283-6926-4048-A956-094CAC9C9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2865120"/>
          <a:ext cx="1968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870B6-54C8-45D0-835E-71A4C2F59504}">
  <sheetPr>
    <tabColor rgb="FF002060"/>
  </sheetPr>
  <dimension ref="A1:M30"/>
  <sheetViews>
    <sheetView showGridLines="0" zoomScale="60" zoomScaleNormal="60" workbookViewId="0">
      <selection sqref="A1:M1048576"/>
    </sheetView>
  </sheetViews>
  <sheetFormatPr defaultColWidth="0" defaultRowHeight="14.7" customHeight="1" zeroHeight="1"/>
  <cols>
    <col min="1" max="1" width="4.88671875" style="346" customWidth="1"/>
    <col min="2" max="4" width="9.33203125" style="346" customWidth="1"/>
    <col min="5" max="5" width="9.33203125" style="358" customWidth="1"/>
    <col min="6" max="12" width="9.33203125" style="346" customWidth="1"/>
    <col min="13" max="13" width="2.88671875" style="346" customWidth="1"/>
    <col min="14" max="25" width="8.88671875" style="346" hidden="1" customWidth="1"/>
    <col min="26" max="16384" width="8.88671875" style="346" hidden="1"/>
  </cols>
  <sheetData>
    <row r="1" spans="1:13" ht="14.4">
      <c r="A1" s="344"/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4"/>
    </row>
    <row r="2" spans="1:13" ht="14.4">
      <c r="A2" s="344"/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4"/>
    </row>
    <row r="3" spans="1:13" ht="14.4">
      <c r="A3" s="344"/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4"/>
    </row>
    <row r="4" spans="1:13" ht="14.4">
      <c r="A4" s="344"/>
      <c r="B4" s="347"/>
      <c r="C4" s="347"/>
      <c r="D4" s="347"/>
      <c r="E4" s="347"/>
      <c r="F4" s="347"/>
      <c r="G4" s="347"/>
      <c r="H4" s="347"/>
      <c r="I4" s="347"/>
      <c r="J4" s="347"/>
      <c r="K4" s="347"/>
      <c r="L4" s="347"/>
      <c r="M4" s="344"/>
    </row>
    <row r="5" spans="1:13" ht="14.4">
      <c r="A5" s="344"/>
      <c r="B5" s="347"/>
      <c r="C5" s="348"/>
      <c r="D5" s="348"/>
      <c r="E5" s="346"/>
      <c r="F5" s="348"/>
      <c r="G5" s="348"/>
      <c r="H5" s="348"/>
      <c r="I5" s="348"/>
      <c r="J5" s="348"/>
      <c r="K5" s="348"/>
      <c r="L5" s="348"/>
      <c r="M5" s="344"/>
    </row>
    <row r="6" spans="1:13" ht="14.4">
      <c r="A6" s="344"/>
      <c r="B6" s="347"/>
      <c r="C6" s="348"/>
      <c r="D6" s="348"/>
      <c r="E6" s="348"/>
      <c r="F6" s="348"/>
      <c r="G6" s="348"/>
      <c r="H6" s="348"/>
      <c r="I6" s="348"/>
      <c r="J6" s="348"/>
      <c r="K6" s="348"/>
      <c r="L6" s="348"/>
      <c r="M6" s="344"/>
    </row>
    <row r="7" spans="1:13" ht="14.4">
      <c r="A7" s="344"/>
      <c r="B7" s="347"/>
      <c r="C7" s="347"/>
      <c r="E7" s="347"/>
      <c r="F7" s="347"/>
      <c r="G7" s="347"/>
      <c r="H7" s="347"/>
      <c r="I7" s="347"/>
      <c r="J7" s="347"/>
      <c r="K7" s="347"/>
      <c r="L7" s="347"/>
      <c r="M7" s="344"/>
    </row>
    <row r="8" spans="1:13" ht="14.4">
      <c r="A8" s="344"/>
      <c r="B8" s="347"/>
      <c r="C8" s="347"/>
      <c r="D8" s="347"/>
      <c r="E8" s="347"/>
      <c r="F8" s="347"/>
      <c r="G8" s="347"/>
      <c r="H8" s="347"/>
      <c r="I8" s="347"/>
      <c r="J8" s="347"/>
      <c r="L8" s="347"/>
      <c r="M8" s="344"/>
    </row>
    <row r="9" spans="1:13" ht="14.4">
      <c r="A9" s="344"/>
      <c r="B9" s="347"/>
      <c r="C9" s="349"/>
      <c r="D9" s="349"/>
      <c r="E9" s="349"/>
      <c r="F9" s="349"/>
      <c r="G9" s="349"/>
      <c r="H9" s="349"/>
      <c r="I9" s="349"/>
      <c r="J9" s="349"/>
      <c r="K9" s="349"/>
      <c r="L9" s="347"/>
      <c r="M9" s="344"/>
    </row>
    <row r="10" spans="1:13" ht="14.4">
      <c r="A10" s="344"/>
      <c r="B10" s="347"/>
      <c r="C10" s="350" t="s">
        <v>309</v>
      </c>
      <c r="D10" s="349"/>
      <c r="E10" s="348"/>
      <c r="F10" s="349"/>
      <c r="G10" s="349"/>
      <c r="H10" s="349"/>
      <c r="I10" s="349"/>
      <c r="J10" s="349"/>
      <c r="K10" s="349"/>
      <c r="L10" s="347"/>
      <c r="M10" s="344"/>
    </row>
    <row r="11" spans="1:13" ht="14.4">
      <c r="A11" s="344"/>
      <c r="B11" s="347"/>
      <c r="C11" s="349"/>
      <c r="D11" s="349"/>
      <c r="E11" s="349"/>
      <c r="F11" s="349"/>
      <c r="G11" s="349"/>
      <c r="H11" s="349"/>
      <c r="I11" s="349"/>
      <c r="J11" s="349"/>
      <c r="K11" s="349"/>
      <c r="L11" s="347"/>
      <c r="M11" s="344"/>
    </row>
    <row r="12" spans="1:13" ht="14.4">
      <c r="A12" s="344"/>
      <c r="B12" s="347"/>
      <c r="C12" s="349"/>
      <c r="D12" s="349"/>
      <c r="E12" s="349"/>
      <c r="F12" s="349"/>
      <c r="G12" s="349"/>
      <c r="H12" s="349"/>
      <c r="I12" s="349"/>
      <c r="J12" s="349"/>
      <c r="K12" s="349"/>
      <c r="L12" s="347"/>
      <c r="M12" s="344"/>
    </row>
    <row r="13" spans="1:13" ht="14.4">
      <c r="A13" s="344"/>
      <c r="B13" s="347"/>
      <c r="C13" s="349"/>
      <c r="D13" s="349"/>
      <c r="E13" s="349"/>
      <c r="F13" s="348"/>
      <c r="G13" s="349"/>
      <c r="H13" s="349"/>
      <c r="I13" s="349"/>
      <c r="J13" s="349"/>
      <c r="K13" s="349"/>
      <c r="L13" s="347"/>
      <c r="M13" s="344"/>
    </row>
    <row r="14" spans="1:13" ht="14.4">
      <c r="A14" s="344"/>
      <c r="B14" s="347"/>
      <c r="C14" s="349"/>
      <c r="D14" s="349"/>
      <c r="E14" s="349"/>
      <c r="F14" s="349"/>
      <c r="G14" s="349"/>
      <c r="H14" s="349"/>
      <c r="I14" s="349"/>
      <c r="J14" s="349"/>
      <c r="K14" s="349"/>
      <c r="L14" s="347"/>
      <c r="M14" s="344"/>
    </row>
    <row r="15" spans="1:13" ht="14.4">
      <c r="A15" s="344"/>
      <c r="B15" s="347"/>
      <c r="C15" s="349"/>
      <c r="D15" s="349"/>
      <c r="E15" s="349"/>
      <c r="F15" s="349"/>
      <c r="G15" s="349"/>
      <c r="H15" s="349"/>
      <c r="I15" s="349"/>
      <c r="J15" s="349"/>
      <c r="K15" s="349"/>
      <c r="L15" s="347"/>
      <c r="M15" s="344"/>
    </row>
    <row r="16" spans="1:13" ht="14.4">
      <c r="A16" s="344"/>
      <c r="B16" s="351"/>
      <c r="C16" s="349"/>
      <c r="D16" s="348"/>
      <c r="E16" s="349"/>
      <c r="F16" s="349"/>
      <c r="G16" s="349"/>
      <c r="H16" s="349"/>
      <c r="I16" s="349"/>
      <c r="J16" s="349"/>
      <c r="K16" s="349"/>
      <c r="L16" s="352"/>
      <c r="M16" s="344"/>
    </row>
    <row r="17" spans="1:13" ht="14.4">
      <c r="A17" s="344"/>
      <c r="B17" s="347"/>
      <c r="C17" s="349"/>
      <c r="D17" s="349"/>
      <c r="E17" s="348"/>
      <c r="F17" s="348"/>
      <c r="G17" s="353" t="s">
        <v>310</v>
      </c>
      <c r="H17" s="353"/>
      <c r="I17" s="349"/>
      <c r="J17" s="349"/>
      <c r="K17" s="349"/>
      <c r="L17" s="347"/>
      <c r="M17" s="344"/>
    </row>
    <row r="18" spans="1:13" ht="14.4">
      <c r="A18" s="344"/>
      <c r="B18" s="347"/>
      <c r="C18" s="349"/>
      <c r="D18" s="349"/>
      <c r="E18" s="348"/>
      <c r="F18" s="348"/>
      <c r="G18" s="353"/>
      <c r="H18" s="353"/>
      <c r="I18" s="349"/>
      <c r="J18" s="349"/>
      <c r="K18" s="349"/>
      <c r="L18" s="347"/>
      <c r="M18" s="344"/>
    </row>
    <row r="19" spans="1:13" ht="14.4">
      <c r="A19" s="344"/>
      <c r="B19" s="354"/>
      <c r="C19" s="349"/>
      <c r="D19" s="349"/>
      <c r="E19" s="349"/>
      <c r="F19" s="348"/>
      <c r="G19" s="349"/>
      <c r="H19" s="349"/>
      <c r="I19" s="349"/>
      <c r="J19" s="349"/>
      <c r="K19" s="349"/>
      <c r="L19" s="347"/>
      <c r="M19" s="344"/>
    </row>
    <row r="20" spans="1:13" ht="14.4">
      <c r="A20" s="344"/>
      <c r="B20" s="355"/>
      <c r="C20" s="348"/>
      <c r="D20" s="347"/>
      <c r="E20" s="347"/>
      <c r="F20" s="348"/>
      <c r="G20" s="347"/>
      <c r="H20" s="347"/>
      <c r="I20" s="347"/>
      <c r="J20" s="356"/>
      <c r="K20" s="347"/>
      <c r="L20" s="347"/>
      <c r="M20" s="344"/>
    </row>
    <row r="21" spans="1:13" ht="14.4">
      <c r="A21" s="344"/>
      <c r="B21" s="355"/>
      <c r="C21" s="348"/>
      <c r="D21" s="347"/>
      <c r="E21" s="347"/>
      <c r="F21" s="348"/>
      <c r="G21" s="347"/>
      <c r="H21" s="347"/>
      <c r="I21" s="347"/>
      <c r="J21" s="356"/>
      <c r="K21" s="347"/>
      <c r="L21" s="347"/>
      <c r="M21" s="344"/>
    </row>
    <row r="22" spans="1:13" ht="14.4">
      <c r="A22" s="344"/>
      <c r="B22" s="355"/>
      <c r="C22" s="348"/>
      <c r="D22" s="347"/>
      <c r="E22" s="347"/>
      <c r="F22" s="348"/>
      <c r="G22" s="347"/>
      <c r="H22" s="347"/>
      <c r="I22" s="347"/>
      <c r="J22" s="356"/>
      <c r="K22" s="347"/>
      <c r="L22" s="347"/>
      <c r="M22" s="344"/>
    </row>
    <row r="23" spans="1:13" ht="14.4">
      <c r="A23" s="344"/>
      <c r="B23" s="355"/>
      <c r="C23" s="348"/>
      <c r="D23" s="347"/>
      <c r="E23" s="347"/>
      <c r="F23" s="348"/>
      <c r="G23" s="347"/>
      <c r="H23" s="347"/>
      <c r="I23" s="347"/>
      <c r="J23" s="356"/>
      <c r="K23" s="347"/>
      <c r="L23" s="347"/>
      <c r="M23" s="344"/>
    </row>
    <row r="24" spans="1:13" ht="14.4">
      <c r="A24" s="344"/>
      <c r="B24" s="355"/>
      <c r="C24" s="348"/>
      <c r="D24" s="347"/>
      <c r="E24" s="347"/>
      <c r="F24" s="348"/>
      <c r="G24" s="347"/>
      <c r="H24" s="347"/>
      <c r="I24" s="347"/>
      <c r="J24" s="356"/>
      <c r="K24" s="347"/>
      <c r="L24" s="347"/>
      <c r="M24" s="344"/>
    </row>
    <row r="25" spans="1:13" ht="14.4">
      <c r="A25" s="344"/>
      <c r="B25" s="355"/>
      <c r="C25" s="348"/>
      <c r="D25" s="347"/>
      <c r="E25" s="347"/>
      <c r="F25" s="348"/>
      <c r="G25" s="347"/>
      <c r="H25" s="347"/>
      <c r="I25" s="347"/>
      <c r="J25" s="356"/>
      <c r="K25" s="347"/>
      <c r="L25" s="347"/>
      <c r="M25" s="344"/>
    </row>
    <row r="26" spans="1:13" ht="14.4">
      <c r="A26" s="344"/>
      <c r="B26" s="357"/>
      <c r="C26" s="357"/>
      <c r="D26" s="357"/>
      <c r="E26" s="357"/>
      <c r="F26" s="357"/>
      <c r="G26" s="357"/>
      <c r="H26" s="357"/>
      <c r="I26" s="357"/>
      <c r="J26" s="357"/>
      <c r="K26" s="357"/>
      <c r="L26" s="357"/>
      <c r="M26" s="344"/>
    </row>
    <row r="27" spans="1:13" ht="14.4">
      <c r="A27" s="344"/>
      <c r="B27" s="357"/>
      <c r="C27" s="357"/>
      <c r="D27" s="357"/>
      <c r="E27" s="357"/>
      <c r="F27" s="357"/>
      <c r="G27" s="357"/>
      <c r="H27" s="357"/>
      <c r="I27" s="357"/>
      <c r="J27" s="357"/>
      <c r="K27" s="357"/>
      <c r="L27" s="357"/>
      <c r="M27" s="344"/>
    </row>
    <row r="28" spans="1:13" ht="14.4" hidden="1">
      <c r="A28" s="348"/>
      <c r="B28" s="348"/>
      <c r="C28" s="348"/>
      <c r="D28" s="348"/>
      <c r="E28" s="348"/>
      <c r="F28" s="348"/>
      <c r="G28" s="348"/>
      <c r="H28" s="348"/>
      <c r="I28" s="348"/>
      <c r="J28" s="348"/>
      <c r="K28" s="348"/>
      <c r="L28" s="348"/>
      <c r="M28" s="348"/>
    </row>
    <row r="29" spans="1:13" ht="14.4" hidden="1">
      <c r="A29" s="348"/>
      <c r="B29" s="348"/>
      <c r="C29" s="348"/>
      <c r="D29" s="348"/>
      <c r="E29" s="348"/>
      <c r="F29" s="348"/>
      <c r="G29" s="348"/>
      <c r="H29" s="348"/>
      <c r="I29" s="348"/>
      <c r="J29" s="348"/>
      <c r="K29" s="348"/>
      <c r="L29" s="348"/>
      <c r="M29" s="348"/>
    </row>
    <row r="30" spans="1:13" ht="14.4" hidden="1">
      <c r="A30" s="348"/>
      <c r="B30" s="348"/>
      <c r="C30" s="348"/>
      <c r="D30" s="348"/>
      <c r="E30" s="348"/>
      <c r="F30" s="348"/>
      <c r="G30" s="348"/>
      <c r="H30" s="348"/>
      <c r="I30" s="348"/>
      <c r="J30" s="348"/>
      <c r="K30" s="348"/>
      <c r="L30" s="348"/>
      <c r="M30" s="348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34"/>
  <sheetViews>
    <sheetView showGridLines="0" zoomScale="80" zoomScaleNormal="80" zoomScalePageLayoutView="85" workbookViewId="0">
      <selection activeCell="E30" sqref="E30"/>
    </sheetView>
  </sheetViews>
  <sheetFormatPr defaultColWidth="0" defaultRowHeight="16.2" zeroHeight="1"/>
  <cols>
    <col min="1" max="1" width="11.44140625" style="212" customWidth="1"/>
    <col min="2" max="2" width="58.5546875" style="212" bestFit="1" customWidth="1"/>
    <col min="3" max="3" width="11.33203125" style="212" customWidth="1"/>
    <col min="4" max="4" width="19" style="212" customWidth="1"/>
    <col min="5" max="5" width="17.6640625" style="212" bestFit="1" customWidth="1"/>
    <col min="6" max="6" width="17.44140625" style="212" customWidth="1"/>
    <col min="7" max="8" width="18.33203125" style="212" bestFit="1" customWidth="1"/>
    <col min="9" max="9" width="15.21875" style="212" bestFit="1" customWidth="1"/>
    <col min="10" max="10" width="16" style="212" customWidth="1"/>
    <col min="11" max="11" width="9.77734375" style="212" customWidth="1"/>
    <col min="12" max="13" width="11.44140625" style="212" customWidth="1"/>
    <col min="14" max="14" width="3.109375" style="212" customWidth="1"/>
    <col min="15" max="16384" width="11.44140625" style="212" hidden="1"/>
  </cols>
  <sheetData>
    <row r="1" spans="1:14">
      <c r="A1" s="297"/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6"/>
    </row>
    <row r="2" spans="1:14">
      <c r="A2" s="297"/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6"/>
    </row>
    <row r="3" spans="1:14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296"/>
    </row>
    <row r="4" spans="1:14">
      <c r="A4" s="299"/>
      <c r="B4" s="299"/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6"/>
    </row>
    <row r="5" spans="1:14">
      <c r="E5" s="316">
        <v>1.4999999999999999E-2</v>
      </c>
      <c r="F5" s="316">
        <v>2.5000000000000001E-2</v>
      </c>
      <c r="G5" s="316">
        <v>0.03</v>
      </c>
      <c r="H5" s="316">
        <v>3.5000000000000003E-2</v>
      </c>
      <c r="N5" s="296"/>
    </row>
    <row r="6" spans="1:14">
      <c r="B6" s="317" t="s">
        <v>80</v>
      </c>
      <c r="C6" s="318"/>
      <c r="D6" s="319" t="s">
        <v>4</v>
      </c>
      <c r="E6" s="319" t="s">
        <v>5</v>
      </c>
      <c r="F6" s="319" t="s">
        <v>6</v>
      </c>
      <c r="G6" s="319" t="s">
        <v>8</v>
      </c>
      <c r="H6" s="320" t="s">
        <v>9</v>
      </c>
      <c r="L6" s="213">
        <f>F7/$G$29</f>
        <v>8.9275300553328898E-2</v>
      </c>
      <c r="N6" s="296"/>
    </row>
    <row r="7" spans="1:14">
      <c r="B7" s="306" t="s">
        <v>188</v>
      </c>
      <c r="C7" s="307"/>
      <c r="D7" s="308">
        <f>'Startup Costs'!I11</f>
        <v>90000</v>
      </c>
      <c r="E7" s="308">
        <f>'Startup Costs'!J11*(1+$E$5)</f>
        <v>92720.249999999971</v>
      </c>
      <c r="F7" s="308">
        <f>'Startup Costs'!K11*(1+$F$5)</f>
        <v>95974.593749999956</v>
      </c>
      <c r="G7" s="308">
        <f>'Startup Costs'!L11*(1+G5)</f>
        <v>101264.90062499997</v>
      </c>
      <c r="H7" s="309">
        <f>'Startup Costs'!M11*(1+$H$5)</f>
        <v>108879.43125937496</v>
      </c>
      <c r="L7" s="213">
        <f t="shared" ref="L7:L14" si="0">F8/$G$29</f>
        <v>1.693569387190522E-2</v>
      </c>
      <c r="N7" s="296"/>
    </row>
    <row r="8" spans="1:14">
      <c r="B8" s="310" t="s">
        <v>181</v>
      </c>
      <c r="C8" s="218"/>
      <c r="D8" s="219">
        <f>'Startup Costs'!I12</f>
        <v>0</v>
      </c>
      <c r="E8" s="219">
        <f>'Startup Costs'!J12</f>
        <v>17762.5</v>
      </c>
      <c r="F8" s="219">
        <f>'Startup Costs'!K12</f>
        <v>18206.5625</v>
      </c>
      <c r="G8" s="219">
        <f>'Startup Costs'!L12</f>
        <v>19116.890625</v>
      </c>
      <c r="H8" s="311">
        <f>'Startup Costs'!M12</f>
        <v>20455.072968750002</v>
      </c>
      <c r="L8" s="213">
        <f t="shared" si="0"/>
        <v>5.4194220390096689E-3</v>
      </c>
      <c r="N8" s="296"/>
    </row>
    <row r="9" spans="1:14">
      <c r="B9" s="310" t="s">
        <v>182</v>
      </c>
      <c r="C9" s="218"/>
      <c r="D9" s="219">
        <f>'Startup Costs'!I13</f>
        <v>5600</v>
      </c>
      <c r="E9" s="219">
        <f>'Startup Costs'!J13</f>
        <v>5683.9999999999991</v>
      </c>
      <c r="F9" s="219">
        <f>'Startup Costs'!K13</f>
        <v>5826.0999999999985</v>
      </c>
      <c r="G9" s="219">
        <f>'Startup Costs'!L13</f>
        <v>6117.4049999999988</v>
      </c>
      <c r="H9" s="311">
        <f>'Startup Costs'!M13</f>
        <v>6545.6233499999989</v>
      </c>
      <c r="L9" s="213">
        <f t="shared" si="0"/>
        <v>2.3226094452898579E-2</v>
      </c>
      <c r="N9" s="296"/>
    </row>
    <row r="10" spans="1:14">
      <c r="B10" s="310" t="s">
        <v>183</v>
      </c>
      <c r="C10" s="218"/>
      <c r="D10" s="219">
        <f>'Startup Costs'!I14</f>
        <v>24000</v>
      </c>
      <c r="E10" s="219">
        <f>'Startup Costs'!J14</f>
        <v>24359.999999999996</v>
      </c>
      <c r="F10" s="219">
        <f>'Startup Costs'!K14</f>
        <v>24968.999999999993</v>
      </c>
      <c r="G10" s="219">
        <f>'Startup Costs'!L14</f>
        <v>26217.449999999993</v>
      </c>
      <c r="H10" s="311">
        <f>'Startup Costs'!M14</f>
        <v>28052.671499999993</v>
      </c>
      <c r="L10" s="213">
        <f t="shared" si="0"/>
        <v>1.741957083967394E-2</v>
      </c>
      <c r="N10" s="296"/>
    </row>
    <row r="11" spans="1:14">
      <c r="B11" s="310" t="s">
        <v>187</v>
      </c>
      <c r="C11" s="218"/>
      <c r="D11" s="219">
        <f>'Startup Costs'!I15</f>
        <v>18000</v>
      </c>
      <c r="E11" s="219">
        <f>'Startup Costs'!J15</f>
        <v>18270</v>
      </c>
      <c r="F11" s="219">
        <f>'Startup Costs'!K15</f>
        <v>18726.75</v>
      </c>
      <c r="G11" s="219">
        <f>'Startup Costs'!L15</f>
        <v>19663.087500000001</v>
      </c>
      <c r="H11" s="311">
        <f>'Startup Costs'!M15</f>
        <v>21039.503625000001</v>
      </c>
      <c r="L11" s="213">
        <f t="shared" si="0"/>
        <v>0.18696964175708342</v>
      </c>
      <c r="N11" s="296"/>
    </row>
    <row r="12" spans="1:14">
      <c r="B12" s="310" t="s">
        <v>258</v>
      </c>
      <c r="C12" s="218"/>
      <c r="D12" s="219">
        <f>'Startup Costs'!I16</f>
        <v>123000</v>
      </c>
      <c r="E12" s="219">
        <f>'Startup Costs'!J16</f>
        <v>201000</v>
      </c>
      <c r="F12" s="219">
        <f>'Startup Costs'!K16</f>
        <v>201000</v>
      </c>
      <c r="G12" s="219">
        <f>'Startup Costs'!L16</f>
        <v>324000</v>
      </c>
      <c r="H12" s="311">
        <f>'Startup Costs'!M16</f>
        <v>402000</v>
      </c>
      <c r="L12" s="213">
        <f t="shared" si="0"/>
        <v>4.6452188905797154E-3</v>
      </c>
      <c r="N12" s="296"/>
    </row>
    <row r="13" spans="1:14">
      <c r="B13" s="310" t="s">
        <v>189</v>
      </c>
      <c r="C13" s="218"/>
      <c r="D13" s="219">
        <f>'Startup Costs'!I17</f>
        <v>4800</v>
      </c>
      <c r="E13" s="219">
        <f>'Startup Costs'!J17</f>
        <v>4871.9999999999991</v>
      </c>
      <c r="F13" s="219">
        <f>'Startup Costs'!K17</f>
        <v>4993.7999999999984</v>
      </c>
      <c r="G13" s="219">
        <f>'Startup Costs'!L17</f>
        <v>5243.4899999999989</v>
      </c>
      <c r="H13" s="311">
        <f>'Startup Costs'!M17</f>
        <v>5610.5342999999993</v>
      </c>
      <c r="L13" s="213">
        <f t="shared" si="0"/>
        <v>3.483914167934787E-3</v>
      </c>
      <c r="N13" s="296"/>
    </row>
    <row r="14" spans="1:14">
      <c r="B14" s="312" t="s">
        <v>190</v>
      </c>
      <c r="C14" s="313"/>
      <c r="D14" s="314">
        <f>'Startup Costs'!I18</f>
        <v>3600</v>
      </c>
      <c r="E14" s="314">
        <f>'Startup Costs'!J18</f>
        <v>3653.9999999999995</v>
      </c>
      <c r="F14" s="314">
        <f>'Startup Costs'!K18</f>
        <v>3745.349999999999</v>
      </c>
      <c r="G14" s="314">
        <f>'Startup Costs'!L18</f>
        <v>3932.6174999999989</v>
      </c>
      <c r="H14" s="315">
        <f>'Startup Costs'!M18</f>
        <v>4207.9007249999995</v>
      </c>
      <c r="L14" s="213">
        <f t="shared" si="0"/>
        <v>0</v>
      </c>
      <c r="N14" s="296"/>
    </row>
    <row r="15" spans="1:14">
      <c r="C15" s="218"/>
      <c r="D15" s="219"/>
      <c r="E15" s="219"/>
      <c r="F15" s="219"/>
      <c r="G15" s="219"/>
      <c r="H15" s="219"/>
      <c r="N15" s="296"/>
    </row>
    <row r="16" spans="1:14">
      <c r="B16" s="218"/>
      <c r="C16" s="218"/>
      <c r="D16" s="219"/>
      <c r="E16" s="219"/>
      <c r="F16" s="219"/>
      <c r="G16" s="219"/>
      <c r="H16" s="219"/>
      <c r="N16" s="296"/>
    </row>
    <row r="17" spans="2:14">
      <c r="B17" s="217" t="s">
        <v>35</v>
      </c>
      <c r="C17" s="218"/>
      <c r="D17" s="220">
        <f>SUM(D7:D15)</f>
        <v>269000</v>
      </c>
      <c r="E17" s="220">
        <f t="shared" ref="E17:H17" si="1">SUM(E7:E15)</f>
        <v>368322.75</v>
      </c>
      <c r="F17" s="220">
        <f t="shared" si="1"/>
        <v>373442.15624999994</v>
      </c>
      <c r="G17" s="220">
        <f t="shared" si="1"/>
        <v>505555.84124999994</v>
      </c>
      <c r="H17" s="220">
        <f t="shared" si="1"/>
        <v>596790.73772812483</v>
      </c>
      <c r="N17" s="296"/>
    </row>
    <row r="18" spans="2:14">
      <c r="N18" s="296"/>
    </row>
    <row r="19" spans="2:14">
      <c r="N19" s="296"/>
    </row>
    <row r="20" spans="2:14">
      <c r="D20" s="214">
        <f>$G$27*'Revenue Forecast'!E35</f>
        <v>55589.74928335764</v>
      </c>
      <c r="E20" s="214">
        <f>H27*'Revenue Forecast'!F35</f>
        <v>281141.01416926348</v>
      </c>
      <c r="F20" s="214">
        <f>I27*'Revenue Forecast'!G35</f>
        <v>440766.74280132359</v>
      </c>
      <c r="G20" s="214">
        <f>J27*'Revenue Forecast'!H35</f>
        <v>636105.22766249196</v>
      </c>
      <c r="H20" s="214">
        <f>K27*'Revenue Forecast'!I35</f>
        <v>1193889.8836378329</v>
      </c>
      <c r="N20" s="296"/>
    </row>
    <row r="21" spans="2:14">
      <c r="B21" s="473" t="s">
        <v>88</v>
      </c>
      <c r="C21" s="474"/>
      <c r="D21" s="319" t="s">
        <v>4</v>
      </c>
      <c r="E21" s="319" t="s">
        <v>5</v>
      </c>
      <c r="F21" s="319" t="s">
        <v>6</v>
      </c>
      <c r="G21" s="319" t="s">
        <v>8</v>
      </c>
      <c r="H21" s="320" t="s">
        <v>9</v>
      </c>
      <c r="N21" s="296"/>
    </row>
    <row r="22" spans="2:14">
      <c r="B22" s="310" t="s">
        <v>89</v>
      </c>
      <c r="C22" s="326">
        <v>0.872</v>
      </c>
      <c r="D22" s="215">
        <f>$C22*D$20</f>
        <v>48474.261375087859</v>
      </c>
      <c r="E22" s="215">
        <f t="shared" ref="E22:H24" si="2">$C22*E$20</f>
        <v>245154.96435559777</v>
      </c>
      <c r="F22" s="215">
        <f t="shared" si="2"/>
        <v>384348.59972275415</v>
      </c>
      <c r="G22" s="215">
        <f t="shared" si="2"/>
        <v>554683.75852169294</v>
      </c>
      <c r="H22" s="322">
        <f t="shared" si="2"/>
        <v>1041071.9785321903</v>
      </c>
      <c r="N22" s="296"/>
    </row>
    <row r="23" spans="2:14">
      <c r="B23" s="310" t="s">
        <v>90</v>
      </c>
      <c r="C23" s="216">
        <v>0.11</v>
      </c>
      <c r="D23" s="215">
        <f>$C23*D$20</f>
        <v>6114.8724211693407</v>
      </c>
      <c r="E23" s="215">
        <f t="shared" si="2"/>
        <v>30925.511558618982</v>
      </c>
      <c r="F23" s="215">
        <f t="shared" si="2"/>
        <v>48484.341708145592</v>
      </c>
      <c r="G23" s="215">
        <f t="shared" si="2"/>
        <v>69971.575042874116</v>
      </c>
      <c r="H23" s="322">
        <f t="shared" si="2"/>
        <v>131327.88720016161</v>
      </c>
      <c r="N23" s="296"/>
    </row>
    <row r="24" spans="2:14">
      <c r="B24" s="312" t="s">
        <v>91</v>
      </c>
      <c r="C24" s="323">
        <v>1.7999999999999999E-2</v>
      </c>
      <c r="D24" s="324">
        <f>$C24*D$20</f>
        <v>1000.6154871004375</v>
      </c>
      <c r="E24" s="324">
        <f t="shared" si="2"/>
        <v>5060.5382550467421</v>
      </c>
      <c r="F24" s="324">
        <f t="shared" si="2"/>
        <v>7933.8013704238238</v>
      </c>
      <c r="G24" s="324">
        <f t="shared" si="2"/>
        <v>11449.894097924855</v>
      </c>
      <c r="H24" s="325">
        <f t="shared" si="2"/>
        <v>21490.017905480992</v>
      </c>
      <c r="N24" s="296"/>
    </row>
    <row r="25" spans="2:14">
      <c r="B25" s="475" t="s">
        <v>92</v>
      </c>
      <c r="C25" s="475"/>
      <c r="D25" s="321">
        <f>SUM(D22:D24)</f>
        <v>55589.74928335764</v>
      </c>
      <c r="E25" s="321">
        <f t="shared" ref="E25:H25" si="3">SUM(E22:E24)</f>
        <v>281141.01416926354</v>
      </c>
      <c r="F25" s="321">
        <f t="shared" si="3"/>
        <v>440766.74280132353</v>
      </c>
      <c r="G25" s="321">
        <f t="shared" si="3"/>
        <v>636105.22766249184</v>
      </c>
      <c r="H25" s="321">
        <f t="shared" si="3"/>
        <v>1193889.8836378329</v>
      </c>
      <c r="N25" s="296"/>
    </row>
    <row r="26" spans="2:14">
      <c r="N26" s="296"/>
    </row>
    <row r="27" spans="2:14">
      <c r="D27" s="212" t="s">
        <v>79</v>
      </c>
      <c r="G27" s="305">
        <v>0.41</v>
      </c>
      <c r="H27" s="305">
        <v>0.43</v>
      </c>
      <c r="I27" s="305">
        <v>0.41</v>
      </c>
      <c r="J27" s="305">
        <v>0.41</v>
      </c>
      <c r="K27" s="305">
        <v>0.41</v>
      </c>
      <c r="N27" s="296"/>
    </row>
    <row r="28" spans="2:14">
      <c r="N28" s="296"/>
    </row>
    <row r="29" spans="2:14">
      <c r="E29" s="214">
        <f>'Revenue Forecast'!E35</f>
        <v>135584.75434965279</v>
      </c>
      <c r="F29" s="214">
        <f>'Revenue Forecast'!F35</f>
        <v>653816.31202154304</v>
      </c>
      <c r="G29" s="214">
        <f>'Revenue Forecast'!G35</f>
        <v>1075040.8361007893</v>
      </c>
      <c r="H29" s="214">
        <f>'Revenue Forecast'!H35</f>
        <v>1551476.1650304683</v>
      </c>
      <c r="I29" s="214">
        <f>'Revenue Forecast'!I35</f>
        <v>2911926.5454581291</v>
      </c>
      <c r="N29" s="296"/>
    </row>
    <row r="30" spans="2:14">
      <c r="E30" s="302">
        <f>E29-D25</f>
        <v>79995.005066295154</v>
      </c>
      <c r="F30" s="302">
        <f t="shared" ref="F30:H30" si="4">F29-E25</f>
        <v>372675.2978522795</v>
      </c>
      <c r="G30" s="302">
        <f t="shared" si="4"/>
        <v>634274.09329946572</v>
      </c>
      <c r="H30" s="302">
        <f t="shared" si="4"/>
        <v>915370.93736797641</v>
      </c>
      <c r="N30" s="296"/>
    </row>
    <row r="31" spans="2:14">
      <c r="E31" s="213">
        <f>E30/'Revenue Forecast'!E35</f>
        <v>0.59000000000000008</v>
      </c>
      <c r="F31" s="213">
        <f>F30/'Revenue Forecast'!F35</f>
        <v>0.56999999999999995</v>
      </c>
      <c r="G31" s="213">
        <f>G30/'Revenue Forecast'!G35</f>
        <v>0.59000000000000008</v>
      </c>
      <c r="H31" s="213">
        <f>H30/'Revenue Forecast'!H35</f>
        <v>0.59000000000000008</v>
      </c>
      <c r="N31" s="296"/>
    </row>
    <row r="32" spans="2:14">
      <c r="E32" s="302"/>
      <c r="N32" s="296"/>
    </row>
    <row r="33" spans="1:14">
      <c r="E33" s="213"/>
      <c r="N33" s="296"/>
    </row>
    <row r="34" spans="1:14">
      <c r="A34" s="296"/>
      <c r="B34" s="296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</row>
  </sheetData>
  <mergeCells count="2">
    <mergeCell ref="B21:C21"/>
    <mergeCell ref="B25:C25"/>
  </mergeCells>
  <phoneticPr fontId="22" type="noConversion"/>
  <pageMargins left="0.75" right="0.75" top="1" bottom="1" header="0.5" footer="0.5"/>
  <pageSetup scale="51" fitToHeight="0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2CA60-6714-47AB-8DB1-C76F2D7A217F}">
  <dimension ref="A1:N34"/>
  <sheetViews>
    <sheetView showGridLines="0" topLeftCell="A7" workbookViewId="0">
      <selection activeCell="A35" sqref="A35:XFD35"/>
    </sheetView>
  </sheetViews>
  <sheetFormatPr defaultColWidth="0" defaultRowHeight="14.4" zeroHeight="1"/>
  <cols>
    <col min="1" max="1" width="1.33203125" customWidth="1"/>
    <col min="2" max="2" width="39.33203125" customWidth="1"/>
    <col min="3" max="3" width="19" customWidth="1"/>
    <col min="4" max="4" width="23.5546875" customWidth="1"/>
    <col min="5" max="5" width="25.21875" customWidth="1"/>
    <col min="6" max="7" width="16.6640625" bestFit="1" customWidth="1"/>
    <col min="8" max="8" width="23" bestFit="1" customWidth="1"/>
    <col min="9" max="9" width="1.88671875" customWidth="1"/>
    <col min="10" max="14" width="0" hidden="1" customWidth="1"/>
    <col min="15" max="16384" width="8.88671875" hidden="1"/>
  </cols>
  <sheetData>
    <row r="1" spans="2:9">
      <c r="B1" s="295" t="s">
        <v>265</v>
      </c>
      <c r="C1" s="294"/>
      <c r="D1" s="295"/>
      <c r="E1" s="294"/>
      <c r="F1" s="294"/>
      <c r="G1" s="294"/>
      <c r="H1" s="294"/>
      <c r="I1" s="296"/>
    </row>
    <row r="2" spans="2:9">
      <c r="B2" s="297"/>
      <c r="C2" s="297"/>
      <c r="D2" s="297"/>
      <c r="E2" s="297"/>
      <c r="F2" s="297"/>
      <c r="G2" s="297"/>
      <c r="H2" s="297"/>
      <c r="I2" s="296"/>
    </row>
    <row r="3" spans="2:9">
      <c r="B3" s="298"/>
      <c r="C3" s="298"/>
      <c r="D3" s="298"/>
      <c r="E3" s="298"/>
      <c r="F3" s="298"/>
      <c r="I3" s="296"/>
    </row>
    <row r="4" spans="2:9">
      <c r="B4" s="299"/>
      <c r="C4" s="299"/>
      <c r="D4" s="299"/>
      <c r="E4" s="299"/>
      <c r="F4" s="299"/>
      <c r="G4" s="299"/>
      <c r="H4" s="299"/>
      <c r="I4" s="296"/>
    </row>
    <row r="5" spans="2:9">
      <c r="I5" s="296"/>
    </row>
    <row r="6" spans="2:9">
      <c r="B6" s="144" t="s">
        <v>315</v>
      </c>
      <c r="I6" s="296"/>
    </row>
    <row r="7" spans="2:9">
      <c r="B7" s="455" t="s">
        <v>243</v>
      </c>
      <c r="C7" s="456"/>
      <c r="D7" s="457"/>
      <c r="I7" s="296"/>
    </row>
    <row r="8" spans="2:9">
      <c r="B8" s="194" t="s">
        <v>234</v>
      </c>
      <c r="C8" s="458"/>
      <c r="D8" s="459"/>
      <c r="I8" s="296"/>
    </row>
    <row r="9" spans="2:9">
      <c r="B9" s="194" t="s">
        <v>235</v>
      </c>
      <c r="C9" s="458"/>
      <c r="D9" s="459"/>
      <c r="I9" s="296"/>
    </row>
    <row r="10" spans="2:9">
      <c r="B10" s="194" t="s">
        <v>236</v>
      </c>
      <c r="C10" s="458"/>
      <c r="D10" s="459"/>
      <c r="I10" s="296"/>
    </row>
    <row r="11" spans="2:9">
      <c r="B11" s="194" t="s">
        <v>237</v>
      </c>
      <c r="C11" s="458"/>
      <c r="D11" s="459"/>
      <c r="I11" s="296"/>
    </row>
    <row r="12" spans="2:9">
      <c r="B12" s="194" t="s">
        <v>263</v>
      </c>
      <c r="C12" s="458"/>
      <c r="D12" s="459"/>
      <c r="I12" s="296"/>
    </row>
    <row r="13" spans="2:9">
      <c r="B13" s="460" t="s">
        <v>264</v>
      </c>
      <c r="C13" s="461"/>
      <c r="D13" s="462"/>
      <c r="I13" s="296"/>
    </row>
    <row r="14" spans="2:9">
      <c r="I14" s="296"/>
    </row>
    <row r="15" spans="2:9">
      <c r="B15" s="144" t="s">
        <v>266</v>
      </c>
      <c r="C15" s="144"/>
      <c r="D15" s="138"/>
      <c r="E15" s="138"/>
      <c r="I15" s="296"/>
    </row>
    <row r="16" spans="2:9">
      <c r="B16" s="300" t="s">
        <v>267</v>
      </c>
      <c r="C16" s="300"/>
      <c r="D16" s="300" t="s">
        <v>268</v>
      </c>
      <c r="E16" s="300" t="s">
        <v>269</v>
      </c>
      <c r="F16" s="300" t="s">
        <v>282</v>
      </c>
      <c r="G16" s="300" t="s">
        <v>283</v>
      </c>
      <c r="H16" s="300" t="s">
        <v>284</v>
      </c>
      <c r="I16" s="296"/>
    </row>
    <row r="17" spans="2:9">
      <c r="B17" s="301" t="s">
        <v>294</v>
      </c>
      <c r="C17" s="301" t="s">
        <v>307</v>
      </c>
      <c r="D17" s="301" t="s">
        <v>308</v>
      </c>
      <c r="E17" s="301" t="s">
        <v>295</v>
      </c>
      <c r="F17" s="301" t="s">
        <v>296</v>
      </c>
      <c r="G17" s="301" t="s">
        <v>297</v>
      </c>
      <c r="H17" s="301" t="s">
        <v>298</v>
      </c>
      <c r="I17" s="296"/>
    </row>
    <row r="18" spans="2:9">
      <c r="B18" s="301" t="s">
        <v>270</v>
      </c>
      <c r="C18" s="301" t="s">
        <v>305</v>
      </c>
      <c r="D18" s="301" t="s">
        <v>271</v>
      </c>
      <c r="E18" s="301" t="s">
        <v>272</v>
      </c>
      <c r="F18" s="301" t="s">
        <v>272</v>
      </c>
      <c r="G18" s="301" t="s">
        <v>272</v>
      </c>
      <c r="H18" s="301" t="s">
        <v>272</v>
      </c>
      <c r="I18" s="296"/>
    </row>
    <row r="19" spans="2:9">
      <c r="B19" s="301" t="s">
        <v>273</v>
      </c>
      <c r="C19" s="301" t="s">
        <v>304</v>
      </c>
      <c r="D19" s="301" t="s">
        <v>303</v>
      </c>
      <c r="E19" s="301" t="s">
        <v>274</v>
      </c>
      <c r="F19" s="301" t="s">
        <v>302</v>
      </c>
      <c r="G19" s="301" t="s">
        <v>300</v>
      </c>
      <c r="H19" s="301" t="s">
        <v>301</v>
      </c>
      <c r="I19" s="296"/>
    </row>
    <row r="20" spans="2:9">
      <c r="B20" s="301" t="s">
        <v>275</v>
      </c>
      <c r="C20" s="301"/>
      <c r="D20" s="301" t="s">
        <v>299</v>
      </c>
      <c r="E20" s="301" t="s">
        <v>299</v>
      </c>
      <c r="F20" s="301" t="s">
        <v>299</v>
      </c>
      <c r="G20" s="301" t="s">
        <v>299</v>
      </c>
      <c r="H20" s="301" t="s">
        <v>299</v>
      </c>
      <c r="I20" s="296"/>
    </row>
    <row r="21" spans="2:9">
      <c r="B21" s="301" t="s">
        <v>276</v>
      </c>
      <c r="C21" s="301"/>
      <c r="D21" s="301"/>
      <c r="E21" s="301"/>
      <c r="F21" s="301"/>
      <c r="G21" s="301"/>
      <c r="H21" s="301"/>
      <c r="I21" s="296"/>
    </row>
    <row r="22" spans="2:9">
      <c r="B22" s="301" t="s">
        <v>24</v>
      </c>
      <c r="C22" s="301" t="s">
        <v>306</v>
      </c>
      <c r="D22" s="301" t="s">
        <v>306</v>
      </c>
      <c r="E22" s="301" t="s">
        <v>306</v>
      </c>
      <c r="F22" s="301" t="s">
        <v>306</v>
      </c>
      <c r="G22" s="301" t="s">
        <v>306</v>
      </c>
      <c r="H22" s="301" t="s">
        <v>306</v>
      </c>
      <c r="I22" s="296"/>
    </row>
    <row r="23" spans="2:9">
      <c r="B23" s="138"/>
      <c r="C23" s="138"/>
      <c r="D23" s="138"/>
      <c r="E23" s="138"/>
      <c r="I23" s="296"/>
    </row>
    <row r="24" spans="2:9">
      <c r="B24" s="138"/>
      <c r="C24" s="138"/>
      <c r="D24" s="138"/>
      <c r="E24" s="138"/>
      <c r="I24" s="296"/>
    </row>
    <row r="25" spans="2:9">
      <c r="B25" s="144" t="s">
        <v>277</v>
      </c>
      <c r="C25" s="144"/>
      <c r="D25" s="138"/>
      <c r="E25" s="138"/>
      <c r="I25" s="296"/>
    </row>
    <row r="26" spans="2:9">
      <c r="B26" s="300" t="s">
        <v>278</v>
      </c>
      <c r="C26" s="300"/>
      <c r="D26" s="300" t="s">
        <v>268</v>
      </c>
      <c r="E26" s="300" t="s">
        <v>269</v>
      </c>
      <c r="F26" s="300" t="s">
        <v>282</v>
      </c>
      <c r="G26" s="300" t="s">
        <v>283</v>
      </c>
      <c r="H26" s="300" t="s">
        <v>284</v>
      </c>
      <c r="I26" s="296"/>
    </row>
    <row r="27" spans="2:9">
      <c r="B27" s="301" t="s">
        <v>279</v>
      </c>
      <c r="C27" s="301"/>
      <c r="D27" s="301"/>
      <c r="E27" s="301"/>
      <c r="F27" s="404"/>
      <c r="G27" s="404"/>
      <c r="H27" s="404"/>
      <c r="I27" s="296"/>
    </row>
    <row r="28" spans="2:9">
      <c r="B28" s="301" t="s">
        <v>280</v>
      </c>
      <c r="C28" s="301"/>
      <c r="D28" s="301"/>
      <c r="E28" s="301"/>
      <c r="F28" s="404"/>
      <c r="G28" s="404"/>
      <c r="H28" s="404"/>
      <c r="I28" s="296"/>
    </row>
    <row r="29" spans="2:9">
      <c r="B29" s="301" t="s">
        <v>281</v>
      </c>
      <c r="C29" s="301"/>
      <c r="D29" s="301"/>
      <c r="E29" s="301"/>
      <c r="F29" s="404"/>
      <c r="G29" s="404"/>
      <c r="H29" s="404"/>
      <c r="I29" s="296"/>
    </row>
    <row r="30" spans="2:9">
      <c r="I30" s="296"/>
    </row>
    <row r="31" spans="2:9">
      <c r="I31" s="296"/>
    </row>
    <row r="32" spans="2:9">
      <c r="I32" s="296"/>
    </row>
    <row r="33" spans="2:9">
      <c r="I33" s="296"/>
    </row>
    <row r="34" spans="2:9">
      <c r="B34" s="296"/>
      <c r="C34" s="296"/>
      <c r="D34" s="296"/>
      <c r="E34" s="296"/>
      <c r="F34" s="296"/>
      <c r="G34" s="296"/>
      <c r="H34" s="296"/>
      <c r="I34" s="296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314C8-6027-4065-BFDB-F390857580AE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F7D6C-C50A-41B6-B19C-0784FCAA382B}">
  <dimension ref="A1:Z1123"/>
  <sheetViews>
    <sheetView showGridLines="0" zoomScale="70" zoomScaleNormal="70" workbookViewId="0">
      <pane xSplit="4" ySplit="5" topLeftCell="E56" activePane="bottomRight" state="frozen"/>
      <selection pane="topRight" activeCell="E1" sqref="E1"/>
      <selection pane="bottomLeft" activeCell="A2" sqref="A2"/>
      <selection pane="bottomRight" activeCell="F31" sqref="F31"/>
    </sheetView>
  </sheetViews>
  <sheetFormatPr defaultColWidth="0" defaultRowHeight="15" customHeight="1"/>
  <cols>
    <col min="1" max="1" width="8.109375" style="67" customWidth="1"/>
    <col min="2" max="2" width="29.77734375" style="67" customWidth="1"/>
    <col min="3" max="3" width="13" style="67" customWidth="1"/>
    <col min="4" max="4" width="18" style="67" bestFit="1" customWidth="1"/>
    <col min="5" max="5" width="2.44140625" style="67" customWidth="1"/>
    <col min="6" max="6" width="18.44140625" style="67" customWidth="1"/>
    <col min="7" max="7" width="14.77734375" style="67" customWidth="1"/>
    <col min="8" max="8" width="14.44140625" style="67" customWidth="1"/>
    <col min="9" max="9" width="13.88671875" style="67" bestFit="1" customWidth="1"/>
    <col min="10" max="10" width="12.44140625" style="67" customWidth="1"/>
    <col min="11" max="11" width="23.5546875" style="67" customWidth="1"/>
    <col min="12" max="12" width="12.77734375" style="67" bestFit="1" customWidth="1"/>
    <col min="13" max="14" width="15.21875" style="67" bestFit="1" customWidth="1"/>
    <col min="15" max="15" width="12.6640625" style="67" bestFit="1" customWidth="1"/>
    <col min="16" max="16" width="11.33203125" style="67" customWidth="1"/>
    <col min="17" max="18" width="8.77734375" style="67" customWidth="1"/>
    <col min="19" max="19" width="1.88671875" style="67" customWidth="1"/>
    <col min="20" max="26" width="8.77734375" style="67" hidden="1" customWidth="1"/>
    <col min="27" max="16384" width="14.44140625" style="67" hidden="1"/>
  </cols>
  <sheetData>
    <row r="1" spans="1:26" ht="15" customHeight="1">
      <c r="A1" s="297"/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6"/>
    </row>
    <row r="2" spans="1:26" ht="15" customHeight="1">
      <c r="A2" s="297"/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6"/>
    </row>
    <row r="3" spans="1:26" ht="15" customHeight="1">
      <c r="S3" s="296"/>
    </row>
    <row r="4" spans="1:26" ht="15" customHeight="1">
      <c r="A4" s="299"/>
      <c r="B4" s="299"/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299"/>
      <c r="R4" s="299"/>
      <c r="S4" s="296"/>
    </row>
    <row r="5" spans="1:26" ht="21" customHeight="1" thickBot="1">
      <c r="A5" s="65"/>
      <c r="B5" s="65"/>
      <c r="C5" s="65"/>
      <c r="D5" s="65"/>
      <c r="E5" s="65"/>
      <c r="F5" s="66" t="s">
        <v>95</v>
      </c>
      <c r="G5" s="66" t="s">
        <v>4</v>
      </c>
      <c r="H5" s="66" t="s">
        <v>5</v>
      </c>
      <c r="I5" s="66" t="s">
        <v>6</v>
      </c>
      <c r="J5" s="66" t="s">
        <v>8</v>
      </c>
      <c r="K5" s="66" t="s">
        <v>9</v>
      </c>
      <c r="L5" s="66" t="s">
        <v>96</v>
      </c>
      <c r="M5" s="66" t="s">
        <v>97</v>
      </c>
      <c r="N5" s="66" t="s">
        <v>98</v>
      </c>
      <c r="O5" s="66" t="s">
        <v>99</v>
      </c>
      <c r="P5" s="66" t="s">
        <v>100</v>
      </c>
      <c r="Q5" s="65"/>
      <c r="R5" s="65"/>
      <c r="S5" s="296"/>
      <c r="T5" s="65"/>
      <c r="U5" s="65"/>
      <c r="V5" s="65"/>
      <c r="W5" s="65"/>
      <c r="X5" s="65"/>
      <c r="Y5" s="65"/>
      <c r="Z5" s="65"/>
    </row>
    <row r="6" spans="1:26" ht="21" customHeight="1">
      <c r="A6" s="68" t="s">
        <v>255</v>
      </c>
      <c r="B6" s="69"/>
      <c r="C6" s="69"/>
      <c r="D6" s="69"/>
      <c r="E6" s="69"/>
      <c r="F6" s="70" t="str">
        <f>F5</f>
        <v>Year 0</v>
      </c>
      <c r="G6" s="69"/>
      <c r="H6" s="69"/>
      <c r="I6" s="69"/>
      <c r="J6" s="69"/>
      <c r="K6" s="69"/>
      <c r="L6" s="98"/>
      <c r="M6" s="98"/>
      <c r="N6" s="98"/>
      <c r="O6" s="98"/>
      <c r="P6" s="91"/>
      <c r="Q6" s="71"/>
      <c r="R6" s="71"/>
      <c r="S6" s="296"/>
      <c r="T6" s="71"/>
      <c r="U6" s="71"/>
      <c r="V6" s="71"/>
      <c r="W6" s="71"/>
      <c r="X6" s="71"/>
      <c r="Y6" s="71"/>
      <c r="Z6" s="71"/>
    </row>
    <row r="7" spans="1:26" ht="21" customHeight="1">
      <c r="A7" s="72"/>
      <c r="B7" s="73" t="s">
        <v>102</v>
      </c>
      <c r="C7" s="73"/>
      <c r="D7" s="73"/>
      <c r="E7" s="73"/>
      <c r="F7" s="331">
        <f>'Revenue Forecast'!E17</f>
        <v>3733.042520327213</v>
      </c>
      <c r="G7" s="331">
        <f>'Revenue Forecast'!F17</f>
        <v>6201.1709118333338</v>
      </c>
      <c r="H7" s="331">
        <f>'Revenue Forecast'!G17</f>
        <v>6511.2294574249981</v>
      </c>
      <c r="I7" s="331">
        <f>'Revenue Forecast'!H17</f>
        <v>6967.0155194447498</v>
      </c>
      <c r="J7" s="331">
        <f>'Revenue Forecast'!I17</f>
        <v>7594.0469161947776</v>
      </c>
      <c r="K7" s="331">
        <f>Calculations!X11</f>
        <v>8429.3920769762044</v>
      </c>
      <c r="L7" s="331">
        <f>Calculations!Y11</f>
        <v>9525.21304698311</v>
      </c>
      <c r="M7" s="331">
        <f>Calculations!Z11</f>
        <v>10953.995004030576</v>
      </c>
      <c r="N7" s="71"/>
      <c r="O7" s="71"/>
      <c r="P7" s="92"/>
      <c r="Q7" s="71"/>
      <c r="R7" s="71"/>
      <c r="S7" s="296"/>
      <c r="T7" s="71"/>
      <c r="U7" s="71"/>
      <c r="V7" s="71"/>
      <c r="W7" s="71"/>
      <c r="X7" s="71"/>
      <c r="Y7" s="71"/>
      <c r="Z7" s="71"/>
    </row>
    <row r="8" spans="1:26" ht="21" customHeight="1">
      <c r="A8" s="72"/>
      <c r="B8" s="73" t="s">
        <v>33</v>
      </c>
      <c r="C8" s="73"/>
      <c r="D8" s="73"/>
      <c r="E8" s="73"/>
      <c r="F8" s="74">
        <v>0.59</v>
      </c>
      <c r="G8" s="74">
        <v>0.59</v>
      </c>
      <c r="H8" s="74">
        <v>0.59</v>
      </c>
      <c r="I8" s="74">
        <v>0.59</v>
      </c>
      <c r="J8" s="74">
        <v>0.59</v>
      </c>
      <c r="K8" s="74">
        <v>0.59</v>
      </c>
      <c r="L8" s="74">
        <v>0.59</v>
      </c>
      <c r="M8" s="74">
        <v>0.59</v>
      </c>
      <c r="N8" s="71"/>
      <c r="O8" s="71"/>
      <c r="P8" s="92"/>
      <c r="Q8" s="71"/>
      <c r="R8" s="71"/>
      <c r="S8" s="296"/>
      <c r="T8" s="71"/>
      <c r="U8" s="71"/>
      <c r="V8" s="71"/>
      <c r="W8" s="71"/>
      <c r="X8" s="71"/>
      <c r="Y8" s="71"/>
      <c r="Z8" s="71"/>
    </row>
    <row r="9" spans="1:26" ht="21" customHeight="1">
      <c r="A9" s="72"/>
      <c r="B9" s="238" t="s">
        <v>103</v>
      </c>
      <c r="C9" s="73"/>
      <c r="D9" s="73"/>
      <c r="E9" s="73"/>
      <c r="F9" s="331">
        <f>F7*F8</f>
        <v>2202.4950869930553</v>
      </c>
      <c r="G9" s="331">
        <f t="shared" ref="G9:M9" si="0">G7*G8</f>
        <v>3658.6908379816668</v>
      </c>
      <c r="H9" s="331">
        <f t="shared" si="0"/>
        <v>3841.6253798807488</v>
      </c>
      <c r="I9" s="331">
        <f t="shared" si="0"/>
        <v>4110.5391564724023</v>
      </c>
      <c r="J9" s="331">
        <f t="shared" si="0"/>
        <v>4480.4876805549184</v>
      </c>
      <c r="K9" s="331">
        <f t="shared" si="0"/>
        <v>4973.3413254159605</v>
      </c>
      <c r="L9" s="331">
        <f t="shared" si="0"/>
        <v>5619.8756977200346</v>
      </c>
      <c r="M9" s="331">
        <f t="shared" si="0"/>
        <v>6462.857052378039</v>
      </c>
      <c r="N9" s="71"/>
      <c r="O9" s="71"/>
      <c r="P9" s="92"/>
      <c r="Q9" s="71"/>
      <c r="R9" s="71"/>
      <c r="S9" s="296"/>
      <c r="T9" s="71"/>
      <c r="U9" s="71"/>
      <c r="V9" s="71"/>
      <c r="W9" s="71"/>
      <c r="X9" s="71"/>
      <c r="Y9" s="71"/>
      <c r="Z9" s="71"/>
    </row>
    <row r="10" spans="1:26" ht="21" customHeight="1">
      <c r="A10" s="72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1"/>
      <c r="M10" s="71"/>
      <c r="N10" s="71"/>
      <c r="O10" s="71"/>
      <c r="P10" s="92"/>
      <c r="Q10" s="71"/>
      <c r="R10" s="71"/>
      <c r="S10" s="296"/>
      <c r="T10" s="71"/>
      <c r="U10" s="71"/>
      <c r="V10" s="71"/>
      <c r="W10" s="71"/>
      <c r="X10" s="71"/>
      <c r="Y10" s="71"/>
      <c r="Z10" s="71"/>
    </row>
    <row r="11" spans="1:26" ht="21" customHeight="1">
      <c r="A11" s="75" t="s">
        <v>104</v>
      </c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1"/>
      <c r="M11" s="71"/>
      <c r="N11" s="71"/>
      <c r="O11" s="71"/>
      <c r="P11" s="92"/>
      <c r="Q11" s="71"/>
      <c r="R11" s="71"/>
      <c r="S11" s="296"/>
      <c r="T11" s="71"/>
      <c r="U11" s="71"/>
      <c r="V11" s="71"/>
      <c r="W11" s="71"/>
      <c r="X11" s="71"/>
      <c r="Y11" s="71"/>
      <c r="Z11" s="71"/>
    </row>
    <row r="12" spans="1:26" ht="21" customHeight="1">
      <c r="A12" s="72"/>
      <c r="B12" s="237" t="s">
        <v>105</v>
      </c>
      <c r="C12" s="237"/>
      <c r="D12" s="237"/>
      <c r="E12" s="73"/>
      <c r="F12" s="241">
        <v>0</v>
      </c>
      <c r="G12" s="241">
        <v>0</v>
      </c>
      <c r="H12" s="241">
        <v>0</v>
      </c>
      <c r="I12" s="241">
        <v>0</v>
      </c>
      <c r="J12" s="241">
        <v>0</v>
      </c>
      <c r="K12" s="241">
        <v>0</v>
      </c>
      <c r="L12" s="241">
        <v>0</v>
      </c>
      <c r="M12" s="241">
        <v>0</v>
      </c>
      <c r="N12" s="71"/>
      <c r="O12" s="71"/>
      <c r="P12" s="92"/>
      <c r="Q12" s="71"/>
      <c r="R12" s="71"/>
      <c r="S12" s="296"/>
      <c r="T12" s="71"/>
      <c r="U12" s="71"/>
      <c r="V12" s="71"/>
      <c r="W12" s="71"/>
      <c r="X12" s="71"/>
      <c r="Y12" s="71"/>
      <c r="Z12" s="71"/>
    </row>
    <row r="13" spans="1:26" ht="21" customHeight="1">
      <c r="A13" s="72"/>
      <c r="B13" s="237" t="s">
        <v>106</v>
      </c>
      <c r="C13" s="237"/>
      <c r="D13" s="237"/>
      <c r="E13" s="73"/>
      <c r="F13" s="242">
        <v>1</v>
      </c>
      <c r="G13" s="242">
        <v>0.9</v>
      </c>
      <c r="H13" s="242">
        <v>0.9</v>
      </c>
      <c r="I13" s="242">
        <v>0.9</v>
      </c>
      <c r="J13" s="242">
        <v>0.9</v>
      </c>
      <c r="K13" s="242">
        <v>0.9</v>
      </c>
      <c r="L13" s="242">
        <v>0.9</v>
      </c>
      <c r="M13" s="242">
        <v>0.9</v>
      </c>
      <c r="N13" s="71"/>
      <c r="O13" s="71"/>
      <c r="P13" s="92"/>
      <c r="Q13" s="71"/>
      <c r="R13" s="71"/>
      <c r="S13" s="296"/>
      <c r="T13" s="71"/>
      <c r="U13" s="71"/>
      <c r="V13" s="71"/>
      <c r="W13" s="71"/>
      <c r="X13" s="71"/>
      <c r="Y13" s="71"/>
      <c r="Z13" s="71"/>
    </row>
    <row r="14" spans="1:26" ht="21" customHeight="1">
      <c r="A14" s="72"/>
      <c r="B14" s="237" t="s">
        <v>107</v>
      </c>
      <c r="C14" s="237"/>
      <c r="D14" s="237"/>
      <c r="E14" s="73"/>
      <c r="F14" s="242">
        <v>1</v>
      </c>
      <c r="G14" s="242">
        <v>0.9</v>
      </c>
      <c r="H14" s="242">
        <v>0.81</v>
      </c>
      <c r="I14" s="243">
        <v>0.72899999999999998</v>
      </c>
      <c r="J14" s="243">
        <v>0.65600000000000003</v>
      </c>
      <c r="K14" s="243">
        <f>J14*K13</f>
        <v>0.59040000000000004</v>
      </c>
      <c r="L14" s="243">
        <f>K14*L13</f>
        <v>0.53136000000000005</v>
      </c>
      <c r="M14" s="243">
        <f>L14*M13</f>
        <v>0.47822400000000004</v>
      </c>
      <c r="N14" s="71"/>
      <c r="O14" s="71"/>
      <c r="P14" s="92"/>
      <c r="Q14" s="71"/>
      <c r="R14" s="71"/>
      <c r="S14" s="296"/>
      <c r="T14" s="71"/>
      <c r="U14" s="71"/>
      <c r="V14" s="71"/>
      <c r="W14" s="71"/>
      <c r="X14" s="71"/>
      <c r="Y14" s="71"/>
      <c r="Z14" s="71"/>
    </row>
    <row r="15" spans="1:26" ht="21" customHeight="1">
      <c r="A15" s="72"/>
      <c r="B15" s="237" t="s">
        <v>108</v>
      </c>
      <c r="C15" s="237"/>
      <c r="D15" s="237"/>
      <c r="E15" s="73"/>
      <c r="F15" s="244">
        <v>0</v>
      </c>
      <c r="G15" s="244">
        <v>0</v>
      </c>
      <c r="H15" s="244">
        <v>0</v>
      </c>
      <c r="I15" s="244">
        <v>0</v>
      </c>
      <c r="J15" s="244">
        <v>0</v>
      </c>
      <c r="K15" s="244">
        <v>0</v>
      </c>
      <c r="L15" s="244">
        <v>0</v>
      </c>
      <c r="M15" s="244">
        <v>0</v>
      </c>
      <c r="N15" s="71"/>
      <c r="O15" s="71"/>
      <c r="P15" s="92"/>
      <c r="Q15" s="71"/>
      <c r="R15" s="71"/>
      <c r="S15" s="296"/>
      <c r="T15" s="71"/>
      <c r="U15" s="71"/>
      <c r="V15" s="71"/>
      <c r="W15" s="71"/>
      <c r="X15" s="71"/>
      <c r="Y15" s="71"/>
      <c r="Z15" s="71"/>
    </row>
    <row r="16" spans="1:26" ht="21" customHeight="1">
      <c r="A16" s="72"/>
      <c r="B16" s="237" t="s">
        <v>106</v>
      </c>
      <c r="C16" s="237"/>
      <c r="D16" s="237"/>
      <c r="E16" s="73"/>
      <c r="F16" s="242">
        <v>1</v>
      </c>
      <c r="G16" s="242">
        <v>1</v>
      </c>
      <c r="H16" s="242">
        <v>0.9</v>
      </c>
      <c r="I16" s="242">
        <v>0.9</v>
      </c>
      <c r="J16" s="242">
        <v>0.9</v>
      </c>
      <c r="K16" s="242">
        <v>0.9</v>
      </c>
      <c r="L16" s="242">
        <v>0.9</v>
      </c>
      <c r="M16" s="242">
        <v>0.9</v>
      </c>
      <c r="N16" s="71"/>
      <c r="O16" s="71"/>
      <c r="P16" s="92"/>
      <c r="Q16" s="71"/>
      <c r="R16" s="71"/>
      <c r="S16" s="296"/>
      <c r="T16" s="71"/>
      <c r="U16" s="71"/>
      <c r="V16" s="71"/>
      <c r="W16" s="71"/>
      <c r="X16" s="71"/>
      <c r="Y16" s="71"/>
      <c r="Z16" s="71"/>
    </row>
    <row r="17" spans="1:26" ht="21" customHeight="1">
      <c r="A17" s="72"/>
      <c r="B17" s="237" t="s">
        <v>107</v>
      </c>
      <c r="C17" s="237"/>
      <c r="D17" s="237"/>
      <c r="E17" s="73"/>
      <c r="F17" s="242">
        <v>1</v>
      </c>
      <c r="G17" s="242">
        <f t="shared" ref="G17:M17" si="1">G16*F17</f>
        <v>1</v>
      </c>
      <c r="H17" s="242">
        <f t="shared" si="1"/>
        <v>0.9</v>
      </c>
      <c r="I17" s="243">
        <f t="shared" si="1"/>
        <v>0.81</v>
      </c>
      <c r="J17" s="243">
        <f t="shared" si="1"/>
        <v>0.72900000000000009</v>
      </c>
      <c r="K17" s="243">
        <f t="shared" si="1"/>
        <v>0.65610000000000013</v>
      </c>
      <c r="L17" s="243">
        <f t="shared" si="1"/>
        <v>0.59049000000000018</v>
      </c>
      <c r="M17" s="243">
        <f t="shared" si="1"/>
        <v>0.53144100000000016</v>
      </c>
      <c r="N17" s="71"/>
      <c r="O17" s="71"/>
      <c r="P17" s="92"/>
      <c r="Q17" s="71"/>
      <c r="R17" s="71"/>
      <c r="S17" s="296"/>
      <c r="T17" s="71"/>
      <c r="U17" s="71"/>
      <c r="V17" s="71"/>
      <c r="W17" s="71"/>
      <c r="X17" s="71"/>
      <c r="Y17" s="71"/>
      <c r="Z17" s="71"/>
    </row>
    <row r="18" spans="1:26" ht="21" customHeight="1">
      <c r="A18" s="72"/>
      <c r="B18" s="237" t="s">
        <v>109</v>
      </c>
      <c r="C18" s="73"/>
      <c r="D18" s="73"/>
      <c r="E18" s="73"/>
      <c r="F18" s="245">
        <v>0</v>
      </c>
      <c r="G18" s="245">
        <v>0</v>
      </c>
      <c r="H18" s="245">
        <v>0</v>
      </c>
      <c r="I18" s="245">
        <v>0</v>
      </c>
      <c r="J18" s="245">
        <v>0</v>
      </c>
      <c r="K18" s="245">
        <v>0</v>
      </c>
      <c r="L18" s="245">
        <v>0</v>
      </c>
      <c r="M18" s="245">
        <v>0</v>
      </c>
      <c r="N18" s="71"/>
      <c r="O18" s="71"/>
      <c r="P18" s="92"/>
      <c r="Q18" s="71"/>
      <c r="R18" s="71"/>
      <c r="S18" s="296"/>
      <c r="T18" s="71"/>
      <c r="U18" s="71"/>
      <c r="V18" s="71"/>
      <c r="W18" s="71"/>
      <c r="X18" s="71"/>
      <c r="Y18" s="71"/>
      <c r="Z18" s="71"/>
    </row>
    <row r="19" spans="1:26" ht="21" customHeight="1">
      <c r="A19" s="72"/>
      <c r="B19" s="237"/>
      <c r="C19" s="73"/>
      <c r="D19" s="73"/>
      <c r="E19" s="73"/>
      <c r="F19" s="242"/>
      <c r="G19" s="242"/>
      <c r="H19" s="242"/>
      <c r="I19" s="242"/>
      <c r="J19" s="242"/>
      <c r="K19" s="242"/>
      <c r="L19" s="242"/>
      <c r="M19" s="242"/>
      <c r="N19" s="71"/>
      <c r="O19" s="71"/>
      <c r="P19" s="92"/>
      <c r="Q19" s="71"/>
      <c r="R19" s="71"/>
      <c r="S19" s="296"/>
      <c r="T19" s="71"/>
      <c r="U19" s="71"/>
      <c r="V19" s="71"/>
      <c r="W19" s="71"/>
      <c r="X19" s="71"/>
      <c r="Y19" s="71"/>
      <c r="Z19" s="71"/>
    </row>
    <row r="20" spans="1:26" ht="21" customHeight="1">
      <c r="A20" s="72"/>
      <c r="B20" s="239" t="s">
        <v>110</v>
      </c>
      <c r="C20" s="73"/>
      <c r="D20" s="73"/>
      <c r="E20" s="73"/>
      <c r="F20" s="331">
        <f>(F12*F14+F15*F17)*F18</f>
        <v>0</v>
      </c>
      <c r="G20" s="331">
        <f t="shared" ref="G20:K20" si="2">(G12*G14+G15*G17)*G18</f>
        <v>0</v>
      </c>
      <c r="H20" s="331">
        <f t="shared" si="2"/>
        <v>0</v>
      </c>
      <c r="I20" s="331">
        <f t="shared" si="2"/>
        <v>0</v>
      </c>
      <c r="J20" s="331">
        <f t="shared" si="2"/>
        <v>0</v>
      </c>
      <c r="K20" s="331">
        <f t="shared" si="2"/>
        <v>0</v>
      </c>
      <c r="L20" s="331">
        <f t="shared" ref="L20:M20" si="3">(L12*L14+L15*L17)*L18</f>
        <v>0</v>
      </c>
      <c r="M20" s="331">
        <f t="shared" si="3"/>
        <v>0</v>
      </c>
      <c r="N20" s="71"/>
      <c r="O20" s="71"/>
      <c r="P20" s="92"/>
      <c r="Q20" s="71"/>
      <c r="R20" s="71"/>
      <c r="S20" s="296"/>
      <c r="T20" s="71"/>
      <c r="U20" s="71"/>
      <c r="V20" s="71"/>
      <c r="W20" s="71"/>
      <c r="X20" s="71"/>
      <c r="Y20" s="71"/>
      <c r="Z20" s="71"/>
    </row>
    <row r="21" spans="1:26" ht="21" customHeight="1">
      <c r="A21" s="72"/>
      <c r="B21" s="239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1"/>
      <c r="O21" s="71"/>
      <c r="P21" s="92"/>
      <c r="Q21" s="71"/>
      <c r="R21" s="71"/>
      <c r="S21" s="296"/>
      <c r="T21" s="71"/>
      <c r="U21" s="71"/>
      <c r="V21" s="71"/>
      <c r="W21" s="71"/>
      <c r="X21" s="71"/>
      <c r="Y21" s="71"/>
      <c r="Z21" s="71"/>
    </row>
    <row r="22" spans="1:26" ht="21" customHeight="1">
      <c r="A22" s="72"/>
      <c r="B22" s="238" t="s">
        <v>111</v>
      </c>
      <c r="C22" s="73"/>
      <c r="D22" s="73"/>
      <c r="E22" s="73"/>
      <c r="F22" s="331">
        <f>F9+F20</f>
        <v>2202.4950869930553</v>
      </c>
      <c r="G22" s="331">
        <f t="shared" ref="G22:K22" si="4">G9+G20</f>
        <v>3658.6908379816668</v>
      </c>
      <c r="H22" s="331">
        <f t="shared" si="4"/>
        <v>3841.6253798807488</v>
      </c>
      <c r="I22" s="331">
        <f t="shared" si="4"/>
        <v>4110.5391564724023</v>
      </c>
      <c r="J22" s="331">
        <f t="shared" si="4"/>
        <v>4480.4876805549184</v>
      </c>
      <c r="K22" s="331">
        <f t="shared" si="4"/>
        <v>4973.3413254159605</v>
      </c>
      <c r="L22" s="331">
        <f t="shared" ref="L22:M22" si="5">L9+L20</f>
        <v>5619.8756977200346</v>
      </c>
      <c r="M22" s="331">
        <f t="shared" si="5"/>
        <v>6462.857052378039</v>
      </c>
      <c r="N22" s="71"/>
      <c r="O22" s="71"/>
      <c r="P22" s="92"/>
      <c r="Q22" s="71"/>
      <c r="R22" s="71"/>
      <c r="S22" s="296"/>
      <c r="T22" s="71"/>
      <c r="U22" s="71"/>
      <c r="V22" s="71"/>
      <c r="W22" s="71"/>
      <c r="X22" s="71"/>
      <c r="Y22" s="71"/>
      <c r="Z22" s="71"/>
    </row>
    <row r="23" spans="1:26" ht="21" customHeight="1">
      <c r="A23" s="72"/>
      <c r="B23" s="238"/>
      <c r="C23" s="73"/>
      <c r="D23" s="73"/>
      <c r="E23" s="73"/>
      <c r="F23" s="332"/>
      <c r="G23" s="332"/>
      <c r="H23" s="332"/>
      <c r="I23" s="332"/>
      <c r="J23" s="332"/>
      <c r="K23" s="332"/>
      <c r="L23" s="332"/>
      <c r="M23" s="332"/>
      <c r="N23" s="71"/>
      <c r="O23" s="71"/>
      <c r="P23" s="92"/>
      <c r="Q23" s="71"/>
      <c r="R23" s="71"/>
      <c r="S23" s="296"/>
      <c r="T23" s="71"/>
      <c r="U23" s="71"/>
      <c r="V23" s="71"/>
      <c r="W23" s="71"/>
      <c r="X23" s="71"/>
      <c r="Y23" s="71"/>
      <c r="Z23" s="71"/>
    </row>
    <row r="24" spans="1:26" ht="21" customHeight="1">
      <c r="A24" s="72"/>
      <c r="B24" s="73" t="s">
        <v>112</v>
      </c>
      <c r="C24" s="73"/>
      <c r="D24" s="333" t="s">
        <v>113</v>
      </c>
      <c r="E24" s="73"/>
      <c r="F24" s="334">
        <v>0.5</v>
      </c>
      <c r="G24" s="334">
        <v>0.5</v>
      </c>
      <c r="H24" s="334">
        <v>0.5</v>
      </c>
      <c r="I24" s="334">
        <v>0.5</v>
      </c>
      <c r="J24" s="334">
        <v>0.5</v>
      </c>
      <c r="K24" s="334">
        <v>0.5</v>
      </c>
      <c r="L24" s="334">
        <v>0.5</v>
      </c>
      <c r="M24" s="334">
        <v>0.5</v>
      </c>
      <c r="N24" s="71"/>
      <c r="O24" s="71"/>
      <c r="P24" s="92"/>
      <c r="Q24" s="71"/>
      <c r="R24" s="71"/>
      <c r="S24" s="296"/>
      <c r="T24" s="71"/>
      <c r="U24" s="71"/>
      <c r="V24" s="71"/>
      <c r="W24" s="71"/>
      <c r="X24" s="71"/>
      <c r="Y24" s="71"/>
      <c r="Z24" s="71"/>
    </row>
    <row r="25" spans="1:26" ht="21" customHeight="1">
      <c r="A25" s="72"/>
      <c r="B25" s="73" t="s">
        <v>114</v>
      </c>
      <c r="C25" s="73"/>
      <c r="D25" s="333" t="s">
        <v>115</v>
      </c>
      <c r="E25" s="73"/>
      <c r="F25" s="335">
        <v>0</v>
      </c>
      <c r="G25" s="336">
        <v>1</v>
      </c>
      <c r="H25" s="336">
        <v>2</v>
      </c>
      <c r="I25" s="336">
        <v>3</v>
      </c>
      <c r="J25" s="336">
        <v>4</v>
      </c>
      <c r="K25" s="336">
        <v>5</v>
      </c>
      <c r="L25" s="336">
        <v>6</v>
      </c>
      <c r="M25" s="336">
        <v>7</v>
      </c>
      <c r="N25" s="71"/>
      <c r="O25" s="71"/>
      <c r="P25" s="92"/>
      <c r="Q25" s="71"/>
      <c r="R25" s="71"/>
      <c r="S25" s="296"/>
      <c r="T25" s="71"/>
      <c r="U25" s="71"/>
      <c r="V25" s="71"/>
      <c r="W25" s="71"/>
      <c r="X25" s="71"/>
      <c r="Y25" s="71"/>
      <c r="Z25" s="71"/>
    </row>
    <row r="26" spans="1:26" ht="21" customHeight="1">
      <c r="A26" s="72"/>
      <c r="B26" s="73" t="s">
        <v>116</v>
      </c>
      <c r="C26" s="73"/>
      <c r="D26" s="333" t="s">
        <v>117</v>
      </c>
      <c r="E26" s="73"/>
      <c r="F26" s="73"/>
      <c r="G26" s="73"/>
      <c r="H26" s="73"/>
      <c r="I26" s="73"/>
      <c r="J26" s="73"/>
      <c r="K26" s="73"/>
      <c r="L26" s="73"/>
      <c r="M26" s="73"/>
      <c r="N26" s="71"/>
      <c r="O26" s="71"/>
      <c r="P26" s="92"/>
      <c r="Q26" s="71"/>
      <c r="R26" s="71"/>
      <c r="S26" s="296"/>
      <c r="T26" s="71"/>
      <c r="U26" s="71"/>
      <c r="V26" s="71"/>
      <c r="W26" s="71"/>
      <c r="X26" s="71"/>
      <c r="Y26" s="71"/>
      <c r="Z26" s="71"/>
    </row>
    <row r="27" spans="1:26" ht="21" customHeight="1">
      <c r="A27" s="72"/>
      <c r="B27" s="73" t="s">
        <v>118</v>
      </c>
      <c r="C27" s="73"/>
      <c r="D27" s="333" t="s">
        <v>119</v>
      </c>
      <c r="E27" s="73"/>
      <c r="F27" s="337">
        <v>1</v>
      </c>
      <c r="G27" s="337">
        <v>0.89</v>
      </c>
      <c r="H27" s="337">
        <f t="shared" ref="H27:K27" si="6">1/(1+H24)^H25</f>
        <v>0.44444444444444442</v>
      </c>
      <c r="I27" s="337">
        <f t="shared" si="6"/>
        <v>0.29629629629629628</v>
      </c>
      <c r="J27" s="337">
        <f t="shared" si="6"/>
        <v>0.19753086419753085</v>
      </c>
      <c r="K27" s="337">
        <f t="shared" si="6"/>
        <v>0.13168724279835392</v>
      </c>
      <c r="L27" s="337">
        <f t="shared" ref="L27:M27" si="7">1/(1+L24)^L25</f>
        <v>8.77914951989026E-2</v>
      </c>
      <c r="M27" s="337">
        <f t="shared" si="7"/>
        <v>5.8527663465935069E-2</v>
      </c>
      <c r="N27" s="71"/>
      <c r="O27" s="71"/>
      <c r="P27" s="92"/>
      <c r="Q27" s="71"/>
      <c r="R27" s="71"/>
      <c r="S27" s="296"/>
      <c r="T27" s="71"/>
      <c r="U27" s="71"/>
      <c r="V27" s="71"/>
      <c r="W27" s="71"/>
      <c r="X27" s="71"/>
      <c r="Y27" s="71"/>
      <c r="Z27" s="71"/>
    </row>
    <row r="28" spans="1:26" ht="21" customHeight="1">
      <c r="A28" s="72"/>
      <c r="B28" s="238"/>
      <c r="C28" s="73"/>
      <c r="D28" s="73"/>
      <c r="E28" s="73"/>
      <c r="F28" s="334"/>
      <c r="G28" s="334"/>
      <c r="H28" s="334"/>
      <c r="I28" s="334"/>
      <c r="J28" s="334"/>
      <c r="K28" s="334"/>
      <c r="L28" s="334"/>
      <c r="M28" s="334"/>
      <c r="N28" s="71"/>
      <c r="O28" s="71"/>
      <c r="P28" s="92"/>
      <c r="Q28" s="71"/>
      <c r="R28" s="71"/>
      <c r="S28" s="296"/>
      <c r="T28" s="71"/>
      <c r="U28" s="71"/>
      <c r="V28" s="71"/>
      <c r="W28" s="71"/>
      <c r="X28" s="71"/>
      <c r="Y28" s="71"/>
      <c r="Z28" s="71"/>
    </row>
    <row r="29" spans="1:26" ht="21" customHeight="1">
      <c r="A29" s="72"/>
      <c r="B29" s="238" t="s">
        <v>120</v>
      </c>
      <c r="C29" s="73"/>
      <c r="D29" s="73"/>
      <c r="E29" s="73"/>
      <c r="F29" s="331">
        <f t="shared" ref="F29:K29" si="8">F22*F27</f>
        <v>2202.4950869930553</v>
      </c>
      <c r="G29" s="331">
        <f t="shared" si="8"/>
        <v>3256.2348458036836</v>
      </c>
      <c r="H29" s="331">
        <f t="shared" si="8"/>
        <v>1707.3890577247771</v>
      </c>
      <c r="I29" s="331">
        <f t="shared" si="8"/>
        <v>1217.9375278436746</v>
      </c>
      <c r="J29" s="331">
        <f t="shared" si="8"/>
        <v>885.03460356640358</v>
      </c>
      <c r="K29" s="331">
        <f t="shared" si="8"/>
        <v>654.92560663913889</v>
      </c>
      <c r="L29" s="331">
        <f t="shared" ref="L29:M29" si="9">L22*L27</f>
        <v>493.37729033481781</v>
      </c>
      <c r="M29" s="331">
        <f t="shared" si="9"/>
        <v>378.25592259002696</v>
      </c>
      <c r="N29" s="71"/>
      <c r="O29" s="71"/>
      <c r="P29" s="92"/>
      <c r="Q29" s="71"/>
      <c r="R29" s="71"/>
      <c r="S29" s="296"/>
      <c r="T29" s="71"/>
      <c r="U29" s="71"/>
      <c r="V29" s="71"/>
      <c r="W29" s="71"/>
      <c r="X29" s="71"/>
      <c r="Y29" s="71"/>
      <c r="Z29" s="71"/>
    </row>
    <row r="30" spans="1:26" ht="21" customHeight="1">
      <c r="A30" s="72"/>
      <c r="B30" s="238"/>
      <c r="C30" s="73"/>
      <c r="D30" s="73"/>
      <c r="E30" s="73"/>
      <c r="F30" s="338"/>
      <c r="G30" s="73"/>
      <c r="H30" s="73"/>
      <c r="I30" s="73"/>
      <c r="J30" s="73"/>
      <c r="K30" s="73"/>
      <c r="L30" s="71"/>
      <c r="M30" s="71"/>
      <c r="N30" s="71"/>
      <c r="O30" s="71"/>
      <c r="P30" s="92"/>
      <c r="Q30" s="71"/>
      <c r="R30" s="71"/>
      <c r="S30" s="296"/>
      <c r="T30" s="71"/>
      <c r="U30" s="71"/>
      <c r="V30" s="71"/>
      <c r="W30" s="71"/>
      <c r="X30" s="71"/>
      <c r="Y30" s="71"/>
      <c r="Z30" s="71"/>
    </row>
    <row r="31" spans="1:26" ht="21" customHeight="1">
      <c r="A31" s="72"/>
      <c r="B31" s="238" t="s">
        <v>121</v>
      </c>
      <c r="C31" s="73"/>
      <c r="D31" s="73"/>
      <c r="E31" s="73"/>
      <c r="F31" s="339">
        <f>SUM(F29:K29)</f>
        <v>9924.0167285707339</v>
      </c>
      <c r="G31" s="339"/>
      <c r="H31" s="476" t="s">
        <v>122</v>
      </c>
      <c r="I31" s="476"/>
      <c r="J31" s="476"/>
      <c r="K31" s="73"/>
      <c r="L31" s="71"/>
      <c r="M31" s="71"/>
      <c r="N31" s="71"/>
      <c r="O31" s="71"/>
      <c r="P31" s="92"/>
      <c r="Q31" s="71"/>
      <c r="R31" s="71"/>
      <c r="S31" s="296"/>
      <c r="T31" s="71"/>
      <c r="U31" s="71"/>
      <c r="V31" s="71"/>
      <c r="W31" s="71"/>
      <c r="X31" s="71"/>
      <c r="Y31" s="71"/>
      <c r="Z31" s="71"/>
    </row>
    <row r="32" spans="1:26" ht="21" customHeight="1">
      <c r="A32" s="72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1"/>
      <c r="M32" s="71"/>
      <c r="N32" s="71"/>
      <c r="O32" s="71"/>
      <c r="P32" s="92"/>
      <c r="Q32" s="71"/>
      <c r="R32" s="71"/>
      <c r="S32" s="296"/>
      <c r="T32" s="71"/>
      <c r="U32" s="71"/>
      <c r="V32" s="71"/>
      <c r="W32" s="71"/>
      <c r="X32" s="71"/>
      <c r="Y32" s="71"/>
      <c r="Z32" s="71"/>
    </row>
    <row r="33" spans="1:26" ht="21" customHeight="1">
      <c r="A33" s="72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1"/>
      <c r="M33" s="71"/>
      <c r="N33" s="71"/>
      <c r="O33" s="71"/>
      <c r="P33" s="92"/>
      <c r="Q33" s="71"/>
      <c r="R33" s="71"/>
      <c r="S33" s="296"/>
      <c r="T33" s="71"/>
      <c r="U33" s="71"/>
      <c r="V33" s="71"/>
      <c r="W33" s="71"/>
      <c r="X33" s="71"/>
      <c r="Y33" s="71"/>
      <c r="Z33" s="71"/>
    </row>
    <row r="34" spans="1:26" ht="21" customHeight="1">
      <c r="A34" s="72"/>
      <c r="B34" s="73" t="s">
        <v>123</v>
      </c>
      <c r="C34" s="73" t="s">
        <v>124</v>
      </c>
      <c r="D34" s="73"/>
      <c r="E34" s="73"/>
      <c r="F34" s="238" t="s">
        <v>125</v>
      </c>
      <c r="G34" s="73"/>
      <c r="H34" s="73"/>
      <c r="I34" s="73"/>
      <c r="J34" s="73"/>
      <c r="K34" s="73"/>
      <c r="L34" s="71"/>
      <c r="M34" s="71"/>
      <c r="N34" s="71"/>
      <c r="O34" s="71"/>
      <c r="P34" s="92"/>
      <c r="Q34" s="71"/>
      <c r="R34" s="71"/>
      <c r="S34" s="296"/>
      <c r="T34" s="71"/>
      <c r="U34" s="71"/>
      <c r="V34" s="71"/>
      <c r="W34" s="71"/>
      <c r="X34" s="71"/>
      <c r="Y34" s="71"/>
      <c r="Z34" s="71"/>
    </row>
    <row r="35" spans="1:26" ht="21" customHeight="1">
      <c r="A35" s="72"/>
      <c r="B35" s="73" t="s">
        <v>126</v>
      </c>
      <c r="C35" s="73" t="s">
        <v>127</v>
      </c>
      <c r="D35" s="73"/>
      <c r="E35" s="73"/>
      <c r="F35" s="73" t="s">
        <v>128</v>
      </c>
      <c r="G35" s="73"/>
      <c r="H35" s="73"/>
      <c r="I35" s="73"/>
      <c r="J35" s="73"/>
      <c r="K35" s="73"/>
      <c r="L35" s="71"/>
      <c r="M35" s="71"/>
      <c r="N35" s="71"/>
      <c r="O35" s="71"/>
      <c r="P35" s="92"/>
      <c r="Q35" s="71"/>
      <c r="R35" s="71"/>
      <c r="S35" s="296"/>
      <c r="T35" s="71"/>
      <c r="U35" s="71"/>
      <c r="V35" s="71"/>
      <c r="W35" s="71"/>
      <c r="X35" s="71"/>
      <c r="Y35" s="71"/>
      <c r="Z35" s="71"/>
    </row>
    <row r="36" spans="1:26" ht="21" customHeight="1">
      <c r="A36" s="72"/>
      <c r="B36" s="73" t="s">
        <v>129</v>
      </c>
      <c r="C36" s="73" t="s">
        <v>113</v>
      </c>
      <c r="D36" s="73"/>
      <c r="E36" s="73"/>
      <c r="F36" s="73"/>
      <c r="G36" s="73"/>
      <c r="H36" s="73"/>
      <c r="I36" s="73"/>
      <c r="J36" s="73"/>
      <c r="K36" s="73"/>
      <c r="L36" s="71"/>
      <c r="M36" s="71"/>
      <c r="N36" s="71"/>
      <c r="O36" s="71"/>
      <c r="P36" s="92"/>
      <c r="Q36" s="71"/>
      <c r="R36" s="71"/>
      <c r="S36" s="296"/>
      <c r="T36" s="71"/>
      <c r="U36" s="71"/>
      <c r="V36" s="71"/>
      <c r="W36" s="71"/>
      <c r="X36" s="71"/>
      <c r="Y36" s="71"/>
      <c r="Z36" s="71"/>
    </row>
    <row r="37" spans="1:26" ht="21" customHeight="1">
      <c r="A37" s="72"/>
      <c r="B37" s="73" t="s">
        <v>130</v>
      </c>
      <c r="C37" s="73" t="s">
        <v>131</v>
      </c>
      <c r="D37" s="73"/>
      <c r="E37" s="73"/>
      <c r="F37" s="73"/>
      <c r="G37" s="73"/>
      <c r="H37" s="73"/>
      <c r="I37" s="73"/>
      <c r="J37" s="73"/>
      <c r="K37" s="73"/>
      <c r="L37" s="71"/>
      <c r="M37" s="71"/>
      <c r="N37" s="71"/>
      <c r="O37" s="71"/>
      <c r="P37" s="92"/>
      <c r="Q37" s="71"/>
      <c r="R37" s="71"/>
      <c r="S37" s="296"/>
      <c r="T37" s="71"/>
      <c r="U37" s="71"/>
      <c r="V37" s="71"/>
      <c r="W37" s="71"/>
      <c r="X37" s="71"/>
      <c r="Y37" s="71"/>
      <c r="Z37" s="71"/>
    </row>
    <row r="38" spans="1:26" ht="21" customHeight="1" thickBot="1">
      <c r="A38" s="88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99"/>
      <c r="M38" s="99"/>
      <c r="N38" s="99"/>
      <c r="O38" s="99"/>
      <c r="P38" s="97"/>
      <c r="Q38" s="71"/>
      <c r="R38" s="71"/>
      <c r="S38" s="296"/>
      <c r="T38" s="71"/>
      <c r="U38" s="71"/>
      <c r="V38" s="71"/>
      <c r="W38" s="71"/>
      <c r="X38" s="71"/>
      <c r="Y38" s="71"/>
      <c r="Z38" s="71"/>
    </row>
    <row r="39" spans="1:26" ht="21" customHeight="1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1"/>
      <c r="M39" s="71"/>
      <c r="N39" s="71"/>
      <c r="O39" s="71"/>
      <c r="P39" s="71"/>
      <c r="Q39" s="71"/>
      <c r="R39" s="71"/>
      <c r="S39" s="296"/>
      <c r="T39" s="71"/>
      <c r="U39" s="71"/>
      <c r="V39" s="71"/>
      <c r="W39" s="71"/>
      <c r="X39" s="71"/>
      <c r="Y39" s="71"/>
      <c r="Z39" s="71"/>
    </row>
    <row r="40" spans="1:26" ht="21" customHeight="1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1"/>
      <c r="M40" s="71"/>
      <c r="N40" s="71"/>
      <c r="O40" s="71"/>
      <c r="P40" s="71"/>
      <c r="Q40" s="71"/>
      <c r="R40" s="71"/>
      <c r="S40" s="296"/>
      <c r="T40" s="71"/>
      <c r="U40" s="71"/>
      <c r="V40" s="71"/>
      <c r="W40" s="71"/>
      <c r="X40" s="71"/>
      <c r="Y40" s="71"/>
      <c r="Z40" s="71"/>
    </row>
    <row r="41" spans="1:26" ht="21" customHeight="1" thickBot="1">
      <c r="A41" s="65"/>
      <c r="B41" s="65"/>
      <c r="C41" s="65"/>
      <c r="D41" s="65"/>
      <c r="E41" s="65"/>
      <c r="F41" s="66" t="s">
        <v>95</v>
      </c>
      <c r="G41" s="66" t="s">
        <v>4</v>
      </c>
      <c r="H41" s="66" t="s">
        <v>5</v>
      </c>
      <c r="I41" s="66" t="s">
        <v>6</v>
      </c>
      <c r="J41" s="66" t="s">
        <v>8</v>
      </c>
      <c r="K41" s="66"/>
      <c r="L41" s="71"/>
      <c r="M41" s="71"/>
      <c r="N41" s="71"/>
      <c r="O41" s="71"/>
      <c r="P41" s="71"/>
      <c r="Q41" s="71"/>
      <c r="R41" s="71"/>
      <c r="S41" s="296"/>
      <c r="T41" s="71"/>
      <c r="U41" s="71"/>
      <c r="V41" s="71"/>
      <c r="W41" s="71"/>
      <c r="X41" s="71"/>
      <c r="Y41" s="71"/>
      <c r="Z41" s="71"/>
    </row>
    <row r="42" spans="1:26" ht="21" customHeight="1">
      <c r="A42" s="68" t="s">
        <v>255</v>
      </c>
      <c r="B42" s="69"/>
      <c r="C42" s="69"/>
      <c r="D42" s="69"/>
      <c r="E42" s="69"/>
      <c r="F42" s="70"/>
      <c r="G42" s="69"/>
      <c r="H42" s="69"/>
      <c r="I42" s="69"/>
      <c r="J42" s="69"/>
      <c r="K42" s="69"/>
      <c r="L42" s="98"/>
      <c r="M42" s="98"/>
      <c r="N42" s="98"/>
      <c r="O42" s="98"/>
      <c r="P42" s="91"/>
      <c r="Q42" s="71"/>
      <c r="R42" s="71"/>
      <c r="S42" s="296"/>
      <c r="T42" s="71"/>
      <c r="U42" s="71"/>
      <c r="V42" s="71"/>
      <c r="W42" s="71"/>
      <c r="X42" s="71"/>
      <c r="Y42" s="71"/>
      <c r="Z42" s="71"/>
    </row>
    <row r="43" spans="1:26" ht="21" customHeight="1">
      <c r="A43" s="72"/>
      <c r="B43" s="73" t="s">
        <v>102</v>
      </c>
      <c r="C43" s="73"/>
      <c r="D43" s="73"/>
      <c r="E43" s="73"/>
      <c r="F43" s="331"/>
      <c r="G43" s="331">
        <f>G7</f>
        <v>6201.1709118333338</v>
      </c>
      <c r="H43" s="331">
        <f t="shared" ref="H43:K43" si="10">H7</f>
        <v>6511.2294574249981</v>
      </c>
      <c r="I43" s="331">
        <f t="shared" si="10"/>
        <v>6967.0155194447498</v>
      </c>
      <c r="J43" s="331">
        <f t="shared" si="10"/>
        <v>7594.0469161947776</v>
      </c>
      <c r="K43" s="331">
        <f t="shared" si="10"/>
        <v>8429.3920769762044</v>
      </c>
      <c r="L43" s="71"/>
      <c r="M43" s="71"/>
      <c r="N43" s="71"/>
      <c r="O43" s="71"/>
      <c r="P43" s="92"/>
      <c r="Q43" s="71"/>
      <c r="R43" s="71"/>
      <c r="S43" s="296"/>
      <c r="T43" s="71"/>
      <c r="U43" s="71"/>
      <c r="V43" s="71"/>
      <c r="W43" s="71"/>
      <c r="X43" s="71"/>
      <c r="Y43" s="71"/>
      <c r="Z43" s="71"/>
    </row>
    <row r="44" spans="1:26" ht="21" customHeight="1">
      <c r="A44" s="72"/>
      <c r="B44" s="73" t="s">
        <v>33</v>
      </c>
      <c r="C44" s="73"/>
      <c r="D44" s="73"/>
      <c r="E44" s="73"/>
      <c r="F44" s="74"/>
      <c r="G44" s="74">
        <v>0.59</v>
      </c>
      <c r="H44" s="74">
        <v>0.59</v>
      </c>
      <c r="I44" s="74">
        <v>0.59</v>
      </c>
      <c r="J44" s="74">
        <v>0.59</v>
      </c>
      <c r="K44" s="74">
        <v>0.59</v>
      </c>
      <c r="L44" s="71"/>
      <c r="M44" s="71"/>
      <c r="N44" s="71"/>
      <c r="O44" s="71"/>
      <c r="P44" s="92"/>
      <c r="Q44" s="71"/>
      <c r="R44" s="71"/>
      <c r="S44" s="296"/>
      <c r="T44" s="71"/>
      <c r="U44" s="71"/>
      <c r="V44" s="71"/>
      <c r="W44" s="71"/>
      <c r="X44" s="71"/>
      <c r="Y44" s="71"/>
      <c r="Z44" s="71"/>
    </row>
    <row r="45" spans="1:26" ht="21" customHeight="1">
      <c r="A45" s="72"/>
      <c r="B45" s="238" t="s">
        <v>103</v>
      </c>
      <c r="C45" s="73"/>
      <c r="D45" s="73"/>
      <c r="E45" s="73"/>
      <c r="F45" s="331"/>
      <c r="G45" s="331">
        <f t="shared" ref="G45:J45" si="11">G43*G44</f>
        <v>3658.6908379816668</v>
      </c>
      <c r="H45" s="331">
        <f t="shared" si="11"/>
        <v>3841.6253798807488</v>
      </c>
      <c r="I45" s="331">
        <f t="shared" si="11"/>
        <v>4110.5391564724023</v>
      </c>
      <c r="J45" s="331">
        <f t="shared" si="11"/>
        <v>4480.4876805549184</v>
      </c>
      <c r="K45" s="331"/>
      <c r="L45" s="71"/>
      <c r="M45" s="71"/>
      <c r="N45" s="71"/>
      <c r="O45" s="71"/>
      <c r="P45" s="92"/>
      <c r="Q45" s="71"/>
      <c r="R45" s="71"/>
      <c r="S45" s="296"/>
      <c r="T45" s="71"/>
      <c r="U45" s="71"/>
      <c r="V45" s="71"/>
      <c r="W45" s="71"/>
      <c r="X45" s="71"/>
      <c r="Y45" s="71"/>
      <c r="Z45" s="71"/>
    </row>
    <row r="46" spans="1:26" ht="21" customHeight="1">
      <c r="A46" s="72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1"/>
      <c r="M46" s="71"/>
      <c r="N46" s="71"/>
      <c r="O46" s="71"/>
      <c r="P46" s="92"/>
      <c r="Q46" s="71"/>
      <c r="R46" s="71"/>
      <c r="S46" s="296"/>
      <c r="T46" s="71"/>
      <c r="U46" s="71"/>
      <c r="V46" s="71"/>
      <c r="W46" s="71"/>
      <c r="X46" s="71"/>
      <c r="Y46" s="71"/>
      <c r="Z46" s="71"/>
    </row>
    <row r="47" spans="1:26" ht="21" customHeight="1">
      <c r="A47" s="75" t="s">
        <v>104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1"/>
      <c r="M47" s="71"/>
      <c r="N47" s="71"/>
      <c r="O47" s="71"/>
      <c r="P47" s="92"/>
      <c r="Q47" s="71"/>
      <c r="R47" s="71"/>
      <c r="S47" s="296"/>
      <c r="T47" s="71"/>
      <c r="U47" s="71"/>
      <c r="V47" s="71"/>
      <c r="W47" s="71"/>
      <c r="X47" s="71"/>
      <c r="Y47" s="71"/>
      <c r="Z47" s="71"/>
    </row>
    <row r="48" spans="1:26" ht="21" customHeight="1">
      <c r="A48" s="72"/>
      <c r="B48" s="237" t="s">
        <v>105</v>
      </c>
      <c r="C48" s="237"/>
      <c r="D48" s="237"/>
      <c r="E48" s="73"/>
      <c r="F48" s="241"/>
      <c r="G48" s="241">
        <v>0</v>
      </c>
      <c r="H48" s="241">
        <v>0</v>
      </c>
      <c r="I48" s="241">
        <v>0</v>
      </c>
      <c r="J48" s="241">
        <v>0</v>
      </c>
      <c r="K48" s="241"/>
      <c r="L48" s="241"/>
      <c r="M48" s="71"/>
      <c r="N48" s="71"/>
      <c r="O48" s="71"/>
      <c r="P48" s="92"/>
      <c r="Q48" s="71"/>
      <c r="R48" s="71"/>
      <c r="S48" s="296"/>
      <c r="T48" s="71"/>
      <c r="U48" s="71"/>
      <c r="V48" s="71"/>
      <c r="W48" s="71"/>
      <c r="X48" s="71"/>
      <c r="Y48" s="71"/>
      <c r="Z48" s="71"/>
    </row>
    <row r="49" spans="1:26" ht="21" customHeight="1">
      <c r="A49" s="72"/>
      <c r="B49" s="237" t="s">
        <v>106</v>
      </c>
      <c r="C49" s="237"/>
      <c r="D49" s="237"/>
      <c r="E49" s="73"/>
      <c r="F49" s="242"/>
      <c r="G49" s="242">
        <v>0.9</v>
      </c>
      <c r="H49" s="242">
        <v>0.9</v>
      </c>
      <c r="I49" s="242">
        <v>0.9</v>
      </c>
      <c r="J49" s="242">
        <v>0.9</v>
      </c>
      <c r="K49" s="242"/>
      <c r="L49" s="242"/>
      <c r="M49" s="71"/>
      <c r="N49" s="71"/>
      <c r="O49" s="71"/>
      <c r="P49" s="92"/>
      <c r="Q49" s="71"/>
      <c r="R49" s="71"/>
      <c r="S49" s="296"/>
      <c r="T49" s="71"/>
      <c r="U49" s="71"/>
      <c r="V49" s="71"/>
      <c r="W49" s="71"/>
      <c r="X49" s="71"/>
      <c r="Y49" s="71"/>
      <c r="Z49" s="71"/>
    </row>
    <row r="50" spans="1:26" ht="21" customHeight="1">
      <c r="A50" s="72"/>
      <c r="B50" s="237" t="s">
        <v>107</v>
      </c>
      <c r="C50" s="237"/>
      <c r="D50" s="237"/>
      <c r="E50" s="73"/>
      <c r="F50" s="242"/>
      <c r="G50" s="242">
        <v>0.9</v>
      </c>
      <c r="H50" s="242">
        <v>0.81</v>
      </c>
      <c r="I50" s="243">
        <v>0.72899999999999998</v>
      </c>
      <c r="J50" s="243">
        <v>0.65600000000000003</v>
      </c>
      <c r="K50" s="243"/>
      <c r="L50" s="243"/>
      <c r="M50" s="71"/>
      <c r="N50" s="71"/>
      <c r="O50" s="71"/>
      <c r="P50" s="92"/>
      <c r="Q50" s="71"/>
      <c r="R50" s="71"/>
      <c r="S50" s="296"/>
      <c r="T50" s="71"/>
      <c r="U50" s="71"/>
      <c r="V50" s="71"/>
      <c r="W50" s="71"/>
      <c r="X50" s="71"/>
      <c r="Y50" s="71"/>
      <c r="Z50" s="71"/>
    </row>
    <row r="51" spans="1:26" ht="21" customHeight="1">
      <c r="A51" s="72"/>
      <c r="B51" s="237" t="s">
        <v>108</v>
      </c>
      <c r="C51" s="237"/>
      <c r="D51" s="237"/>
      <c r="E51" s="73"/>
      <c r="F51" s="244"/>
      <c r="G51" s="244">
        <v>0</v>
      </c>
      <c r="H51" s="244">
        <v>0</v>
      </c>
      <c r="I51" s="244">
        <v>0</v>
      </c>
      <c r="J51" s="244">
        <v>0</v>
      </c>
      <c r="K51" s="244"/>
      <c r="L51" s="244"/>
      <c r="M51" s="71"/>
      <c r="N51" s="71"/>
      <c r="O51" s="71"/>
      <c r="P51" s="92"/>
      <c r="Q51" s="71"/>
      <c r="R51" s="71"/>
      <c r="S51" s="296"/>
      <c r="T51" s="71"/>
      <c r="U51" s="71"/>
      <c r="V51" s="71"/>
      <c r="W51" s="71"/>
      <c r="X51" s="71"/>
      <c r="Y51" s="71"/>
      <c r="Z51" s="71"/>
    </row>
    <row r="52" spans="1:26" ht="21" customHeight="1">
      <c r="A52" s="72"/>
      <c r="B52" s="237" t="s">
        <v>106</v>
      </c>
      <c r="C52" s="237"/>
      <c r="D52" s="237"/>
      <c r="E52" s="73"/>
      <c r="F52" s="242"/>
      <c r="G52" s="242">
        <v>1</v>
      </c>
      <c r="H52" s="242">
        <v>0.9</v>
      </c>
      <c r="I52" s="242">
        <v>0.9</v>
      </c>
      <c r="J52" s="242">
        <v>0.9</v>
      </c>
      <c r="K52" s="242"/>
      <c r="L52" s="242"/>
      <c r="M52" s="71"/>
      <c r="N52" s="71"/>
      <c r="O52" s="71"/>
      <c r="P52" s="92"/>
      <c r="Q52" s="71"/>
      <c r="R52" s="71"/>
      <c r="S52" s="296"/>
      <c r="T52" s="71"/>
      <c r="U52" s="71"/>
      <c r="V52" s="71"/>
      <c r="W52" s="71"/>
      <c r="X52" s="71"/>
      <c r="Y52" s="71"/>
      <c r="Z52" s="71"/>
    </row>
    <row r="53" spans="1:26" ht="21" customHeight="1">
      <c r="A53" s="72"/>
      <c r="B53" s="237" t="s">
        <v>107</v>
      </c>
      <c r="C53" s="237"/>
      <c r="D53" s="237"/>
      <c r="E53" s="73"/>
      <c r="F53" s="242"/>
      <c r="G53" s="242">
        <f>G52*F53</f>
        <v>0</v>
      </c>
      <c r="H53" s="242">
        <f>H52*G53</f>
        <v>0</v>
      </c>
      <c r="I53" s="243">
        <f>I52*H53</f>
        <v>0</v>
      </c>
      <c r="J53" s="243">
        <f>J52*I53</f>
        <v>0</v>
      </c>
      <c r="K53" s="243"/>
      <c r="L53" s="243"/>
      <c r="M53" s="71"/>
      <c r="N53" s="71"/>
      <c r="O53" s="71"/>
      <c r="P53" s="92"/>
      <c r="Q53" s="71"/>
      <c r="R53" s="71"/>
      <c r="S53" s="296"/>
      <c r="T53" s="71"/>
      <c r="U53" s="71"/>
      <c r="V53" s="71"/>
      <c r="W53" s="71"/>
      <c r="X53" s="71"/>
      <c r="Y53" s="71"/>
      <c r="Z53" s="71"/>
    </row>
    <row r="54" spans="1:26" ht="21" customHeight="1">
      <c r="A54" s="72"/>
      <c r="B54" s="237" t="s">
        <v>109</v>
      </c>
      <c r="C54" s="73"/>
      <c r="D54" s="73"/>
      <c r="E54" s="73"/>
      <c r="F54" s="245"/>
      <c r="G54" s="245">
        <v>0</v>
      </c>
      <c r="H54" s="245">
        <v>0</v>
      </c>
      <c r="I54" s="245">
        <v>0</v>
      </c>
      <c r="J54" s="245">
        <v>0</v>
      </c>
      <c r="K54" s="245"/>
      <c r="L54" s="245"/>
      <c r="M54" s="71"/>
      <c r="N54" s="71"/>
      <c r="O54" s="71"/>
      <c r="P54" s="92"/>
      <c r="Q54" s="71"/>
      <c r="R54" s="71"/>
      <c r="S54" s="296"/>
      <c r="T54" s="71"/>
      <c r="U54" s="71"/>
      <c r="V54" s="71"/>
      <c r="W54" s="71"/>
      <c r="X54" s="71"/>
      <c r="Y54" s="71"/>
      <c r="Z54" s="71"/>
    </row>
    <row r="55" spans="1:26" ht="21" customHeight="1">
      <c r="A55" s="72"/>
      <c r="B55" s="237"/>
      <c r="C55" s="73"/>
      <c r="D55" s="73"/>
      <c r="E55" s="73"/>
      <c r="F55" s="242"/>
      <c r="G55" s="242"/>
      <c r="H55" s="242"/>
      <c r="I55" s="242"/>
      <c r="J55" s="242"/>
      <c r="K55" s="242"/>
      <c r="L55" s="246"/>
      <c r="M55" s="71"/>
      <c r="N55" s="71"/>
      <c r="O55" s="71"/>
      <c r="P55" s="92"/>
      <c r="Q55" s="71"/>
      <c r="R55" s="71"/>
      <c r="S55" s="296"/>
      <c r="T55" s="71"/>
      <c r="U55" s="71"/>
      <c r="V55" s="71"/>
      <c r="W55" s="71"/>
      <c r="X55" s="71"/>
      <c r="Y55" s="71"/>
      <c r="Z55" s="71"/>
    </row>
    <row r="56" spans="1:26" ht="21" customHeight="1">
      <c r="A56" s="72"/>
      <c r="B56" s="239" t="s">
        <v>110</v>
      </c>
      <c r="C56" s="73"/>
      <c r="D56" s="73"/>
      <c r="E56" s="73"/>
      <c r="F56" s="331"/>
      <c r="G56" s="331">
        <f t="shared" ref="G56:J56" si="12">(G48*G50+G51*G53)*G54</f>
        <v>0</v>
      </c>
      <c r="H56" s="331">
        <f t="shared" si="12"/>
        <v>0</v>
      </c>
      <c r="I56" s="331">
        <f t="shared" si="12"/>
        <v>0</v>
      </c>
      <c r="J56" s="331">
        <f t="shared" si="12"/>
        <v>0</v>
      </c>
      <c r="K56" s="331"/>
      <c r="L56" s="244"/>
      <c r="M56" s="71"/>
      <c r="N56" s="71"/>
      <c r="O56" s="71"/>
      <c r="P56" s="92"/>
      <c r="Q56" s="71"/>
      <c r="R56" s="71"/>
      <c r="S56" s="296"/>
      <c r="T56" s="71"/>
      <c r="U56" s="71"/>
      <c r="V56" s="71"/>
      <c r="W56" s="71"/>
      <c r="X56" s="71"/>
      <c r="Y56" s="71"/>
      <c r="Z56" s="71"/>
    </row>
    <row r="57" spans="1:26" ht="21" customHeight="1">
      <c r="A57" s="72"/>
      <c r="B57" s="239"/>
      <c r="C57" s="73"/>
      <c r="D57" s="73"/>
      <c r="E57" s="73"/>
      <c r="F57" s="73"/>
      <c r="G57" s="73"/>
      <c r="H57" s="73"/>
      <c r="I57" s="73"/>
      <c r="J57" s="73"/>
      <c r="K57" s="73"/>
      <c r="L57" s="247"/>
      <c r="M57" s="71"/>
      <c r="N57" s="71"/>
      <c r="O57" s="71"/>
      <c r="P57" s="92"/>
      <c r="Q57" s="71"/>
      <c r="R57" s="71"/>
      <c r="S57" s="296"/>
      <c r="T57" s="71"/>
      <c r="U57" s="71"/>
      <c r="V57" s="71"/>
      <c r="W57" s="71"/>
      <c r="X57" s="71"/>
      <c r="Y57" s="71"/>
      <c r="Z57" s="71"/>
    </row>
    <row r="58" spans="1:26" ht="21" customHeight="1">
      <c r="A58" s="72"/>
      <c r="B58" s="238" t="s">
        <v>111</v>
      </c>
      <c r="C58" s="73"/>
      <c r="D58" s="73"/>
      <c r="E58" s="73"/>
      <c r="F58" s="331"/>
      <c r="G58" s="331">
        <f t="shared" ref="G58:J58" si="13">G45+G56</f>
        <v>3658.6908379816668</v>
      </c>
      <c r="H58" s="331">
        <f t="shared" si="13"/>
        <v>3841.6253798807488</v>
      </c>
      <c r="I58" s="331">
        <f t="shared" si="13"/>
        <v>4110.5391564724023</v>
      </c>
      <c r="J58" s="331">
        <f t="shared" si="13"/>
        <v>4480.4876805549184</v>
      </c>
      <c r="K58" s="331"/>
      <c r="L58" s="244"/>
      <c r="M58" s="71"/>
      <c r="N58" s="71"/>
      <c r="O58" s="71"/>
      <c r="P58" s="92"/>
      <c r="Q58" s="71"/>
      <c r="R58" s="71"/>
      <c r="S58" s="296"/>
      <c r="T58" s="71"/>
      <c r="U58" s="71"/>
      <c r="V58" s="71"/>
      <c r="W58" s="71"/>
      <c r="X58" s="71"/>
      <c r="Y58" s="71"/>
      <c r="Z58" s="71"/>
    </row>
    <row r="59" spans="1:26" ht="21" customHeight="1">
      <c r="A59" s="72"/>
      <c r="B59" s="238"/>
      <c r="C59" s="73"/>
      <c r="D59" s="73"/>
      <c r="E59" s="73"/>
      <c r="F59" s="332"/>
      <c r="G59" s="332"/>
      <c r="H59" s="332"/>
      <c r="I59" s="332"/>
      <c r="J59" s="332"/>
      <c r="K59" s="332"/>
      <c r="L59" s="71"/>
      <c r="M59" s="71"/>
      <c r="N59" s="71"/>
      <c r="O59" s="71"/>
      <c r="P59" s="92"/>
      <c r="Q59" s="71"/>
      <c r="R59" s="71"/>
      <c r="S59" s="296"/>
      <c r="T59" s="71"/>
      <c r="U59" s="71"/>
      <c r="V59" s="71"/>
      <c r="W59" s="71"/>
      <c r="X59" s="71"/>
      <c r="Y59" s="71"/>
      <c r="Z59" s="71"/>
    </row>
    <row r="60" spans="1:26" ht="21" customHeight="1">
      <c r="A60" s="72"/>
      <c r="B60" s="73" t="s">
        <v>112</v>
      </c>
      <c r="C60" s="73"/>
      <c r="D60" s="333" t="s">
        <v>113</v>
      </c>
      <c r="E60" s="73"/>
      <c r="F60" s="334"/>
      <c r="G60" s="334">
        <v>0.5</v>
      </c>
      <c r="H60" s="334">
        <v>0.5</v>
      </c>
      <c r="I60" s="334">
        <v>0.5</v>
      </c>
      <c r="J60" s="334">
        <v>0.5</v>
      </c>
      <c r="K60" s="334"/>
      <c r="L60" s="242"/>
      <c r="M60" s="71"/>
      <c r="N60" s="71"/>
      <c r="O60" s="71"/>
      <c r="P60" s="92"/>
      <c r="Q60" s="71"/>
      <c r="R60" s="71"/>
      <c r="S60" s="296"/>
      <c r="T60" s="71"/>
      <c r="U60" s="71"/>
      <c r="V60" s="71"/>
      <c r="W60" s="71"/>
      <c r="X60" s="71"/>
      <c r="Y60" s="71"/>
      <c r="Z60" s="71"/>
    </row>
    <row r="61" spans="1:26" ht="21" customHeight="1">
      <c r="A61" s="72"/>
      <c r="B61" s="73" t="s">
        <v>114</v>
      </c>
      <c r="C61" s="73"/>
      <c r="D61" s="333" t="s">
        <v>115</v>
      </c>
      <c r="E61" s="73"/>
      <c r="F61" s="335"/>
      <c r="G61" s="336">
        <v>1</v>
      </c>
      <c r="H61" s="336">
        <v>2</v>
      </c>
      <c r="I61" s="336">
        <v>3</v>
      </c>
      <c r="J61" s="336">
        <v>4</v>
      </c>
      <c r="K61" s="336"/>
      <c r="L61" s="71"/>
      <c r="M61" s="71"/>
      <c r="N61" s="71"/>
      <c r="O61" s="71"/>
      <c r="P61" s="92"/>
      <c r="Q61" s="71"/>
      <c r="R61" s="71"/>
      <c r="S61" s="296"/>
      <c r="T61" s="71"/>
      <c r="U61" s="71"/>
      <c r="V61" s="71"/>
      <c r="W61" s="71"/>
      <c r="X61" s="71"/>
      <c r="Y61" s="71"/>
      <c r="Z61" s="71"/>
    </row>
    <row r="62" spans="1:26" ht="21" customHeight="1">
      <c r="A62" s="72"/>
      <c r="B62" s="73" t="s">
        <v>116</v>
      </c>
      <c r="C62" s="73"/>
      <c r="D62" s="333" t="s">
        <v>117</v>
      </c>
      <c r="E62" s="73"/>
      <c r="F62" s="73"/>
      <c r="G62" s="73"/>
      <c r="H62" s="73"/>
      <c r="I62" s="73"/>
      <c r="J62" s="73"/>
      <c r="K62" s="73"/>
      <c r="L62" s="71"/>
      <c r="M62" s="71"/>
      <c r="N62" s="71"/>
      <c r="O62" s="71"/>
      <c r="P62" s="92"/>
      <c r="Q62" s="71"/>
      <c r="R62" s="71"/>
      <c r="S62" s="296"/>
      <c r="T62" s="71"/>
      <c r="U62" s="71"/>
      <c r="V62" s="71"/>
      <c r="W62" s="71"/>
      <c r="X62" s="71"/>
      <c r="Y62" s="71"/>
      <c r="Z62" s="71"/>
    </row>
    <row r="63" spans="1:26" ht="21" customHeight="1">
      <c r="A63" s="72"/>
      <c r="B63" s="73" t="s">
        <v>118</v>
      </c>
      <c r="C63" s="73"/>
      <c r="D63" s="333" t="s">
        <v>119</v>
      </c>
      <c r="E63" s="73"/>
      <c r="F63" s="337"/>
      <c r="G63" s="337">
        <v>0.89</v>
      </c>
      <c r="H63" s="337">
        <f t="shared" ref="H63:J63" si="14">1/(1+H60)^H61</f>
        <v>0.44444444444444442</v>
      </c>
      <c r="I63" s="337">
        <f t="shared" si="14"/>
        <v>0.29629629629629628</v>
      </c>
      <c r="J63" s="337">
        <f t="shared" si="14"/>
        <v>0.19753086419753085</v>
      </c>
      <c r="K63" s="337"/>
      <c r="L63" s="250"/>
      <c r="M63" s="71"/>
      <c r="N63" s="71"/>
      <c r="O63" s="71"/>
      <c r="P63" s="92"/>
      <c r="Q63" s="71"/>
      <c r="R63" s="71"/>
      <c r="S63" s="296"/>
      <c r="T63" s="71"/>
      <c r="U63" s="71"/>
      <c r="V63" s="71"/>
      <c r="W63" s="71"/>
      <c r="X63" s="71"/>
      <c r="Y63" s="71"/>
      <c r="Z63" s="71"/>
    </row>
    <row r="64" spans="1:26" ht="21" customHeight="1">
      <c r="A64" s="72"/>
      <c r="B64" s="238"/>
      <c r="C64" s="73"/>
      <c r="D64" s="73"/>
      <c r="E64" s="73"/>
      <c r="F64" s="334"/>
      <c r="G64" s="334"/>
      <c r="H64" s="334"/>
      <c r="I64" s="334"/>
      <c r="J64" s="334"/>
      <c r="K64" s="334"/>
      <c r="L64" s="71"/>
      <c r="M64" s="71"/>
      <c r="N64" s="71"/>
      <c r="O64" s="71"/>
      <c r="P64" s="92"/>
      <c r="Q64" s="71"/>
      <c r="R64" s="71"/>
      <c r="S64" s="296"/>
      <c r="T64" s="71"/>
      <c r="U64" s="71"/>
      <c r="V64" s="71"/>
      <c r="W64" s="71"/>
      <c r="X64" s="71"/>
      <c r="Y64" s="71"/>
      <c r="Z64" s="71"/>
    </row>
    <row r="65" spans="1:26" ht="21" customHeight="1">
      <c r="A65" s="72"/>
      <c r="B65" s="238" t="s">
        <v>120</v>
      </c>
      <c r="C65" s="73"/>
      <c r="D65" s="73"/>
      <c r="E65" s="73"/>
      <c r="F65" s="331">
        <f t="shared" ref="F65:J65" si="15">F58*F63</f>
        <v>0</v>
      </c>
      <c r="G65" s="331">
        <f t="shared" si="15"/>
        <v>3256.2348458036836</v>
      </c>
      <c r="H65" s="331">
        <f t="shared" si="15"/>
        <v>1707.3890577247771</v>
      </c>
      <c r="I65" s="331">
        <f t="shared" si="15"/>
        <v>1217.9375278436746</v>
      </c>
      <c r="J65" s="331">
        <f t="shared" si="15"/>
        <v>885.03460356640358</v>
      </c>
      <c r="K65" s="331"/>
      <c r="L65" s="241"/>
      <c r="M65" s="71"/>
      <c r="N65" s="71"/>
      <c r="O65" s="71"/>
      <c r="P65" s="92"/>
      <c r="Q65" s="71"/>
      <c r="R65" s="71"/>
      <c r="S65" s="296"/>
      <c r="T65" s="71"/>
      <c r="U65" s="71"/>
      <c r="V65" s="71"/>
      <c r="W65" s="71"/>
      <c r="X65" s="71"/>
      <c r="Y65" s="71"/>
      <c r="Z65" s="71"/>
    </row>
    <row r="66" spans="1:26" ht="21" customHeight="1">
      <c r="A66" s="72"/>
      <c r="B66" s="238"/>
      <c r="C66" s="73"/>
      <c r="D66" s="73"/>
      <c r="E66" s="73"/>
      <c r="F66" s="338"/>
      <c r="G66" s="73"/>
      <c r="H66" s="73"/>
      <c r="I66" s="73"/>
      <c r="J66" s="73"/>
      <c r="K66" s="73"/>
      <c r="L66" s="71"/>
      <c r="M66" s="71"/>
      <c r="N66" s="71"/>
      <c r="O66" s="71"/>
      <c r="P66" s="92"/>
      <c r="Q66" s="71"/>
      <c r="R66" s="71"/>
      <c r="S66" s="296"/>
      <c r="T66" s="71"/>
      <c r="U66" s="71"/>
      <c r="V66" s="71"/>
      <c r="W66" s="71"/>
      <c r="X66" s="71"/>
      <c r="Y66" s="71"/>
      <c r="Z66" s="71"/>
    </row>
    <row r="67" spans="1:26" ht="21" customHeight="1">
      <c r="A67" s="72"/>
      <c r="B67" s="238" t="s">
        <v>121</v>
      </c>
      <c r="C67" s="73"/>
      <c r="D67" s="73"/>
      <c r="E67" s="73"/>
      <c r="F67" s="339">
        <f>SUM(G65:K65)</f>
        <v>7066.5960349385387</v>
      </c>
      <c r="G67" s="339"/>
      <c r="H67" s="476" t="s">
        <v>133</v>
      </c>
      <c r="I67" s="476"/>
      <c r="J67" s="476"/>
      <c r="K67" s="73"/>
      <c r="L67" s="71"/>
      <c r="M67" s="71"/>
      <c r="N67" s="71"/>
      <c r="O67" s="71"/>
      <c r="P67" s="92"/>
      <c r="Q67" s="71"/>
      <c r="R67" s="71"/>
      <c r="S67" s="296"/>
      <c r="T67" s="71"/>
      <c r="U67" s="71"/>
      <c r="V67" s="71"/>
      <c r="W67" s="71"/>
      <c r="X67" s="71"/>
      <c r="Y67" s="71"/>
      <c r="Z67" s="71"/>
    </row>
    <row r="68" spans="1:26" ht="21" customHeight="1">
      <c r="A68" s="72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1"/>
      <c r="M68" s="71"/>
      <c r="N68" s="71"/>
      <c r="O68" s="71"/>
      <c r="P68" s="92"/>
      <c r="Q68" s="71"/>
      <c r="R68" s="71"/>
      <c r="S68" s="296"/>
      <c r="T68" s="71"/>
      <c r="U68" s="71"/>
      <c r="V68" s="71"/>
      <c r="W68" s="71"/>
      <c r="X68" s="71"/>
      <c r="Y68" s="71"/>
      <c r="Z68" s="71"/>
    </row>
    <row r="69" spans="1:26" ht="21" customHeight="1">
      <c r="A69" s="72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1"/>
      <c r="M69" s="71"/>
      <c r="N69" s="71"/>
      <c r="O69" s="71"/>
      <c r="P69" s="92"/>
      <c r="Q69" s="71"/>
      <c r="R69" s="71"/>
      <c r="S69" s="296"/>
      <c r="T69" s="71"/>
      <c r="U69" s="71"/>
      <c r="V69" s="71"/>
      <c r="W69" s="71"/>
      <c r="X69" s="71"/>
      <c r="Y69" s="71"/>
      <c r="Z69" s="71"/>
    </row>
    <row r="70" spans="1:26" ht="21" customHeight="1">
      <c r="A70" s="72"/>
      <c r="B70" s="73" t="s">
        <v>123</v>
      </c>
      <c r="C70" s="73" t="s">
        <v>124</v>
      </c>
      <c r="D70" s="73"/>
      <c r="E70" s="73"/>
      <c r="F70" s="238" t="s">
        <v>125</v>
      </c>
      <c r="G70" s="73"/>
      <c r="H70" s="73"/>
      <c r="I70" s="73"/>
      <c r="J70" s="73"/>
      <c r="K70" s="73"/>
      <c r="L70" s="71"/>
      <c r="M70" s="71"/>
      <c r="N70" s="71"/>
      <c r="O70" s="71"/>
      <c r="P70" s="92"/>
      <c r="Q70" s="71"/>
      <c r="R70" s="71"/>
      <c r="S70" s="296"/>
      <c r="T70" s="71"/>
      <c r="U70" s="71"/>
      <c r="V70" s="71"/>
      <c r="W70" s="71"/>
      <c r="X70" s="71"/>
      <c r="Y70" s="71"/>
      <c r="Z70" s="71"/>
    </row>
    <row r="71" spans="1:26" ht="21" customHeight="1">
      <c r="A71" s="72"/>
      <c r="B71" s="73" t="s">
        <v>126</v>
      </c>
      <c r="C71" s="73" t="s">
        <v>127</v>
      </c>
      <c r="D71" s="73"/>
      <c r="E71" s="73"/>
      <c r="F71" s="73" t="s">
        <v>128</v>
      </c>
      <c r="G71" s="73"/>
      <c r="H71" s="73"/>
      <c r="I71" s="73"/>
      <c r="J71" s="73"/>
      <c r="K71" s="73"/>
      <c r="L71" s="71"/>
      <c r="M71" s="71"/>
      <c r="N71" s="71"/>
      <c r="O71" s="71"/>
      <c r="P71" s="92"/>
      <c r="Q71" s="71"/>
      <c r="R71" s="71"/>
      <c r="S71" s="296"/>
      <c r="T71" s="71"/>
      <c r="U71" s="71"/>
      <c r="V71" s="71"/>
      <c r="W71" s="71"/>
      <c r="X71" s="71"/>
      <c r="Y71" s="71"/>
      <c r="Z71" s="71"/>
    </row>
    <row r="72" spans="1:26" ht="21" customHeight="1">
      <c r="A72" s="72"/>
      <c r="B72" s="73" t="s">
        <v>129</v>
      </c>
      <c r="C72" s="73" t="s">
        <v>113</v>
      </c>
      <c r="D72" s="73"/>
      <c r="E72" s="73"/>
      <c r="F72" s="73"/>
      <c r="G72" s="73"/>
      <c r="H72" s="73"/>
      <c r="I72" s="73"/>
      <c r="J72" s="73"/>
      <c r="K72" s="73"/>
      <c r="L72" s="71"/>
      <c r="M72" s="71"/>
      <c r="N72" s="71"/>
      <c r="O72" s="71"/>
      <c r="P72" s="92"/>
      <c r="Q72" s="71"/>
      <c r="R72" s="71"/>
      <c r="S72" s="296"/>
      <c r="T72" s="71"/>
      <c r="U72" s="71"/>
      <c r="V72" s="71"/>
      <c r="W72" s="71"/>
      <c r="X72" s="71"/>
      <c r="Y72" s="71"/>
      <c r="Z72" s="71"/>
    </row>
    <row r="73" spans="1:26" ht="21" customHeight="1">
      <c r="A73" s="72"/>
      <c r="B73" s="73" t="s">
        <v>130</v>
      </c>
      <c r="C73" s="73" t="s">
        <v>131</v>
      </c>
      <c r="D73" s="73"/>
      <c r="E73" s="73"/>
      <c r="F73" s="73"/>
      <c r="G73" s="73"/>
      <c r="H73" s="73"/>
      <c r="I73" s="73"/>
      <c r="J73" s="73"/>
      <c r="K73" s="73"/>
      <c r="L73" s="71"/>
      <c r="M73" s="71"/>
      <c r="N73" s="71"/>
      <c r="O73" s="71"/>
      <c r="P73" s="92"/>
      <c r="Q73" s="71"/>
      <c r="R73" s="71"/>
      <c r="S73" s="296"/>
      <c r="T73" s="71"/>
      <c r="U73" s="71"/>
      <c r="V73" s="71"/>
      <c r="W73" s="71"/>
      <c r="X73" s="71"/>
      <c r="Y73" s="71"/>
      <c r="Z73" s="71"/>
    </row>
    <row r="74" spans="1:26" ht="21" customHeight="1" thickBot="1">
      <c r="A74" s="88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99"/>
      <c r="M74" s="99"/>
      <c r="N74" s="99"/>
      <c r="O74" s="99"/>
      <c r="P74" s="97"/>
      <c r="Q74" s="71"/>
      <c r="R74" s="71"/>
      <c r="S74" s="296"/>
      <c r="T74" s="71"/>
      <c r="U74" s="71"/>
      <c r="V74" s="71"/>
      <c r="W74" s="71"/>
      <c r="X74" s="71"/>
      <c r="Y74" s="71"/>
      <c r="Z74" s="71"/>
    </row>
    <row r="75" spans="1:26" ht="21" customHeight="1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1"/>
      <c r="M75" s="71"/>
      <c r="N75" s="71"/>
      <c r="O75" s="71"/>
      <c r="P75" s="71"/>
      <c r="Q75" s="71"/>
      <c r="R75" s="71"/>
      <c r="S75" s="296"/>
      <c r="T75" s="71"/>
      <c r="U75" s="71"/>
      <c r="V75" s="71"/>
      <c r="W75" s="71"/>
      <c r="X75" s="71"/>
      <c r="Y75" s="71"/>
      <c r="Z75" s="71"/>
    </row>
    <row r="76" spans="1:26" ht="21" customHeight="1" thickBot="1">
      <c r="A76" s="73"/>
      <c r="B76" s="73"/>
      <c r="C76" s="73"/>
      <c r="D76" s="73"/>
      <c r="E76" s="73"/>
      <c r="F76" s="73"/>
      <c r="G76" s="73"/>
      <c r="H76" s="285"/>
      <c r="I76" s="285"/>
      <c r="J76" s="285"/>
      <c r="K76" s="285"/>
      <c r="L76" s="71"/>
      <c r="M76" s="71"/>
      <c r="N76" s="71"/>
      <c r="O76" s="71"/>
      <c r="P76" s="71"/>
      <c r="Q76" s="71"/>
      <c r="R76" s="71"/>
      <c r="S76" s="296"/>
      <c r="T76" s="71"/>
      <c r="U76" s="71"/>
      <c r="V76" s="71"/>
      <c r="W76" s="71"/>
      <c r="X76" s="71"/>
      <c r="Y76" s="71"/>
      <c r="Z76" s="71"/>
    </row>
    <row r="77" spans="1:26" ht="21" customHeight="1">
      <c r="A77" s="68" t="s">
        <v>256</v>
      </c>
      <c r="B77" s="69"/>
      <c r="C77" s="69"/>
      <c r="D77" s="69"/>
      <c r="E77" s="77"/>
      <c r="F77" s="77"/>
      <c r="G77" s="90" t="str">
        <f>G5</f>
        <v>Year 1</v>
      </c>
      <c r="H77" s="342" t="s">
        <v>5</v>
      </c>
      <c r="I77" s="342" t="s">
        <v>6</v>
      </c>
      <c r="J77" s="342" t="s">
        <v>8</v>
      </c>
      <c r="K77" s="342" t="s">
        <v>9</v>
      </c>
      <c r="L77" s="342" t="s">
        <v>96</v>
      </c>
      <c r="M77" s="342" t="s">
        <v>97</v>
      </c>
      <c r="N77" s="342" t="s">
        <v>98</v>
      </c>
      <c r="O77" s="98"/>
      <c r="P77" s="91"/>
      <c r="Q77" s="71"/>
      <c r="R77" s="71"/>
      <c r="S77" s="296"/>
      <c r="T77" s="71"/>
      <c r="U77" s="71"/>
      <c r="V77" s="71"/>
      <c r="W77" s="71"/>
      <c r="X77" s="71"/>
      <c r="Y77" s="71"/>
      <c r="Z77" s="71"/>
    </row>
    <row r="78" spans="1:26" ht="21" customHeight="1">
      <c r="A78" s="72"/>
      <c r="B78" s="73" t="s">
        <v>102</v>
      </c>
      <c r="C78" s="73"/>
      <c r="D78" s="73"/>
      <c r="E78" s="237"/>
      <c r="F78" s="241"/>
      <c r="G78" s="241">
        <f>Calculations!E64</f>
        <v>189.28000000000003</v>
      </c>
      <c r="H78" s="241">
        <f>Calculations!F64</f>
        <v>865.2800000000002</v>
      </c>
      <c r="I78" s="241">
        <f>Calculations!G64</f>
        <v>1406.0800000000002</v>
      </c>
      <c r="J78" s="241">
        <f>Calculations!H64</f>
        <v>1622.4000000000003</v>
      </c>
      <c r="K78" s="241">
        <f>Calculations!I64</f>
        <v>1946.8800000000003</v>
      </c>
      <c r="L78" s="241">
        <f>K78*(1+7%)</f>
        <v>2083.1616000000004</v>
      </c>
      <c r="M78" s="327">
        <f>L78*(1+7%)</f>
        <v>2228.9829120000004</v>
      </c>
      <c r="N78" s="328">
        <f>M78*(1+7%)</f>
        <v>2385.0117158400008</v>
      </c>
      <c r="O78" s="340"/>
      <c r="P78" s="92"/>
      <c r="Q78" s="71"/>
      <c r="R78" s="71"/>
      <c r="S78" s="296"/>
      <c r="T78" s="71"/>
      <c r="U78" s="71"/>
      <c r="V78" s="71"/>
      <c r="W78" s="71"/>
      <c r="X78" s="71"/>
      <c r="Y78" s="71"/>
      <c r="Z78" s="71"/>
    </row>
    <row r="79" spans="1:26" ht="21" customHeight="1">
      <c r="A79" s="72"/>
      <c r="B79" s="73" t="s">
        <v>33</v>
      </c>
      <c r="C79" s="73"/>
      <c r="D79" s="73"/>
      <c r="E79" s="237"/>
      <c r="F79" s="242"/>
      <c r="G79" s="74">
        <v>0.59</v>
      </c>
      <c r="H79" s="74">
        <v>0.59</v>
      </c>
      <c r="I79" s="74">
        <v>0.59</v>
      </c>
      <c r="J79" s="74">
        <v>0.59</v>
      </c>
      <c r="K79" s="74">
        <v>0.59</v>
      </c>
      <c r="L79" s="74">
        <v>0.59</v>
      </c>
      <c r="M79" s="74">
        <v>0.59</v>
      </c>
      <c r="N79" s="74">
        <v>0.59</v>
      </c>
      <c r="O79" s="341"/>
      <c r="P79" s="92"/>
      <c r="Q79" s="71"/>
      <c r="R79" s="71"/>
      <c r="S79" s="296"/>
      <c r="T79" s="71"/>
      <c r="U79" s="71"/>
      <c r="V79" s="71"/>
      <c r="W79" s="71"/>
      <c r="X79" s="71"/>
      <c r="Y79" s="71"/>
      <c r="Z79" s="71"/>
    </row>
    <row r="80" spans="1:26" ht="21" customHeight="1">
      <c r="A80" s="72"/>
      <c r="B80" s="238" t="s">
        <v>103</v>
      </c>
      <c r="C80" s="73"/>
      <c r="D80" s="73"/>
      <c r="E80" s="237"/>
      <c r="F80" s="241"/>
      <c r="G80" s="241">
        <f>G78*G79</f>
        <v>111.67520000000002</v>
      </c>
      <c r="H80" s="241">
        <f t="shared" ref="H80:N80" si="16">H78*H79</f>
        <v>510.51520000000011</v>
      </c>
      <c r="I80" s="241">
        <f t="shared" si="16"/>
        <v>829.58720000000005</v>
      </c>
      <c r="J80" s="241">
        <f t="shared" si="16"/>
        <v>957.21600000000012</v>
      </c>
      <c r="K80" s="241">
        <f t="shared" si="16"/>
        <v>1148.6592000000001</v>
      </c>
      <c r="L80" s="241">
        <f t="shared" si="16"/>
        <v>1229.0653440000001</v>
      </c>
      <c r="M80" s="241">
        <f t="shared" si="16"/>
        <v>1315.0999180800002</v>
      </c>
      <c r="N80" s="241">
        <f t="shared" si="16"/>
        <v>1407.1569123456004</v>
      </c>
      <c r="O80" s="71"/>
      <c r="P80" s="92"/>
      <c r="Q80" s="71"/>
      <c r="R80" s="71"/>
      <c r="S80" s="296"/>
      <c r="T80" s="71"/>
      <c r="U80" s="71"/>
      <c r="V80" s="71"/>
      <c r="W80" s="71"/>
      <c r="X80" s="71"/>
      <c r="Y80" s="71"/>
      <c r="Z80" s="71"/>
    </row>
    <row r="81" spans="1:26" ht="21" customHeight="1">
      <c r="A81" s="72"/>
      <c r="B81" s="73"/>
      <c r="C81" s="73"/>
      <c r="D81" s="73"/>
      <c r="E81" s="237"/>
      <c r="F81" s="237"/>
      <c r="G81" s="237"/>
      <c r="H81" s="286">
        <f>(H78-G78)/G78</f>
        <v>3.5714285714285721</v>
      </c>
      <c r="I81" s="286">
        <f t="shared" ref="I81:K81" si="17">(I78-H78)/H78</f>
        <v>0.62499999999999978</v>
      </c>
      <c r="J81" s="286">
        <f t="shared" si="17"/>
        <v>0.15384615384615394</v>
      </c>
      <c r="K81" s="286">
        <f t="shared" si="17"/>
        <v>0.19999999999999998</v>
      </c>
      <c r="L81" s="286">
        <f t="shared" ref="L81:M81" si="18">(L78-K78)/K78</f>
        <v>7.0000000000000007E-2</v>
      </c>
      <c r="M81" s="286">
        <f t="shared" si="18"/>
        <v>7.0000000000000007E-2</v>
      </c>
      <c r="N81" s="286">
        <f t="shared" ref="N81" si="19">(N78-M78)/M78</f>
        <v>7.0000000000000145E-2</v>
      </c>
      <c r="O81" s="71"/>
      <c r="P81" s="92"/>
      <c r="Q81" s="71"/>
      <c r="R81" s="71"/>
      <c r="S81" s="296"/>
      <c r="T81" s="71"/>
      <c r="U81" s="71"/>
      <c r="V81" s="71"/>
      <c r="W81" s="71"/>
      <c r="X81" s="71"/>
      <c r="Y81" s="71"/>
      <c r="Z81" s="71"/>
    </row>
    <row r="82" spans="1:26" ht="21" customHeight="1">
      <c r="A82" s="75" t="s">
        <v>104</v>
      </c>
      <c r="B82" s="73"/>
      <c r="C82" s="73"/>
      <c r="D82" s="73"/>
      <c r="E82" s="237"/>
      <c r="F82" s="237"/>
      <c r="G82" s="237"/>
      <c r="H82" s="237"/>
      <c r="I82" s="237"/>
      <c r="J82" s="237"/>
      <c r="K82" s="237"/>
      <c r="L82" s="237"/>
      <c r="M82" s="237"/>
      <c r="N82" s="237"/>
      <c r="O82" s="71"/>
      <c r="P82" s="92"/>
      <c r="Q82" s="71"/>
      <c r="R82" s="71"/>
      <c r="S82" s="296"/>
      <c r="T82" s="71"/>
      <c r="U82" s="71"/>
      <c r="V82" s="71"/>
      <c r="W82" s="71"/>
      <c r="X82" s="71"/>
      <c r="Y82" s="71"/>
      <c r="Z82" s="71"/>
    </row>
    <row r="83" spans="1:26" ht="21" customHeight="1">
      <c r="A83" s="72"/>
      <c r="B83" s="237" t="s">
        <v>105</v>
      </c>
      <c r="C83" s="237"/>
      <c r="D83" s="237"/>
      <c r="E83" s="237"/>
      <c r="F83" s="241"/>
      <c r="G83" s="241">
        <v>0</v>
      </c>
      <c r="H83" s="241">
        <v>0</v>
      </c>
      <c r="I83" s="241">
        <v>0</v>
      </c>
      <c r="J83" s="241">
        <v>0</v>
      </c>
      <c r="K83" s="241">
        <v>0</v>
      </c>
      <c r="L83" s="241">
        <v>0</v>
      </c>
      <c r="M83" s="241">
        <v>0</v>
      </c>
      <c r="N83" s="241">
        <v>0</v>
      </c>
      <c r="O83" s="71"/>
      <c r="P83" s="92"/>
      <c r="Q83" s="71"/>
      <c r="R83" s="71"/>
      <c r="S83" s="296"/>
      <c r="T83" s="71"/>
      <c r="U83" s="71"/>
      <c r="V83" s="71"/>
      <c r="W83" s="71"/>
      <c r="X83" s="71"/>
      <c r="Y83" s="71"/>
      <c r="Z83" s="71"/>
    </row>
    <row r="84" spans="1:26" ht="21" customHeight="1">
      <c r="A84" s="72"/>
      <c r="B84" s="237" t="s">
        <v>106</v>
      </c>
      <c r="C84" s="237"/>
      <c r="D84" s="237"/>
      <c r="E84" s="237"/>
      <c r="F84" s="242"/>
      <c r="G84" s="242">
        <v>1</v>
      </c>
      <c r="H84" s="242">
        <v>0.9</v>
      </c>
      <c r="I84" s="242">
        <v>0.9</v>
      </c>
      <c r="J84" s="242">
        <v>0.9</v>
      </c>
      <c r="K84" s="242">
        <v>0.9</v>
      </c>
      <c r="L84" s="242">
        <v>0.9</v>
      </c>
      <c r="M84" s="242">
        <v>0.9</v>
      </c>
      <c r="N84" s="242">
        <v>0.9</v>
      </c>
      <c r="O84" s="71"/>
      <c r="P84" s="92"/>
      <c r="Q84" s="71"/>
      <c r="R84" s="71"/>
      <c r="S84" s="296"/>
      <c r="T84" s="71"/>
      <c r="U84" s="71"/>
      <c r="V84" s="71"/>
      <c r="W84" s="71"/>
      <c r="X84" s="71"/>
      <c r="Y84" s="71"/>
      <c r="Z84" s="71"/>
    </row>
    <row r="85" spans="1:26" ht="21" customHeight="1">
      <c r="A85" s="72"/>
      <c r="B85" s="237" t="s">
        <v>107</v>
      </c>
      <c r="C85" s="237"/>
      <c r="D85" s="237"/>
      <c r="E85" s="237"/>
      <c r="F85" s="242"/>
      <c r="G85" s="242">
        <v>1</v>
      </c>
      <c r="H85" s="242">
        <v>0.9</v>
      </c>
      <c r="I85" s="242">
        <v>0.81</v>
      </c>
      <c r="J85" s="243">
        <v>0.72899999999999998</v>
      </c>
      <c r="K85" s="243">
        <v>0.65600000000000003</v>
      </c>
      <c r="L85" s="243">
        <v>0.65600000000000003</v>
      </c>
      <c r="M85" s="243">
        <v>0.65600000000000003</v>
      </c>
      <c r="N85" s="243">
        <v>0.65600000000000003</v>
      </c>
      <c r="O85" s="71"/>
      <c r="P85" s="92"/>
      <c r="Q85" s="71"/>
      <c r="R85" s="71"/>
      <c r="S85" s="296"/>
      <c r="T85" s="71"/>
      <c r="U85" s="71"/>
      <c r="V85" s="71"/>
      <c r="W85" s="71"/>
      <c r="X85" s="71"/>
      <c r="Y85" s="71"/>
      <c r="Z85" s="71"/>
    </row>
    <row r="86" spans="1:26" ht="21" customHeight="1">
      <c r="A86" s="72"/>
      <c r="B86" s="237" t="s">
        <v>108</v>
      </c>
      <c r="C86" s="237"/>
      <c r="D86" s="237"/>
      <c r="E86" s="237"/>
      <c r="F86" s="237"/>
      <c r="G86" s="244">
        <v>0</v>
      </c>
      <c r="H86" s="244">
        <v>0</v>
      </c>
      <c r="I86" s="244">
        <v>0</v>
      </c>
      <c r="J86" s="244">
        <v>0</v>
      </c>
      <c r="K86" s="244">
        <v>0</v>
      </c>
      <c r="L86" s="244">
        <v>0</v>
      </c>
      <c r="M86" s="244">
        <v>0</v>
      </c>
      <c r="N86" s="244">
        <v>0</v>
      </c>
      <c r="O86" s="71"/>
      <c r="P86" s="92"/>
      <c r="Q86" s="71"/>
      <c r="R86" s="71"/>
      <c r="S86" s="296"/>
      <c r="T86" s="71"/>
      <c r="U86" s="71"/>
      <c r="V86" s="71"/>
      <c r="W86" s="71"/>
      <c r="X86" s="71"/>
      <c r="Y86" s="71"/>
      <c r="Z86" s="71"/>
    </row>
    <row r="87" spans="1:26" ht="21" customHeight="1">
      <c r="A87" s="72"/>
      <c r="B87" s="237" t="s">
        <v>106</v>
      </c>
      <c r="C87" s="237"/>
      <c r="D87" s="237"/>
      <c r="E87" s="237"/>
      <c r="F87" s="237"/>
      <c r="G87" s="242">
        <v>1</v>
      </c>
      <c r="H87" s="242">
        <v>0.9</v>
      </c>
      <c r="I87" s="242">
        <v>0.9</v>
      </c>
      <c r="J87" s="242">
        <v>0.9</v>
      </c>
      <c r="K87" s="242">
        <v>0.9</v>
      </c>
      <c r="L87" s="242">
        <v>0.9</v>
      </c>
      <c r="M87" s="242">
        <v>0.9</v>
      </c>
      <c r="N87" s="242">
        <v>0.9</v>
      </c>
      <c r="O87" s="71"/>
      <c r="P87" s="92"/>
      <c r="Q87" s="71"/>
      <c r="R87" s="71"/>
      <c r="S87" s="296"/>
      <c r="T87" s="71"/>
      <c r="U87" s="71"/>
      <c r="V87" s="71"/>
      <c r="W87" s="71"/>
      <c r="X87" s="71"/>
      <c r="Y87" s="71"/>
      <c r="Z87" s="71"/>
    </row>
    <row r="88" spans="1:26" ht="21" customHeight="1">
      <c r="A88" s="72"/>
      <c r="B88" s="237" t="s">
        <v>107</v>
      </c>
      <c r="C88" s="237"/>
      <c r="D88" s="237"/>
      <c r="E88" s="237"/>
      <c r="F88" s="237"/>
      <c r="G88" s="242">
        <v>1</v>
      </c>
      <c r="H88" s="242">
        <f t="shared" ref="H88:N88" si="20">H87*G88</f>
        <v>0.9</v>
      </c>
      <c r="I88" s="242">
        <f t="shared" si="20"/>
        <v>0.81</v>
      </c>
      <c r="J88" s="243">
        <f t="shared" si="20"/>
        <v>0.72900000000000009</v>
      </c>
      <c r="K88" s="243">
        <f t="shared" si="20"/>
        <v>0.65610000000000013</v>
      </c>
      <c r="L88" s="243">
        <f t="shared" si="20"/>
        <v>0.59049000000000018</v>
      </c>
      <c r="M88" s="243">
        <f t="shared" si="20"/>
        <v>0.53144100000000016</v>
      </c>
      <c r="N88" s="243">
        <f t="shared" si="20"/>
        <v>0.47829690000000014</v>
      </c>
      <c r="O88" s="71"/>
      <c r="P88" s="92"/>
      <c r="Q88" s="71"/>
      <c r="R88" s="71"/>
      <c r="S88" s="296"/>
      <c r="T88" s="71"/>
      <c r="U88" s="71"/>
      <c r="V88" s="71"/>
      <c r="W88" s="71"/>
      <c r="X88" s="71"/>
      <c r="Y88" s="71"/>
      <c r="Z88" s="71"/>
    </row>
    <row r="89" spans="1:26" ht="21" customHeight="1">
      <c r="A89" s="80"/>
      <c r="B89" s="237" t="s">
        <v>109</v>
      </c>
      <c r="C89" s="237"/>
      <c r="D89" s="237"/>
      <c r="E89" s="237"/>
      <c r="F89" s="242"/>
      <c r="G89" s="245">
        <v>0</v>
      </c>
      <c r="H89" s="245">
        <v>0</v>
      </c>
      <c r="I89" s="245">
        <v>0</v>
      </c>
      <c r="J89" s="245">
        <v>0</v>
      </c>
      <c r="K89" s="245">
        <v>0</v>
      </c>
      <c r="L89" s="245">
        <v>0</v>
      </c>
      <c r="M89" s="245">
        <v>0</v>
      </c>
      <c r="N89" s="245">
        <v>0</v>
      </c>
      <c r="O89" s="71"/>
      <c r="P89" s="92"/>
      <c r="Q89" s="71"/>
      <c r="R89" s="71"/>
      <c r="S89" s="296"/>
      <c r="T89" s="71"/>
      <c r="U89" s="71"/>
      <c r="V89" s="71"/>
      <c r="W89" s="71"/>
      <c r="X89" s="71"/>
      <c r="Y89" s="71"/>
      <c r="Z89" s="71"/>
    </row>
    <row r="90" spans="1:26" ht="21" customHeight="1">
      <c r="A90" s="80"/>
      <c r="B90" s="237"/>
      <c r="C90" s="237"/>
      <c r="D90" s="237"/>
      <c r="E90" s="237"/>
      <c r="F90" s="242"/>
      <c r="G90" s="251"/>
      <c r="H90" s="242"/>
      <c r="I90" s="242"/>
      <c r="J90" s="242"/>
      <c r="K90" s="242"/>
      <c r="L90" s="242"/>
      <c r="M90" s="242"/>
      <c r="N90" s="242"/>
      <c r="O90" s="71"/>
      <c r="P90" s="92"/>
      <c r="Q90" s="71"/>
      <c r="R90" s="71"/>
      <c r="S90" s="296"/>
      <c r="T90" s="71"/>
      <c r="U90" s="71"/>
      <c r="V90" s="71"/>
      <c r="W90" s="71"/>
      <c r="X90" s="71"/>
      <c r="Y90" s="71"/>
      <c r="Z90" s="71"/>
    </row>
    <row r="91" spans="1:26" ht="21" customHeight="1">
      <c r="A91" s="80"/>
      <c r="B91" s="239" t="s">
        <v>110</v>
      </c>
      <c r="C91" s="239"/>
      <c r="D91" s="237"/>
      <c r="E91" s="237"/>
      <c r="F91" s="248"/>
      <c r="G91" s="244">
        <f>(G83*G85+G86*G88)*G89</f>
        <v>0</v>
      </c>
      <c r="H91" s="244">
        <f t="shared" ref="H91:K91" si="21">(H83*H85+H86*H88)*H89</f>
        <v>0</v>
      </c>
      <c r="I91" s="244">
        <f t="shared" si="21"/>
        <v>0</v>
      </c>
      <c r="J91" s="244">
        <f t="shared" si="21"/>
        <v>0</v>
      </c>
      <c r="K91" s="244">
        <f t="shared" si="21"/>
        <v>0</v>
      </c>
      <c r="L91" s="244">
        <f t="shared" ref="L91:M91" si="22">(L83*L85+L86*L88)*L89</f>
        <v>0</v>
      </c>
      <c r="M91" s="244">
        <f t="shared" si="22"/>
        <v>0</v>
      </c>
      <c r="N91" s="244">
        <f t="shared" ref="N91" si="23">(N83*N85+N86*N88)*N89</f>
        <v>0</v>
      </c>
      <c r="O91" s="71"/>
      <c r="P91" s="92"/>
      <c r="Q91" s="71"/>
      <c r="R91" s="71"/>
      <c r="S91" s="296"/>
      <c r="T91" s="71"/>
      <c r="U91" s="71"/>
      <c r="V91" s="71"/>
      <c r="W91" s="71"/>
      <c r="X91" s="71"/>
      <c r="Y91" s="71"/>
      <c r="Z91" s="71"/>
    </row>
    <row r="92" spans="1:26" ht="21" customHeight="1">
      <c r="A92" s="80"/>
      <c r="B92" s="237"/>
      <c r="C92" s="237"/>
      <c r="D92" s="237"/>
      <c r="E92" s="237"/>
      <c r="F92" s="237"/>
      <c r="G92" s="244"/>
      <c r="H92" s="244"/>
      <c r="I92" s="244"/>
      <c r="J92" s="244"/>
      <c r="K92" s="244"/>
      <c r="L92" s="244"/>
      <c r="M92" s="244"/>
      <c r="N92" s="244"/>
      <c r="O92" s="71"/>
      <c r="P92" s="92"/>
      <c r="Q92" s="71"/>
      <c r="R92" s="71"/>
      <c r="S92" s="296"/>
      <c r="T92" s="71"/>
      <c r="U92" s="71"/>
      <c r="V92" s="71"/>
      <c r="W92" s="71"/>
      <c r="X92" s="71"/>
      <c r="Y92" s="71"/>
      <c r="Z92" s="71"/>
    </row>
    <row r="93" spans="1:26" ht="21" customHeight="1">
      <c r="A93" s="80"/>
      <c r="B93" s="239" t="s">
        <v>111</v>
      </c>
      <c r="C93" s="237"/>
      <c r="D93" s="237"/>
      <c r="E93" s="237"/>
      <c r="F93" s="248"/>
      <c r="G93" s="244">
        <f>G91+G80</f>
        <v>111.67520000000002</v>
      </c>
      <c r="H93" s="244">
        <f t="shared" ref="H93:K93" si="24">H91+H80</f>
        <v>510.51520000000011</v>
      </c>
      <c r="I93" s="244">
        <f t="shared" si="24"/>
        <v>829.58720000000005</v>
      </c>
      <c r="J93" s="244">
        <f t="shared" si="24"/>
        <v>957.21600000000012</v>
      </c>
      <c r="K93" s="244">
        <f t="shared" si="24"/>
        <v>1148.6592000000001</v>
      </c>
      <c r="L93" s="244">
        <f t="shared" ref="L93:M93" si="25">L91+L80</f>
        <v>1229.0653440000001</v>
      </c>
      <c r="M93" s="244">
        <f t="shared" si="25"/>
        <v>1315.0999180800002</v>
      </c>
      <c r="N93" s="244">
        <f t="shared" ref="N93" si="26">N91+N80</f>
        <v>1407.1569123456004</v>
      </c>
      <c r="O93" s="71"/>
      <c r="P93" s="92"/>
      <c r="Q93" s="71"/>
      <c r="R93" s="71"/>
      <c r="S93" s="296"/>
      <c r="T93" s="71"/>
      <c r="U93" s="71"/>
      <c r="V93" s="71"/>
      <c r="W93" s="71"/>
      <c r="X93" s="71"/>
      <c r="Y93" s="71"/>
      <c r="Z93" s="71"/>
    </row>
    <row r="94" spans="1:26" ht="21" customHeight="1">
      <c r="A94" s="80"/>
      <c r="B94" s="239"/>
      <c r="C94" s="237"/>
      <c r="D94" s="237"/>
      <c r="E94" s="237"/>
      <c r="F94" s="248"/>
      <c r="G94" s="248"/>
      <c r="H94" s="248"/>
      <c r="I94" s="248"/>
      <c r="J94" s="248"/>
      <c r="K94" s="248"/>
      <c r="L94" s="248"/>
      <c r="M94" s="248"/>
      <c r="N94" s="248"/>
      <c r="O94" s="71"/>
      <c r="P94" s="92"/>
      <c r="Q94" s="71"/>
      <c r="R94" s="71"/>
      <c r="S94" s="296"/>
      <c r="T94" s="71"/>
      <c r="U94" s="71"/>
      <c r="V94" s="71"/>
      <c r="W94" s="71"/>
      <c r="X94" s="71"/>
      <c r="Y94" s="71"/>
      <c r="Z94" s="71"/>
    </row>
    <row r="95" spans="1:26" ht="21" customHeight="1">
      <c r="A95" s="80"/>
      <c r="B95" s="237" t="s">
        <v>112</v>
      </c>
      <c r="C95" s="237"/>
      <c r="D95" s="252" t="s">
        <v>113</v>
      </c>
      <c r="E95" s="237"/>
      <c r="F95" s="242"/>
      <c r="G95" s="242">
        <v>0.5</v>
      </c>
      <c r="H95" s="242">
        <v>0.5</v>
      </c>
      <c r="I95" s="242">
        <v>0.5</v>
      </c>
      <c r="J95" s="242">
        <v>0.5</v>
      </c>
      <c r="K95" s="242">
        <v>0.5</v>
      </c>
      <c r="L95" s="242">
        <v>0.5</v>
      </c>
      <c r="M95" s="242">
        <v>0.5</v>
      </c>
      <c r="N95" s="242">
        <v>0.5</v>
      </c>
      <c r="O95" s="71"/>
      <c r="P95" s="92"/>
      <c r="Q95" s="71"/>
      <c r="R95" s="71"/>
      <c r="S95" s="296"/>
      <c r="T95" s="71"/>
      <c r="U95" s="71"/>
      <c r="V95" s="71"/>
      <c r="W95" s="71"/>
      <c r="X95" s="71"/>
      <c r="Y95" s="71"/>
      <c r="Z95" s="71"/>
    </row>
    <row r="96" spans="1:26" ht="21" customHeight="1">
      <c r="A96" s="80"/>
      <c r="B96" s="237" t="s">
        <v>114</v>
      </c>
      <c r="C96" s="237"/>
      <c r="D96" s="252" t="s">
        <v>115</v>
      </c>
      <c r="E96" s="237"/>
      <c r="F96" s="253"/>
      <c r="G96" s="249">
        <v>0</v>
      </c>
      <c r="H96" s="249">
        <v>1</v>
      </c>
      <c r="I96" s="249">
        <v>2</v>
      </c>
      <c r="J96" s="249">
        <v>3</v>
      </c>
      <c r="K96" s="249">
        <v>4</v>
      </c>
      <c r="L96" s="249">
        <v>4</v>
      </c>
      <c r="M96" s="249">
        <v>4</v>
      </c>
      <c r="N96" s="249">
        <v>4</v>
      </c>
      <c r="O96" s="71"/>
      <c r="P96" s="92"/>
      <c r="Q96" s="71"/>
      <c r="R96" s="71"/>
      <c r="S96" s="296"/>
      <c r="T96" s="71"/>
      <c r="U96" s="71"/>
      <c r="V96" s="71"/>
      <c r="W96" s="71"/>
      <c r="X96" s="71"/>
      <c r="Y96" s="71"/>
      <c r="Z96" s="71"/>
    </row>
    <row r="97" spans="1:26" ht="21" customHeight="1">
      <c r="A97" s="80"/>
      <c r="B97" s="237" t="s">
        <v>116</v>
      </c>
      <c r="C97" s="237"/>
      <c r="D97" s="252" t="s">
        <v>117</v>
      </c>
      <c r="E97" s="237"/>
      <c r="F97" s="237"/>
      <c r="G97" s="237"/>
      <c r="H97" s="237"/>
      <c r="I97" s="237"/>
      <c r="J97" s="237"/>
      <c r="K97" s="237"/>
      <c r="L97" s="237"/>
      <c r="M97" s="237"/>
      <c r="N97" s="237"/>
      <c r="O97" s="71"/>
      <c r="P97" s="92"/>
      <c r="Q97" s="71"/>
      <c r="R97" s="71"/>
      <c r="S97" s="296"/>
      <c r="T97" s="71"/>
      <c r="U97" s="71"/>
      <c r="V97" s="71"/>
      <c r="W97" s="71"/>
      <c r="X97" s="71"/>
      <c r="Y97" s="71"/>
      <c r="Z97" s="71"/>
    </row>
    <row r="98" spans="1:26" ht="21" customHeight="1">
      <c r="A98" s="80"/>
      <c r="B98" s="237" t="s">
        <v>118</v>
      </c>
      <c r="C98" s="237"/>
      <c r="D98" s="252" t="s">
        <v>119</v>
      </c>
      <c r="E98" s="237"/>
      <c r="F98" s="250"/>
      <c r="G98" s="250">
        <v>1</v>
      </c>
      <c r="H98" s="250">
        <v>0.66669999999999996</v>
      </c>
      <c r="I98" s="250">
        <v>0.44440000000000002</v>
      </c>
      <c r="J98" s="250">
        <v>0.29630000000000001</v>
      </c>
      <c r="K98" s="250">
        <v>0.19750000000000001</v>
      </c>
      <c r="L98" s="250">
        <v>0.19750000000000001</v>
      </c>
      <c r="M98" s="250">
        <v>0.19750000000000001</v>
      </c>
      <c r="N98" s="250">
        <v>0.19750000000000001</v>
      </c>
      <c r="O98" s="71"/>
      <c r="P98" s="92"/>
      <c r="Q98" s="71"/>
      <c r="R98" s="71"/>
      <c r="S98" s="296"/>
      <c r="T98" s="71"/>
      <c r="U98" s="71"/>
      <c r="V98" s="71"/>
      <c r="W98" s="71"/>
      <c r="X98" s="71"/>
      <c r="Y98" s="71"/>
      <c r="Z98" s="71"/>
    </row>
    <row r="99" spans="1:26" ht="21" customHeight="1">
      <c r="A99" s="80"/>
      <c r="B99" s="239"/>
      <c r="C99" s="237"/>
      <c r="D99" s="237"/>
      <c r="E99" s="237"/>
      <c r="F99" s="242"/>
      <c r="G99" s="242"/>
      <c r="H99" s="242"/>
      <c r="I99" s="242"/>
      <c r="J99" s="242"/>
      <c r="K99" s="242"/>
      <c r="L99" s="242"/>
      <c r="M99" s="242"/>
      <c r="N99" s="242"/>
      <c r="O99" s="71"/>
      <c r="P99" s="92"/>
      <c r="Q99" s="71"/>
      <c r="R99" s="71"/>
      <c r="S99" s="296"/>
      <c r="T99" s="71"/>
      <c r="U99" s="71"/>
      <c r="V99" s="71"/>
      <c r="W99" s="71"/>
      <c r="X99" s="71"/>
      <c r="Y99" s="71"/>
      <c r="Z99" s="71"/>
    </row>
    <row r="100" spans="1:26" ht="21" customHeight="1">
      <c r="A100" s="80"/>
      <c r="B100" s="239" t="s">
        <v>120</v>
      </c>
      <c r="C100" s="239"/>
      <c r="D100" s="239"/>
      <c r="E100" s="237"/>
      <c r="F100" s="248"/>
      <c r="G100" s="241">
        <f>G93*G98</f>
        <v>111.67520000000002</v>
      </c>
      <c r="H100" s="241">
        <f t="shared" ref="H100:K100" si="27">H93*H98</f>
        <v>340.36048384000003</v>
      </c>
      <c r="I100" s="241">
        <f t="shared" si="27"/>
        <v>368.66855168000006</v>
      </c>
      <c r="J100" s="241">
        <f t="shared" si="27"/>
        <v>283.62310080000003</v>
      </c>
      <c r="K100" s="241">
        <f t="shared" si="27"/>
        <v>226.86019200000001</v>
      </c>
      <c r="L100" s="241">
        <f t="shared" ref="L100:M100" si="28">L93*L98</f>
        <v>242.74040544000002</v>
      </c>
      <c r="M100" s="241">
        <f t="shared" si="28"/>
        <v>259.73223382080005</v>
      </c>
      <c r="N100" s="241">
        <f t="shared" ref="N100" si="29">N93*N98</f>
        <v>277.91349018825611</v>
      </c>
      <c r="O100" s="71"/>
      <c r="P100" s="92"/>
      <c r="Q100" s="71"/>
      <c r="R100" s="71"/>
      <c r="S100" s="296"/>
      <c r="T100" s="71"/>
      <c r="U100" s="71"/>
      <c r="V100" s="71"/>
      <c r="W100" s="71"/>
      <c r="X100" s="71"/>
      <c r="Y100" s="71"/>
      <c r="Z100" s="71"/>
    </row>
    <row r="101" spans="1:26" ht="21" customHeight="1">
      <c r="A101" s="80"/>
      <c r="B101" s="239"/>
      <c r="C101" s="237"/>
      <c r="D101" s="237"/>
      <c r="E101" s="237"/>
      <c r="F101" s="254"/>
      <c r="G101" s="237"/>
      <c r="H101" s="237"/>
      <c r="I101" s="237"/>
      <c r="J101" s="237"/>
      <c r="K101" s="237"/>
      <c r="L101" s="71"/>
      <c r="M101" s="240"/>
      <c r="N101" s="71"/>
      <c r="O101" s="71"/>
      <c r="P101" s="92"/>
      <c r="Q101" s="71"/>
      <c r="R101" s="71"/>
      <c r="S101" s="296"/>
      <c r="T101" s="71"/>
      <c r="U101" s="71"/>
      <c r="V101" s="71"/>
      <c r="W101" s="71"/>
      <c r="X101" s="71"/>
      <c r="Y101" s="71"/>
      <c r="Z101" s="71"/>
    </row>
    <row r="102" spans="1:26" ht="21" customHeight="1">
      <c r="A102" s="80"/>
      <c r="B102" s="239" t="s">
        <v>121</v>
      </c>
      <c r="C102" s="239"/>
      <c r="D102" s="237"/>
      <c r="E102" s="237"/>
      <c r="F102" s="254"/>
      <c r="G102" s="255">
        <f>G100+H100+I100+J100+K100+L65</f>
        <v>1331.1875283200002</v>
      </c>
      <c r="H102" s="237"/>
      <c r="I102" s="476" t="s">
        <v>132</v>
      </c>
      <c r="J102" s="476"/>
      <c r="K102" s="476"/>
      <c r="L102" s="71"/>
      <c r="M102" s="71"/>
      <c r="N102" s="71"/>
      <c r="O102" s="71"/>
      <c r="P102" s="92"/>
      <c r="Q102" s="71"/>
      <c r="R102" s="71"/>
      <c r="S102" s="296"/>
      <c r="T102" s="71"/>
      <c r="U102" s="71"/>
      <c r="V102" s="71"/>
      <c r="W102" s="71"/>
      <c r="X102" s="71"/>
      <c r="Y102" s="71"/>
      <c r="Z102" s="71"/>
    </row>
    <row r="103" spans="1:26" ht="21" customHeight="1">
      <c r="A103" s="80"/>
      <c r="B103" s="237"/>
      <c r="C103" s="237"/>
      <c r="D103" s="237"/>
      <c r="E103" s="237"/>
      <c r="F103" s="237"/>
      <c r="G103" s="237"/>
      <c r="H103" s="237"/>
      <c r="I103" s="237"/>
      <c r="J103" s="237"/>
      <c r="K103" s="237"/>
      <c r="L103" s="71"/>
      <c r="M103" s="71"/>
      <c r="N103" s="71"/>
      <c r="O103" s="71"/>
      <c r="P103" s="92"/>
      <c r="Q103" s="71"/>
      <c r="R103" s="71"/>
      <c r="S103" s="296"/>
      <c r="T103" s="71"/>
      <c r="U103" s="71"/>
      <c r="V103" s="71"/>
      <c r="W103" s="71"/>
      <c r="X103" s="71"/>
      <c r="Y103" s="71"/>
      <c r="Z103" s="71"/>
    </row>
    <row r="104" spans="1:26" ht="21" customHeight="1">
      <c r="A104" s="80"/>
      <c r="B104" s="237"/>
      <c r="C104" s="237"/>
      <c r="D104" s="237"/>
      <c r="E104" s="237"/>
      <c r="F104" s="237"/>
      <c r="G104" s="237"/>
      <c r="H104" s="237"/>
      <c r="I104" s="237"/>
      <c r="J104" s="237"/>
      <c r="K104" s="237"/>
      <c r="L104" s="71"/>
      <c r="M104" s="71"/>
      <c r="N104" s="71"/>
      <c r="O104" s="71"/>
      <c r="P104" s="92"/>
      <c r="Q104" s="71"/>
      <c r="R104" s="71"/>
      <c r="S104" s="296"/>
      <c r="T104" s="71"/>
      <c r="U104" s="71"/>
      <c r="V104" s="71"/>
      <c r="W104" s="71"/>
      <c r="X104" s="71"/>
      <c r="Y104" s="71"/>
      <c r="Z104" s="71"/>
    </row>
    <row r="105" spans="1:26" ht="21" customHeight="1">
      <c r="A105" s="80"/>
      <c r="B105" s="237" t="s">
        <v>123</v>
      </c>
      <c r="C105" s="237" t="s">
        <v>124</v>
      </c>
      <c r="D105" s="237"/>
      <c r="E105" s="237"/>
      <c r="F105" s="239" t="s">
        <v>125</v>
      </c>
      <c r="G105" s="237"/>
      <c r="H105" s="237"/>
      <c r="I105" s="237"/>
      <c r="J105" s="237"/>
      <c r="K105" s="237"/>
      <c r="L105" s="71"/>
      <c r="M105" s="71"/>
      <c r="N105" s="71"/>
      <c r="O105" s="71"/>
      <c r="P105" s="92"/>
      <c r="Q105" s="71"/>
      <c r="R105" s="71"/>
      <c r="S105" s="296"/>
      <c r="T105" s="71"/>
      <c r="U105" s="71"/>
      <c r="V105" s="71"/>
      <c r="W105" s="71"/>
      <c r="X105" s="71"/>
      <c r="Y105" s="71"/>
      <c r="Z105" s="71"/>
    </row>
    <row r="106" spans="1:26" ht="21" customHeight="1">
      <c r="A106" s="80"/>
      <c r="B106" s="237" t="s">
        <v>126</v>
      </c>
      <c r="C106" s="237" t="s">
        <v>127</v>
      </c>
      <c r="D106" s="237"/>
      <c r="E106" s="237"/>
      <c r="F106" s="73" t="s">
        <v>128</v>
      </c>
      <c r="G106" s="237"/>
      <c r="H106" s="237"/>
      <c r="I106" s="237"/>
      <c r="J106" s="237"/>
      <c r="K106" s="237"/>
      <c r="L106" s="71"/>
      <c r="M106" s="71"/>
      <c r="N106" s="71"/>
      <c r="O106" s="71"/>
      <c r="P106" s="92"/>
      <c r="Q106" s="71"/>
      <c r="R106" s="71"/>
      <c r="S106" s="296"/>
      <c r="T106" s="71"/>
      <c r="U106" s="71"/>
      <c r="V106" s="71"/>
      <c r="W106" s="71"/>
      <c r="X106" s="71"/>
      <c r="Y106" s="71"/>
      <c r="Z106" s="71"/>
    </row>
    <row r="107" spans="1:26" ht="21" customHeight="1">
      <c r="A107" s="80"/>
      <c r="B107" s="237" t="s">
        <v>129</v>
      </c>
      <c r="C107" s="237" t="s">
        <v>113</v>
      </c>
      <c r="D107" s="237"/>
      <c r="E107" s="237"/>
      <c r="F107" s="237"/>
      <c r="G107" s="237"/>
      <c r="H107" s="237"/>
      <c r="I107" s="237"/>
      <c r="J107" s="237"/>
      <c r="K107" s="237"/>
      <c r="L107" s="71"/>
      <c r="M107" s="71"/>
      <c r="N107" s="71"/>
      <c r="O107" s="71"/>
      <c r="P107" s="92"/>
      <c r="Q107" s="71"/>
      <c r="R107" s="71"/>
      <c r="S107" s="296"/>
      <c r="T107" s="71"/>
      <c r="U107" s="71"/>
      <c r="V107" s="71"/>
      <c r="W107" s="71"/>
      <c r="X107" s="71"/>
      <c r="Y107" s="71"/>
      <c r="Z107" s="71"/>
    </row>
    <row r="108" spans="1:26" ht="21" customHeight="1">
      <c r="A108" s="80"/>
      <c r="B108" s="237" t="s">
        <v>130</v>
      </c>
      <c r="C108" s="237" t="s">
        <v>131</v>
      </c>
      <c r="D108" s="237"/>
      <c r="E108" s="237"/>
      <c r="F108" s="237"/>
      <c r="G108" s="237"/>
      <c r="H108" s="237"/>
      <c r="I108" s="237"/>
      <c r="J108" s="237"/>
      <c r="K108" s="237"/>
      <c r="L108" s="71"/>
      <c r="M108" s="71"/>
      <c r="N108" s="71"/>
      <c r="O108" s="71"/>
      <c r="P108" s="92"/>
      <c r="Q108" s="71"/>
      <c r="R108" s="71"/>
      <c r="S108" s="296"/>
      <c r="T108" s="71"/>
      <c r="U108" s="71"/>
      <c r="V108" s="71"/>
      <c r="W108" s="71"/>
      <c r="X108" s="71"/>
      <c r="Y108" s="71"/>
      <c r="Z108" s="71"/>
    </row>
    <row r="109" spans="1:26" ht="21" customHeight="1" thickBot="1">
      <c r="A109" s="83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99"/>
      <c r="M109" s="99"/>
      <c r="N109" s="99"/>
      <c r="O109" s="99"/>
      <c r="P109" s="97"/>
      <c r="Q109" s="71"/>
      <c r="R109" s="71"/>
      <c r="S109" s="296"/>
      <c r="T109" s="71"/>
      <c r="U109" s="71"/>
      <c r="V109" s="71"/>
      <c r="W109" s="71"/>
      <c r="X109" s="71"/>
      <c r="Y109" s="71"/>
      <c r="Z109" s="71"/>
    </row>
    <row r="110" spans="1:26" ht="21" customHeight="1">
      <c r="A110" s="80"/>
      <c r="B110" s="237"/>
      <c r="C110" s="237"/>
      <c r="D110" s="237"/>
      <c r="E110" s="237"/>
      <c r="F110" s="237"/>
      <c r="G110" s="237"/>
      <c r="H110" s="237"/>
      <c r="I110" s="237"/>
      <c r="J110" s="237"/>
      <c r="K110" s="237"/>
      <c r="L110" s="71"/>
      <c r="M110" s="71"/>
      <c r="N110" s="71"/>
      <c r="O110" s="71"/>
      <c r="P110" s="71"/>
      <c r="Q110" s="71"/>
      <c r="R110" s="71"/>
      <c r="S110" s="296"/>
      <c r="T110" s="71"/>
      <c r="U110" s="71"/>
      <c r="V110" s="71"/>
      <c r="W110" s="71"/>
      <c r="X110" s="71"/>
      <c r="Y110" s="71"/>
      <c r="Z110" s="71"/>
    </row>
    <row r="111" spans="1:26" ht="21" customHeight="1" thickBot="1">
      <c r="A111" s="80"/>
      <c r="B111" s="237"/>
      <c r="C111" s="237"/>
      <c r="D111" s="237"/>
      <c r="E111" s="237"/>
      <c r="F111" s="237"/>
      <c r="G111" s="237"/>
      <c r="H111" s="237"/>
      <c r="I111" s="237"/>
      <c r="J111" s="237"/>
      <c r="K111" s="237"/>
      <c r="L111" s="71"/>
      <c r="M111" s="92"/>
      <c r="N111" s="71"/>
      <c r="O111" s="71"/>
      <c r="P111" s="71"/>
      <c r="Q111" s="71"/>
      <c r="R111" s="71"/>
      <c r="S111" s="296"/>
      <c r="T111" s="71"/>
      <c r="U111" s="71"/>
      <c r="V111" s="71"/>
      <c r="W111" s="71"/>
      <c r="X111" s="71"/>
      <c r="Y111" s="71"/>
      <c r="Z111" s="71"/>
    </row>
    <row r="112" spans="1:26" ht="21" customHeight="1">
      <c r="A112" s="68" t="s">
        <v>256</v>
      </c>
      <c r="B112" s="69"/>
      <c r="C112" s="69"/>
      <c r="D112" s="69"/>
      <c r="E112" s="77"/>
      <c r="F112" s="77"/>
      <c r="G112" s="90" t="str">
        <f>H5</f>
        <v>Year 2</v>
      </c>
      <c r="H112" s="342" t="s">
        <v>6</v>
      </c>
      <c r="I112" s="342" t="s">
        <v>8</v>
      </c>
      <c r="J112" s="342" t="s">
        <v>9</v>
      </c>
      <c r="K112" s="77"/>
      <c r="L112" s="98"/>
      <c r="M112" s="343"/>
      <c r="N112" s="98"/>
      <c r="O112" s="98"/>
      <c r="P112" s="91"/>
      <c r="Q112" s="71"/>
      <c r="R112" s="71"/>
      <c r="S112" s="296"/>
      <c r="T112" s="71"/>
      <c r="U112" s="71"/>
      <c r="V112" s="71"/>
      <c r="W112" s="71"/>
      <c r="X112" s="71"/>
      <c r="Y112" s="71"/>
      <c r="Z112" s="71"/>
    </row>
    <row r="113" spans="1:26" ht="21" customHeight="1">
      <c r="A113" s="72"/>
      <c r="B113" s="73" t="s">
        <v>102</v>
      </c>
      <c r="C113" s="73"/>
      <c r="D113" s="73"/>
      <c r="E113" s="237"/>
      <c r="F113" s="241"/>
      <c r="G113" s="241">
        <f>H78</f>
        <v>865.2800000000002</v>
      </c>
      <c r="H113" s="241">
        <f>I78</f>
        <v>1406.0800000000002</v>
      </c>
      <c r="I113" s="241">
        <f>J78</f>
        <v>1622.4000000000003</v>
      </c>
      <c r="J113" s="241">
        <f>K78</f>
        <v>1946.8800000000003</v>
      </c>
      <c r="K113" s="241"/>
      <c r="L113" s="241"/>
      <c r="M113" s="240"/>
      <c r="N113" s="71"/>
      <c r="O113" s="71"/>
      <c r="P113" s="92"/>
      <c r="Q113" s="71"/>
      <c r="R113" s="71"/>
      <c r="S113" s="296"/>
      <c r="T113" s="71"/>
      <c r="U113" s="71"/>
      <c r="V113" s="71"/>
      <c r="W113" s="71"/>
      <c r="X113" s="71"/>
      <c r="Y113" s="71"/>
      <c r="Z113" s="71"/>
    </row>
    <row r="114" spans="1:26" ht="21" customHeight="1">
      <c r="A114" s="72"/>
      <c r="B114" s="73" t="s">
        <v>33</v>
      </c>
      <c r="C114" s="73"/>
      <c r="D114" s="73"/>
      <c r="E114" s="237"/>
      <c r="F114" s="242"/>
      <c r="G114" s="74">
        <v>0.59</v>
      </c>
      <c r="H114" s="74">
        <v>0.59</v>
      </c>
      <c r="I114" s="74">
        <v>0.59</v>
      </c>
      <c r="J114" s="74">
        <v>0.59</v>
      </c>
      <c r="K114" s="245"/>
      <c r="L114" s="245"/>
      <c r="M114" s="240"/>
      <c r="N114" s="71"/>
      <c r="O114" s="71"/>
      <c r="P114" s="92"/>
      <c r="Q114" s="71"/>
      <c r="R114" s="71"/>
      <c r="S114" s="296"/>
      <c r="T114" s="71"/>
      <c r="U114" s="71"/>
      <c r="V114" s="71"/>
      <c r="W114" s="71"/>
      <c r="X114" s="71"/>
      <c r="Y114" s="71"/>
      <c r="Z114" s="71"/>
    </row>
    <row r="115" spans="1:26" ht="21" customHeight="1">
      <c r="A115" s="72"/>
      <c r="B115" s="238" t="s">
        <v>103</v>
      </c>
      <c r="C115" s="73"/>
      <c r="D115" s="73"/>
      <c r="E115" s="237"/>
      <c r="F115" s="241"/>
      <c r="G115" s="241">
        <f>G113*G114</f>
        <v>510.51520000000011</v>
      </c>
      <c r="H115" s="241">
        <f t="shared" ref="H115" si="30">H113*H114</f>
        <v>829.58720000000005</v>
      </c>
      <c r="I115" s="241">
        <f t="shared" ref="I115" si="31">I113*I114</f>
        <v>957.21600000000012</v>
      </c>
      <c r="J115" s="241">
        <f t="shared" ref="J115" si="32">J113*J114</f>
        <v>1148.6592000000001</v>
      </c>
      <c r="K115" s="241"/>
      <c r="L115" s="241"/>
      <c r="M115" s="240"/>
      <c r="N115" s="71"/>
      <c r="O115" s="71"/>
      <c r="P115" s="92"/>
      <c r="Q115" s="71"/>
      <c r="R115" s="71"/>
      <c r="S115" s="296"/>
      <c r="T115" s="71"/>
      <c r="U115" s="71"/>
      <c r="V115" s="71"/>
      <c r="W115" s="71"/>
      <c r="X115" s="71"/>
      <c r="Y115" s="71"/>
      <c r="Z115" s="71"/>
    </row>
    <row r="116" spans="1:26" ht="21" customHeight="1">
      <c r="A116" s="72"/>
      <c r="B116" s="73"/>
      <c r="C116" s="73"/>
      <c r="D116" s="73"/>
      <c r="E116" s="237"/>
      <c r="F116" s="237"/>
      <c r="G116" s="237"/>
      <c r="H116" s="237"/>
      <c r="I116" s="237"/>
      <c r="J116" s="237"/>
      <c r="K116" s="237"/>
      <c r="L116" s="71"/>
      <c r="M116" s="240"/>
      <c r="N116" s="71"/>
      <c r="O116" s="71"/>
      <c r="P116" s="92"/>
      <c r="Q116" s="71"/>
      <c r="R116" s="71"/>
      <c r="S116" s="296"/>
      <c r="T116" s="71"/>
      <c r="U116" s="71"/>
      <c r="V116" s="71"/>
      <c r="W116" s="71"/>
      <c r="X116" s="71"/>
      <c r="Y116" s="71"/>
      <c r="Z116" s="71"/>
    </row>
    <row r="117" spans="1:26" ht="21" customHeight="1">
      <c r="A117" s="75" t="s">
        <v>104</v>
      </c>
      <c r="B117" s="73"/>
      <c r="C117" s="73"/>
      <c r="D117" s="73"/>
      <c r="E117" s="237"/>
      <c r="F117" s="237"/>
      <c r="G117" s="237"/>
      <c r="H117" s="237"/>
      <c r="I117" s="237"/>
      <c r="J117" s="237"/>
      <c r="K117" s="237"/>
      <c r="L117" s="71"/>
      <c r="M117" s="240"/>
      <c r="N117" s="71"/>
      <c r="O117" s="71"/>
      <c r="P117" s="92"/>
      <c r="Q117" s="71"/>
      <c r="R117" s="71"/>
      <c r="S117" s="296"/>
      <c r="T117" s="71"/>
      <c r="U117" s="71"/>
      <c r="V117" s="71"/>
      <c r="W117" s="71"/>
      <c r="X117" s="71"/>
      <c r="Y117" s="71"/>
      <c r="Z117" s="71"/>
    </row>
    <row r="118" spans="1:26" ht="21" customHeight="1">
      <c r="A118" s="72"/>
      <c r="B118" s="237" t="s">
        <v>105</v>
      </c>
      <c r="C118" s="237"/>
      <c r="D118" s="237"/>
      <c r="E118" s="237"/>
      <c r="F118" s="241"/>
      <c r="G118" s="241">
        <v>0</v>
      </c>
      <c r="H118" s="241">
        <v>0</v>
      </c>
      <c r="I118" s="241">
        <v>0</v>
      </c>
      <c r="J118" s="241">
        <v>0</v>
      </c>
      <c r="K118" s="241"/>
      <c r="L118" s="241"/>
      <c r="M118" s="287"/>
      <c r="N118" s="71"/>
      <c r="O118" s="71"/>
      <c r="P118" s="92"/>
      <c r="Q118" s="71"/>
      <c r="R118" s="71"/>
      <c r="S118" s="296"/>
      <c r="T118" s="71"/>
      <c r="U118" s="71"/>
      <c r="V118" s="71"/>
      <c r="W118" s="71"/>
      <c r="X118" s="71"/>
      <c r="Y118" s="71"/>
      <c r="Z118" s="71"/>
    </row>
    <row r="119" spans="1:26" ht="21" customHeight="1">
      <c r="A119" s="72"/>
      <c r="B119" s="237" t="s">
        <v>106</v>
      </c>
      <c r="C119" s="237"/>
      <c r="D119" s="237"/>
      <c r="E119" s="237"/>
      <c r="F119" s="242"/>
      <c r="G119" s="242">
        <v>1</v>
      </c>
      <c r="H119" s="242">
        <v>0.9</v>
      </c>
      <c r="I119" s="242">
        <v>0.9</v>
      </c>
      <c r="J119" s="242">
        <v>0.9</v>
      </c>
      <c r="K119" s="242"/>
      <c r="L119" s="242"/>
      <c r="M119" s="288"/>
      <c r="N119" s="241"/>
      <c r="O119" s="71"/>
      <c r="P119" s="92"/>
      <c r="Q119" s="71"/>
      <c r="R119" s="71"/>
      <c r="S119" s="296"/>
      <c r="T119" s="71"/>
      <c r="U119" s="71"/>
      <c r="V119" s="71"/>
      <c r="W119" s="71"/>
      <c r="X119" s="71"/>
      <c r="Y119" s="71"/>
      <c r="Z119" s="71"/>
    </row>
    <row r="120" spans="1:26" ht="21" customHeight="1">
      <c r="A120" s="72"/>
      <c r="B120" s="237" t="s">
        <v>107</v>
      </c>
      <c r="C120" s="237"/>
      <c r="D120" s="237"/>
      <c r="E120" s="237"/>
      <c r="F120" s="242"/>
      <c r="G120" s="242">
        <v>1</v>
      </c>
      <c r="H120" s="242">
        <v>0.9</v>
      </c>
      <c r="I120" s="242">
        <v>0.81</v>
      </c>
      <c r="J120" s="243">
        <v>0.72899999999999998</v>
      </c>
      <c r="K120" s="243"/>
      <c r="L120" s="243"/>
      <c r="M120" s="289"/>
      <c r="N120" s="242"/>
      <c r="O120" s="71"/>
      <c r="P120" s="92"/>
      <c r="Q120" s="71"/>
      <c r="R120" s="71"/>
      <c r="S120" s="296"/>
      <c r="T120" s="71"/>
      <c r="U120" s="71"/>
      <c r="V120" s="71"/>
      <c r="W120" s="71"/>
      <c r="X120" s="71"/>
      <c r="Y120" s="71"/>
      <c r="Z120" s="71"/>
    </row>
    <row r="121" spans="1:26" ht="21" customHeight="1">
      <c r="A121" s="72"/>
      <c r="B121" s="237" t="s">
        <v>108</v>
      </c>
      <c r="C121" s="237"/>
      <c r="D121" s="237"/>
      <c r="E121" s="237"/>
      <c r="F121" s="237"/>
      <c r="G121" s="244">
        <v>0</v>
      </c>
      <c r="H121" s="244">
        <v>0</v>
      </c>
      <c r="I121" s="244">
        <v>0</v>
      </c>
      <c r="J121" s="244">
        <v>0</v>
      </c>
      <c r="K121" s="244"/>
      <c r="L121" s="244"/>
      <c r="M121" s="290"/>
      <c r="N121" s="243"/>
      <c r="O121" s="71"/>
      <c r="P121" s="92"/>
      <c r="Q121" s="71"/>
      <c r="R121" s="71"/>
      <c r="S121" s="296"/>
      <c r="T121" s="71"/>
      <c r="U121" s="71"/>
      <c r="V121" s="71"/>
      <c r="W121" s="71"/>
      <c r="X121" s="71"/>
      <c r="Y121" s="71"/>
      <c r="Z121" s="71"/>
    </row>
    <row r="122" spans="1:26" ht="21" customHeight="1">
      <c r="A122" s="72"/>
      <c r="B122" s="237" t="s">
        <v>106</v>
      </c>
      <c r="C122" s="237"/>
      <c r="D122" s="237"/>
      <c r="E122" s="237"/>
      <c r="F122" s="237"/>
      <c r="G122" s="242">
        <v>1</v>
      </c>
      <c r="H122" s="242">
        <v>0.9</v>
      </c>
      <c r="I122" s="242">
        <v>0.9</v>
      </c>
      <c r="J122" s="242">
        <v>0.9</v>
      </c>
      <c r="K122" s="242"/>
      <c r="L122" s="242"/>
      <c r="M122" s="288"/>
      <c r="N122" s="244"/>
      <c r="O122" s="71"/>
      <c r="P122" s="92"/>
      <c r="Q122" s="71"/>
      <c r="R122" s="71"/>
      <c r="S122" s="296"/>
      <c r="T122" s="71"/>
      <c r="U122" s="71"/>
      <c r="V122" s="71"/>
      <c r="W122" s="71"/>
      <c r="X122" s="71"/>
      <c r="Y122" s="71"/>
      <c r="Z122" s="71"/>
    </row>
    <row r="123" spans="1:26" ht="21" customHeight="1">
      <c r="A123" s="72"/>
      <c r="B123" s="237" t="s">
        <v>107</v>
      </c>
      <c r="C123" s="237"/>
      <c r="D123" s="237"/>
      <c r="E123" s="237"/>
      <c r="F123" s="237"/>
      <c r="G123" s="242">
        <v>1</v>
      </c>
      <c r="H123" s="242">
        <f>H122*G123</f>
        <v>0.9</v>
      </c>
      <c r="I123" s="242">
        <f>I122*H123</f>
        <v>0.81</v>
      </c>
      <c r="J123" s="243">
        <f>J122*I123</f>
        <v>0.72900000000000009</v>
      </c>
      <c r="K123" s="243"/>
      <c r="L123" s="243"/>
      <c r="M123" s="289"/>
      <c r="N123" s="242"/>
      <c r="O123" s="71"/>
      <c r="P123" s="92"/>
      <c r="Q123" s="71"/>
      <c r="R123" s="71"/>
      <c r="S123" s="296"/>
      <c r="T123" s="71"/>
      <c r="U123" s="71"/>
      <c r="V123" s="71"/>
      <c r="W123" s="71"/>
      <c r="X123" s="71"/>
      <c r="Y123" s="71"/>
      <c r="Z123" s="71"/>
    </row>
    <row r="124" spans="1:26" ht="21" customHeight="1">
      <c r="A124" s="80"/>
      <c r="B124" s="237" t="s">
        <v>109</v>
      </c>
      <c r="C124" s="237"/>
      <c r="D124" s="237"/>
      <c r="E124" s="237"/>
      <c r="F124" s="242"/>
      <c r="G124" s="245">
        <v>0</v>
      </c>
      <c r="H124" s="245">
        <v>0</v>
      </c>
      <c r="I124" s="245">
        <v>0</v>
      </c>
      <c r="J124" s="245">
        <v>0</v>
      </c>
      <c r="K124" s="245"/>
      <c r="L124" s="245"/>
      <c r="M124" s="288"/>
      <c r="N124" s="243"/>
      <c r="O124" s="71"/>
      <c r="P124" s="92"/>
      <c r="Q124" s="71"/>
      <c r="R124" s="71"/>
      <c r="S124" s="296"/>
      <c r="T124" s="71"/>
      <c r="U124" s="71"/>
      <c r="V124" s="71"/>
      <c r="W124" s="71"/>
      <c r="X124" s="71"/>
      <c r="Y124" s="71"/>
      <c r="Z124" s="71"/>
    </row>
    <row r="125" spans="1:26" ht="21" customHeight="1">
      <c r="A125" s="80"/>
      <c r="B125" s="237"/>
      <c r="C125" s="237"/>
      <c r="D125" s="237"/>
      <c r="E125" s="237"/>
      <c r="F125" s="242"/>
      <c r="G125" s="251"/>
      <c r="H125" s="242"/>
      <c r="I125" s="242"/>
      <c r="J125" s="242"/>
      <c r="K125" s="242"/>
      <c r="L125" s="242"/>
      <c r="M125" s="291"/>
      <c r="N125" s="245"/>
      <c r="O125" s="71"/>
      <c r="P125" s="92"/>
      <c r="Q125" s="71"/>
      <c r="R125" s="71"/>
      <c r="S125" s="296"/>
      <c r="T125" s="71"/>
      <c r="U125" s="71"/>
      <c r="V125" s="71"/>
      <c r="W125" s="71"/>
      <c r="X125" s="71"/>
      <c r="Y125" s="71"/>
      <c r="Z125" s="71"/>
    </row>
    <row r="126" spans="1:26" ht="21" customHeight="1">
      <c r="A126" s="80"/>
      <c r="B126" s="239" t="s">
        <v>110</v>
      </c>
      <c r="C126" s="239"/>
      <c r="D126" s="237"/>
      <c r="E126" s="237"/>
      <c r="F126" s="248"/>
      <c r="G126" s="244">
        <f>(G118*G120+G121*G123)*G124</f>
        <v>0</v>
      </c>
      <c r="H126" s="244">
        <f t="shared" ref="H126:J126" si="33">(H118*H120+H121*H123)*H124</f>
        <v>0</v>
      </c>
      <c r="I126" s="244">
        <f t="shared" si="33"/>
        <v>0</v>
      </c>
      <c r="J126" s="244">
        <f t="shared" si="33"/>
        <v>0</v>
      </c>
      <c r="K126" s="244"/>
      <c r="L126" s="244"/>
      <c r="M126" s="290"/>
      <c r="N126" s="246"/>
      <c r="O126" s="71"/>
      <c r="P126" s="92"/>
      <c r="Q126" s="71"/>
      <c r="R126" s="71"/>
      <c r="S126" s="296"/>
      <c r="T126" s="71"/>
      <c r="U126" s="71"/>
      <c r="V126" s="71"/>
      <c r="W126" s="71"/>
      <c r="X126" s="71"/>
      <c r="Y126" s="71"/>
      <c r="Z126" s="71"/>
    </row>
    <row r="127" spans="1:26" ht="21" customHeight="1">
      <c r="A127" s="80"/>
      <c r="B127" s="237"/>
      <c r="C127" s="237"/>
      <c r="D127" s="237"/>
      <c r="E127" s="237"/>
      <c r="F127" s="237"/>
      <c r="G127" s="244"/>
      <c r="H127" s="244"/>
      <c r="I127" s="244"/>
      <c r="J127" s="244"/>
      <c r="K127" s="244"/>
      <c r="L127" s="244"/>
      <c r="M127" s="292"/>
      <c r="N127" s="244"/>
      <c r="O127" s="71"/>
      <c r="P127" s="92"/>
      <c r="Q127" s="71"/>
      <c r="R127" s="71"/>
      <c r="S127" s="296"/>
      <c r="T127" s="71"/>
      <c r="U127" s="71"/>
      <c r="V127" s="71"/>
      <c r="W127" s="71"/>
      <c r="X127" s="71"/>
      <c r="Y127" s="71"/>
      <c r="Z127" s="71"/>
    </row>
    <row r="128" spans="1:26" ht="21" customHeight="1">
      <c r="A128" s="80"/>
      <c r="B128" s="239" t="s">
        <v>111</v>
      </c>
      <c r="C128" s="237"/>
      <c r="D128" s="237"/>
      <c r="E128" s="237"/>
      <c r="F128" s="248"/>
      <c r="G128" s="244">
        <f>G126+G115</f>
        <v>510.51520000000011</v>
      </c>
      <c r="H128" s="244">
        <f t="shared" ref="H128:J128" si="34">H126+H115</f>
        <v>829.58720000000005</v>
      </c>
      <c r="I128" s="244">
        <f t="shared" si="34"/>
        <v>957.21600000000012</v>
      </c>
      <c r="J128" s="244">
        <f t="shared" si="34"/>
        <v>1148.6592000000001</v>
      </c>
      <c r="K128" s="244"/>
      <c r="L128" s="244"/>
      <c r="M128" s="290"/>
      <c r="N128" s="247"/>
      <c r="O128" s="71"/>
      <c r="P128" s="92"/>
      <c r="Q128" s="71"/>
      <c r="R128" s="71"/>
      <c r="S128" s="296"/>
      <c r="T128" s="71"/>
      <c r="U128" s="71"/>
      <c r="V128" s="71"/>
      <c r="W128" s="71"/>
      <c r="X128" s="71"/>
      <c r="Y128" s="71"/>
      <c r="Z128" s="71"/>
    </row>
    <row r="129" spans="1:26" ht="21" customHeight="1">
      <c r="A129" s="80"/>
      <c r="B129" s="239"/>
      <c r="C129" s="237"/>
      <c r="D129" s="237"/>
      <c r="E129" s="237"/>
      <c r="F129" s="248"/>
      <c r="G129" s="248"/>
      <c r="H129" s="248"/>
      <c r="I129" s="248"/>
      <c r="J129" s="248"/>
      <c r="K129" s="248"/>
      <c r="L129" s="248"/>
      <c r="M129" s="240"/>
      <c r="N129" s="244"/>
      <c r="O129" s="71"/>
      <c r="P129" s="92"/>
      <c r="Q129" s="71"/>
      <c r="R129" s="71"/>
      <c r="S129" s="296"/>
      <c r="T129" s="71"/>
      <c r="U129" s="71"/>
      <c r="V129" s="71"/>
      <c r="W129" s="71"/>
      <c r="X129" s="71"/>
      <c r="Y129" s="71"/>
      <c r="Z129" s="71"/>
    </row>
    <row r="130" spans="1:26" ht="21" customHeight="1">
      <c r="A130" s="80"/>
      <c r="B130" s="237" t="s">
        <v>112</v>
      </c>
      <c r="C130" s="237"/>
      <c r="D130" s="252" t="s">
        <v>113</v>
      </c>
      <c r="E130" s="237"/>
      <c r="F130" s="242"/>
      <c r="G130" s="242">
        <v>0.5</v>
      </c>
      <c r="H130" s="242">
        <v>0.5</v>
      </c>
      <c r="I130" s="242">
        <v>0.5</v>
      </c>
      <c r="J130" s="242">
        <v>0.5</v>
      </c>
      <c r="K130" s="242"/>
      <c r="L130" s="242"/>
      <c r="M130" s="288"/>
      <c r="N130" s="71"/>
      <c r="O130" s="71"/>
      <c r="P130" s="92"/>
      <c r="Q130" s="71"/>
      <c r="R130" s="71"/>
      <c r="S130" s="296"/>
      <c r="T130" s="71"/>
      <c r="U130" s="71"/>
      <c r="V130" s="71"/>
      <c r="W130" s="71"/>
      <c r="X130" s="71"/>
      <c r="Y130" s="71"/>
      <c r="Z130" s="71"/>
    </row>
    <row r="131" spans="1:26" ht="21" customHeight="1">
      <c r="A131" s="80"/>
      <c r="B131" s="237" t="s">
        <v>114</v>
      </c>
      <c r="C131" s="237"/>
      <c r="D131" s="252" t="s">
        <v>115</v>
      </c>
      <c r="E131" s="237"/>
      <c r="F131" s="253"/>
      <c r="G131" s="249">
        <v>0</v>
      </c>
      <c r="H131" s="249">
        <v>1</v>
      </c>
      <c r="I131" s="249">
        <v>2</v>
      </c>
      <c r="J131" s="249">
        <v>3</v>
      </c>
      <c r="K131" s="249"/>
      <c r="L131" s="249"/>
      <c r="M131" s="240"/>
      <c r="N131" s="242"/>
      <c r="O131" s="71"/>
      <c r="P131" s="92"/>
      <c r="Q131" s="71"/>
      <c r="R131" s="71"/>
      <c r="S131" s="296"/>
      <c r="T131" s="71"/>
      <c r="U131" s="71"/>
      <c r="V131" s="71"/>
      <c r="W131" s="71"/>
      <c r="X131" s="71"/>
      <c r="Y131" s="71"/>
      <c r="Z131" s="71"/>
    </row>
    <row r="132" spans="1:26" ht="21" customHeight="1">
      <c r="A132" s="80"/>
      <c r="B132" s="237" t="s">
        <v>116</v>
      </c>
      <c r="C132" s="237"/>
      <c r="D132" s="252" t="s">
        <v>117</v>
      </c>
      <c r="E132" s="237"/>
      <c r="F132" s="237"/>
      <c r="G132" s="237"/>
      <c r="H132" s="237"/>
      <c r="I132" s="237"/>
      <c r="J132" s="237"/>
      <c r="K132" s="237"/>
      <c r="L132" s="237"/>
      <c r="M132" s="240"/>
      <c r="N132" s="71"/>
      <c r="O132" s="71"/>
      <c r="P132" s="92"/>
      <c r="Q132" s="71"/>
      <c r="R132" s="71"/>
      <c r="S132" s="296"/>
      <c r="T132" s="71"/>
      <c r="U132" s="71"/>
      <c r="V132" s="71"/>
      <c r="W132" s="71"/>
      <c r="X132" s="71"/>
      <c r="Y132" s="71"/>
      <c r="Z132" s="71"/>
    </row>
    <row r="133" spans="1:26" ht="21" customHeight="1">
      <c r="A133" s="80"/>
      <c r="B133" s="237" t="s">
        <v>118</v>
      </c>
      <c r="C133" s="237"/>
      <c r="D133" s="252" t="s">
        <v>119</v>
      </c>
      <c r="E133" s="237"/>
      <c r="F133" s="250"/>
      <c r="G133" s="250">
        <v>1</v>
      </c>
      <c r="H133" s="250">
        <v>0.66669999999999996</v>
      </c>
      <c r="I133" s="250">
        <v>0.44440000000000002</v>
      </c>
      <c r="J133" s="250">
        <v>0.29630000000000001</v>
      </c>
      <c r="K133" s="250"/>
      <c r="L133" s="250"/>
      <c r="M133" s="293"/>
      <c r="N133" s="71"/>
      <c r="O133" s="71"/>
      <c r="P133" s="92"/>
      <c r="Q133" s="71"/>
      <c r="R133" s="71"/>
      <c r="S133" s="296"/>
      <c r="T133" s="71"/>
      <c r="U133" s="71"/>
      <c r="V133" s="71"/>
      <c r="W133" s="71"/>
      <c r="X133" s="71"/>
      <c r="Y133" s="71"/>
      <c r="Z133" s="71"/>
    </row>
    <row r="134" spans="1:26" ht="21" customHeight="1">
      <c r="A134" s="80"/>
      <c r="B134" s="239"/>
      <c r="C134" s="237"/>
      <c r="D134" s="237"/>
      <c r="E134" s="237"/>
      <c r="F134" s="242"/>
      <c r="G134" s="242"/>
      <c r="H134" s="242"/>
      <c r="I134" s="242"/>
      <c r="J134" s="242"/>
      <c r="K134" s="242"/>
      <c r="L134" s="71"/>
      <c r="M134" s="240"/>
      <c r="N134" s="250"/>
      <c r="O134" s="71"/>
      <c r="P134" s="92"/>
      <c r="Q134" s="71"/>
      <c r="R134" s="71"/>
      <c r="S134" s="296"/>
      <c r="T134" s="71"/>
      <c r="U134" s="71"/>
      <c r="V134" s="71"/>
      <c r="W134" s="71"/>
      <c r="X134" s="71"/>
      <c r="Y134" s="71"/>
      <c r="Z134" s="71"/>
    </row>
    <row r="135" spans="1:26" ht="21" customHeight="1">
      <c r="A135" s="80"/>
      <c r="B135" s="239" t="s">
        <v>120</v>
      </c>
      <c r="C135" s="239"/>
      <c r="D135" s="239"/>
      <c r="E135" s="237"/>
      <c r="F135" s="248"/>
      <c r="G135" s="241">
        <f>G128*G133</f>
        <v>510.51520000000011</v>
      </c>
      <c r="H135" s="241">
        <f t="shared" ref="H135:J135" si="35">H128*H133</f>
        <v>553.08578623999995</v>
      </c>
      <c r="I135" s="241">
        <f t="shared" si="35"/>
        <v>425.38679040000005</v>
      </c>
      <c r="J135" s="241">
        <f t="shared" si="35"/>
        <v>340.34772096</v>
      </c>
      <c r="K135" s="241"/>
      <c r="L135" s="241"/>
      <c r="M135" s="287"/>
      <c r="N135" s="71"/>
      <c r="O135" s="71"/>
      <c r="P135" s="92"/>
      <c r="Q135" s="71"/>
      <c r="R135" s="71"/>
      <c r="S135" s="296"/>
      <c r="T135" s="71"/>
      <c r="U135" s="71"/>
      <c r="V135" s="71"/>
      <c r="W135" s="71"/>
      <c r="X135" s="71"/>
      <c r="Y135" s="71"/>
      <c r="Z135" s="71"/>
    </row>
    <row r="136" spans="1:26" ht="21" customHeight="1">
      <c r="A136" s="80"/>
      <c r="B136" s="239"/>
      <c r="C136" s="237"/>
      <c r="D136" s="237"/>
      <c r="E136" s="237"/>
      <c r="F136" s="254"/>
      <c r="G136" s="237"/>
      <c r="H136" s="237"/>
      <c r="I136" s="237"/>
      <c r="J136" s="237"/>
      <c r="K136" s="237"/>
      <c r="L136" s="71"/>
      <c r="M136" s="240"/>
      <c r="N136" s="241"/>
      <c r="O136" s="71"/>
      <c r="P136" s="92"/>
      <c r="Q136" s="71"/>
      <c r="R136" s="71"/>
      <c r="S136" s="296"/>
      <c r="T136" s="71"/>
      <c r="U136" s="71"/>
      <c r="V136" s="71"/>
      <c r="W136" s="71"/>
      <c r="X136" s="71"/>
      <c r="Y136" s="71"/>
      <c r="Z136" s="71"/>
    </row>
    <row r="137" spans="1:26" ht="21" customHeight="1">
      <c r="A137" s="80"/>
      <c r="B137" s="239" t="s">
        <v>121</v>
      </c>
      <c r="C137" s="239"/>
      <c r="D137" s="237"/>
      <c r="E137" s="237"/>
      <c r="F137" s="254"/>
      <c r="G137" s="255">
        <f>G135+H135+I135+J135+K135+L99</f>
        <v>1829.3354976000003</v>
      </c>
      <c r="H137" s="237"/>
      <c r="I137" s="476" t="s">
        <v>133</v>
      </c>
      <c r="J137" s="476"/>
      <c r="K137" s="476"/>
      <c r="L137" s="71"/>
      <c r="M137" s="71"/>
      <c r="N137" s="71"/>
      <c r="O137" s="71"/>
      <c r="P137" s="92"/>
      <c r="Q137" s="71"/>
      <c r="R137" s="71"/>
      <c r="S137" s="296"/>
      <c r="T137" s="71"/>
      <c r="U137" s="71"/>
      <c r="V137" s="71"/>
      <c r="W137" s="71"/>
      <c r="X137" s="71"/>
      <c r="Y137" s="71"/>
      <c r="Z137" s="71"/>
    </row>
    <row r="138" spans="1:26" ht="21" customHeight="1">
      <c r="A138" s="80"/>
      <c r="B138" s="237"/>
      <c r="C138" s="237"/>
      <c r="D138" s="237"/>
      <c r="E138" s="237"/>
      <c r="F138" s="237"/>
      <c r="G138" s="237"/>
      <c r="H138" s="237"/>
      <c r="I138" s="237"/>
      <c r="J138" s="237"/>
      <c r="K138" s="237"/>
      <c r="L138" s="71"/>
      <c r="M138" s="71"/>
      <c r="N138" s="71"/>
      <c r="O138" s="71"/>
      <c r="P138" s="92"/>
      <c r="Q138" s="71"/>
      <c r="R138" s="71"/>
      <c r="S138" s="296"/>
      <c r="T138" s="71"/>
      <c r="U138" s="71"/>
      <c r="V138" s="71"/>
      <c r="W138" s="71"/>
      <c r="X138" s="71"/>
      <c r="Y138" s="71"/>
      <c r="Z138" s="71"/>
    </row>
    <row r="139" spans="1:26" ht="21" customHeight="1">
      <c r="A139" s="80"/>
      <c r="B139" s="237"/>
      <c r="C139" s="237"/>
      <c r="D139" s="237"/>
      <c r="E139" s="237"/>
      <c r="F139" s="237"/>
      <c r="G139" s="237"/>
      <c r="H139" s="237"/>
      <c r="I139" s="237"/>
      <c r="J139" s="237"/>
      <c r="K139" s="237"/>
      <c r="L139" s="71"/>
      <c r="M139" s="71"/>
      <c r="N139" s="71"/>
      <c r="O139" s="71"/>
      <c r="P139" s="92"/>
      <c r="Q139" s="71"/>
      <c r="R139" s="71"/>
      <c r="S139" s="296"/>
      <c r="T139" s="71"/>
      <c r="U139" s="71"/>
      <c r="V139" s="71"/>
      <c r="W139" s="71"/>
      <c r="X139" s="71"/>
      <c r="Y139" s="71"/>
      <c r="Z139" s="71"/>
    </row>
    <row r="140" spans="1:26" ht="21" customHeight="1">
      <c r="A140" s="80"/>
      <c r="B140" s="237" t="s">
        <v>123</v>
      </c>
      <c r="C140" s="237" t="s">
        <v>124</v>
      </c>
      <c r="D140" s="237"/>
      <c r="E140" s="237"/>
      <c r="F140" s="239" t="s">
        <v>125</v>
      </c>
      <c r="G140" s="237"/>
      <c r="H140" s="237"/>
      <c r="I140" s="237"/>
      <c r="J140" s="237"/>
      <c r="K140" s="237"/>
      <c r="L140" s="71"/>
      <c r="M140" s="71"/>
      <c r="N140" s="71"/>
      <c r="O140" s="71"/>
      <c r="P140" s="92"/>
      <c r="Q140" s="71"/>
      <c r="R140" s="71"/>
      <c r="S140" s="296"/>
      <c r="T140" s="71"/>
      <c r="U140" s="71"/>
      <c r="V140" s="71"/>
      <c r="W140" s="71"/>
      <c r="X140" s="71"/>
      <c r="Y140" s="71"/>
      <c r="Z140" s="71"/>
    </row>
    <row r="141" spans="1:26" ht="21" customHeight="1">
      <c r="A141" s="80"/>
      <c r="B141" s="237" t="s">
        <v>126</v>
      </c>
      <c r="C141" s="237" t="s">
        <v>127</v>
      </c>
      <c r="D141" s="237"/>
      <c r="E141" s="237"/>
      <c r="F141" s="73" t="s">
        <v>128</v>
      </c>
      <c r="G141" s="237"/>
      <c r="H141" s="237"/>
      <c r="I141" s="237"/>
      <c r="J141" s="237"/>
      <c r="K141" s="237"/>
      <c r="L141" s="71"/>
      <c r="M141" s="71"/>
      <c r="N141" s="71"/>
      <c r="O141" s="71"/>
      <c r="P141" s="92"/>
      <c r="Q141" s="71"/>
      <c r="R141" s="71"/>
      <c r="S141" s="296"/>
      <c r="T141" s="71"/>
      <c r="U141" s="71"/>
      <c r="V141" s="71"/>
      <c r="W141" s="71"/>
      <c r="X141" s="71"/>
      <c r="Y141" s="71"/>
      <c r="Z141" s="71"/>
    </row>
    <row r="142" spans="1:26" ht="21" customHeight="1">
      <c r="A142" s="80"/>
      <c r="B142" s="237" t="s">
        <v>129</v>
      </c>
      <c r="C142" s="237" t="s">
        <v>113</v>
      </c>
      <c r="D142" s="237"/>
      <c r="E142" s="237"/>
      <c r="F142" s="237"/>
      <c r="G142" s="237"/>
      <c r="H142" s="237"/>
      <c r="I142" s="237"/>
      <c r="J142" s="237"/>
      <c r="K142" s="237"/>
      <c r="L142" s="71"/>
      <c r="M142" s="71"/>
      <c r="N142" s="71"/>
      <c r="O142" s="71"/>
      <c r="P142" s="92"/>
      <c r="Q142" s="71"/>
      <c r="R142" s="71"/>
      <c r="S142" s="296"/>
      <c r="T142" s="71"/>
      <c r="U142" s="71"/>
      <c r="V142" s="71"/>
      <c r="W142" s="71"/>
      <c r="X142" s="71"/>
      <c r="Y142" s="71"/>
      <c r="Z142" s="71"/>
    </row>
    <row r="143" spans="1:26" ht="21" customHeight="1">
      <c r="A143" s="80"/>
      <c r="B143" s="237" t="s">
        <v>130</v>
      </c>
      <c r="C143" s="237" t="s">
        <v>131</v>
      </c>
      <c r="D143" s="237"/>
      <c r="E143" s="237"/>
      <c r="F143" s="237"/>
      <c r="G143" s="237"/>
      <c r="H143" s="237"/>
      <c r="I143" s="237"/>
      <c r="J143" s="237"/>
      <c r="K143" s="237"/>
      <c r="L143" s="71"/>
      <c r="M143" s="71"/>
      <c r="N143" s="71"/>
      <c r="O143" s="71"/>
      <c r="P143" s="92"/>
      <c r="Q143" s="71"/>
      <c r="R143" s="71"/>
      <c r="S143" s="296"/>
      <c r="T143" s="71"/>
      <c r="U143" s="71"/>
      <c r="V143" s="71"/>
      <c r="W143" s="71"/>
      <c r="X143" s="71"/>
      <c r="Y143" s="71"/>
      <c r="Z143" s="71"/>
    </row>
    <row r="144" spans="1:26" ht="21" customHeight="1" thickBot="1">
      <c r="A144" s="83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99"/>
      <c r="M144" s="99"/>
      <c r="N144" s="99"/>
      <c r="O144" s="99"/>
      <c r="P144" s="97"/>
      <c r="Q144" s="71"/>
      <c r="R144" s="71"/>
      <c r="S144" s="296"/>
      <c r="T144" s="71"/>
      <c r="U144" s="71"/>
      <c r="V144" s="71"/>
      <c r="W144" s="71"/>
      <c r="X144" s="71"/>
      <c r="Y144" s="71"/>
      <c r="Z144" s="71"/>
    </row>
    <row r="145" spans="1:26" ht="21" customHeight="1">
      <c r="A145" s="237"/>
      <c r="B145" s="237"/>
      <c r="C145" s="237"/>
      <c r="D145" s="237"/>
      <c r="E145" s="237"/>
      <c r="F145" s="237"/>
      <c r="G145" s="237"/>
      <c r="H145" s="237"/>
      <c r="I145" s="237"/>
      <c r="J145" s="237"/>
      <c r="K145" s="237"/>
      <c r="L145" s="71"/>
      <c r="M145" s="71"/>
      <c r="N145" s="71"/>
      <c r="O145" s="71"/>
      <c r="P145" s="71"/>
      <c r="Q145" s="329"/>
      <c r="R145" s="329"/>
      <c r="S145" s="296"/>
      <c r="T145" s="71"/>
      <c r="U145" s="71"/>
      <c r="V145" s="71"/>
      <c r="W145" s="71"/>
      <c r="X145" s="71"/>
      <c r="Y145" s="71"/>
      <c r="Z145" s="71"/>
    </row>
    <row r="146" spans="1:26" ht="21" customHeight="1" thickBot="1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296"/>
      <c r="T146" s="71"/>
      <c r="U146" s="71"/>
      <c r="V146" s="71"/>
      <c r="W146" s="71"/>
      <c r="X146" s="71"/>
      <c r="Y146" s="71"/>
      <c r="Z146" s="71"/>
    </row>
    <row r="147" spans="1:26" ht="21" customHeight="1">
      <c r="A147" s="68" t="s">
        <v>257</v>
      </c>
      <c r="B147" s="69"/>
      <c r="C147" s="69"/>
      <c r="D147" s="69"/>
      <c r="E147" s="77"/>
      <c r="F147" s="77"/>
      <c r="G147" s="77"/>
      <c r="H147" s="90" t="str">
        <f>G5</f>
        <v>Year 1</v>
      </c>
      <c r="I147" s="342" t="s">
        <v>5</v>
      </c>
      <c r="J147" s="342" t="s">
        <v>6</v>
      </c>
      <c r="K147" s="342" t="s">
        <v>8</v>
      </c>
      <c r="L147" s="342" t="s">
        <v>9</v>
      </c>
      <c r="M147" s="342" t="s">
        <v>96</v>
      </c>
      <c r="N147" s="342" t="s">
        <v>97</v>
      </c>
      <c r="O147" s="342" t="s">
        <v>98</v>
      </c>
      <c r="P147" s="91"/>
      <c r="Q147" s="71"/>
      <c r="R147" s="71"/>
      <c r="S147" s="296"/>
      <c r="T147" s="71"/>
      <c r="U147" s="71"/>
      <c r="V147" s="71"/>
      <c r="W147" s="71"/>
      <c r="X147" s="71"/>
      <c r="Y147" s="71"/>
      <c r="Z147" s="71"/>
    </row>
    <row r="148" spans="1:26" ht="21" customHeight="1">
      <c r="A148" s="72"/>
      <c r="B148" s="73" t="s">
        <v>102</v>
      </c>
      <c r="C148" s="73"/>
      <c r="D148" s="73"/>
      <c r="E148" s="237"/>
      <c r="F148" s="241"/>
      <c r="G148" s="241"/>
      <c r="H148" s="241">
        <f>Calculations!E74</f>
        <v>120</v>
      </c>
      <c r="I148" s="241">
        <f>Calculations!F74</f>
        <v>243.6</v>
      </c>
      <c r="J148" s="241">
        <f>Calculations!G74</f>
        <v>244.32000000000002</v>
      </c>
      <c r="K148" s="241">
        <f>Calculations!H74</f>
        <v>244.8</v>
      </c>
      <c r="L148" s="241">
        <f>Calculations!I74</f>
        <v>246</v>
      </c>
      <c r="M148" s="328">
        <f>L148*(1+0.5%)</f>
        <v>247.22999999999996</v>
      </c>
      <c r="N148" s="328">
        <f>M148*(1+0.5%)</f>
        <v>248.46614999999994</v>
      </c>
      <c r="O148" s="328">
        <f>N148*(1+0.5%)</f>
        <v>249.70848074999992</v>
      </c>
      <c r="P148" s="92"/>
      <c r="Q148" s="71"/>
      <c r="R148" s="71"/>
      <c r="S148" s="296"/>
      <c r="T148" s="71"/>
      <c r="U148" s="71"/>
      <c r="V148" s="71"/>
      <c r="W148" s="71"/>
      <c r="X148" s="71"/>
      <c r="Y148" s="71"/>
      <c r="Z148" s="71"/>
    </row>
    <row r="149" spans="1:26" ht="21" customHeight="1">
      <c r="A149" s="72"/>
      <c r="B149" s="73" t="s">
        <v>33</v>
      </c>
      <c r="C149" s="73"/>
      <c r="D149" s="73"/>
      <c r="E149" s="237"/>
      <c r="F149" s="242"/>
      <c r="G149" s="242"/>
      <c r="H149" s="74">
        <v>0.59</v>
      </c>
      <c r="I149" s="74">
        <v>0.59</v>
      </c>
      <c r="J149" s="74">
        <v>0.59</v>
      </c>
      <c r="K149" s="74">
        <v>0.59</v>
      </c>
      <c r="L149" s="74">
        <v>0.59</v>
      </c>
      <c r="M149" s="74">
        <v>0.59</v>
      </c>
      <c r="N149" s="74">
        <v>0.59</v>
      </c>
      <c r="O149" s="74">
        <v>0.59</v>
      </c>
      <c r="P149" s="92"/>
      <c r="Q149" s="71"/>
      <c r="R149" s="71"/>
      <c r="S149" s="296"/>
      <c r="T149" s="71"/>
      <c r="U149" s="71"/>
      <c r="V149" s="71"/>
      <c r="W149" s="71"/>
      <c r="X149" s="71"/>
      <c r="Y149" s="71"/>
      <c r="Z149" s="71"/>
    </row>
    <row r="150" spans="1:26" ht="21" customHeight="1">
      <c r="A150" s="72"/>
      <c r="B150" s="238" t="s">
        <v>103</v>
      </c>
      <c r="C150" s="73"/>
      <c r="D150" s="73"/>
      <c r="E150" s="237"/>
      <c r="F150" s="241"/>
      <c r="G150" s="241"/>
      <c r="H150" s="241">
        <f>H148*H149</f>
        <v>70.8</v>
      </c>
      <c r="I150" s="241">
        <f t="shared" ref="I150:L150" si="36">I148*I149</f>
        <v>143.72399999999999</v>
      </c>
      <c r="J150" s="241">
        <f t="shared" si="36"/>
        <v>144.14879999999999</v>
      </c>
      <c r="K150" s="241">
        <f t="shared" si="36"/>
        <v>144.43199999999999</v>
      </c>
      <c r="L150" s="241">
        <f t="shared" si="36"/>
        <v>145.13999999999999</v>
      </c>
      <c r="M150" s="241">
        <f t="shared" ref="M150" si="37">M148*M149</f>
        <v>145.86569999999998</v>
      </c>
      <c r="N150" s="241">
        <f t="shared" ref="N150" si="38">N148*N149</f>
        <v>146.59502849999996</v>
      </c>
      <c r="O150" s="241">
        <f t="shared" ref="O150" si="39">O148*O149</f>
        <v>147.32800364249994</v>
      </c>
      <c r="P150" s="92"/>
      <c r="Q150" s="71"/>
      <c r="R150" s="71"/>
      <c r="S150" s="296"/>
      <c r="T150" s="71"/>
      <c r="U150" s="71"/>
      <c r="V150" s="71"/>
      <c r="W150" s="71"/>
      <c r="X150" s="71"/>
      <c r="Y150" s="71"/>
      <c r="Z150" s="71"/>
    </row>
    <row r="151" spans="1:26" ht="21" customHeight="1">
      <c r="A151" s="72"/>
      <c r="B151" s="73"/>
      <c r="C151" s="73"/>
      <c r="D151" s="73"/>
      <c r="E151" s="237"/>
      <c r="F151" s="237"/>
      <c r="G151" s="237"/>
      <c r="H151" s="237"/>
      <c r="I151" s="237"/>
      <c r="J151" s="237"/>
      <c r="K151" s="237"/>
      <c r="L151" s="71"/>
      <c r="M151" s="71"/>
      <c r="N151" s="71"/>
      <c r="O151" s="71"/>
      <c r="P151" s="92"/>
      <c r="Q151" s="71"/>
      <c r="R151" s="71"/>
      <c r="S151" s="296"/>
      <c r="T151" s="71"/>
      <c r="U151" s="71"/>
      <c r="V151" s="71"/>
      <c r="W151" s="71"/>
      <c r="X151" s="71"/>
      <c r="Y151" s="71"/>
      <c r="Z151" s="71"/>
    </row>
    <row r="152" spans="1:26" ht="21" customHeight="1">
      <c r="A152" s="75" t="s">
        <v>104</v>
      </c>
      <c r="B152" s="73"/>
      <c r="C152" s="73"/>
      <c r="D152" s="73"/>
      <c r="E152" s="237"/>
      <c r="F152" s="237"/>
      <c r="G152" s="237"/>
      <c r="H152" s="237"/>
      <c r="I152" s="237"/>
      <c r="J152" s="237"/>
      <c r="K152" s="237"/>
      <c r="L152" s="71"/>
      <c r="M152" s="71"/>
      <c r="N152" s="71"/>
      <c r="O152" s="71"/>
      <c r="P152" s="92"/>
      <c r="Q152" s="71"/>
      <c r="R152" s="71"/>
      <c r="S152" s="296"/>
      <c r="T152" s="71"/>
      <c r="U152" s="71"/>
      <c r="V152" s="71"/>
      <c r="W152" s="71"/>
      <c r="X152" s="71"/>
      <c r="Y152" s="71"/>
      <c r="Z152" s="71"/>
    </row>
    <row r="153" spans="1:26" ht="21" customHeight="1">
      <c r="A153" s="72"/>
      <c r="B153" s="237" t="s">
        <v>105</v>
      </c>
      <c r="C153" s="237"/>
      <c r="D153" s="237"/>
      <c r="E153" s="237"/>
      <c r="F153" s="241"/>
      <c r="H153" s="241">
        <v>0</v>
      </c>
      <c r="I153" s="241">
        <v>0</v>
      </c>
      <c r="J153" s="241">
        <v>0</v>
      </c>
      <c r="K153" s="241">
        <v>0</v>
      </c>
      <c r="L153" s="241">
        <v>0</v>
      </c>
      <c r="M153" s="241">
        <v>0</v>
      </c>
      <c r="N153" s="241">
        <v>0</v>
      </c>
      <c r="O153" s="241">
        <v>0</v>
      </c>
      <c r="P153" s="92"/>
      <c r="Q153" s="71"/>
      <c r="R153" s="71"/>
      <c r="S153" s="296"/>
      <c r="T153" s="71"/>
      <c r="U153" s="71"/>
      <c r="V153" s="71"/>
      <c r="W153" s="71"/>
      <c r="X153" s="71"/>
      <c r="Y153" s="71"/>
      <c r="Z153" s="71"/>
    </row>
    <row r="154" spans="1:26" ht="21" customHeight="1">
      <c r="A154" s="72"/>
      <c r="B154" s="237" t="s">
        <v>106</v>
      </c>
      <c r="C154" s="237"/>
      <c r="D154" s="237"/>
      <c r="E154" s="237"/>
      <c r="F154" s="242"/>
      <c r="H154" s="242">
        <v>1</v>
      </c>
      <c r="I154" s="242">
        <v>0.9</v>
      </c>
      <c r="J154" s="242">
        <v>0.9</v>
      </c>
      <c r="K154" s="242">
        <v>0.9</v>
      </c>
      <c r="L154" s="242">
        <v>0.9</v>
      </c>
      <c r="M154" s="242">
        <v>0.9</v>
      </c>
      <c r="N154" s="242">
        <v>0.9</v>
      </c>
      <c r="O154" s="242">
        <v>0.9</v>
      </c>
      <c r="P154" s="92"/>
      <c r="Q154" s="71"/>
      <c r="R154" s="71"/>
      <c r="S154" s="296"/>
      <c r="T154" s="71"/>
      <c r="U154" s="71"/>
      <c r="V154" s="71"/>
      <c r="W154" s="71"/>
      <c r="X154" s="71"/>
      <c r="Y154" s="71"/>
      <c r="Z154" s="71"/>
    </row>
    <row r="155" spans="1:26" ht="21" customHeight="1">
      <c r="A155" s="72"/>
      <c r="B155" s="237" t="s">
        <v>107</v>
      </c>
      <c r="C155" s="237"/>
      <c r="D155" s="237"/>
      <c r="E155" s="237"/>
      <c r="F155" s="242"/>
      <c r="H155" s="242">
        <v>1</v>
      </c>
      <c r="I155" s="242">
        <v>0.9</v>
      </c>
      <c r="J155" s="242">
        <v>0.81</v>
      </c>
      <c r="K155" s="243">
        <v>0.72899999999999998</v>
      </c>
      <c r="L155" s="243">
        <v>0.72899999999999998</v>
      </c>
      <c r="M155" s="243">
        <v>0.72899999999999998</v>
      </c>
      <c r="N155" s="243">
        <v>0.72899999999999998</v>
      </c>
      <c r="O155" s="243">
        <v>0.72899999999999998</v>
      </c>
      <c r="P155" s="92"/>
      <c r="Q155" s="71"/>
      <c r="R155" s="71"/>
      <c r="S155" s="296"/>
      <c r="T155" s="71"/>
      <c r="U155" s="71"/>
      <c r="V155" s="71"/>
      <c r="W155" s="71"/>
      <c r="X155" s="71"/>
      <c r="Y155" s="71"/>
      <c r="Z155" s="71"/>
    </row>
    <row r="156" spans="1:26" ht="21" customHeight="1">
      <c r="A156" s="72"/>
      <c r="B156" s="237" t="s">
        <v>108</v>
      </c>
      <c r="C156" s="237"/>
      <c r="D156" s="237"/>
      <c r="E156" s="237"/>
      <c r="F156" s="237"/>
      <c r="H156" s="244">
        <v>0</v>
      </c>
      <c r="I156" s="244">
        <v>0</v>
      </c>
      <c r="J156" s="244">
        <v>0</v>
      </c>
      <c r="K156" s="244">
        <v>0</v>
      </c>
      <c r="L156" s="244">
        <v>0</v>
      </c>
      <c r="M156" s="244">
        <v>0</v>
      </c>
      <c r="N156" s="244">
        <v>0</v>
      </c>
      <c r="O156" s="244">
        <v>0</v>
      </c>
      <c r="P156" s="92"/>
      <c r="Q156" s="71"/>
      <c r="R156" s="71"/>
      <c r="S156" s="296"/>
      <c r="T156" s="71"/>
      <c r="U156" s="71"/>
      <c r="V156" s="71"/>
      <c r="W156" s="71"/>
      <c r="X156" s="71"/>
      <c r="Y156" s="71"/>
      <c r="Z156" s="71"/>
    </row>
    <row r="157" spans="1:26" ht="21" customHeight="1">
      <c r="A157" s="72"/>
      <c r="B157" s="237" t="s">
        <v>106</v>
      </c>
      <c r="C157" s="237"/>
      <c r="D157" s="237"/>
      <c r="E157" s="237"/>
      <c r="F157" s="237"/>
      <c r="H157" s="242">
        <v>1</v>
      </c>
      <c r="I157" s="242">
        <v>0.9</v>
      </c>
      <c r="J157" s="242">
        <v>0.9</v>
      </c>
      <c r="K157" s="242">
        <v>0.9</v>
      </c>
      <c r="L157" s="242">
        <v>0.9</v>
      </c>
      <c r="M157" s="242">
        <v>0.9</v>
      </c>
      <c r="N157" s="242">
        <v>0.9</v>
      </c>
      <c r="O157" s="242">
        <v>0.9</v>
      </c>
      <c r="P157" s="92"/>
      <c r="Q157" s="71"/>
      <c r="R157" s="71"/>
      <c r="S157" s="296"/>
      <c r="T157" s="71"/>
      <c r="U157" s="71"/>
      <c r="V157" s="71"/>
      <c r="W157" s="71"/>
      <c r="X157" s="71"/>
      <c r="Y157" s="71"/>
      <c r="Z157" s="71"/>
    </row>
    <row r="158" spans="1:26" ht="21" customHeight="1">
      <c r="A158" s="72"/>
      <c r="B158" s="237" t="s">
        <v>107</v>
      </c>
      <c r="C158" s="237"/>
      <c r="D158" s="237"/>
      <c r="E158" s="237"/>
      <c r="F158" s="237"/>
      <c r="H158" s="242">
        <v>1</v>
      </c>
      <c r="I158" s="242">
        <f>I157*H158</f>
        <v>0.9</v>
      </c>
      <c r="J158" s="242">
        <f>J157*I158</f>
        <v>0.81</v>
      </c>
      <c r="K158" s="243">
        <f>K157*J158</f>
        <v>0.72900000000000009</v>
      </c>
      <c r="L158" s="243">
        <f>L157*K231</f>
        <v>0.72900000000000009</v>
      </c>
      <c r="M158" s="243">
        <f>M157*L231</f>
        <v>0.72900000000000009</v>
      </c>
      <c r="N158" s="243">
        <f>N157*M231</f>
        <v>0.65610000000000013</v>
      </c>
      <c r="O158" s="243">
        <f>O157*N231</f>
        <v>0.81</v>
      </c>
      <c r="P158" s="92"/>
      <c r="Q158" s="71"/>
      <c r="R158" s="71"/>
      <c r="S158" s="296"/>
      <c r="T158" s="71"/>
      <c r="U158" s="71"/>
      <c r="V158" s="71"/>
      <c r="W158" s="71"/>
      <c r="X158" s="71"/>
      <c r="Y158" s="71"/>
      <c r="Z158" s="71"/>
    </row>
    <row r="159" spans="1:26" ht="21" customHeight="1">
      <c r="A159" s="80"/>
      <c r="B159" s="237" t="s">
        <v>109</v>
      </c>
      <c r="C159" s="237"/>
      <c r="D159" s="237"/>
      <c r="E159" s="237"/>
      <c r="F159" s="242"/>
      <c r="H159" s="245">
        <v>0.82</v>
      </c>
      <c r="I159" s="245">
        <v>0.83</v>
      </c>
      <c r="J159" s="245">
        <v>0.84</v>
      </c>
      <c r="K159" s="245">
        <v>0.85</v>
      </c>
      <c r="L159" s="245">
        <v>0.86</v>
      </c>
      <c r="M159" s="245">
        <v>0.86</v>
      </c>
      <c r="N159" s="245">
        <v>0.86</v>
      </c>
      <c r="O159" s="245">
        <v>0.86</v>
      </c>
      <c r="P159" s="92"/>
      <c r="Q159" s="71"/>
      <c r="R159" s="71"/>
      <c r="S159" s="296"/>
      <c r="T159" s="71"/>
      <c r="U159" s="71"/>
      <c r="V159" s="71"/>
      <c r="W159" s="71"/>
      <c r="X159" s="71"/>
      <c r="Y159" s="71"/>
      <c r="Z159" s="71"/>
    </row>
    <row r="160" spans="1:26" ht="21" customHeight="1">
      <c r="A160" s="80"/>
      <c r="B160" s="237"/>
      <c r="C160" s="237"/>
      <c r="D160" s="237"/>
      <c r="E160" s="237"/>
      <c r="F160" s="242"/>
      <c r="H160" s="251"/>
      <c r="I160" s="242"/>
      <c r="J160" s="242"/>
      <c r="K160" s="242"/>
      <c r="L160" s="242"/>
      <c r="M160" s="242"/>
      <c r="N160" s="242"/>
      <c r="O160" s="242"/>
      <c r="P160" s="92"/>
      <c r="Q160" s="71"/>
      <c r="R160" s="71"/>
      <c r="S160" s="296"/>
      <c r="T160" s="71"/>
      <c r="U160" s="71"/>
      <c r="V160" s="71"/>
      <c r="W160" s="71"/>
      <c r="X160" s="71"/>
      <c r="Y160" s="71"/>
      <c r="Z160" s="71"/>
    </row>
    <row r="161" spans="1:26" ht="21" customHeight="1">
      <c r="A161" s="80"/>
      <c r="B161" s="239" t="s">
        <v>110</v>
      </c>
      <c r="C161" s="239"/>
      <c r="D161" s="237"/>
      <c r="E161" s="237"/>
      <c r="F161" s="248"/>
      <c r="H161" s="244">
        <f>(H153*H155+H156*H158)*H159</f>
        <v>0</v>
      </c>
      <c r="I161" s="244">
        <f t="shared" ref="I161:K161" si="40">(I153*I155+I156*I158)*I159</f>
        <v>0</v>
      </c>
      <c r="J161" s="244">
        <f t="shared" si="40"/>
        <v>0</v>
      </c>
      <c r="K161" s="244">
        <f t="shared" si="40"/>
        <v>0</v>
      </c>
      <c r="L161" s="244">
        <f t="shared" ref="J161:L234" si="41">(L153*L155+L156*L158)*L159</f>
        <v>0</v>
      </c>
      <c r="M161" s="244">
        <f t="shared" ref="M161:O161" si="42">(M153*M155+M156*M158)*M159</f>
        <v>0</v>
      </c>
      <c r="N161" s="244">
        <f t="shared" si="42"/>
        <v>0</v>
      </c>
      <c r="O161" s="244">
        <f t="shared" si="42"/>
        <v>0</v>
      </c>
      <c r="P161" s="92"/>
      <c r="Q161" s="71"/>
      <c r="R161" s="71"/>
      <c r="S161" s="296"/>
      <c r="T161" s="71"/>
      <c r="U161" s="71"/>
      <c r="V161" s="71"/>
      <c r="W161" s="71"/>
      <c r="X161" s="71"/>
      <c r="Y161" s="71"/>
      <c r="Z161" s="71"/>
    </row>
    <row r="162" spans="1:26" ht="21" customHeight="1">
      <c r="A162" s="80"/>
      <c r="B162" s="237"/>
      <c r="C162" s="237"/>
      <c r="D162" s="237"/>
      <c r="E162" s="237"/>
      <c r="F162" s="237"/>
      <c r="H162" s="244"/>
      <c r="I162" s="244"/>
      <c r="J162" s="244"/>
      <c r="K162" s="244"/>
      <c r="L162" s="244"/>
      <c r="M162" s="244"/>
      <c r="N162" s="244"/>
      <c r="O162" s="244"/>
      <c r="P162" s="92"/>
      <c r="Q162" s="71"/>
      <c r="R162" s="71"/>
      <c r="S162" s="296"/>
      <c r="T162" s="71"/>
      <c r="U162" s="71"/>
      <c r="V162" s="71"/>
      <c r="W162" s="71"/>
      <c r="X162" s="71"/>
      <c r="Y162" s="71"/>
      <c r="Z162" s="71"/>
    </row>
    <row r="163" spans="1:26" ht="21" customHeight="1">
      <c r="A163" s="80"/>
      <c r="B163" s="239" t="s">
        <v>111</v>
      </c>
      <c r="C163" s="237"/>
      <c r="D163" s="237"/>
      <c r="E163" s="237"/>
      <c r="F163" s="248"/>
      <c r="H163" s="244">
        <f>H161+H150</f>
        <v>70.8</v>
      </c>
      <c r="I163" s="244">
        <f t="shared" ref="I163:K163" si="43">I161+I150</f>
        <v>143.72399999999999</v>
      </c>
      <c r="J163" s="244">
        <f t="shared" si="43"/>
        <v>144.14879999999999</v>
      </c>
      <c r="K163" s="244">
        <f t="shared" si="43"/>
        <v>144.43199999999999</v>
      </c>
      <c r="L163" s="244">
        <f t="shared" ref="J163:L236" si="44">L161+L150</f>
        <v>145.13999999999999</v>
      </c>
      <c r="M163" s="244">
        <f t="shared" ref="M163:O163" si="45">M161+M150</f>
        <v>145.86569999999998</v>
      </c>
      <c r="N163" s="244">
        <f t="shared" si="45"/>
        <v>146.59502849999996</v>
      </c>
      <c r="O163" s="244">
        <f t="shared" si="45"/>
        <v>147.32800364249994</v>
      </c>
      <c r="P163" s="92"/>
      <c r="Q163" s="71"/>
      <c r="R163" s="71"/>
      <c r="S163" s="296"/>
      <c r="T163" s="71"/>
      <c r="U163" s="71"/>
      <c r="V163" s="71"/>
      <c r="W163" s="71"/>
      <c r="X163" s="71"/>
      <c r="Y163" s="71"/>
      <c r="Z163" s="71"/>
    </row>
    <row r="164" spans="1:26" ht="21" customHeight="1">
      <c r="A164" s="80"/>
      <c r="B164" s="239"/>
      <c r="C164" s="237"/>
      <c r="D164" s="237"/>
      <c r="E164" s="237"/>
      <c r="F164" s="248"/>
      <c r="H164" s="248"/>
      <c r="I164" s="248"/>
      <c r="J164" s="248"/>
      <c r="K164" s="248"/>
      <c r="L164" s="248"/>
      <c r="M164" s="248"/>
      <c r="N164" s="248"/>
      <c r="O164" s="248"/>
      <c r="P164" s="92"/>
      <c r="Q164" s="71"/>
      <c r="R164" s="71"/>
      <c r="S164" s="296"/>
      <c r="T164" s="71"/>
      <c r="U164" s="71"/>
      <c r="V164" s="71"/>
      <c r="W164" s="71"/>
      <c r="X164" s="71"/>
      <c r="Y164" s="71"/>
      <c r="Z164" s="71"/>
    </row>
    <row r="165" spans="1:26" ht="21" customHeight="1">
      <c r="A165" s="80"/>
      <c r="B165" s="237" t="s">
        <v>112</v>
      </c>
      <c r="C165" s="237"/>
      <c r="D165" s="252" t="s">
        <v>113</v>
      </c>
      <c r="E165" s="237"/>
      <c r="F165" s="242"/>
      <c r="H165" s="242">
        <v>0.5</v>
      </c>
      <c r="I165" s="242">
        <v>0.5</v>
      </c>
      <c r="J165" s="242">
        <v>0.5</v>
      </c>
      <c r="K165" s="242">
        <v>0.5</v>
      </c>
      <c r="L165" s="242">
        <v>0.5</v>
      </c>
      <c r="M165" s="242">
        <v>0.5</v>
      </c>
      <c r="N165" s="242">
        <v>0.5</v>
      </c>
      <c r="O165" s="242">
        <v>0.5</v>
      </c>
      <c r="P165" s="92"/>
      <c r="Q165" s="71"/>
      <c r="R165" s="71"/>
      <c r="S165" s="296"/>
      <c r="T165" s="71"/>
      <c r="U165" s="71"/>
      <c r="V165" s="71"/>
      <c r="W165" s="71"/>
      <c r="X165" s="71"/>
      <c r="Y165" s="71"/>
      <c r="Z165" s="71"/>
    </row>
    <row r="166" spans="1:26" ht="21" customHeight="1">
      <c r="A166" s="80"/>
      <c r="B166" s="237" t="s">
        <v>114</v>
      </c>
      <c r="C166" s="237"/>
      <c r="D166" s="252" t="s">
        <v>115</v>
      </c>
      <c r="E166" s="237"/>
      <c r="F166" s="253"/>
      <c r="H166" s="249">
        <v>0</v>
      </c>
      <c r="I166" s="249">
        <v>1</v>
      </c>
      <c r="J166" s="249">
        <v>2</v>
      </c>
      <c r="K166" s="249">
        <v>3</v>
      </c>
      <c r="L166" s="249">
        <v>4</v>
      </c>
      <c r="M166" s="249">
        <v>4</v>
      </c>
      <c r="N166" s="249">
        <v>4</v>
      </c>
      <c r="O166" s="249">
        <v>4</v>
      </c>
      <c r="P166" s="92"/>
      <c r="Q166" s="71"/>
      <c r="R166" s="71"/>
      <c r="S166" s="296"/>
      <c r="T166" s="71"/>
      <c r="U166" s="71"/>
      <c r="V166" s="71"/>
      <c r="W166" s="71"/>
      <c r="X166" s="71"/>
      <c r="Y166" s="71"/>
      <c r="Z166" s="71"/>
    </row>
    <row r="167" spans="1:26" ht="21" customHeight="1">
      <c r="A167" s="80"/>
      <c r="B167" s="237" t="s">
        <v>116</v>
      </c>
      <c r="C167" s="237"/>
      <c r="D167" s="252" t="s">
        <v>117</v>
      </c>
      <c r="E167" s="237"/>
      <c r="F167" s="237"/>
      <c r="H167" s="237"/>
      <c r="I167" s="237"/>
      <c r="J167" s="237"/>
      <c r="K167" s="237"/>
      <c r="L167" s="237"/>
      <c r="M167" s="237"/>
      <c r="N167" s="237"/>
      <c r="O167" s="237"/>
      <c r="P167" s="92"/>
      <c r="Q167" s="71"/>
      <c r="R167" s="71"/>
      <c r="S167" s="296"/>
      <c r="T167" s="71"/>
      <c r="U167" s="71"/>
      <c r="V167" s="71"/>
      <c r="W167" s="71"/>
      <c r="X167" s="71"/>
      <c r="Y167" s="71"/>
      <c r="Z167" s="71"/>
    </row>
    <row r="168" spans="1:26" ht="21" customHeight="1">
      <c r="A168" s="80"/>
      <c r="B168" s="237" t="s">
        <v>118</v>
      </c>
      <c r="C168" s="237"/>
      <c r="D168" s="252" t="s">
        <v>119</v>
      </c>
      <c r="E168" s="237"/>
      <c r="F168" s="250"/>
      <c r="H168" s="250">
        <v>1</v>
      </c>
      <c r="I168" s="250">
        <v>0.66669999999999996</v>
      </c>
      <c r="J168" s="250">
        <v>0.44440000000000002</v>
      </c>
      <c r="K168" s="250">
        <v>0.29630000000000001</v>
      </c>
      <c r="L168" s="250">
        <v>0.29630000000000001</v>
      </c>
      <c r="M168" s="250">
        <v>0.29630000000000001</v>
      </c>
      <c r="N168" s="250">
        <v>0.29630000000000001</v>
      </c>
      <c r="O168" s="250">
        <v>0.29630000000000001</v>
      </c>
      <c r="P168" s="92"/>
      <c r="Q168" s="71"/>
      <c r="R168" s="71"/>
      <c r="S168" s="296"/>
      <c r="T168" s="71"/>
      <c r="U168" s="71"/>
      <c r="V168" s="71"/>
      <c r="W168" s="71"/>
      <c r="X168" s="71"/>
      <c r="Y168" s="71"/>
      <c r="Z168" s="71"/>
    </row>
    <row r="169" spans="1:26" ht="21" customHeight="1">
      <c r="A169" s="80"/>
      <c r="B169" s="239"/>
      <c r="C169" s="237"/>
      <c r="D169" s="237"/>
      <c r="E169" s="237"/>
      <c r="F169" s="242"/>
      <c r="G169" s="242"/>
      <c r="H169" s="242"/>
      <c r="I169" s="242"/>
      <c r="J169" s="242"/>
      <c r="K169" s="242"/>
      <c r="L169" s="242"/>
      <c r="M169" s="242"/>
      <c r="N169" s="242"/>
      <c r="O169" s="242"/>
      <c r="P169" s="92"/>
      <c r="Q169" s="71"/>
      <c r="R169" s="71"/>
      <c r="S169" s="296"/>
      <c r="T169" s="71"/>
      <c r="U169" s="71"/>
      <c r="V169" s="71"/>
      <c r="W169" s="71"/>
      <c r="X169" s="71"/>
      <c r="Y169" s="71"/>
      <c r="Z169" s="71"/>
    </row>
    <row r="170" spans="1:26" ht="21" customHeight="1">
      <c r="A170" s="80"/>
      <c r="B170" s="239" t="s">
        <v>120</v>
      </c>
      <c r="C170" s="239"/>
      <c r="D170" s="239"/>
      <c r="E170" s="237"/>
      <c r="F170" s="248"/>
      <c r="G170" s="241"/>
      <c r="H170" s="241">
        <f t="shared" ref="H170:K170" si="46">H163*H168</f>
        <v>70.8</v>
      </c>
      <c r="I170" s="241">
        <f t="shared" si="46"/>
        <v>95.820790799999983</v>
      </c>
      <c r="J170" s="241">
        <f t="shared" si="46"/>
        <v>64.05972672</v>
      </c>
      <c r="K170" s="241">
        <f t="shared" si="46"/>
        <v>42.795201599999999</v>
      </c>
      <c r="L170" s="241">
        <f t="shared" ref="I170:L243" si="47">L163*L168</f>
        <v>43.004981999999998</v>
      </c>
      <c r="M170" s="241">
        <f t="shared" ref="M170:O170" si="48">M163*M168</f>
        <v>43.220006909999995</v>
      </c>
      <c r="N170" s="241">
        <f t="shared" si="48"/>
        <v>43.436106944549991</v>
      </c>
      <c r="O170" s="241">
        <f t="shared" si="48"/>
        <v>43.653287479272734</v>
      </c>
      <c r="P170" s="92"/>
      <c r="Q170" s="71"/>
      <c r="R170" s="71"/>
      <c r="S170" s="296"/>
      <c r="T170" s="71"/>
      <c r="U170" s="71"/>
      <c r="V170" s="71"/>
      <c r="W170" s="71"/>
      <c r="X170" s="71"/>
      <c r="Y170" s="71"/>
      <c r="Z170" s="71"/>
    </row>
    <row r="171" spans="1:26" ht="21" customHeight="1">
      <c r="A171" s="80"/>
      <c r="B171" s="239"/>
      <c r="C171" s="237"/>
      <c r="D171" s="237"/>
      <c r="E171" s="237"/>
      <c r="F171" s="254"/>
      <c r="G171" s="237"/>
      <c r="H171" s="237"/>
      <c r="I171" s="237"/>
      <c r="J171" s="237"/>
      <c r="K171" s="237"/>
      <c r="L171" s="71"/>
      <c r="M171" s="71"/>
      <c r="N171" s="241"/>
      <c r="O171" s="241"/>
      <c r="P171" s="92"/>
      <c r="Q171" s="71"/>
      <c r="R171" s="71"/>
      <c r="S171" s="296"/>
      <c r="T171" s="71"/>
      <c r="U171" s="71"/>
      <c r="V171" s="71"/>
      <c r="W171" s="71"/>
      <c r="X171" s="71"/>
      <c r="Y171" s="71"/>
      <c r="Z171" s="71"/>
    </row>
    <row r="172" spans="1:26" ht="21" customHeight="1">
      <c r="A172" s="80"/>
      <c r="B172" s="239" t="s">
        <v>121</v>
      </c>
      <c r="C172" s="239"/>
      <c r="D172" s="237"/>
      <c r="E172" s="237"/>
      <c r="F172" s="254"/>
      <c r="G172" s="256"/>
      <c r="H172" s="257">
        <f>H170+I170+J170+K170+L13+L170</f>
        <v>317.38070111999991</v>
      </c>
      <c r="I172" s="476" t="s">
        <v>132</v>
      </c>
      <c r="J172" s="476"/>
      <c r="K172" s="476"/>
      <c r="L172" s="71"/>
      <c r="M172" s="71"/>
      <c r="N172" s="71"/>
      <c r="O172" s="71"/>
      <c r="P172" s="92"/>
      <c r="Q172" s="71"/>
      <c r="R172" s="71"/>
      <c r="S172" s="296"/>
      <c r="T172" s="71"/>
      <c r="U172" s="71"/>
      <c r="V172" s="71"/>
      <c r="W172" s="71"/>
      <c r="X172" s="71"/>
      <c r="Y172" s="71"/>
      <c r="Z172" s="71"/>
    </row>
    <row r="173" spans="1:26" ht="21" customHeight="1">
      <c r="A173" s="80"/>
      <c r="B173" s="237"/>
      <c r="C173" s="237"/>
      <c r="D173" s="237"/>
      <c r="E173" s="237"/>
      <c r="F173" s="237"/>
      <c r="G173" s="237"/>
      <c r="H173" s="237"/>
      <c r="I173" s="237"/>
      <c r="J173" s="237"/>
      <c r="K173" s="237"/>
      <c r="L173" s="71"/>
      <c r="M173" s="71"/>
      <c r="N173" s="71"/>
      <c r="O173" s="71"/>
      <c r="P173" s="92"/>
      <c r="Q173" s="71"/>
      <c r="R173" s="71"/>
      <c r="S173" s="296"/>
      <c r="T173" s="71"/>
      <c r="U173" s="71"/>
      <c r="V173" s="71"/>
      <c r="W173" s="71"/>
      <c r="X173" s="71"/>
      <c r="Y173" s="71"/>
      <c r="Z173" s="71"/>
    </row>
    <row r="174" spans="1:26" ht="21" customHeight="1">
      <c r="A174" s="80"/>
      <c r="B174" s="237"/>
      <c r="C174" s="237"/>
      <c r="D174" s="237"/>
      <c r="E174" s="237"/>
      <c r="F174" s="237"/>
      <c r="G174" s="237"/>
      <c r="H174" s="237"/>
      <c r="I174" s="237"/>
      <c r="J174" s="237"/>
      <c r="K174" s="237"/>
      <c r="L174" s="71"/>
      <c r="M174" s="71"/>
      <c r="N174" s="71"/>
      <c r="O174" s="71"/>
      <c r="P174" s="92"/>
      <c r="Q174" s="71"/>
      <c r="R174" s="71"/>
      <c r="S174" s="296"/>
      <c r="T174" s="71"/>
      <c r="U174" s="71"/>
      <c r="V174" s="71"/>
      <c r="W174" s="71"/>
      <c r="X174" s="71"/>
      <c r="Y174" s="71"/>
      <c r="Z174" s="71"/>
    </row>
    <row r="175" spans="1:26" ht="21" customHeight="1">
      <c r="A175" s="80"/>
      <c r="B175" s="237" t="s">
        <v>123</v>
      </c>
      <c r="C175" s="237" t="s">
        <v>124</v>
      </c>
      <c r="D175" s="237"/>
      <c r="E175" s="237"/>
      <c r="F175" s="239" t="s">
        <v>125</v>
      </c>
      <c r="G175" s="237"/>
      <c r="H175" s="237"/>
      <c r="I175" s="237"/>
      <c r="J175" s="237"/>
      <c r="K175" s="237"/>
      <c r="L175" s="71"/>
      <c r="M175" s="71"/>
      <c r="N175" s="71"/>
      <c r="O175" s="71"/>
      <c r="P175" s="92"/>
      <c r="Q175" s="71"/>
      <c r="R175" s="71"/>
      <c r="S175" s="296"/>
      <c r="T175" s="71"/>
      <c r="U175" s="71"/>
      <c r="V175" s="71"/>
      <c r="W175" s="71"/>
      <c r="X175" s="71"/>
      <c r="Y175" s="71"/>
      <c r="Z175" s="71"/>
    </row>
    <row r="176" spans="1:26" ht="21" customHeight="1">
      <c r="A176" s="80"/>
      <c r="B176" s="237" t="s">
        <v>126</v>
      </c>
      <c r="C176" s="237" t="s">
        <v>127</v>
      </c>
      <c r="D176" s="237"/>
      <c r="E176" s="237"/>
      <c r="F176" s="73" t="s">
        <v>128</v>
      </c>
      <c r="G176" s="237"/>
      <c r="H176" s="237"/>
      <c r="I176" s="237"/>
      <c r="J176" s="237"/>
      <c r="K176" s="237"/>
      <c r="L176" s="71"/>
      <c r="M176" s="71"/>
      <c r="N176" s="71"/>
      <c r="O176" s="71"/>
      <c r="P176" s="92"/>
      <c r="Q176" s="71"/>
      <c r="R176" s="71"/>
      <c r="S176" s="296"/>
      <c r="T176" s="71"/>
      <c r="U176" s="71"/>
      <c r="V176" s="71"/>
      <c r="W176" s="71"/>
      <c r="X176" s="71"/>
      <c r="Y176" s="71"/>
      <c r="Z176" s="71"/>
    </row>
    <row r="177" spans="1:26" ht="21" customHeight="1">
      <c r="A177" s="80"/>
      <c r="B177" s="237" t="s">
        <v>129</v>
      </c>
      <c r="C177" s="237" t="s">
        <v>113</v>
      </c>
      <c r="D177" s="237"/>
      <c r="E177" s="237"/>
      <c r="F177" s="237"/>
      <c r="G177" s="237"/>
      <c r="H177" s="237"/>
      <c r="I177" s="237"/>
      <c r="J177" s="237"/>
      <c r="K177" s="237"/>
      <c r="L177" s="71"/>
      <c r="M177" s="71"/>
      <c r="N177" s="71"/>
      <c r="O177" s="71"/>
      <c r="P177" s="92"/>
      <c r="Q177" s="71"/>
      <c r="R177" s="71"/>
      <c r="S177" s="296"/>
      <c r="T177" s="71"/>
      <c r="U177" s="71"/>
      <c r="V177" s="71"/>
      <c r="W177" s="71"/>
      <c r="X177" s="71"/>
      <c r="Y177" s="71"/>
      <c r="Z177" s="71"/>
    </row>
    <row r="178" spans="1:26" ht="21" customHeight="1">
      <c r="A178" s="80"/>
      <c r="B178" s="237" t="s">
        <v>130</v>
      </c>
      <c r="C178" s="237" t="s">
        <v>131</v>
      </c>
      <c r="D178" s="237"/>
      <c r="E178" s="237"/>
      <c r="F178" s="237"/>
      <c r="G178" s="237"/>
      <c r="H178" s="237"/>
      <c r="I178" s="237"/>
      <c r="J178" s="237"/>
      <c r="K178" s="237"/>
      <c r="L178" s="71"/>
      <c r="M178" s="71"/>
      <c r="N178" s="71"/>
      <c r="O178" s="71"/>
      <c r="P178" s="92"/>
      <c r="Q178" s="71"/>
      <c r="R178" s="71"/>
      <c r="S178" s="296"/>
      <c r="T178" s="71"/>
      <c r="U178" s="71"/>
      <c r="V178" s="71"/>
      <c r="W178" s="71"/>
      <c r="X178" s="71"/>
      <c r="Y178" s="71"/>
      <c r="Z178" s="71"/>
    </row>
    <row r="179" spans="1:26" ht="21" customHeight="1" thickBot="1">
      <c r="A179" s="83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99"/>
      <c r="M179" s="99"/>
      <c r="N179" s="99"/>
      <c r="O179" s="99"/>
      <c r="P179" s="97"/>
      <c r="Q179" s="71"/>
      <c r="R179" s="71"/>
      <c r="S179" s="296"/>
      <c r="T179" s="71"/>
      <c r="U179" s="71"/>
      <c r="V179" s="71"/>
      <c r="W179" s="71"/>
      <c r="X179" s="71"/>
      <c r="Y179" s="71"/>
      <c r="Z179" s="71"/>
    </row>
    <row r="180" spans="1:26" ht="21" customHeight="1">
      <c r="A180" s="80"/>
      <c r="B180" s="237"/>
      <c r="C180" s="237"/>
      <c r="D180" s="237"/>
      <c r="E180" s="237"/>
      <c r="F180" s="237"/>
      <c r="G180" s="237"/>
      <c r="H180" s="237"/>
      <c r="I180" s="237"/>
      <c r="J180" s="237"/>
      <c r="K180" s="237"/>
      <c r="L180" s="71"/>
      <c r="M180" s="71"/>
      <c r="N180" s="71"/>
      <c r="O180" s="71"/>
      <c r="P180" s="71"/>
      <c r="Q180" s="71"/>
      <c r="R180" s="71"/>
      <c r="S180" s="296"/>
      <c r="T180" s="71"/>
      <c r="U180" s="71"/>
      <c r="V180" s="71"/>
      <c r="W180" s="71"/>
      <c r="X180" s="71"/>
      <c r="Y180" s="71"/>
      <c r="Z180" s="71"/>
    </row>
    <row r="181" spans="1:26" ht="21" customHeight="1">
      <c r="A181" s="80"/>
      <c r="B181" s="237"/>
      <c r="C181" s="237"/>
      <c r="D181" s="237"/>
      <c r="E181" s="237"/>
      <c r="F181" s="237"/>
      <c r="G181" s="237"/>
      <c r="H181" s="237"/>
      <c r="I181" s="237"/>
      <c r="J181" s="237"/>
      <c r="K181" s="237"/>
      <c r="L181" s="71"/>
      <c r="M181" s="71"/>
      <c r="N181" s="71"/>
      <c r="O181" s="71"/>
      <c r="P181" s="71"/>
      <c r="Q181" s="71"/>
      <c r="R181" s="71"/>
      <c r="S181" s="296"/>
      <c r="T181" s="71"/>
      <c r="U181" s="71"/>
      <c r="V181" s="71"/>
      <c r="W181" s="71"/>
      <c r="X181" s="71"/>
      <c r="Y181" s="71"/>
      <c r="Z181" s="71"/>
    </row>
    <row r="182" spans="1:26" ht="21" customHeight="1" thickBot="1">
      <c r="A182" s="80"/>
      <c r="B182" s="237"/>
      <c r="C182" s="237"/>
      <c r="D182" s="237"/>
      <c r="E182" s="237"/>
      <c r="F182" s="237"/>
      <c r="G182" s="237"/>
      <c r="H182" s="237"/>
      <c r="I182" s="237"/>
      <c r="J182" s="237"/>
      <c r="K182" s="237"/>
      <c r="L182" s="71"/>
      <c r="M182" s="71"/>
      <c r="N182" s="71"/>
      <c r="O182" s="71"/>
      <c r="P182" s="71"/>
      <c r="Q182" s="71"/>
      <c r="R182" s="71"/>
      <c r="S182" s="296"/>
      <c r="T182" s="71"/>
      <c r="U182" s="71"/>
      <c r="V182" s="71"/>
      <c r="W182" s="71"/>
      <c r="X182" s="71"/>
      <c r="Y182" s="71"/>
      <c r="Z182" s="71"/>
    </row>
    <row r="183" spans="1:26" ht="21" customHeight="1">
      <c r="A183" s="76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98"/>
      <c r="M183" s="98"/>
      <c r="N183" s="98"/>
      <c r="O183" s="98"/>
      <c r="P183" s="91"/>
      <c r="Q183" s="71"/>
      <c r="R183" s="71"/>
      <c r="S183" s="296"/>
      <c r="T183" s="71"/>
      <c r="U183" s="71"/>
      <c r="V183" s="71"/>
      <c r="W183" s="71"/>
      <c r="X183" s="71"/>
      <c r="Y183" s="71"/>
      <c r="Z183" s="71"/>
    </row>
    <row r="184" spans="1:26" ht="21" customHeight="1">
      <c r="A184" s="75" t="s">
        <v>257</v>
      </c>
      <c r="B184" s="73"/>
      <c r="C184" s="73"/>
      <c r="D184" s="73"/>
      <c r="E184" s="237"/>
      <c r="F184" s="237"/>
      <c r="G184" s="237"/>
      <c r="H184" s="239" t="str">
        <f>H5</f>
        <v>Year 2</v>
      </c>
      <c r="I184" s="66" t="s">
        <v>6</v>
      </c>
      <c r="J184" s="66" t="s">
        <v>8</v>
      </c>
      <c r="K184" s="66" t="s">
        <v>9</v>
      </c>
      <c r="L184" s="71"/>
      <c r="M184" s="71"/>
      <c r="N184" s="71"/>
      <c r="O184" s="71"/>
      <c r="P184" s="92"/>
      <c r="Q184" s="71"/>
      <c r="R184" s="71"/>
      <c r="S184" s="296"/>
      <c r="T184" s="71"/>
      <c r="U184" s="71"/>
      <c r="V184" s="71"/>
      <c r="W184" s="71"/>
      <c r="X184" s="71"/>
      <c r="Y184" s="71"/>
      <c r="Z184" s="71"/>
    </row>
    <row r="185" spans="1:26" ht="21" customHeight="1">
      <c r="A185" s="72"/>
      <c r="B185" s="73" t="s">
        <v>102</v>
      </c>
      <c r="C185" s="73"/>
      <c r="D185" s="73"/>
      <c r="E185" s="237"/>
      <c r="F185" s="241"/>
      <c r="G185" s="241"/>
      <c r="H185" s="241">
        <f>I148</f>
        <v>243.6</v>
      </c>
      <c r="I185" s="241">
        <f t="shared" ref="I185:K185" si="49">J148</f>
        <v>244.32000000000002</v>
      </c>
      <c r="J185" s="241">
        <f t="shared" si="49"/>
        <v>244.8</v>
      </c>
      <c r="K185" s="241">
        <f t="shared" si="49"/>
        <v>246</v>
      </c>
      <c r="L185" s="241"/>
      <c r="M185" s="71"/>
      <c r="N185" s="71"/>
      <c r="O185" s="71"/>
      <c r="P185" s="92"/>
      <c r="Q185" s="71"/>
      <c r="R185" s="71"/>
      <c r="S185" s="296"/>
      <c r="T185" s="71"/>
      <c r="U185" s="71"/>
      <c r="V185" s="71"/>
      <c r="W185" s="71"/>
      <c r="X185" s="71"/>
      <c r="Y185" s="71"/>
      <c r="Z185" s="71"/>
    </row>
    <row r="186" spans="1:26" ht="21" customHeight="1">
      <c r="A186" s="72"/>
      <c r="B186" s="73" t="s">
        <v>33</v>
      </c>
      <c r="C186" s="73"/>
      <c r="D186" s="73"/>
      <c r="E186" s="237"/>
      <c r="F186" s="242"/>
      <c r="G186" s="242"/>
      <c r="H186" s="74">
        <v>0.59</v>
      </c>
      <c r="I186" s="74">
        <v>0.59</v>
      </c>
      <c r="J186" s="74">
        <v>0.59</v>
      </c>
      <c r="K186" s="74">
        <v>0.59</v>
      </c>
      <c r="L186" s="245"/>
      <c r="M186" s="71"/>
      <c r="N186" s="71"/>
      <c r="O186" s="71"/>
      <c r="P186" s="92"/>
      <c r="Q186" s="71"/>
      <c r="R186" s="71"/>
      <c r="S186" s="296"/>
      <c r="T186" s="71"/>
      <c r="U186" s="71"/>
      <c r="V186" s="71"/>
      <c r="W186" s="71"/>
      <c r="X186" s="71"/>
      <c r="Y186" s="71"/>
      <c r="Z186" s="71"/>
    </row>
    <row r="187" spans="1:26" ht="21" customHeight="1">
      <c r="A187" s="72"/>
      <c r="B187" s="238" t="s">
        <v>103</v>
      </c>
      <c r="C187" s="73"/>
      <c r="D187" s="73"/>
      <c r="E187" s="237"/>
      <c r="F187" s="241"/>
      <c r="G187" s="241"/>
      <c r="H187" s="241">
        <f>H185*H186</f>
        <v>143.72399999999999</v>
      </c>
      <c r="I187" s="241">
        <f t="shared" ref="I187" si="50">I185*I186</f>
        <v>144.14879999999999</v>
      </c>
      <c r="J187" s="241">
        <f t="shared" ref="J187" si="51">J185*J186</f>
        <v>144.43199999999999</v>
      </c>
      <c r="K187" s="241">
        <f t="shared" ref="K187" si="52">K185*K186</f>
        <v>145.13999999999999</v>
      </c>
      <c r="L187" s="241"/>
      <c r="M187" s="71"/>
      <c r="N187" s="71"/>
      <c r="O187" s="71"/>
      <c r="P187" s="92"/>
      <c r="Q187" s="71"/>
      <c r="R187" s="71"/>
      <c r="S187" s="296"/>
      <c r="T187" s="71"/>
      <c r="U187" s="71"/>
      <c r="V187" s="71"/>
      <c r="W187" s="71"/>
      <c r="X187" s="71"/>
      <c r="Y187" s="71"/>
      <c r="Z187" s="71"/>
    </row>
    <row r="188" spans="1:26" ht="21" customHeight="1">
      <c r="A188" s="72"/>
      <c r="B188" s="73"/>
      <c r="C188" s="73"/>
      <c r="D188" s="73"/>
      <c r="E188" s="237"/>
      <c r="F188" s="237"/>
      <c r="G188" s="237"/>
      <c r="H188" s="237"/>
      <c r="I188" s="237"/>
      <c r="J188" s="237"/>
      <c r="K188" s="237"/>
      <c r="L188" s="71"/>
      <c r="M188" s="71"/>
      <c r="N188" s="71"/>
      <c r="O188" s="71"/>
      <c r="P188" s="92"/>
      <c r="Q188" s="71"/>
      <c r="R188" s="71"/>
      <c r="S188" s="296"/>
      <c r="T188" s="71"/>
      <c r="U188" s="71"/>
      <c r="V188" s="71"/>
      <c r="W188" s="71"/>
      <c r="X188" s="71"/>
      <c r="Y188" s="71"/>
      <c r="Z188" s="71"/>
    </row>
    <row r="189" spans="1:26" ht="21" customHeight="1" thickBot="1">
      <c r="A189" s="75" t="s">
        <v>104</v>
      </c>
      <c r="B189" s="73"/>
      <c r="C189" s="73"/>
      <c r="D189" s="73"/>
      <c r="E189" s="237"/>
      <c r="F189" s="237"/>
      <c r="G189" s="237"/>
      <c r="H189" s="237"/>
      <c r="I189" s="237"/>
      <c r="J189" s="237"/>
      <c r="K189" s="237"/>
      <c r="L189" s="71"/>
      <c r="M189" s="71"/>
      <c r="N189" s="71"/>
      <c r="O189" s="71"/>
      <c r="P189" s="92"/>
      <c r="Q189" s="71"/>
      <c r="R189" s="71"/>
      <c r="S189" s="296"/>
      <c r="T189" s="71"/>
      <c r="U189" s="71"/>
      <c r="V189" s="71"/>
      <c r="W189" s="71"/>
      <c r="X189" s="71"/>
      <c r="Y189" s="71"/>
      <c r="Z189" s="71"/>
    </row>
    <row r="190" spans="1:26" ht="21" customHeight="1">
      <c r="A190" s="72"/>
      <c r="B190" s="76" t="s">
        <v>105</v>
      </c>
      <c r="C190" s="77"/>
      <c r="D190" s="78"/>
      <c r="E190" s="237"/>
      <c r="F190" s="241"/>
      <c r="H190" s="241">
        <v>0</v>
      </c>
      <c r="I190" s="241">
        <v>0</v>
      </c>
      <c r="J190" s="241">
        <v>0</v>
      </c>
      <c r="K190" s="241">
        <v>0</v>
      </c>
      <c r="L190" s="241"/>
      <c r="M190" s="241"/>
      <c r="N190" s="71"/>
      <c r="O190" s="71"/>
      <c r="P190" s="92"/>
      <c r="Q190" s="71"/>
      <c r="R190" s="71"/>
      <c r="S190" s="296"/>
      <c r="T190" s="71"/>
      <c r="U190" s="71"/>
      <c r="V190" s="71"/>
      <c r="W190" s="71"/>
      <c r="X190" s="71"/>
      <c r="Y190" s="71"/>
      <c r="Z190" s="71"/>
    </row>
    <row r="191" spans="1:26" ht="21" customHeight="1">
      <c r="A191" s="72"/>
      <c r="B191" s="80" t="s">
        <v>106</v>
      </c>
      <c r="C191" s="237"/>
      <c r="D191" s="81"/>
      <c r="E191" s="237"/>
      <c r="F191" s="242"/>
      <c r="H191" s="242">
        <v>1</v>
      </c>
      <c r="I191" s="242">
        <v>0.9</v>
      </c>
      <c r="J191" s="242">
        <v>0.9</v>
      </c>
      <c r="K191" s="242">
        <v>0.9</v>
      </c>
      <c r="L191" s="242"/>
      <c r="M191" s="242"/>
      <c r="N191" s="241"/>
      <c r="O191" s="71"/>
      <c r="P191" s="92"/>
      <c r="Q191" s="71"/>
      <c r="R191" s="71"/>
      <c r="S191" s="296"/>
      <c r="T191" s="71"/>
      <c r="U191" s="71"/>
      <c r="V191" s="71"/>
      <c r="W191" s="71"/>
      <c r="X191" s="71"/>
      <c r="Y191" s="71"/>
      <c r="Z191" s="71"/>
    </row>
    <row r="192" spans="1:26" ht="21" customHeight="1" thickBot="1">
      <c r="A192" s="72"/>
      <c r="B192" s="83" t="s">
        <v>107</v>
      </c>
      <c r="C192" s="84"/>
      <c r="D192" s="85"/>
      <c r="E192" s="237"/>
      <c r="F192" s="242"/>
      <c r="H192" s="242">
        <v>1</v>
      </c>
      <c r="I192" s="242">
        <v>0.9</v>
      </c>
      <c r="J192" s="242">
        <v>0.81</v>
      </c>
      <c r="K192" s="243">
        <v>0.72899999999999998</v>
      </c>
      <c r="L192" s="243"/>
      <c r="M192" s="243"/>
      <c r="N192" s="242"/>
      <c r="O192" s="241"/>
      <c r="P192" s="79"/>
      <c r="Q192" s="71"/>
      <c r="R192" s="71"/>
      <c r="S192" s="296"/>
      <c r="T192" s="71"/>
      <c r="U192" s="71"/>
      <c r="V192" s="71"/>
      <c r="W192" s="71"/>
      <c r="X192" s="71"/>
      <c r="Y192" s="71"/>
      <c r="Z192" s="71"/>
    </row>
    <row r="193" spans="1:26" ht="21" customHeight="1">
      <c r="A193" s="72"/>
      <c r="B193" s="76" t="s">
        <v>108</v>
      </c>
      <c r="C193" s="77"/>
      <c r="D193" s="78"/>
      <c r="E193" s="237"/>
      <c r="F193" s="237"/>
      <c r="H193" s="244">
        <v>0</v>
      </c>
      <c r="I193" s="244">
        <v>0</v>
      </c>
      <c r="J193" s="244">
        <v>0</v>
      </c>
      <c r="K193" s="244">
        <v>0</v>
      </c>
      <c r="L193" s="244"/>
      <c r="M193" s="244"/>
      <c r="N193" s="243"/>
      <c r="O193" s="242"/>
      <c r="P193" s="82"/>
      <c r="Q193" s="71"/>
      <c r="R193" s="71"/>
      <c r="S193" s="296"/>
      <c r="T193" s="71"/>
      <c r="U193" s="71"/>
      <c r="V193" s="71"/>
      <c r="W193" s="71"/>
      <c r="X193" s="71"/>
      <c r="Y193" s="71"/>
      <c r="Z193" s="71"/>
    </row>
    <row r="194" spans="1:26" ht="21" customHeight="1">
      <c r="A194" s="72"/>
      <c r="B194" s="80" t="s">
        <v>106</v>
      </c>
      <c r="C194" s="237"/>
      <c r="D194" s="81"/>
      <c r="E194" s="237"/>
      <c r="F194" s="237"/>
      <c r="H194" s="242">
        <v>1</v>
      </c>
      <c r="I194" s="242">
        <v>0.9</v>
      </c>
      <c r="J194" s="242">
        <v>0.9</v>
      </c>
      <c r="K194" s="242">
        <v>0.9</v>
      </c>
      <c r="L194" s="242"/>
      <c r="M194" s="242"/>
      <c r="N194" s="244"/>
      <c r="O194" s="243"/>
      <c r="P194" s="86"/>
      <c r="Q194" s="71"/>
      <c r="R194" s="71"/>
      <c r="S194" s="296"/>
      <c r="T194" s="71"/>
      <c r="U194" s="71"/>
      <c r="V194" s="71"/>
      <c r="W194" s="71"/>
      <c r="X194" s="71"/>
      <c r="Y194" s="71"/>
      <c r="Z194" s="71"/>
    </row>
    <row r="195" spans="1:26" ht="21" customHeight="1" thickBot="1">
      <c r="A195" s="72"/>
      <c r="B195" s="83" t="s">
        <v>107</v>
      </c>
      <c r="C195" s="84"/>
      <c r="D195" s="85"/>
      <c r="E195" s="237"/>
      <c r="F195" s="237"/>
      <c r="H195" s="242">
        <v>1</v>
      </c>
      <c r="I195" s="242">
        <f>I194*H195</f>
        <v>0.9</v>
      </c>
      <c r="J195" s="242">
        <f>J194*I195</f>
        <v>0.81</v>
      </c>
      <c r="K195" s="243">
        <f>K194*J195</f>
        <v>0.72900000000000009</v>
      </c>
      <c r="L195" s="243"/>
      <c r="M195" s="243"/>
      <c r="N195" s="242"/>
      <c r="O195" s="244"/>
      <c r="P195" s="87"/>
      <c r="Q195" s="71"/>
      <c r="R195" s="71"/>
      <c r="S195" s="296"/>
      <c r="T195" s="71"/>
      <c r="U195" s="71"/>
      <c r="V195" s="71"/>
      <c r="W195" s="71"/>
      <c r="X195" s="71"/>
      <c r="Y195" s="71"/>
      <c r="Z195" s="71"/>
    </row>
    <row r="196" spans="1:26" ht="21" customHeight="1">
      <c r="A196" s="80"/>
      <c r="B196" s="237" t="s">
        <v>109</v>
      </c>
      <c r="C196" s="237"/>
      <c r="D196" s="237"/>
      <c r="E196" s="237"/>
      <c r="F196" s="242"/>
      <c r="H196" s="245">
        <v>0.82</v>
      </c>
      <c r="I196" s="245">
        <v>0.83</v>
      </c>
      <c r="J196" s="245">
        <v>0.84</v>
      </c>
      <c r="K196" s="245">
        <v>0.85</v>
      </c>
      <c r="L196" s="245"/>
      <c r="M196" s="245"/>
      <c r="N196" s="243"/>
      <c r="O196" s="242"/>
      <c r="P196" s="82"/>
      <c r="Q196" s="71"/>
      <c r="R196" s="71"/>
      <c r="S196" s="296"/>
      <c r="T196" s="71"/>
      <c r="U196" s="71"/>
      <c r="V196" s="71"/>
      <c r="W196" s="71"/>
      <c r="X196" s="71"/>
      <c r="Y196" s="71"/>
      <c r="Z196" s="71"/>
    </row>
    <row r="197" spans="1:26" ht="21" customHeight="1">
      <c r="A197" s="80"/>
      <c r="B197" s="237"/>
      <c r="C197" s="237"/>
      <c r="D197" s="237"/>
      <c r="E197" s="237"/>
      <c r="F197" s="242"/>
      <c r="H197" s="251"/>
      <c r="I197" s="242"/>
      <c r="J197" s="242"/>
      <c r="K197" s="242"/>
      <c r="L197" s="242"/>
      <c r="M197" s="242"/>
      <c r="N197" s="245"/>
      <c r="O197" s="243"/>
      <c r="P197" s="86"/>
      <c r="Q197" s="71"/>
      <c r="R197" s="71"/>
      <c r="S197" s="296"/>
      <c r="T197" s="71"/>
      <c r="U197" s="71"/>
      <c r="V197" s="71"/>
      <c r="W197" s="71"/>
      <c r="X197" s="71"/>
      <c r="Y197" s="71"/>
      <c r="Z197" s="71"/>
    </row>
    <row r="198" spans="1:26" ht="21" customHeight="1">
      <c r="A198" s="80"/>
      <c r="B198" s="239" t="s">
        <v>110</v>
      </c>
      <c r="C198" s="239"/>
      <c r="D198" s="237"/>
      <c r="E198" s="237"/>
      <c r="F198" s="248"/>
      <c r="H198" s="244">
        <f>(H190*H192+H193*H195)*H196</f>
        <v>0</v>
      </c>
      <c r="I198" s="244">
        <f t="shared" ref="I198:K198" si="53">(I190*I192+I193*I195)*I196</f>
        <v>0</v>
      </c>
      <c r="J198" s="244">
        <f t="shared" si="53"/>
        <v>0</v>
      </c>
      <c r="K198" s="244">
        <f t="shared" si="53"/>
        <v>0</v>
      </c>
      <c r="L198" s="244"/>
      <c r="M198" s="244"/>
      <c r="N198" s="242"/>
      <c r="O198" s="245"/>
      <c r="P198" s="93"/>
      <c r="Q198" s="71"/>
      <c r="R198" s="71"/>
      <c r="S198" s="296"/>
      <c r="T198" s="71"/>
      <c r="U198" s="71"/>
      <c r="V198" s="71"/>
      <c r="W198" s="71"/>
      <c r="X198" s="71"/>
      <c r="Y198" s="71"/>
      <c r="Z198" s="71"/>
    </row>
    <row r="199" spans="1:26" ht="21" customHeight="1">
      <c r="A199" s="80"/>
      <c r="B199" s="237"/>
      <c r="C199" s="237"/>
      <c r="D199" s="237"/>
      <c r="E199" s="237"/>
      <c r="F199" s="237"/>
      <c r="H199" s="244"/>
      <c r="I199" s="244"/>
      <c r="J199" s="244"/>
      <c r="K199" s="244"/>
      <c r="L199" s="244"/>
      <c r="M199" s="244"/>
      <c r="N199" s="244"/>
      <c r="O199" s="242"/>
      <c r="P199" s="94"/>
      <c r="Q199" s="71"/>
      <c r="R199" s="71"/>
      <c r="S199" s="296"/>
      <c r="T199" s="71"/>
      <c r="U199" s="71"/>
      <c r="V199" s="71"/>
      <c r="W199" s="71"/>
      <c r="X199" s="71"/>
      <c r="Y199" s="71"/>
      <c r="Z199" s="71"/>
    </row>
    <row r="200" spans="1:26" ht="21" customHeight="1">
      <c r="A200" s="80"/>
      <c r="B200" s="239" t="s">
        <v>111</v>
      </c>
      <c r="C200" s="237"/>
      <c r="D200" s="237"/>
      <c r="E200" s="237"/>
      <c r="F200" s="248"/>
      <c r="H200" s="244">
        <f>H198+H187</f>
        <v>143.72399999999999</v>
      </c>
      <c r="I200" s="244">
        <f t="shared" ref="I200:K200" si="54">I198+I187</f>
        <v>144.14879999999999</v>
      </c>
      <c r="J200" s="244">
        <f t="shared" si="54"/>
        <v>144.43199999999999</v>
      </c>
      <c r="K200" s="244">
        <f t="shared" si="54"/>
        <v>145.13999999999999</v>
      </c>
      <c r="L200" s="244"/>
      <c r="M200" s="244"/>
      <c r="N200" s="244"/>
      <c r="O200" s="244"/>
      <c r="P200" s="87"/>
      <c r="Q200" s="71"/>
      <c r="R200" s="71"/>
      <c r="S200" s="296"/>
      <c r="T200" s="71"/>
      <c r="U200" s="71"/>
      <c r="V200" s="71"/>
      <c r="W200" s="71"/>
      <c r="X200" s="71"/>
      <c r="Y200" s="71"/>
      <c r="Z200" s="71"/>
    </row>
    <row r="201" spans="1:26" ht="21" customHeight="1">
      <c r="A201" s="80"/>
      <c r="B201" s="239"/>
      <c r="C201" s="237"/>
      <c r="D201" s="237"/>
      <c r="E201" s="237"/>
      <c r="F201" s="248"/>
      <c r="H201" s="248"/>
      <c r="I201" s="248"/>
      <c r="J201" s="248"/>
      <c r="K201" s="248"/>
      <c r="L201" s="248"/>
      <c r="M201" s="248"/>
      <c r="N201" s="244"/>
      <c r="O201" s="244"/>
      <c r="P201" s="95"/>
      <c r="Q201" s="71"/>
      <c r="R201" s="71"/>
      <c r="S201" s="296"/>
      <c r="T201" s="71"/>
      <c r="U201" s="71"/>
      <c r="V201" s="71"/>
      <c r="W201" s="71"/>
      <c r="X201" s="71"/>
      <c r="Y201" s="71"/>
      <c r="Z201" s="71"/>
    </row>
    <row r="202" spans="1:26" ht="21" customHeight="1">
      <c r="A202" s="80"/>
      <c r="B202" s="237" t="s">
        <v>112</v>
      </c>
      <c r="C202" s="237"/>
      <c r="D202" s="252" t="s">
        <v>113</v>
      </c>
      <c r="E202" s="237"/>
      <c r="F202" s="242"/>
      <c r="H202" s="242">
        <v>0.5</v>
      </c>
      <c r="I202" s="242">
        <v>0.5</v>
      </c>
      <c r="J202" s="242">
        <v>0.5</v>
      </c>
      <c r="K202" s="242">
        <v>0.5</v>
      </c>
      <c r="L202" s="242"/>
      <c r="M202" s="242"/>
      <c r="N202" s="248"/>
      <c r="O202" s="244"/>
      <c r="P202" s="87"/>
      <c r="Q202" s="71"/>
      <c r="R202" s="71"/>
      <c r="S202" s="296"/>
      <c r="T202" s="71"/>
      <c r="U202" s="71"/>
      <c r="V202" s="71"/>
      <c r="W202" s="71"/>
      <c r="X202" s="71"/>
      <c r="Y202" s="71"/>
      <c r="Z202" s="71"/>
    </row>
    <row r="203" spans="1:26" ht="21" customHeight="1">
      <c r="A203" s="80"/>
      <c r="B203" s="237" t="s">
        <v>114</v>
      </c>
      <c r="C203" s="237"/>
      <c r="D203" s="252" t="s">
        <v>115</v>
      </c>
      <c r="E203" s="237"/>
      <c r="F203" s="253"/>
      <c r="H203" s="249">
        <v>0</v>
      </c>
      <c r="I203" s="249">
        <v>1</v>
      </c>
      <c r="J203" s="249">
        <v>2</v>
      </c>
      <c r="K203" s="249">
        <v>3</v>
      </c>
      <c r="L203" s="249"/>
      <c r="M203" s="249"/>
      <c r="N203" s="242"/>
      <c r="O203" s="248"/>
      <c r="P203" s="92"/>
      <c r="Q203" s="71"/>
      <c r="R203" s="71"/>
      <c r="S203" s="296"/>
      <c r="T203" s="71"/>
      <c r="U203" s="71"/>
      <c r="V203" s="71"/>
      <c r="W203" s="71"/>
      <c r="X203" s="71"/>
      <c r="Y203" s="71"/>
      <c r="Z203" s="71"/>
    </row>
    <row r="204" spans="1:26" ht="21" customHeight="1">
      <c r="A204" s="80"/>
      <c r="B204" s="237" t="s">
        <v>116</v>
      </c>
      <c r="C204" s="237"/>
      <c r="D204" s="252" t="s">
        <v>117</v>
      </c>
      <c r="E204" s="237"/>
      <c r="F204" s="237"/>
      <c r="H204" s="237"/>
      <c r="I204" s="237"/>
      <c r="J204" s="237"/>
      <c r="K204" s="237"/>
      <c r="L204" s="237"/>
      <c r="M204" s="237"/>
      <c r="N204" s="249"/>
      <c r="O204" s="242"/>
      <c r="P204" s="82"/>
      <c r="Q204" s="71"/>
      <c r="R204" s="71"/>
      <c r="S204" s="296"/>
      <c r="T204" s="71"/>
      <c r="U204" s="71"/>
      <c r="V204" s="71"/>
      <c r="W204" s="71"/>
      <c r="X204" s="71"/>
      <c r="Y204" s="71"/>
      <c r="Z204" s="71"/>
    </row>
    <row r="205" spans="1:26" ht="21" customHeight="1">
      <c r="A205" s="80"/>
      <c r="B205" s="237" t="s">
        <v>118</v>
      </c>
      <c r="C205" s="237"/>
      <c r="D205" s="252" t="s">
        <v>119</v>
      </c>
      <c r="E205" s="237"/>
      <c r="F205" s="250"/>
      <c r="H205" s="250">
        <v>1</v>
      </c>
      <c r="I205" s="250">
        <v>0.66669999999999996</v>
      </c>
      <c r="J205" s="250">
        <v>0.44440000000000002</v>
      </c>
      <c r="K205" s="250">
        <v>0.29630000000000001</v>
      </c>
      <c r="L205" s="250"/>
      <c r="M205" s="250"/>
      <c r="N205" s="237"/>
      <c r="O205" s="249"/>
      <c r="P205" s="92"/>
      <c r="Q205" s="71"/>
      <c r="R205" s="71"/>
      <c r="S205" s="296"/>
      <c r="T205" s="71"/>
      <c r="U205" s="71"/>
      <c r="V205" s="71"/>
      <c r="W205" s="71"/>
      <c r="X205" s="71"/>
      <c r="Y205" s="71"/>
      <c r="Z205" s="71"/>
    </row>
    <row r="206" spans="1:26" ht="21" customHeight="1">
      <c r="A206" s="80"/>
      <c r="B206" s="239"/>
      <c r="C206" s="237"/>
      <c r="D206" s="237"/>
      <c r="E206" s="237"/>
      <c r="F206" s="242"/>
      <c r="G206" s="242"/>
      <c r="H206" s="242"/>
      <c r="I206" s="242"/>
      <c r="J206" s="242"/>
      <c r="K206" s="242"/>
      <c r="L206" s="242"/>
      <c r="M206" s="71"/>
      <c r="N206" s="250"/>
      <c r="O206" s="237"/>
      <c r="P206" s="92"/>
      <c r="Q206" s="71"/>
      <c r="R206" s="71"/>
      <c r="S206" s="296"/>
      <c r="T206" s="71"/>
      <c r="U206" s="71"/>
      <c r="V206" s="71"/>
      <c r="W206" s="71"/>
      <c r="X206" s="71"/>
      <c r="Y206" s="71"/>
      <c r="Z206" s="71"/>
    </row>
    <row r="207" spans="1:26" ht="21" customHeight="1">
      <c r="A207" s="80"/>
      <c r="B207" s="239" t="s">
        <v>120</v>
      </c>
      <c r="C207" s="239"/>
      <c r="D207" s="239"/>
      <c r="E207" s="237"/>
      <c r="F207" s="248"/>
      <c r="G207" s="241">
        <f>G200*G205</f>
        <v>0</v>
      </c>
      <c r="H207" s="241">
        <f t="shared" ref="H207:K207" si="55">H200*H205</f>
        <v>143.72399999999999</v>
      </c>
      <c r="I207" s="241">
        <f t="shared" si="55"/>
        <v>96.104004959999983</v>
      </c>
      <c r="J207" s="241">
        <f t="shared" si="55"/>
        <v>64.185580799999997</v>
      </c>
      <c r="K207" s="241">
        <f t="shared" si="55"/>
        <v>43.004981999999998</v>
      </c>
      <c r="L207" s="241"/>
      <c r="M207" s="241"/>
      <c r="N207" s="71"/>
      <c r="O207" s="250"/>
      <c r="P207" s="96"/>
      <c r="Q207" s="71"/>
      <c r="R207" s="71"/>
      <c r="S207" s="296"/>
      <c r="T207" s="71"/>
      <c r="U207" s="71"/>
      <c r="V207" s="71"/>
      <c r="W207" s="71"/>
      <c r="X207" s="71"/>
      <c r="Y207" s="71"/>
      <c r="Z207" s="71"/>
    </row>
    <row r="208" spans="1:26" ht="21" customHeight="1">
      <c r="A208" s="80"/>
      <c r="B208" s="239"/>
      <c r="C208" s="237"/>
      <c r="D208" s="237"/>
      <c r="E208" s="237"/>
      <c r="F208" s="254"/>
      <c r="G208" s="237"/>
      <c r="H208" s="237"/>
      <c r="I208" s="237"/>
      <c r="J208" s="237"/>
      <c r="K208" s="237"/>
      <c r="L208" s="71"/>
      <c r="M208" s="71"/>
      <c r="N208" s="241"/>
      <c r="O208" s="71"/>
      <c r="P208" s="92"/>
      <c r="Q208" s="71"/>
      <c r="R208" s="71"/>
      <c r="S208" s="296"/>
      <c r="T208" s="71"/>
      <c r="U208" s="71"/>
      <c r="V208" s="71"/>
      <c r="W208" s="71"/>
      <c r="X208" s="71"/>
      <c r="Y208" s="71"/>
      <c r="Z208" s="71"/>
    </row>
    <row r="209" spans="1:26" ht="21" customHeight="1">
      <c r="A209" s="80"/>
      <c r="B209" s="239" t="s">
        <v>121</v>
      </c>
      <c r="C209" s="239"/>
      <c r="D209" s="237"/>
      <c r="E209" s="237"/>
      <c r="F209" s="254"/>
      <c r="G209" s="256"/>
      <c r="H209" s="257">
        <f>H207+I207+J207+K207+L48+L207</f>
        <v>347.01856775999994</v>
      </c>
      <c r="I209" s="476" t="s">
        <v>133</v>
      </c>
      <c r="J209" s="476"/>
      <c r="K209" s="476"/>
      <c r="L209" s="71"/>
      <c r="M209" s="71"/>
      <c r="N209" s="71"/>
      <c r="O209" s="241"/>
      <c r="P209" s="79"/>
      <c r="Q209" s="71"/>
      <c r="R209" s="71"/>
      <c r="S209" s="296"/>
      <c r="T209" s="71"/>
      <c r="U209" s="71"/>
      <c r="V209" s="71"/>
      <c r="W209" s="71"/>
      <c r="X209" s="71"/>
      <c r="Y209" s="71"/>
      <c r="Z209" s="71"/>
    </row>
    <row r="210" spans="1:26" ht="21" customHeight="1">
      <c r="A210" s="80"/>
      <c r="B210" s="237"/>
      <c r="C210" s="237"/>
      <c r="D210" s="237"/>
      <c r="E210" s="237"/>
      <c r="F210" s="237"/>
      <c r="G210" s="237"/>
      <c r="H210" s="237"/>
      <c r="I210" s="237"/>
      <c r="J210" s="237"/>
      <c r="K210" s="237"/>
      <c r="L210" s="71"/>
      <c r="M210" s="71"/>
      <c r="N210" s="71"/>
      <c r="O210" s="71"/>
      <c r="P210" s="92"/>
      <c r="Q210" s="71"/>
      <c r="R210" s="71"/>
      <c r="S210" s="296"/>
      <c r="T210" s="71"/>
      <c r="U210" s="71"/>
      <c r="V210" s="71"/>
      <c r="W210" s="71"/>
      <c r="X210" s="71"/>
      <c r="Y210" s="71"/>
      <c r="Z210" s="71"/>
    </row>
    <row r="211" spans="1:26" ht="21" customHeight="1">
      <c r="A211" s="80"/>
      <c r="B211" s="237"/>
      <c r="C211" s="237"/>
      <c r="D211" s="237"/>
      <c r="E211" s="237"/>
      <c r="F211" s="237"/>
      <c r="G211" s="237"/>
      <c r="H211" s="237"/>
      <c r="I211" s="237"/>
      <c r="J211" s="237"/>
      <c r="K211" s="237"/>
      <c r="L211" s="71"/>
      <c r="M211" s="71"/>
      <c r="N211" s="71"/>
      <c r="O211" s="71"/>
      <c r="P211" s="92"/>
      <c r="Q211" s="71"/>
      <c r="R211" s="71"/>
      <c r="S211" s="296"/>
      <c r="T211" s="71"/>
      <c r="U211" s="71"/>
      <c r="V211" s="71"/>
      <c r="W211" s="71"/>
      <c r="X211" s="71"/>
      <c r="Y211" s="71"/>
      <c r="Z211" s="71"/>
    </row>
    <row r="212" spans="1:26" ht="21" customHeight="1">
      <c r="A212" s="80"/>
      <c r="B212" s="237" t="s">
        <v>123</v>
      </c>
      <c r="C212" s="237" t="s">
        <v>124</v>
      </c>
      <c r="D212" s="237"/>
      <c r="E212" s="237"/>
      <c r="F212" s="239" t="s">
        <v>125</v>
      </c>
      <c r="G212" s="237"/>
      <c r="H212" s="237"/>
      <c r="I212" s="237"/>
      <c r="J212" s="237"/>
      <c r="K212" s="237"/>
      <c r="L212" s="71"/>
      <c r="M212" s="71"/>
      <c r="N212" s="71"/>
      <c r="O212" s="71"/>
      <c r="P212" s="92"/>
      <c r="Q212" s="71"/>
      <c r="R212" s="71"/>
      <c r="S212" s="296"/>
      <c r="T212" s="71"/>
      <c r="U212" s="71"/>
      <c r="V212" s="71"/>
      <c r="W212" s="71"/>
      <c r="X212" s="71"/>
      <c r="Y212" s="71"/>
      <c r="Z212" s="71"/>
    </row>
    <row r="213" spans="1:26" ht="21" customHeight="1">
      <c r="A213" s="80"/>
      <c r="B213" s="237" t="s">
        <v>126</v>
      </c>
      <c r="C213" s="237" t="s">
        <v>127</v>
      </c>
      <c r="D213" s="237"/>
      <c r="E213" s="237"/>
      <c r="F213" s="73" t="s">
        <v>128</v>
      </c>
      <c r="G213" s="237"/>
      <c r="H213" s="237"/>
      <c r="I213" s="237"/>
      <c r="J213" s="237"/>
      <c r="K213" s="237"/>
      <c r="L213" s="71"/>
      <c r="M213" s="71"/>
      <c r="N213" s="71"/>
      <c r="O213" s="71"/>
      <c r="P213" s="92"/>
      <c r="Q213" s="71"/>
      <c r="R213" s="71"/>
      <c r="S213" s="296"/>
      <c r="T213" s="71"/>
      <c r="U213" s="71"/>
      <c r="V213" s="71"/>
      <c r="W213" s="71"/>
      <c r="X213" s="71"/>
      <c r="Y213" s="71"/>
      <c r="Z213" s="71"/>
    </row>
    <row r="214" spans="1:26" ht="21" customHeight="1">
      <c r="A214" s="80"/>
      <c r="B214" s="237" t="s">
        <v>129</v>
      </c>
      <c r="C214" s="237" t="s">
        <v>113</v>
      </c>
      <c r="D214" s="237"/>
      <c r="E214" s="237"/>
      <c r="F214" s="237"/>
      <c r="G214" s="237"/>
      <c r="H214" s="237"/>
      <c r="I214" s="237"/>
      <c r="J214" s="237"/>
      <c r="K214" s="237"/>
      <c r="L214" s="71"/>
      <c r="M214" s="71"/>
      <c r="N214" s="71"/>
      <c r="O214" s="71"/>
      <c r="P214" s="92"/>
      <c r="Q214" s="71"/>
      <c r="R214" s="71"/>
      <c r="S214" s="296"/>
      <c r="T214" s="71"/>
      <c r="U214" s="71"/>
      <c r="V214" s="71"/>
      <c r="W214" s="71"/>
      <c r="X214" s="71"/>
      <c r="Y214" s="71"/>
      <c r="Z214" s="71"/>
    </row>
    <row r="215" spans="1:26" ht="21" customHeight="1">
      <c r="A215" s="80"/>
      <c r="B215" s="237" t="s">
        <v>130</v>
      </c>
      <c r="C215" s="237" t="s">
        <v>131</v>
      </c>
      <c r="D215" s="237"/>
      <c r="E215" s="237"/>
      <c r="F215" s="237"/>
      <c r="G215" s="237"/>
      <c r="H215" s="237"/>
      <c r="I215" s="237"/>
      <c r="J215" s="237"/>
      <c r="K215" s="237"/>
      <c r="L215" s="71"/>
      <c r="M215" s="71"/>
      <c r="N215" s="71"/>
      <c r="O215" s="71"/>
      <c r="P215" s="92"/>
      <c r="Q215" s="71"/>
      <c r="R215" s="71"/>
      <c r="S215" s="296"/>
      <c r="T215" s="71"/>
      <c r="U215" s="71"/>
      <c r="V215" s="71"/>
      <c r="W215" s="71"/>
      <c r="X215" s="71"/>
      <c r="Y215" s="71"/>
      <c r="Z215" s="71"/>
    </row>
    <row r="216" spans="1:26" ht="21" customHeight="1" thickBot="1">
      <c r="A216" s="83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99"/>
      <c r="M216" s="99"/>
      <c r="N216" s="99"/>
      <c r="O216" s="99"/>
      <c r="P216" s="97"/>
      <c r="Q216" s="71"/>
      <c r="R216" s="71"/>
      <c r="S216" s="296"/>
      <c r="T216" s="71"/>
      <c r="U216" s="71"/>
      <c r="V216" s="71"/>
      <c r="W216" s="71"/>
      <c r="X216" s="71"/>
      <c r="Y216" s="71"/>
      <c r="Z216" s="71"/>
    </row>
    <row r="217" spans="1:26" ht="21" customHeight="1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296"/>
      <c r="T217" s="71"/>
      <c r="U217" s="71"/>
      <c r="V217" s="71"/>
      <c r="W217" s="71"/>
      <c r="X217" s="71"/>
      <c r="Y217" s="71"/>
      <c r="Z217" s="71"/>
    </row>
    <row r="218" spans="1:26" ht="21" customHeight="1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296"/>
      <c r="T218" s="71"/>
      <c r="U218" s="71"/>
      <c r="V218" s="71"/>
      <c r="W218" s="71"/>
      <c r="X218" s="71"/>
      <c r="Y218" s="71"/>
      <c r="Z218" s="71"/>
    </row>
    <row r="219" spans="1:26" ht="21" customHeight="1" thickBot="1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99"/>
      <c r="Q219" s="99"/>
      <c r="R219" s="71"/>
      <c r="S219" s="296"/>
      <c r="T219" s="71"/>
      <c r="U219" s="71"/>
      <c r="V219" s="71"/>
      <c r="W219" s="71"/>
      <c r="X219" s="71"/>
      <c r="Y219" s="71"/>
      <c r="Z219" s="71"/>
    </row>
    <row r="220" spans="1:26" ht="21" customHeight="1">
      <c r="A220" s="68" t="s">
        <v>101</v>
      </c>
      <c r="B220" s="69"/>
      <c r="C220" s="69"/>
      <c r="D220" s="69"/>
      <c r="E220" s="77"/>
      <c r="F220" s="77"/>
      <c r="G220" s="77"/>
      <c r="H220" s="77"/>
      <c r="I220" s="90" t="str">
        <f>I5</f>
        <v>Year 3</v>
      </c>
      <c r="J220" s="77"/>
      <c r="K220" s="77"/>
      <c r="L220" s="98"/>
      <c r="M220" s="98"/>
      <c r="N220" s="98"/>
      <c r="O220" s="98"/>
      <c r="P220" s="71"/>
      <c r="Q220" s="92"/>
      <c r="R220" s="71"/>
      <c r="S220" s="296"/>
      <c r="T220" s="71"/>
      <c r="U220" s="71"/>
      <c r="V220" s="71"/>
      <c r="W220" s="71"/>
      <c r="X220" s="71"/>
      <c r="Y220" s="71"/>
      <c r="Z220" s="71"/>
    </row>
    <row r="221" spans="1:26" ht="21" customHeight="1">
      <c r="A221" s="72"/>
      <c r="B221" s="73" t="s">
        <v>102</v>
      </c>
      <c r="C221" s="73"/>
      <c r="D221" s="73"/>
      <c r="E221" s="237"/>
      <c r="F221" s="241"/>
      <c r="G221" s="241"/>
      <c r="I221" s="241">
        <v>500000</v>
      </c>
      <c r="J221" s="237"/>
      <c r="K221" s="241"/>
      <c r="L221" s="71"/>
      <c r="M221" s="71"/>
      <c r="N221" s="71"/>
      <c r="O221" s="71"/>
      <c r="P221" s="71"/>
      <c r="Q221" s="92"/>
      <c r="R221" s="71"/>
      <c r="S221" s="296"/>
      <c r="T221" s="71"/>
      <c r="U221" s="71"/>
      <c r="V221" s="71"/>
      <c r="W221" s="71"/>
      <c r="X221" s="71"/>
      <c r="Y221" s="71"/>
      <c r="Z221" s="71"/>
    </row>
    <row r="222" spans="1:26" ht="21" customHeight="1">
      <c r="A222" s="72"/>
      <c r="B222" s="73" t="s">
        <v>33</v>
      </c>
      <c r="C222" s="73"/>
      <c r="D222" s="73"/>
      <c r="E222" s="237"/>
      <c r="F222" s="242"/>
      <c r="G222" s="242"/>
      <c r="I222" s="245">
        <v>0.45</v>
      </c>
      <c r="J222" s="242"/>
      <c r="K222" s="242"/>
      <c r="L222" s="71"/>
      <c r="M222" s="71"/>
      <c r="N222" s="71"/>
      <c r="O222" s="71"/>
      <c r="P222" s="71"/>
      <c r="Q222" s="92"/>
      <c r="R222" s="71"/>
      <c r="S222" s="296"/>
      <c r="T222" s="71"/>
      <c r="U222" s="71"/>
      <c r="V222" s="71"/>
      <c r="W222" s="71"/>
      <c r="X222" s="71"/>
      <c r="Y222" s="71"/>
      <c r="Z222" s="71"/>
    </row>
    <row r="223" spans="1:26" ht="21" customHeight="1">
      <c r="A223" s="72"/>
      <c r="B223" s="238" t="s">
        <v>103</v>
      </c>
      <c r="C223" s="73"/>
      <c r="D223" s="73"/>
      <c r="E223" s="237"/>
      <c r="F223" s="241"/>
      <c r="G223" s="241"/>
      <c r="I223" s="241">
        <f>I221*I222</f>
        <v>225000</v>
      </c>
      <c r="J223" s="241"/>
      <c r="K223" s="241"/>
      <c r="L223" s="71"/>
      <c r="M223" s="71"/>
      <c r="N223" s="71"/>
      <c r="O223" s="71"/>
      <c r="P223" s="71"/>
      <c r="Q223" s="92"/>
      <c r="R223" s="71"/>
      <c r="S223" s="296"/>
      <c r="T223" s="71"/>
      <c r="U223" s="71"/>
      <c r="V223" s="71"/>
      <c r="W223" s="71"/>
      <c r="X223" s="71"/>
      <c r="Y223" s="71"/>
      <c r="Z223" s="71"/>
    </row>
    <row r="224" spans="1:26" ht="21" customHeight="1">
      <c r="A224" s="72"/>
      <c r="B224" s="73"/>
      <c r="C224" s="73"/>
      <c r="D224" s="73"/>
      <c r="E224" s="237"/>
      <c r="F224" s="237"/>
      <c r="G224" s="237"/>
      <c r="H224" s="237"/>
      <c r="I224" s="237"/>
      <c r="J224" s="237"/>
      <c r="K224" s="237"/>
      <c r="L224" s="71"/>
      <c r="M224" s="71"/>
      <c r="N224" s="71"/>
      <c r="O224" s="71"/>
      <c r="P224" s="71"/>
      <c r="Q224" s="92"/>
      <c r="R224" s="71"/>
      <c r="S224" s="296"/>
      <c r="T224" s="71"/>
      <c r="U224" s="71"/>
      <c r="V224" s="71"/>
      <c r="W224" s="71"/>
      <c r="X224" s="71"/>
      <c r="Y224" s="71"/>
      <c r="Z224" s="71"/>
    </row>
    <row r="225" spans="1:26" ht="21" customHeight="1">
      <c r="A225" s="75" t="s">
        <v>104</v>
      </c>
      <c r="B225" s="73"/>
      <c r="C225" s="73"/>
      <c r="D225" s="73"/>
      <c r="E225" s="237"/>
      <c r="F225" s="237"/>
      <c r="G225" s="237"/>
      <c r="H225" s="237"/>
      <c r="I225" s="237"/>
      <c r="J225" s="237"/>
      <c r="K225" s="237"/>
      <c r="L225" s="71"/>
      <c r="M225" s="71"/>
      <c r="N225" s="71"/>
      <c r="O225" s="71"/>
      <c r="P225" s="71"/>
      <c r="Q225" s="92"/>
      <c r="R225" s="71"/>
      <c r="S225" s="296"/>
      <c r="T225" s="71"/>
      <c r="U225" s="71"/>
      <c r="V225" s="71"/>
      <c r="W225" s="71"/>
      <c r="X225" s="71"/>
      <c r="Y225" s="71"/>
      <c r="Z225" s="71"/>
    </row>
    <row r="226" spans="1:26" ht="21" customHeight="1">
      <c r="A226" s="72"/>
      <c r="B226" s="237" t="s">
        <v>105</v>
      </c>
      <c r="C226" s="237"/>
      <c r="D226" s="237"/>
      <c r="E226" s="237"/>
      <c r="F226" s="241"/>
      <c r="I226" s="241">
        <v>60000</v>
      </c>
      <c r="J226" s="241">
        <v>60000</v>
      </c>
      <c r="K226" s="241">
        <v>60000</v>
      </c>
      <c r="L226" s="241">
        <v>60000</v>
      </c>
      <c r="M226" s="241">
        <v>60000</v>
      </c>
      <c r="N226" s="71"/>
      <c r="O226" s="71"/>
      <c r="P226" s="71"/>
      <c r="Q226" s="92"/>
      <c r="R226" s="71"/>
      <c r="S226" s="296"/>
      <c r="T226" s="71"/>
      <c r="U226" s="71"/>
      <c r="V226" s="71"/>
      <c r="W226" s="71"/>
      <c r="X226" s="71"/>
      <c r="Y226" s="71"/>
      <c r="Z226" s="71"/>
    </row>
    <row r="227" spans="1:26" ht="21" customHeight="1">
      <c r="A227" s="72"/>
      <c r="B227" s="237" t="s">
        <v>106</v>
      </c>
      <c r="C227" s="237"/>
      <c r="D227" s="237"/>
      <c r="E227" s="237"/>
      <c r="F227" s="242"/>
      <c r="I227" s="242">
        <v>1</v>
      </c>
      <c r="J227" s="242">
        <v>0.9</v>
      </c>
      <c r="K227" s="242">
        <v>0.9</v>
      </c>
      <c r="L227" s="242">
        <v>0.9</v>
      </c>
      <c r="M227" s="242">
        <v>0.9</v>
      </c>
      <c r="N227" s="241">
        <v>60000</v>
      </c>
      <c r="O227" s="71"/>
      <c r="P227" s="71"/>
      <c r="Q227" s="92"/>
      <c r="R227" s="71"/>
      <c r="S227" s="296"/>
      <c r="T227" s="71"/>
      <c r="U227" s="71"/>
      <c r="V227" s="71"/>
      <c r="W227" s="71"/>
      <c r="X227" s="71"/>
      <c r="Y227" s="71"/>
      <c r="Z227" s="71"/>
    </row>
    <row r="228" spans="1:26" ht="21" customHeight="1">
      <c r="A228" s="72"/>
      <c r="B228" s="237" t="s">
        <v>107</v>
      </c>
      <c r="C228" s="237"/>
      <c r="D228" s="237"/>
      <c r="E228" s="237"/>
      <c r="F228" s="242"/>
      <c r="I228" s="242">
        <v>1</v>
      </c>
      <c r="J228" s="242">
        <v>0.9</v>
      </c>
      <c r="K228" s="242">
        <v>0.81</v>
      </c>
      <c r="L228" s="242">
        <v>0.81</v>
      </c>
      <c r="M228" s="243">
        <v>0.72899999999999998</v>
      </c>
      <c r="N228" s="242">
        <v>0.9</v>
      </c>
      <c r="O228" s="71"/>
      <c r="P228" s="71"/>
      <c r="Q228" s="92"/>
      <c r="R228" s="71"/>
      <c r="S228" s="296"/>
      <c r="T228" s="71"/>
      <c r="U228" s="71"/>
      <c r="V228" s="71"/>
      <c r="W228" s="71"/>
      <c r="X228" s="71"/>
      <c r="Y228" s="71"/>
      <c r="Z228" s="71"/>
    </row>
    <row r="229" spans="1:26" ht="21" customHeight="1">
      <c r="A229" s="72"/>
      <c r="B229" s="237" t="s">
        <v>108</v>
      </c>
      <c r="C229" s="237"/>
      <c r="D229" s="237"/>
      <c r="E229" s="237"/>
      <c r="F229" s="237"/>
      <c r="I229" s="244">
        <v>60000</v>
      </c>
      <c r="J229" s="244">
        <v>60000</v>
      </c>
      <c r="K229" s="244">
        <v>60000</v>
      </c>
      <c r="L229" s="244">
        <v>60000</v>
      </c>
      <c r="M229" s="244">
        <v>60000</v>
      </c>
      <c r="N229" s="243">
        <v>0.72899999999999998</v>
      </c>
      <c r="O229" s="71"/>
      <c r="P229" s="71"/>
      <c r="Q229" s="92"/>
      <c r="R229" s="71"/>
      <c r="S229" s="296"/>
      <c r="T229" s="71"/>
      <c r="U229" s="71"/>
      <c r="V229" s="71"/>
      <c r="W229" s="71"/>
      <c r="X229" s="71"/>
      <c r="Y229" s="71"/>
      <c r="Z229" s="71"/>
    </row>
    <row r="230" spans="1:26" ht="21" customHeight="1">
      <c r="A230" s="72"/>
      <c r="B230" s="237" t="s">
        <v>106</v>
      </c>
      <c r="C230" s="237"/>
      <c r="D230" s="237"/>
      <c r="E230" s="237"/>
      <c r="F230" s="237"/>
      <c r="I230" s="242">
        <v>1</v>
      </c>
      <c r="J230" s="242">
        <v>0.9</v>
      </c>
      <c r="K230" s="242">
        <v>0.9</v>
      </c>
      <c r="L230" s="242">
        <v>0.9</v>
      </c>
      <c r="M230" s="242">
        <v>0.9</v>
      </c>
      <c r="N230" s="244">
        <v>60000</v>
      </c>
      <c r="O230" s="71"/>
      <c r="P230" s="71"/>
      <c r="Q230" s="92"/>
      <c r="R230" s="71"/>
      <c r="S230" s="296"/>
      <c r="T230" s="71"/>
      <c r="U230" s="71"/>
      <c r="V230" s="71"/>
      <c r="W230" s="71"/>
      <c r="X230" s="71"/>
      <c r="Y230" s="71"/>
      <c r="Z230" s="71"/>
    </row>
    <row r="231" spans="1:26" ht="21" customHeight="1">
      <c r="A231" s="72"/>
      <c r="B231" s="237" t="s">
        <v>107</v>
      </c>
      <c r="C231" s="237"/>
      <c r="D231" s="237"/>
      <c r="E231" s="237"/>
      <c r="F231" s="237"/>
      <c r="I231" s="242">
        <v>1</v>
      </c>
      <c r="J231" s="242">
        <f>J230*I231</f>
        <v>0.9</v>
      </c>
      <c r="K231" s="242">
        <f>K230*J231</f>
        <v>0.81</v>
      </c>
      <c r="L231" s="242">
        <f>L230*K265</f>
        <v>0.81</v>
      </c>
      <c r="M231" s="243">
        <f>M230*L231</f>
        <v>0.72900000000000009</v>
      </c>
      <c r="N231" s="242">
        <v>0.9</v>
      </c>
      <c r="O231" s="71"/>
      <c r="P231" s="71"/>
      <c r="Q231" s="92"/>
      <c r="R231" s="71"/>
      <c r="S231" s="296"/>
      <c r="T231" s="71"/>
      <c r="U231" s="71"/>
      <c r="V231" s="71"/>
      <c r="W231" s="71"/>
      <c r="X231" s="71"/>
      <c r="Y231" s="71"/>
      <c r="Z231" s="71"/>
    </row>
    <row r="232" spans="1:26" ht="21" customHeight="1">
      <c r="A232" s="80"/>
      <c r="B232" s="237" t="s">
        <v>109</v>
      </c>
      <c r="C232" s="237"/>
      <c r="D232" s="237"/>
      <c r="E232" s="237"/>
      <c r="F232" s="242"/>
      <c r="I232" s="245">
        <v>0.83</v>
      </c>
      <c r="J232" s="245">
        <v>0.84</v>
      </c>
      <c r="K232" s="245">
        <v>0.85</v>
      </c>
      <c r="L232" s="245">
        <v>0.86</v>
      </c>
      <c r="M232" s="245">
        <v>0.87</v>
      </c>
      <c r="N232" s="243">
        <f>N231*M265</f>
        <v>0.72900000000000009</v>
      </c>
      <c r="O232" s="71"/>
      <c r="P232" s="71"/>
      <c r="Q232" s="92"/>
      <c r="R232" s="71"/>
      <c r="S232" s="296"/>
      <c r="T232" s="71"/>
      <c r="U232" s="71"/>
      <c r="V232" s="71"/>
      <c r="W232" s="71"/>
      <c r="X232" s="71"/>
      <c r="Y232" s="71"/>
      <c r="Z232" s="71"/>
    </row>
    <row r="233" spans="1:26" ht="21" customHeight="1">
      <c r="A233" s="80"/>
      <c r="B233" s="237"/>
      <c r="C233" s="237"/>
      <c r="D233" s="237"/>
      <c r="E233" s="237"/>
      <c r="F233" s="242"/>
      <c r="I233" s="251"/>
      <c r="J233" s="242"/>
      <c r="K233" s="242"/>
      <c r="L233" s="242"/>
      <c r="M233" s="242"/>
      <c r="N233" s="245">
        <v>0.88</v>
      </c>
      <c r="O233" s="71"/>
      <c r="P233" s="71"/>
      <c r="Q233" s="92"/>
      <c r="R233" s="71"/>
      <c r="S233" s="296"/>
      <c r="T233" s="71"/>
      <c r="U233" s="71"/>
      <c r="V233" s="71"/>
      <c r="W233" s="71"/>
      <c r="X233" s="71"/>
      <c r="Y233" s="71"/>
      <c r="Z233" s="71"/>
    </row>
    <row r="234" spans="1:26" ht="21" customHeight="1">
      <c r="A234" s="80"/>
      <c r="B234" s="239" t="s">
        <v>110</v>
      </c>
      <c r="C234" s="239"/>
      <c r="D234" s="237"/>
      <c r="E234" s="237"/>
      <c r="F234" s="248"/>
      <c r="I234" s="244">
        <f>(I226*I228+I229*I231)*I232</f>
        <v>99600</v>
      </c>
      <c r="J234" s="244">
        <f t="shared" si="41"/>
        <v>90720</v>
      </c>
      <c r="K234" s="244">
        <f t="shared" si="41"/>
        <v>82620</v>
      </c>
      <c r="L234" s="244">
        <f t="shared" ref="K234:M268" si="56">(L226*L228+L229*L231)*L232</f>
        <v>83592</v>
      </c>
      <c r="M234" s="244">
        <f t="shared" si="56"/>
        <v>76107.600000000006</v>
      </c>
      <c r="N234" s="242"/>
      <c r="O234" s="71"/>
      <c r="P234" s="71"/>
      <c r="Q234" s="92"/>
      <c r="R234" s="71"/>
      <c r="S234" s="296"/>
      <c r="T234" s="71"/>
      <c r="U234" s="71"/>
      <c r="V234" s="71"/>
      <c r="W234" s="71"/>
      <c r="X234" s="71"/>
      <c r="Y234" s="71"/>
      <c r="Z234" s="71"/>
    </row>
    <row r="235" spans="1:26" ht="21" customHeight="1">
      <c r="A235" s="80"/>
      <c r="B235" s="237"/>
      <c r="C235" s="237"/>
      <c r="D235" s="237"/>
      <c r="E235" s="237"/>
      <c r="F235" s="237"/>
      <c r="I235" s="244"/>
      <c r="J235" s="244"/>
      <c r="K235" s="244"/>
      <c r="L235" s="244"/>
      <c r="M235" s="244"/>
      <c r="N235" s="244">
        <f t="shared" ref="L235:N268" si="57">(N227*N229+N230*N232)*N233</f>
        <v>76982.399999999994</v>
      </c>
      <c r="O235" s="71"/>
      <c r="P235" s="71"/>
      <c r="Q235" s="92"/>
      <c r="R235" s="71"/>
      <c r="S235" s="296"/>
      <c r="T235" s="71"/>
      <c r="U235" s="71"/>
      <c r="V235" s="71"/>
      <c r="W235" s="71"/>
      <c r="X235" s="71"/>
      <c r="Y235" s="71"/>
      <c r="Z235" s="71"/>
    </row>
    <row r="236" spans="1:26" ht="21" customHeight="1">
      <c r="A236" s="80"/>
      <c r="B236" s="239" t="s">
        <v>111</v>
      </c>
      <c r="C236" s="237"/>
      <c r="D236" s="237"/>
      <c r="E236" s="237"/>
      <c r="F236" s="248"/>
      <c r="I236" s="244">
        <f>I234+I223</f>
        <v>324600</v>
      </c>
      <c r="J236" s="244">
        <f t="shared" si="44"/>
        <v>90720</v>
      </c>
      <c r="K236" s="244">
        <f t="shared" si="44"/>
        <v>82620</v>
      </c>
      <c r="L236" s="244">
        <f t="shared" ref="K236:M270" si="58">L234+L223</f>
        <v>83592</v>
      </c>
      <c r="M236" s="244">
        <f t="shared" si="58"/>
        <v>76107.600000000006</v>
      </c>
      <c r="N236" s="244"/>
      <c r="O236" s="71"/>
      <c r="P236" s="71"/>
      <c r="Q236" s="92"/>
      <c r="R236" s="71"/>
      <c r="S236" s="296"/>
      <c r="T236" s="71"/>
      <c r="U236" s="71"/>
      <c r="V236" s="71"/>
      <c r="W236" s="71"/>
      <c r="X236" s="71"/>
      <c r="Y236" s="71"/>
      <c r="Z236" s="71"/>
    </row>
    <row r="237" spans="1:26" ht="21" customHeight="1">
      <c r="A237" s="80"/>
      <c r="B237" s="239"/>
      <c r="C237" s="237"/>
      <c r="D237" s="237"/>
      <c r="E237" s="237"/>
      <c r="F237" s="248"/>
      <c r="I237" s="248"/>
      <c r="J237" s="248"/>
      <c r="K237" s="248"/>
      <c r="L237" s="248"/>
      <c r="M237" s="248"/>
      <c r="N237" s="244">
        <f t="shared" ref="L237:N270" si="59">N235+N224</f>
        <v>76982.399999999994</v>
      </c>
      <c r="O237" s="71"/>
      <c r="P237" s="71"/>
      <c r="Q237" s="92"/>
      <c r="R237" s="71"/>
      <c r="S237" s="296"/>
      <c r="T237" s="71"/>
      <c r="U237" s="71"/>
      <c r="V237" s="71"/>
      <c r="W237" s="71"/>
      <c r="X237" s="71"/>
      <c r="Y237" s="71"/>
      <c r="Z237" s="71"/>
    </row>
    <row r="238" spans="1:26" ht="21" customHeight="1">
      <c r="A238" s="80"/>
      <c r="B238" s="237" t="s">
        <v>112</v>
      </c>
      <c r="C238" s="237"/>
      <c r="D238" s="252" t="s">
        <v>113</v>
      </c>
      <c r="E238" s="237"/>
      <c r="F238" s="242"/>
      <c r="I238" s="242">
        <v>0.5</v>
      </c>
      <c r="J238" s="242">
        <v>0.5</v>
      </c>
      <c r="K238" s="242">
        <v>0.5</v>
      </c>
      <c r="L238" s="242">
        <v>0.5</v>
      </c>
      <c r="M238" s="242">
        <v>0.5</v>
      </c>
      <c r="N238" s="248"/>
      <c r="O238" s="71"/>
      <c r="P238" s="71"/>
      <c r="Q238" s="92"/>
      <c r="R238" s="71"/>
      <c r="S238" s="296"/>
      <c r="T238" s="71"/>
      <c r="U238" s="71"/>
      <c r="V238" s="71"/>
      <c r="W238" s="71"/>
      <c r="X238" s="71"/>
      <c r="Y238" s="71"/>
      <c r="Z238" s="71"/>
    </row>
    <row r="239" spans="1:26" ht="21" customHeight="1">
      <c r="A239" s="80"/>
      <c r="B239" s="237" t="s">
        <v>114</v>
      </c>
      <c r="C239" s="237"/>
      <c r="D239" s="252" t="s">
        <v>115</v>
      </c>
      <c r="E239" s="237"/>
      <c r="F239" s="253"/>
      <c r="I239" s="249">
        <v>0</v>
      </c>
      <c r="J239" s="249">
        <v>1</v>
      </c>
      <c r="K239" s="249">
        <v>2</v>
      </c>
      <c r="L239" s="249">
        <v>2</v>
      </c>
      <c r="M239" s="249">
        <v>3</v>
      </c>
      <c r="N239" s="242">
        <v>0.5</v>
      </c>
      <c r="O239" s="71"/>
      <c r="P239" s="71"/>
      <c r="Q239" s="92"/>
      <c r="R239" s="71"/>
      <c r="S239" s="296"/>
      <c r="T239" s="71"/>
      <c r="U239" s="71"/>
      <c r="V239" s="71"/>
      <c r="W239" s="71"/>
      <c r="X239" s="71"/>
      <c r="Y239" s="71"/>
      <c r="Z239" s="71"/>
    </row>
    <row r="240" spans="1:26" ht="21" customHeight="1">
      <c r="A240" s="80"/>
      <c r="B240" s="237" t="s">
        <v>116</v>
      </c>
      <c r="C240" s="237"/>
      <c r="D240" s="252" t="s">
        <v>117</v>
      </c>
      <c r="E240" s="237"/>
      <c r="F240" s="237"/>
      <c r="I240" s="237"/>
      <c r="J240" s="237"/>
      <c r="K240" s="237"/>
      <c r="L240" s="237"/>
      <c r="M240" s="237"/>
      <c r="N240" s="249">
        <v>3</v>
      </c>
      <c r="O240" s="71"/>
      <c r="P240" s="71"/>
      <c r="Q240" s="92"/>
      <c r="R240" s="71"/>
      <c r="S240" s="296"/>
      <c r="T240" s="71"/>
      <c r="U240" s="71"/>
      <c r="V240" s="71"/>
      <c r="W240" s="71"/>
      <c r="X240" s="71"/>
      <c r="Y240" s="71"/>
      <c r="Z240" s="71"/>
    </row>
    <row r="241" spans="1:26" ht="21" customHeight="1">
      <c r="A241" s="80"/>
      <c r="B241" s="237" t="s">
        <v>118</v>
      </c>
      <c r="C241" s="237"/>
      <c r="D241" s="252" t="s">
        <v>119</v>
      </c>
      <c r="E241" s="237"/>
      <c r="F241" s="250"/>
      <c r="I241" s="250">
        <v>1</v>
      </c>
      <c r="J241" s="250">
        <v>0.66669999999999996</v>
      </c>
      <c r="K241" s="250">
        <v>0.44440000000000002</v>
      </c>
      <c r="L241" s="250">
        <v>0.44440000000000002</v>
      </c>
      <c r="M241" s="250">
        <v>0.29630000000000001</v>
      </c>
      <c r="N241" s="237"/>
      <c r="O241" s="71"/>
      <c r="P241" s="71"/>
      <c r="Q241" s="92"/>
      <c r="R241" s="71"/>
      <c r="S241" s="296"/>
      <c r="T241" s="71"/>
      <c r="U241" s="71"/>
      <c r="V241" s="71"/>
      <c r="W241" s="71"/>
      <c r="X241" s="71"/>
      <c r="Y241" s="71"/>
      <c r="Z241" s="71"/>
    </row>
    <row r="242" spans="1:26" ht="21" customHeight="1">
      <c r="A242" s="80"/>
      <c r="B242" s="239"/>
      <c r="C242" s="237"/>
      <c r="D242" s="237"/>
      <c r="E242" s="237"/>
      <c r="F242" s="242"/>
      <c r="G242" s="242"/>
      <c r="I242" s="242"/>
      <c r="J242" s="242"/>
      <c r="K242" s="242"/>
      <c r="L242" s="242"/>
      <c r="M242" s="242"/>
      <c r="N242" s="250">
        <v>0.29630000000000001</v>
      </c>
      <c r="O242" s="71"/>
      <c r="P242" s="71"/>
      <c r="Q242" s="92"/>
      <c r="R242" s="71"/>
      <c r="S242" s="296"/>
      <c r="T242" s="71"/>
      <c r="U242" s="71"/>
      <c r="V242" s="71"/>
      <c r="W242" s="71"/>
      <c r="X242" s="71"/>
      <c r="Y242" s="71"/>
      <c r="Z242" s="71"/>
    </row>
    <row r="243" spans="1:26" ht="21" customHeight="1">
      <c r="A243" s="80"/>
      <c r="B243" s="239" t="s">
        <v>120</v>
      </c>
      <c r="C243" s="239"/>
      <c r="D243" s="239"/>
      <c r="E243" s="237"/>
      <c r="F243" s="248"/>
      <c r="I243" s="241">
        <f t="shared" si="47"/>
        <v>324600</v>
      </c>
      <c r="J243" s="241">
        <f t="shared" si="47"/>
        <v>60483.023999999998</v>
      </c>
      <c r="K243" s="241">
        <f t="shared" si="47"/>
        <v>36716.328000000001</v>
      </c>
      <c r="L243" s="241">
        <f t="shared" ref="K243:M277" si="60">L236*L241</f>
        <v>37148.284800000001</v>
      </c>
      <c r="M243" s="241">
        <f t="shared" si="60"/>
        <v>22550.681880000004</v>
      </c>
      <c r="N243" s="242"/>
      <c r="O243" s="71"/>
      <c r="P243" s="71"/>
      <c r="Q243" s="92"/>
      <c r="R243" s="71"/>
      <c r="S243" s="296"/>
      <c r="T243" s="71"/>
      <c r="U243" s="71"/>
      <c r="V243" s="71"/>
      <c r="W243" s="71"/>
      <c r="X243" s="71"/>
      <c r="Y243" s="71"/>
      <c r="Z243" s="71"/>
    </row>
    <row r="244" spans="1:26" ht="21" customHeight="1">
      <c r="A244" s="80"/>
      <c r="B244" s="239"/>
      <c r="C244" s="237"/>
      <c r="D244" s="237"/>
      <c r="E244" s="237"/>
      <c r="F244" s="254"/>
      <c r="G244" s="237"/>
      <c r="H244" s="237"/>
      <c r="I244" s="237"/>
      <c r="J244" s="237"/>
      <c r="K244" s="237"/>
      <c r="L244" s="71"/>
      <c r="M244" s="71"/>
      <c r="N244" s="241">
        <f t="shared" ref="M244:N277" si="61">N237*N242</f>
        <v>22809.885119999999</v>
      </c>
      <c r="O244" s="71"/>
      <c r="P244" s="71"/>
      <c r="Q244" s="92"/>
      <c r="R244" s="71"/>
      <c r="S244" s="296"/>
      <c r="T244" s="71"/>
      <c r="U244" s="71"/>
      <c r="V244" s="71"/>
      <c r="W244" s="71"/>
      <c r="X244" s="71"/>
      <c r="Y244" s="71"/>
      <c r="Z244" s="71"/>
    </row>
    <row r="245" spans="1:26" ht="21" customHeight="1">
      <c r="A245" s="80"/>
      <c r="B245" s="239" t="s">
        <v>121</v>
      </c>
      <c r="C245" s="239"/>
      <c r="D245" s="237"/>
      <c r="E245" s="237"/>
      <c r="F245" s="476" t="s">
        <v>134</v>
      </c>
      <c r="G245" s="476"/>
      <c r="H245" s="476"/>
      <c r="I245" s="258">
        <f>I243+J243+K243+L170+M170+N136</f>
        <v>421885.57698890992</v>
      </c>
      <c r="L245" s="71"/>
      <c r="M245" s="71"/>
      <c r="N245" s="71"/>
      <c r="O245" s="71"/>
      <c r="P245" s="71"/>
      <c r="Q245" s="92"/>
      <c r="R245" s="71"/>
      <c r="S245" s="296"/>
      <c r="T245" s="71"/>
      <c r="U245" s="71"/>
      <c r="V245" s="71"/>
      <c r="W245" s="71"/>
      <c r="X245" s="71"/>
      <c r="Y245" s="71"/>
      <c r="Z245" s="71"/>
    </row>
    <row r="246" spans="1:26" ht="21" customHeight="1">
      <c r="A246" s="80"/>
      <c r="B246" s="237"/>
      <c r="C246" s="237"/>
      <c r="D246" s="237"/>
      <c r="E246" s="237"/>
      <c r="F246" s="237"/>
      <c r="G246" s="237"/>
      <c r="H246" s="237"/>
      <c r="I246" s="237"/>
      <c r="J246" s="237"/>
      <c r="K246" s="237"/>
      <c r="L246" s="71"/>
      <c r="M246" s="71"/>
      <c r="N246" s="71"/>
      <c r="O246" s="71"/>
      <c r="P246" s="71"/>
      <c r="Q246" s="92"/>
      <c r="R246" s="71"/>
      <c r="S246" s="296"/>
      <c r="T246" s="71"/>
      <c r="U246" s="71"/>
      <c r="V246" s="71"/>
      <c r="W246" s="71"/>
      <c r="X246" s="71"/>
      <c r="Y246" s="71"/>
      <c r="Z246" s="71"/>
    </row>
    <row r="247" spans="1:26" ht="21" customHeight="1">
      <c r="A247" s="80"/>
      <c r="B247" s="237"/>
      <c r="C247" s="237"/>
      <c r="D247" s="237"/>
      <c r="E247" s="237"/>
      <c r="F247" s="237"/>
      <c r="G247" s="237"/>
      <c r="H247" s="237"/>
      <c r="I247" s="237"/>
      <c r="J247" s="237"/>
      <c r="K247" s="237"/>
      <c r="L247" s="71"/>
      <c r="M247" s="71"/>
      <c r="N247" s="71"/>
      <c r="O247" s="71"/>
      <c r="P247" s="71"/>
      <c r="Q247" s="92"/>
      <c r="R247" s="71"/>
      <c r="S247" s="296"/>
      <c r="T247" s="71"/>
      <c r="U247" s="71"/>
      <c r="V247" s="71"/>
      <c r="W247" s="71"/>
      <c r="X247" s="71"/>
      <c r="Y247" s="71"/>
      <c r="Z247" s="71"/>
    </row>
    <row r="248" spans="1:26" ht="21" customHeight="1">
      <c r="A248" s="80"/>
      <c r="B248" s="237" t="s">
        <v>123</v>
      </c>
      <c r="C248" s="237" t="s">
        <v>124</v>
      </c>
      <c r="D248" s="237"/>
      <c r="E248" s="237"/>
      <c r="F248" s="239" t="s">
        <v>125</v>
      </c>
      <c r="G248" s="237"/>
      <c r="H248" s="237"/>
      <c r="I248" s="237"/>
      <c r="J248" s="237"/>
      <c r="K248" s="237"/>
      <c r="L248" s="71"/>
      <c r="M248" s="71"/>
      <c r="N248" s="71"/>
      <c r="O248" s="71"/>
      <c r="P248" s="71"/>
      <c r="Q248" s="92"/>
      <c r="R248" s="71"/>
      <c r="S248" s="296"/>
      <c r="T248" s="71"/>
      <c r="U248" s="71"/>
      <c r="V248" s="71"/>
      <c r="W248" s="71"/>
      <c r="X248" s="71"/>
      <c r="Y248" s="71"/>
      <c r="Z248" s="71"/>
    </row>
    <row r="249" spans="1:26" ht="21" customHeight="1">
      <c r="A249" s="80"/>
      <c r="B249" s="237" t="s">
        <v>126</v>
      </c>
      <c r="C249" s="237" t="s">
        <v>127</v>
      </c>
      <c r="D249" s="237"/>
      <c r="E249" s="237"/>
      <c r="F249" s="73" t="s">
        <v>128</v>
      </c>
      <c r="G249" s="237"/>
      <c r="H249" s="237"/>
      <c r="I249" s="237"/>
      <c r="J249" s="237"/>
      <c r="K249" s="237"/>
      <c r="L249" s="71"/>
      <c r="M249" s="71"/>
      <c r="N249" s="71"/>
      <c r="O249" s="71"/>
      <c r="P249" s="71"/>
      <c r="Q249" s="92"/>
      <c r="R249" s="71"/>
      <c r="S249" s="296"/>
      <c r="T249" s="71"/>
      <c r="U249" s="71"/>
      <c r="V249" s="71"/>
      <c r="W249" s="71"/>
      <c r="X249" s="71"/>
      <c r="Y249" s="71"/>
      <c r="Z249" s="71"/>
    </row>
    <row r="250" spans="1:26" ht="21" customHeight="1">
      <c r="A250" s="80"/>
      <c r="B250" s="237" t="s">
        <v>129</v>
      </c>
      <c r="C250" s="237" t="s">
        <v>113</v>
      </c>
      <c r="D250" s="237"/>
      <c r="E250" s="237"/>
      <c r="F250" s="237"/>
      <c r="G250" s="237"/>
      <c r="H250" s="237"/>
      <c r="I250" s="237"/>
      <c r="J250" s="237"/>
      <c r="K250" s="237"/>
      <c r="L250" s="71"/>
      <c r="M250" s="71"/>
      <c r="N250" s="71"/>
      <c r="O250" s="71"/>
      <c r="P250" s="71"/>
      <c r="Q250" s="92"/>
      <c r="R250" s="71"/>
      <c r="S250" s="296"/>
      <c r="T250" s="71"/>
      <c r="U250" s="71"/>
      <c r="V250" s="71"/>
      <c r="W250" s="71"/>
      <c r="X250" s="71"/>
      <c r="Y250" s="71"/>
      <c r="Z250" s="71"/>
    </row>
    <row r="251" spans="1:26" ht="21" customHeight="1">
      <c r="A251" s="80"/>
      <c r="B251" s="237" t="s">
        <v>130</v>
      </c>
      <c r="C251" s="237" t="s">
        <v>131</v>
      </c>
      <c r="D251" s="237"/>
      <c r="E251" s="237"/>
      <c r="F251" s="237"/>
      <c r="G251" s="237"/>
      <c r="H251" s="237"/>
      <c r="I251" s="237"/>
      <c r="J251" s="237"/>
      <c r="K251" s="237"/>
      <c r="L251" s="71"/>
      <c r="M251" s="71"/>
      <c r="N251" s="71"/>
      <c r="O251" s="71"/>
      <c r="P251" s="71"/>
      <c r="Q251" s="92"/>
      <c r="R251" s="71"/>
      <c r="S251" s="296"/>
      <c r="T251" s="71"/>
      <c r="U251" s="71"/>
      <c r="V251" s="71"/>
      <c r="W251" s="71"/>
      <c r="X251" s="71"/>
      <c r="Y251" s="71"/>
      <c r="Z251" s="71"/>
    </row>
    <row r="252" spans="1:26" ht="21" customHeight="1">
      <c r="A252" s="80"/>
      <c r="B252" s="237"/>
      <c r="C252" s="237"/>
      <c r="D252" s="237"/>
      <c r="E252" s="237"/>
      <c r="F252" s="237"/>
      <c r="G252" s="237"/>
      <c r="H252" s="237"/>
      <c r="I252" s="237"/>
      <c r="J252" s="237"/>
      <c r="K252" s="237"/>
      <c r="L252" s="71"/>
      <c r="M252" s="71"/>
      <c r="N252" s="71"/>
      <c r="O252" s="71"/>
      <c r="P252" s="71"/>
      <c r="Q252" s="92"/>
      <c r="R252" s="71"/>
      <c r="S252" s="296"/>
      <c r="T252" s="71"/>
      <c r="U252" s="71"/>
      <c r="V252" s="71"/>
      <c r="W252" s="71"/>
      <c r="X252" s="71"/>
      <c r="Y252" s="71"/>
      <c r="Z252" s="71"/>
    </row>
    <row r="253" spans="1:26" ht="21" customHeight="1">
      <c r="A253" s="259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92"/>
      <c r="R253" s="71"/>
      <c r="S253" s="296"/>
      <c r="T253" s="71"/>
      <c r="U253" s="71"/>
      <c r="V253" s="71"/>
      <c r="W253" s="71"/>
      <c r="X253" s="71"/>
      <c r="Y253" s="71"/>
      <c r="Z253" s="71"/>
    </row>
    <row r="254" spans="1:26" ht="21" customHeight="1">
      <c r="A254" s="75" t="s">
        <v>101</v>
      </c>
      <c r="B254" s="73"/>
      <c r="C254" s="73"/>
      <c r="D254" s="73"/>
      <c r="E254" s="237"/>
      <c r="F254" s="237"/>
      <c r="G254" s="237"/>
      <c r="H254" s="237"/>
      <c r="I254" s="237"/>
      <c r="J254" s="239" t="str">
        <f>J5</f>
        <v>Year 4</v>
      </c>
      <c r="K254" s="237"/>
      <c r="L254" s="71"/>
      <c r="M254" s="71"/>
      <c r="N254" s="71"/>
      <c r="O254" s="71"/>
      <c r="P254" s="71"/>
      <c r="Q254" s="92"/>
      <c r="R254" s="71"/>
      <c r="S254" s="296"/>
      <c r="T254" s="71"/>
      <c r="U254" s="71"/>
      <c r="V254" s="71"/>
      <c r="W254" s="71"/>
      <c r="X254" s="71"/>
      <c r="Y254" s="71"/>
      <c r="Z254" s="71"/>
    </row>
    <row r="255" spans="1:26" ht="21" customHeight="1">
      <c r="A255" s="72"/>
      <c r="B255" s="73" t="s">
        <v>102</v>
      </c>
      <c r="C255" s="73"/>
      <c r="D255" s="73"/>
      <c r="E255" s="237"/>
      <c r="F255" s="241"/>
      <c r="G255" s="241"/>
      <c r="I255" s="241"/>
      <c r="J255" s="241">
        <v>500000</v>
      </c>
      <c r="K255" s="241"/>
      <c r="L255" s="71"/>
      <c r="M255" s="71"/>
      <c r="N255" s="71"/>
      <c r="O255" s="71"/>
      <c r="P255" s="71"/>
      <c r="Q255" s="92"/>
      <c r="R255" s="71"/>
      <c r="S255" s="296"/>
      <c r="T255" s="71"/>
      <c r="U255" s="71"/>
      <c r="V255" s="71"/>
      <c r="W255" s="71"/>
      <c r="X255" s="71"/>
      <c r="Y255" s="71"/>
      <c r="Z255" s="71"/>
    </row>
    <row r="256" spans="1:26" ht="21" customHeight="1">
      <c r="A256" s="72"/>
      <c r="B256" s="73" t="s">
        <v>33</v>
      </c>
      <c r="C256" s="73"/>
      <c r="D256" s="73"/>
      <c r="E256" s="237"/>
      <c r="F256" s="242"/>
      <c r="G256" s="242"/>
      <c r="I256" s="242"/>
      <c r="J256" s="245">
        <v>0.45</v>
      </c>
      <c r="K256" s="242"/>
      <c r="L256" s="71"/>
      <c r="M256" s="71"/>
      <c r="N256" s="71"/>
      <c r="O256" s="71"/>
      <c r="P256" s="71"/>
      <c r="Q256" s="92"/>
      <c r="R256" s="71"/>
      <c r="S256" s="296"/>
      <c r="T256" s="71"/>
      <c r="U256" s="71"/>
      <c r="V256" s="71"/>
      <c r="W256" s="71"/>
      <c r="X256" s="71"/>
      <c r="Y256" s="71"/>
      <c r="Z256" s="71"/>
    </row>
    <row r="257" spans="1:26" ht="21" customHeight="1">
      <c r="A257" s="72"/>
      <c r="B257" s="238" t="s">
        <v>103</v>
      </c>
      <c r="C257" s="73"/>
      <c r="D257" s="73"/>
      <c r="E257" s="237"/>
      <c r="F257" s="241"/>
      <c r="G257" s="241"/>
      <c r="I257" s="241"/>
      <c r="J257" s="241">
        <f>J255*J256</f>
        <v>225000</v>
      </c>
      <c r="K257" s="241"/>
      <c r="L257" s="71"/>
      <c r="M257" s="71"/>
      <c r="N257" s="71"/>
      <c r="O257" s="71"/>
      <c r="P257" s="71"/>
      <c r="Q257" s="92"/>
      <c r="R257" s="71"/>
      <c r="S257" s="296"/>
      <c r="T257" s="71"/>
      <c r="U257" s="71"/>
      <c r="V257" s="71"/>
      <c r="W257" s="71"/>
      <c r="X257" s="71"/>
      <c r="Y257" s="71"/>
      <c r="Z257" s="71"/>
    </row>
    <row r="258" spans="1:26" ht="21" customHeight="1">
      <c r="A258" s="72"/>
      <c r="B258" s="73"/>
      <c r="C258" s="73"/>
      <c r="D258" s="73"/>
      <c r="E258" s="237"/>
      <c r="F258" s="237"/>
      <c r="G258" s="237"/>
      <c r="H258" s="237"/>
      <c r="I258" s="237"/>
      <c r="J258" s="237"/>
      <c r="K258" s="237"/>
      <c r="L258" s="71"/>
      <c r="M258" s="71"/>
      <c r="N258" s="71"/>
      <c r="O258" s="71"/>
      <c r="P258" s="71"/>
      <c r="Q258" s="92"/>
      <c r="R258" s="71"/>
      <c r="S258" s="296"/>
      <c r="T258" s="71"/>
      <c r="U258" s="71"/>
      <c r="V258" s="71"/>
      <c r="W258" s="71"/>
      <c r="X258" s="71"/>
      <c r="Y258" s="71"/>
      <c r="Z258" s="71"/>
    </row>
    <row r="259" spans="1:26" ht="21" customHeight="1">
      <c r="A259" s="75" t="s">
        <v>104</v>
      </c>
      <c r="B259" s="73"/>
      <c r="C259" s="73"/>
      <c r="D259" s="73"/>
      <c r="E259" s="237"/>
      <c r="F259" s="237"/>
      <c r="G259" s="237"/>
      <c r="H259" s="237"/>
      <c r="I259" s="237"/>
      <c r="J259" s="237"/>
      <c r="K259" s="237"/>
      <c r="L259" s="71"/>
      <c r="M259" s="71"/>
      <c r="N259" s="71"/>
      <c r="O259" s="71"/>
      <c r="P259" s="71"/>
      <c r="Q259" s="92"/>
      <c r="R259" s="71"/>
      <c r="S259" s="296"/>
      <c r="T259" s="71"/>
      <c r="U259" s="71"/>
      <c r="V259" s="71"/>
      <c r="W259" s="71"/>
      <c r="X259" s="71"/>
      <c r="Y259" s="71"/>
      <c r="Z259" s="71"/>
    </row>
    <row r="260" spans="1:26" ht="21" customHeight="1">
      <c r="A260" s="72"/>
      <c r="B260" s="237" t="s">
        <v>105</v>
      </c>
      <c r="C260" s="237"/>
      <c r="D260" s="237"/>
      <c r="E260" s="237"/>
      <c r="F260" s="241"/>
      <c r="J260" s="241">
        <v>60000</v>
      </c>
      <c r="K260" s="241">
        <v>60000</v>
      </c>
      <c r="L260" s="241">
        <v>60000</v>
      </c>
      <c r="M260" s="241">
        <v>60000</v>
      </c>
      <c r="N260" s="71"/>
      <c r="O260" s="71"/>
      <c r="P260" s="71"/>
      <c r="Q260" s="92"/>
      <c r="R260" s="71"/>
      <c r="S260" s="296"/>
      <c r="T260" s="71"/>
      <c r="U260" s="71"/>
      <c r="V260" s="71"/>
      <c r="W260" s="71"/>
      <c r="X260" s="71"/>
      <c r="Y260" s="71"/>
      <c r="Z260" s="71"/>
    </row>
    <row r="261" spans="1:26" ht="21" customHeight="1">
      <c r="A261" s="72"/>
      <c r="B261" s="237" t="s">
        <v>106</v>
      </c>
      <c r="C261" s="237"/>
      <c r="D261" s="237"/>
      <c r="E261" s="237"/>
      <c r="F261" s="242"/>
      <c r="J261" s="242">
        <v>1</v>
      </c>
      <c r="K261" s="242">
        <v>0.9</v>
      </c>
      <c r="L261" s="242">
        <v>0.9</v>
      </c>
      <c r="M261" s="242">
        <v>0.9</v>
      </c>
      <c r="N261" s="71"/>
      <c r="O261" s="71"/>
      <c r="P261" s="71"/>
      <c r="Q261" s="92"/>
      <c r="R261" s="71"/>
      <c r="S261" s="296"/>
      <c r="T261" s="71"/>
      <c r="U261" s="71"/>
      <c r="V261" s="71"/>
      <c r="W261" s="71"/>
      <c r="X261" s="71"/>
      <c r="Y261" s="71"/>
      <c r="Z261" s="71"/>
    </row>
    <row r="262" spans="1:26" ht="21" customHeight="1">
      <c r="A262" s="72"/>
      <c r="B262" s="237" t="s">
        <v>107</v>
      </c>
      <c r="C262" s="237"/>
      <c r="D262" s="237"/>
      <c r="E262" s="237"/>
      <c r="F262" s="242"/>
      <c r="J262" s="242">
        <v>1</v>
      </c>
      <c r="K262" s="242">
        <v>0.9</v>
      </c>
      <c r="L262" s="242">
        <v>0.9</v>
      </c>
      <c r="M262" s="242">
        <v>0.81</v>
      </c>
      <c r="N262" s="71"/>
      <c r="O262" s="71"/>
      <c r="P262" s="71"/>
      <c r="Q262" s="92"/>
      <c r="R262" s="71"/>
      <c r="S262" s="296"/>
      <c r="T262" s="71"/>
      <c r="U262" s="71"/>
      <c r="V262" s="71"/>
      <c r="W262" s="71"/>
      <c r="X262" s="71"/>
      <c r="Y262" s="71"/>
      <c r="Z262" s="71"/>
    </row>
    <row r="263" spans="1:26" ht="21" customHeight="1">
      <c r="A263" s="72"/>
      <c r="B263" s="237" t="s">
        <v>108</v>
      </c>
      <c r="C263" s="237"/>
      <c r="D263" s="237"/>
      <c r="E263" s="237"/>
      <c r="F263" s="237"/>
      <c r="J263" s="244">
        <v>60000</v>
      </c>
      <c r="K263" s="244">
        <v>60000</v>
      </c>
      <c r="L263" s="244">
        <v>60000</v>
      </c>
      <c r="M263" s="244">
        <v>60000</v>
      </c>
      <c r="N263" s="71"/>
      <c r="O263" s="71"/>
      <c r="P263" s="71"/>
      <c r="Q263" s="92"/>
      <c r="R263" s="71"/>
      <c r="S263" s="296"/>
      <c r="T263" s="71"/>
      <c r="U263" s="71"/>
      <c r="V263" s="71"/>
      <c r="W263" s="71"/>
      <c r="X263" s="71"/>
      <c r="Y263" s="71"/>
      <c r="Z263" s="71"/>
    </row>
    <row r="264" spans="1:26" ht="21" customHeight="1">
      <c r="A264" s="72"/>
      <c r="B264" s="237" t="s">
        <v>106</v>
      </c>
      <c r="C264" s="237"/>
      <c r="D264" s="237"/>
      <c r="E264" s="237"/>
      <c r="F264" s="237"/>
      <c r="J264" s="242">
        <v>1</v>
      </c>
      <c r="K264" s="242">
        <v>0.9</v>
      </c>
      <c r="L264" s="242">
        <v>0.9</v>
      </c>
      <c r="M264" s="242">
        <v>0.9</v>
      </c>
      <c r="N264" s="71"/>
      <c r="O264" s="71"/>
      <c r="P264" s="71"/>
      <c r="Q264" s="92"/>
      <c r="R264" s="71"/>
      <c r="S264" s="296"/>
      <c r="T264" s="71"/>
      <c r="U264" s="71"/>
      <c r="V264" s="71"/>
      <c r="W264" s="71"/>
      <c r="X264" s="71"/>
      <c r="Y264" s="71"/>
      <c r="Z264" s="71"/>
    </row>
    <row r="265" spans="1:26" ht="21" customHeight="1">
      <c r="A265" s="72"/>
      <c r="B265" s="237" t="s">
        <v>107</v>
      </c>
      <c r="C265" s="237"/>
      <c r="D265" s="237"/>
      <c r="E265" s="237"/>
      <c r="F265" s="237"/>
      <c r="J265" s="242">
        <v>1</v>
      </c>
      <c r="K265" s="242">
        <f>K264*J265</f>
        <v>0.9</v>
      </c>
      <c r="L265" s="242">
        <f>L264*K300</f>
        <v>0.9</v>
      </c>
      <c r="M265" s="242">
        <f>M264*L265</f>
        <v>0.81</v>
      </c>
      <c r="N265" s="71"/>
      <c r="O265" s="71"/>
      <c r="P265" s="71"/>
      <c r="Q265" s="92"/>
      <c r="R265" s="71"/>
      <c r="S265" s="296"/>
      <c r="T265" s="71"/>
      <c r="U265" s="71"/>
      <c r="V265" s="71"/>
      <c r="W265" s="71"/>
      <c r="X265" s="71"/>
      <c r="Y265" s="71"/>
      <c r="Z265" s="71"/>
    </row>
    <row r="266" spans="1:26" ht="21" customHeight="1">
      <c r="A266" s="80"/>
      <c r="B266" s="237" t="s">
        <v>109</v>
      </c>
      <c r="C266" s="237"/>
      <c r="D266" s="237"/>
      <c r="E266" s="237"/>
      <c r="F266" s="242"/>
      <c r="J266" s="245">
        <v>0.84</v>
      </c>
      <c r="K266" s="245">
        <v>0.85</v>
      </c>
      <c r="L266" s="245">
        <v>0.86</v>
      </c>
      <c r="M266" s="245">
        <v>0.87</v>
      </c>
      <c r="N266" s="71"/>
      <c r="O266" s="71"/>
      <c r="P266" s="71"/>
      <c r="Q266" s="92"/>
      <c r="R266" s="71"/>
      <c r="S266" s="296"/>
      <c r="T266" s="71"/>
      <c r="U266" s="71"/>
      <c r="V266" s="71"/>
      <c r="W266" s="71"/>
      <c r="X266" s="71"/>
      <c r="Y266" s="71"/>
      <c r="Z266" s="71"/>
    </row>
    <row r="267" spans="1:26" ht="21" customHeight="1">
      <c r="A267" s="80"/>
      <c r="B267" s="237"/>
      <c r="C267" s="237"/>
      <c r="D267" s="237"/>
      <c r="E267" s="237"/>
      <c r="F267" s="242"/>
      <c r="J267" s="251"/>
      <c r="K267" s="242"/>
      <c r="L267" s="242"/>
      <c r="M267" s="242"/>
      <c r="N267" s="71"/>
      <c r="O267" s="71"/>
      <c r="P267" s="71"/>
      <c r="Q267" s="92"/>
      <c r="R267" s="71"/>
      <c r="S267" s="296"/>
      <c r="T267" s="71"/>
      <c r="U267" s="71"/>
      <c r="V267" s="71"/>
      <c r="W267" s="71"/>
      <c r="X267" s="71"/>
      <c r="Y267" s="71"/>
      <c r="Z267" s="71"/>
    </row>
    <row r="268" spans="1:26" ht="21" customHeight="1">
      <c r="A268" s="80"/>
      <c r="B268" s="239" t="s">
        <v>110</v>
      </c>
      <c r="C268" s="239"/>
      <c r="D268" s="237"/>
      <c r="E268" s="237"/>
      <c r="F268" s="248"/>
      <c r="J268" s="244">
        <f>(J260*J262+J263*J265)*J266</f>
        <v>100800</v>
      </c>
      <c r="K268" s="244">
        <f t="shared" si="56"/>
        <v>91800</v>
      </c>
      <c r="L268" s="244">
        <f t="shared" si="57"/>
        <v>92880</v>
      </c>
      <c r="M268" s="244">
        <f t="shared" si="57"/>
        <v>84564</v>
      </c>
      <c r="N268" s="71"/>
      <c r="O268" s="71"/>
      <c r="P268" s="71"/>
      <c r="Q268" s="92"/>
      <c r="R268" s="71"/>
      <c r="S268" s="296"/>
      <c r="T268" s="71"/>
      <c r="U268" s="71"/>
      <c r="V268" s="71"/>
      <c r="W268" s="71"/>
      <c r="X268" s="71"/>
      <c r="Y268" s="71"/>
      <c r="Z268" s="71"/>
    </row>
    <row r="269" spans="1:26" ht="21" customHeight="1">
      <c r="A269" s="80"/>
      <c r="B269" s="237"/>
      <c r="C269" s="237"/>
      <c r="D269" s="237"/>
      <c r="E269" s="237"/>
      <c r="F269" s="237"/>
      <c r="J269" s="244"/>
      <c r="K269" s="244"/>
      <c r="L269" s="244"/>
      <c r="M269" s="244"/>
      <c r="N269" s="71"/>
      <c r="O269" s="71"/>
      <c r="P269" s="71"/>
      <c r="Q269" s="92"/>
      <c r="R269" s="71"/>
      <c r="S269" s="296"/>
      <c r="T269" s="71"/>
      <c r="U269" s="71"/>
      <c r="V269" s="71"/>
      <c r="W269" s="71"/>
      <c r="X269" s="71"/>
      <c r="Y269" s="71"/>
      <c r="Z269" s="71"/>
    </row>
    <row r="270" spans="1:26" ht="21" customHeight="1">
      <c r="A270" s="80"/>
      <c r="B270" s="239" t="s">
        <v>111</v>
      </c>
      <c r="C270" s="237"/>
      <c r="D270" s="237"/>
      <c r="E270" s="237"/>
      <c r="F270" s="248"/>
      <c r="J270" s="244">
        <f>J268+J257</f>
        <v>325800</v>
      </c>
      <c r="K270" s="244">
        <f t="shared" si="58"/>
        <v>91800</v>
      </c>
      <c r="L270" s="244">
        <f t="shared" si="59"/>
        <v>92880</v>
      </c>
      <c r="M270" s="244">
        <f t="shared" si="59"/>
        <v>84564</v>
      </c>
      <c r="N270" s="71"/>
      <c r="O270" s="71"/>
      <c r="P270" s="71"/>
      <c r="Q270" s="92"/>
      <c r="R270" s="71"/>
      <c r="S270" s="296"/>
      <c r="T270" s="71"/>
      <c r="U270" s="71"/>
      <c r="V270" s="71"/>
      <c r="W270" s="71"/>
      <c r="X270" s="71"/>
      <c r="Y270" s="71"/>
      <c r="Z270" s="71"/>
    </row>
    <row r="271" spans="1:26" ht="21" customHeight="1">
      <c r="A271" s="80"/>
      <c r="B271" s="239"/>
      <c r="C271" s="237"/>
      <c r="D271" s="237"/>
      <c r="E271" s="237"/>
      <c r="F271" s="248"/>
      <c r="J271" s="248"/>
      <c r="K271" s="248"/>
      <c r="L271" s="248"/>
      <c r="M271" s="248"/>
      <c r="N271" s="71"/>
      <c r="O271" s="71"/>
      <c r="P271" s="71"/>
      <c r="Q271" s="92"/>
      <c r="R271" s="71"/>
      <c r="S271" s="296"/>
      <c r="T271" s="71"/>
      <c r="U271" s="71"/>
      <c r="V271" s="71"/>
      <c r="W271" s="71"/>
      <c r="X271" s="71"/>
      <c r="Y271" s="71"/>
      <c r="Z271" s="71"/>
    </row>
    <row r="272" spans="1:26" ht="21" customHeight="1">
      <c r="A272" s="80"/>
      <c r="B272" s="237" t="s">
        <v>112</v>
      </c>
      <c r="C272" s="237"/>
      <c r="D272" s="252" t="s">
        <v>113</v>
      </c>
      <c r="E272" s="237"/>
      <c r="F272" s="242"/>
      <c r="J272" s="242">
        <v>0.5</v>
      </c>
      <c r="K272" s="242">
        <v>0.5</v>
      </c>
      <c r="L272" s="242">
        <v>0.5</v>
      </c>
      <c r="M272" s="242">
        <v>0.5</v>
      </c>
      <c r="N272" s="71"/>
      <c r="O272" s="71"/>
      <c r="P272" s="71"/>
      <c r="Q272" s="92"/>
      <c r="R272" s="71"/>
      <c r="S272" s="296"/>
      <c r="T272" s="71"/>
      <c r="U272" s="71"/>
      <c r="V272" s="71"/>
      <c r="W272" s="71"/>
      <c r="X272" s="71"/>
      <c r="Y272" s="71"/>
      <c r="Z272" s="71"/>
    </row>
    <row r="273" spans="1:26" ht="21" customHeight="1">
      <c r="A273" s="80"/>
      <c r="B273" s="237" t="s">
        <v>114</v>
      </c>
      <c r="C273" s="237"/>
      <c r="D273" s="252" t="s">
        <v>115</v>
      </c>
      <c r="E273" s="237"/>
      <c r="F273" s="253"/>
      <c r="J273" s="249">
        <v>0</v>
      </c>
      <c r="K273" s="249">
        <v>1</v>
      </c>
      <c r="L273" s="249">
        <v>1</v>
      </c>
      <c r="M273" s="249">
        <v>2</v>
      </c>
      <c r="N273" s="71"/>
      <c r="O273" s="71"/>
      <c r="P273" s="71"/>
      <c r="Q273" s="92"/>
      <c r="R273" s="71"/>
      <c r="S273" s="296"/>
      <c r="T273" s="71"/>
      <c r="U273" s="71"/>
      <c r="V273" s="71"/>
      <c r="W273" s="71"/>
      <c r="X273" s="71"/>
      <c r="Y273" s="71"/>
      <c r="Z273" s="71"/>
    </row>
    <row r="274" spans="1:26" ht="21" customHeight="1">
      <c r="A274" s="80"/>
      <c r="B274" s="237" t="s">
        <v>116</v>
      </c>
      <c r="C274" s="237"/>
      <c r="D274" s="252" t="s">
        <v>117</v>
      </c>
      <c r="E274" s="237"/>
      <c r="F274" s="237"/>
      <c r="J274" s="237"/>
      <c r="K274" s="237"/>
      <c r="L274" s="237"/>
      <c r="M274" s="237"/>
      <c r="N274" s="71"/>
      <c r="O274" s="71"/>
      <c r="P274" s="71"/>
      <c r="Q274" s="92"/>
      <c r="R274" s="71"/>
      <c r="S274" s="296"/>
      <c r="T274" s="71"/>
      <c r="U274" s="71"/>
      <c r="V274" s="71"/>
      <c r="W274" s="71"/>
      <c r="X274" s="71"/>
      <c r="Y274" s="71"/>
      <c r="Z274" s="71"/>
    </row>
    <row r="275" spans="1:26" ht="21" customHeight="1">
      <c r="A275" s="80"/>
      <c r="B275" s="237" t="s">
        <v>118</v>
      </c>
      <c r="C275" s="237"/>
      <c r="D275" s="252" t="s">
        <v>119</v>
      </c>
      <c r="E275" s="237"/>
      <c r="F275" s="250"/>
      <c r="J275" s="250">
        <v>1</v>
      </c>
      <c r="K275" s="250">
        <v>0.66669999999999996</v>
      </c>
      <c r="L275" s="250">
        <v>0.66669999999999996</v>
      </c>
      <c r="M275" s="250">
        <v>0.44440000000000002</v>
      </c>
      <c r="N275" s="71"/>
      <c r="O275" s="71"/>
      <c r="P275" s="71"/>
      <c r="Q275" s="92"/>
      <c r="R275" s="71"/>
      <c r="S275" s="296"/>
      <c r="T275" s="71"/>
      <c r="U275" s="71"/>
      <c r="V275" s="71"/>
      <c r="W275" s="71"/>
      <c r="X275" s="71"/>
      <c r="Y275" s="71"/>
      <c r="Z275" s="71"/>
    </row>
    <row r="276" spans="1:26" ht="21" customHeight="1">
      <c r="A276" s="80"/>
      <c r="B276" s="239"/>
      <c r="C276" s="237"/>
      <c r="D276" s="237"/>
      <c r="E276" s="237"/>
      <c r="F276" s="242"/>
      <c r="G276" s="242"/>
      <c r="J276" s="242"/>
      <c r="K276" s="242"/>
      <c r="L276" s="242"/>
      <c r="M276" s="242"/>
      <c r="N276" s="71"/>
      <c r="O276" s="71"/>
      <c r="P276" s="71"/>
      <c r="Q276" s="92"/>
      <c r="R276" s="71"/>
      <c r="S276" s="296"/>
      <c r="T276" s="71"/>
      <c r="U276" s="71"/>
      <c r="V276" s="71"/>
      <c r="W276" s="71"/>
      <c r="X276" s="71"/>
      <c r="Y276" s="71"/>
      <c r="Z276" s="71"/>
    </row>
    <row r="277" spans="1:26" ht="21" customHeight="1">
      <c r="A277" s="80"/>
      <c r="B277" s="239" t="s">
        <v>120</v>
      </c>
      <c r="C277" s="239"/>
      <c r="D277" s="239"/>
      <c r="E277" s="237"/>
      <c r="F277" s="248"/>
      <c r="J277" s="241">
        <f>J270*J275</f>
        <v>325800</v>
      </c>
      <c r="K277" s="241">
        <f t="shared" si="60"/>
        <v>61203.06</v>
      </c>
      <c r="L277" s="241">
        <f>L270*L275</f>
        <v>61923.095999999998</v>
      </c>
      <c r="M277" s="241">
        <f t="shared" si="61"/>
        <v>37580.241600000001</v>
      </c>
      <c r="N277" s="71"/>
      <c r="O277" s="71"/>
      <c r="P277" s="71"/>
      <c r="Q277" s="92"/>
      <c r="R277" s="71"/>
      <c r="S277" s="296"/>
      <c r="T277" s="71"/>
      <c r="U277" s="71"/>
      <c r="V277" s="71"/>
      <c r="W277" s="71"/>
      <c r="X277" s="71"/>
      <c r="Y277" s="71"/>
      <c r="Z277" s="71"/>
    </row>
    <row r="278" spans="1:26" ht="21" customHeight="1">
      <c r="A278" s="80"/>
      <c r="B278" s="239"/>
      <c r="C278" s="237"/>
      <c r="D278" s="237"/>
      <c r="E278" s="237"/>
      <c r="F278" s="254"/>
      <c r="G278" s="237"/>
      <c r="H278" s="237"/>
      <c r="I278" s="237"/>
      <c r="J278" s="237"/>
      <c r="K278" s="237"/>
      <c r="L278" s="71"/>
      <c r="M278" s="71"/>
      <c r="N278" s="71"/>
      <c r="O278" s="71"/>
      <c r="P278" s="71"/>
      <c r="Q278" s="92"/>
      <c r="R278" s="71"/>
      <c r="S278" s="296"/>
      <c r="T278" s="71"/>
      <c r="U278" s="71"/>
      <c r="V278" s="71"/>
      <c r="W278" s="71"/>
      <c r="X278" s="71"/>
      <c r="Y278" s="71"/>
      <c r="Z278" s="71"/>
    </row>
    <row r="279" spans="1:26" ht="21" customHeight="1">
      <c r="A279" s="80"/>
      <c r="B279" s="239" t="s">
        <v>121</v>
      </c>
      <c r="C279" s="239"/>
      <c r="D279" s="237"/>
      <c r="E279" s="237"/>
      <c r="F279" s="476" t="s">
        <v>135</v>
      </c>
      <c r="G279" s="476"/>
      <c r="H279" s="476"/>
      <c r="I279" s="258"/>
      <c r="J279" s="258">
        <f>J277+K277+L243+M243+N171+O171</f>
        <v>446702.02668000001</v>
      </c>
      <c r="L279" s="71"/>
      <c r="M279" s="71"/>
      <c r="N279" s="71"/>
      <c r="O279" s="71"/>
      <c r="P279" s="71"/>
      <c r="Q279" s="92"/>
      <c r="R279" s="71"/>
      <c r="S279" s="296"/>
      <c r="T279" s="71"/>
      <c r="U279" s="71"/>
      <c r="V279" s="71"/>
      <c r="W279" s="71"/>
      <c r="X279" s="71"/>
      <c r="Y279" s="71"/>
      <c r="Z279" s="71"/>
    </row>
    <row r="280" spans="1:26" ht="21" customHeight="1">
      <c r="A280" s="80"/>
      <c r="B280" s="237"/>
      <c r="C280" s="237"/>
      <c r="D280" s="237"/>
      <c r="E280" s="237"/>
      <c r="F280" s="237"/>
      <c r="G280" s="237"/>
      <c r="H280" s="237"/>
      <c r="I280" s="237"/>
      <c r="J280" s="237"/>
      <c r="K280" s="237"/>
      <c r="L280" s="71"/>
      <c r="M280" s="71"/>
      <c r="N280" s="71"/>
      <c r="O280" s="71"/>
      <c r="P280" s="71"/>
      <c r="Q280" s="92"/>
      <c r="R280" s="71"/>
      <c r="S280" s="296"/>
      <c r="T280" s="71"/>
      <c r="U280" s="71"/>
      <c r="V280" s="71"/>
      <c r="W280" s="71"/>
      <c r="X280" s="71"/>
      <c r="Y280" s="71"/>
      <c r="Z280" s="71"/>
    </row>
    <row r="281" spans="1:26" ht="21" customHeight="1">
      <c r="A281" s="80"/>
      <c r="B281" s="237"/>
      <c r="C281" s="237"/>
      <c r="D281" s="237"/>
      <c r="E281" s="237"/>
      <c r="F281" s="237"/>
      <c r="G281" s="237"/>
      <c r="H281" s="237"/>
      <c r="I281" s="237"/>
      <c r="J281" s="237"/>
      <c r="K281" s="237"/>
      <c r="L281" s="71"/>
      <c r="M281" s="71"/>
      <c r="N281" s="71"/>
      <c r="O281" s="71"/>
      <c r="P281" s="71"/>
      <c r="Q281" s="92"/>
      <c r="R281" s="71"/>
      <c r="S281" s="296"/>
      <c r="T281" s="71"/>
      <c r="U281" s="71"/>
      <c r="V281" s="71"/>
      <c r="W281" s="71"/>
      <c r="X281" s="71"/>
      <c r="Y281" s="71"/>
      <c r="Z281" s="71"/>
    </row>
    <row r="282" spans="1:26" ht="21" customHeight="1">
      <c r="A282" s="80"/>
      <c r="B282" s="237" t="s">
        <v>123</v>
      </c>
      <c r="C282" s="237" t="s">
        <v>124</v>
      </c>
      <c r="D282" s="237"/>
      <c r="E282" s="237"/>
      <c r="F282" s="239" t="s">
        <v>125</v>
      </c>
      <c r="G282" s="237"/>
      <c r="H282" s="237"/>
      <c r="I282" s="237"/>
      <c r="J282" s="237"/>
      <c r="K282" s="237"/>
      <c r="L282" s="71"/>
      <c r="M282" s="71"/>
      <c r="N282" s="71"/>
      <c r="O282" s="71"/>
      <c r="P282" s="71"/>
      <c r="Q282" s="92"/>
      <c r="R282" s="71"/>
      <c r="S282" s="296"/>
      <c r="T282" s="71"/>
      <c r="U282" s="71"/>
      <c r="V282" s="71"/>
      <c r="W282" s="71"/>
      <c r="X282" s="71"/>
      <c r="Y282" s="71"/>
      <c r="Z282" s="71"/>
    </row>
    <row r="283" spans="1:26" ht="21" customHeight="1">
      <c r="A283" s="80"/>
      <c r="B283" s="237" t="s">
        <v>126</v>
      </c>
      <c r="C283" s="237" t="s">
        <v>127</v>
      </c>
      <c r="D283" s="237"/>
      <c r="E283" s="237"/>
      <c r="F283" s="73" t="s">
        <v>128</v>
      </c>
      <c r="G283" s="237"/>
      <c r="H283" s="237"/>
      <c r="I283" s="237"/>
      <c r="J283" s="237"/>
      <c r="K283" s="237"/>
      <c r="L283" s="71"/>
      <c r="M283" s="71"/>
      <c r="N283" s="71"/>
      <c r="O283" s="71"/>
      <c r="P283" s="71"/>
      <c r="Q283" s="92"/>
      <c r="R283" s="71"/>
      <c r="S283" s="296"/>
      <c r="T283" s="71"/>
      <c r="U283" s="71"/>
      <c r="V283" s="71"/>
      <c r="W283" s="71"/>
      <c r="X283" s="71"/>
      <c r="Y283" s="71"/>
      <c r="Z283" s="71"/>
    </row>
    <row r="284" spans="1:26" ht="21" customHeight="1">
      <c r="A284" s="80"/>
      <c r="B284" s="237" t="s">
        <v>129</v>
      </c>
      <c r="C284" s="237" t="s">
        <v>113</v>
      </c>
      <c r="D284" s="237"/>
      <c r="E284" s="237"/>
      <c r="F284" s="237"/>
      <c r="G284" s="237"/>
      <c r="H284" s="237"/>
      <c r="I284" s="237"/>
      <c r="J284" s="237"/>
      <c r="K284" s="237"/>
      <c r="L284" s="71"/>
      <c r="M284" s="71"/>
      <c r="N284" s="71"/>
      <c r="O284" s="71"/>
      <c r="P284" s="71"/>
      <c r="Q284" s="92"/>
      <c r="R284" s="71"/>
      <c r="S284" s="296"/>
      <c r="T284" s="71"/>
      <c r="U284" s="71"/>
      <c r="V284" s="71"/>
      <c r="W284" s="71"/>
      <c r="X284" s="71"/>
      <c r="Y284" s="71"/>
      <c r="Z284" s="71"/>
    </row>
    <row r="285" spans="1:26" ht="21" customHeight="1">
      <c r="A285" s="80"/>
      <c r="B285" s="237" t="s">
        <v>130</v>
      </c>
      <c r="C285" s="237" t="s">
        <v>131</v>
      </c>
      <c r="D285" s="237"/>
      <c r="E285" s="237"/>
      <c r="F285" s="237"/>
      <c r="G285" s="237"/>
      <c r="H285" s="237"/>
      <c r="I285" s="237"/>
      <c r="J285" s="237"/>
      <c r="K285" s="237"/>
      <c r="L285" s="71"/>
      <c r="M285" s="71"/>
      <c r="N285" s="71"/>
      <c r="O285" s="71"/>
      <c r="P285" s="71"/>
      <c r="Q285" s="92"/>
      <c r="R285" s="71"/>
      <c r="S285" s="296"/>
      <c r="T285" s="71"/>
      <c r="U285" s="71"/>
      <c r="V285" s="71"/>
      <c r="W285" s="71"/>
      <c r="X285" s="71"/>
      <c r="Y285" s="71"/>
      <c r="Z285" s="71"/>
    </row>
    <row r="286" spans="1:26" ht="21" customHeight="1" thickBot="1">
      <c r="A286" s="83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99"/>
      <c r="M286" s="99"/>
      <c r="N286" s="99"/>
      <c r="O286" s="99"/>
      <c r="P286" s="99"/>
      <c r="Q286" s="97"/>
      <c r="R286" s="71"/>
      <c r="S286" s="296"/>
      <c r="T286" s="71"/>
      <c r="U286" s="71"/>
      <c r="V286" s="71"/>
      <c r="W286" s="71"/>
      <c r="X286" s="71"/>
      <c r="Y286" s="71"/>
      <c r="Z286" s="71"/>
    </row>
    <row r="287" spans="1:26" ht="21" customHeight="1">
      <c r="A287" s="80"/>
      <c r="B287" s="237"/>
      <c r="C287" s="237"/>
      <c r="D287" s="237"/>
      <c r="E287" s="237"/>
      <c r="F287" s="237"/>
      <c r="G287" s="237"/>
      <c r="H287" s="237"/>
      <c r="I287" s="237"/>
      <c r="J287" s="237"/>
      <c r="K287" s="237"/>
      <c r="L287" s="71"/>
      <c r="M287" s="71"/>
      <c r="N287" s="71"/>
      <c r="O287" s="71"/>
      <c r="P287" s="71"/>
      <c r="Q287" s="71"/>
      <c r="R287" s="71"/>
      <c r="S287" s="296"/>
      <c r="T287" s="71"/>
      <c r="U287" s="71"/>
      <c r="V287" s="71"/>
      <c r="W287" s="71"/>
      <c r="X287" s="71"/>
      <c r="Y287" s="71"/>
      <c r="Z287" s="71"/>
    </row>
    <row r="288" spans="1:26" ht="21" customHeight="1" thickBot="1">
      <c r="A288" s="259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99"/>
      <c r="P288" s="71"/>
      <c r="Q288" s="71"/>
      <c r="R288" s="71"/>
      <c r="S288" s="296"/>
      <c r="T288" s="71"/>
      <c r="U288" s="71"/>
      <c r="V288" s="71"/>
      <c r="W288" s="71"/>
      <c r="X288" s="71"/>
      <c r="Y288" s="71"/>
      <c r="Z288" s="71"/>
    </row>
    <row r="289" spans="1:26" ht="21" customHeight="1">
      <c r="A289" s="68" t="s">
        <v>101</v>
      </c>
      <c r="B289" s="69"/>
      <c r="C289" s="69"/>
      <c r="D289" s="69"/>
      <c r="E289" s="77"/>
      <c r="F289" s="77"/>
      <c r="G289" s="77"/>
      <c r="H289" s="77"/>
      <c r="I289" s="77"/>
      <c r="J289" s="77"/>
      <c r="K289" s="90" t="str">
        <f>+K5</f>
        <v>Year 5</v>
      </c>
      <c r="L289" s="98"/>
      <c r="M289" s="98"/>
      <c r="N289" s="98"/>
      <c r="O289" s="92"/>
      <c r="P289" s="71"/>
      <c r="Q289" s="71"/>
      <c r="R289" s="71"/>
      <c r="S289" s="296"/>
      <c r="T289" s="71"/>
      <c r="U289" s="71"/>
      <c r="V289" s="71"/>
      <c r="W289" s="71"/>
      <c r="X289" s="71"/>
      <c r="Y289" s="71"/>
      <c r="Z289" s="71"/>
    </row>
    <row r="290" spans="1:26" ht="21" customHeight="1">
      <c r="A290" s="72"/>
      <c r="B290" s="73" t="s">
        <v>102</v>
      </c>
      <c r="C290" s="73"/>
      <c r="D290" s="73"/>
      <c r="E290" s="237"/>
      <c r="F290" s="241"/>
      <c r="G290" s="241"/>
      <c r="I290" s="241"/>
      <c r="J290" s="241"/>
      <c r="K290" s="241">
        <v>549700</v>
      </c>
      <c r="L290" s="71"/>
      <c r="M290" s="71"/>
      <c r="N290" s="71"/>
      <c r="O290" s="92"/>
      <c r="P290" s="71"/>
      <c r="Q290" s="71"/>
      <c r="R290" s="71"/>
      <c r="S290" s="296"/>
      <c r="T290" s="71"/>
      <c r="U290" s="71"/>
      <c r="V290" s="71"/>
      <c r="W290" s="71"/>
      <c r="X290" s="71"/>
      <c r="Y290" s="71"/>
      <c r="Z290" s="71"/>
    </row>
    <row r="291" spans="1:26" ht="21" customHeight="1">
      <c r="A291" s="72"/>
      <c r="B291" s="73" t="s">
        <v>33</v>
      </c>
      <c r="C291" s="73"/>
      <c r="D291" s="73"/>
      <c r="E291" s="237"/>
      <c r="F291" s="242"/>
      <c r="G291" s="242"/>
      <c r="I291" s="242"/>
      <c r="J291" s="242"/>
      <c r="K291" s="245">
        <v>0.45</v>
      </c>
      <c r="L291" s="71"/>
      <c r="M291" s="71"/>
      <c r="N291" s="71"/>
      <c r="O291" s="92"/>
      <c r="P291" s="71"/>
      <c r="Q291" s="71"/>
      <c r="R291" s="71"/>
      <c r="S291" s="296"/>
      <c r="T291" s="71"/>
      <c r="U291" s="71"/>
      <c r="V291" s="71"/>
      <c r="W291" s="71"/>
      <c r="X291" s="71"/>
      <c r="Y291" s="71"/>
      <c r="Z291" s="71"/>
    </row>
    <row r="292" spans="1:26" ht="21" customHeight="1">
      <c r="A292" s="72"/>
      <c r="B292" s="238" t="s">
        <v>103</v>
      </c>
      <c r="C292" s="73"/>
      <c r="D292" s="73"/>
      <c r="E292" s="237"/>
      <c r="F292" s="241"/>
      <c r="G292" s="241"/>
      <c r="I292" s="241"/>
      <c r="J292" s="241"/>
      <c r="K292" s="241">
        <f>K290*K291</f>
        <v>247365</v>
      </c>
      <c r="L292" s="71"/>
      <c r="M292" s="71"/>
      <c r="N292" s="71"/>
      <c r="O292" s="92"/>
      <c r="P292" s="71"/>
      <c r="Q292" s="71"/>
      <c r="R292" s="71"/>
      <c r="S292" s="296"/>
      <c r="T292" s="71"/>
      <c r="U292" s="71"/>
      <c r="V292" s="71"/>
      <c r="W292" s="71"/>
      <c r="X292" s="71"/>
      <c r="Y292" s="71"/>
      <c r="Z292" s="71"/>
    </row>
    <row r="293" spans="1:26" ht="21" customHeight="1">
      <c r="A293" s="72"/>
      <c r="B293" s="73"/>
      <c r="C293" s="73"/>
      <c r="D293" s="73"/>
      <c r="E293" s="237"/>
      <c r="F293" s="237"/>
      <c r="G293" s="237"/>
      <c r="H293" s="237"/>
      <c r="I293" s="237"/>
      <c r="J293" s="237"/>
      <c r="K293" s="237"/>
      <c r="L293" s="71"/>
      <c r="M293" s="71"/>
      <c r="N293" s="71"/>
      <c r="O293" s="92"/>
      <c r="P293" s="71"/>
      <c r="Q293" s="71"/>
      <c r="R293" s="71"/>
      <c r="S293" s="296"/>
      <c r="T293" s="71"/>
      <c r="U293" s="71"/>
      <c r="V293" s="71"/>
      <c r="W293" s="71"/>
      <c r="X293" s="71"/>
      <c r="Y293" s="71"/>
      <c r="Z293" s="71"/>
    </row>
    <row r="294" spans="1:26" ht="21" customHeight="1" thickBot="1">
      <c r="A294" s="75" t="s">
        <v>104</v>
      </c>
      <c r="B294" s="73"/>
      <c r="C294" s="73"/>
      <c r="D294" s="73"/>
      <c r="E294" s="237"/>
      <c r="F294" s="237"/>
      <c r="G294" s="237"/>
      <c r="H294" s="237"/>
      <c r="I294" s="237"/>
      <c r="J294" s="237"/>
      <c r="K294" s="237"/>
      <c r="L294" s="71"/>
      <c r="M294" s="71"/>
      <c r="N294" s="71"/>
      <c r="O294" s="92"/>
      <c r="P294" s="71"/>
      <c r="Q294" s="71"/>
      <c r="R294" s="71"/>
      <c r="S294" s="296"/>
      <c r="T294" s="71"/>
      <c r="U294" s="71"/>
      <c r="V294" s="71"/>
      <c r="W294" s="71"/>
      <c r="X294" s="71"/>
      <c r="Y294" s="71"/>
      <c r="Z294" s="71"/>
    </row>
    <row r="295" spans="1:26" ht="21" customHeight="1">
      <c r="A295" s="72"/>
      <c r="B295" s="76" t="s">
        <v>105</v>
      </c>
      <c r="C295" s="77"/>
      <c r="D295" s="78"/>
      <c r="E295" s="237"/>
      <c r="F295" s="241"/>
      <c r="K295" s="241">
        <v>60000</v>
      </c>
      <c r="L295" s="71"/>
      <c r="M295" s="71"/>
      <c r="N295" s="71"/>
      <c r="O295" s="92"/>
      <c r="P295" s="71"/>
      <c r="Q295" s="71"/>
      <c r="R295" s="71"/>
      <c r="S295" s="296"/>
      <c r="T295" s="71"/>
      <c r="U295" s="71"/>
      <c r="V295" s="71"/>
      <c r="W295" s="71"/>
      <c r="X295" s="71"/>
      <c r="Y295" s="71"/>
      <c r="Z295" s="71"/>
    </row>
    <row r="296" spans="1:26" ht="21" customHeight="1">
      <c r="A296" s="72"/>
      <c r="B296" s="80" t="s">
        <v>106</v>
      </c>
      <c r="C296" s="237"/>
      <c r="D296" s="81"/>
      <c r="E296" s="237"/>
      <c r="F296" s="242"/>
      <c r="K296" s="242">
        <v>1</v>
      </c>
      <c r="L296" s="71"/>
      <c r="M296" s="71"/>
      <c r="N296" s="71"/>
      <c r="O296" s="92"/>
      <c r="P296" s="71"/>
      <c r="Q296" s="71"/>
      <c r="R296" s="71"/>
      <c r="S296" s="296"/>
      <c r="T296" s="71"/>
      <c r="U296" s="71"/>
      <c r="V296" s="71"/>
      <c r="W296" s="71"/>
      <c r="X296" s="71"/>
      <c r="Y296" s="71"/>
      <c r="Z296" s="71"/>
    </row>
    <row r="297" spans="1:26" ht="21" customHeight="1" thickBot="1">
      <c r="A297" s="72"/>
      <c r="B297" s="83" t="s">
        <v>107</v>
      </c>
      <c r="C297" s="84"/>
      <c r="D297" s="85"/>
      <c r="E297" s="237"/>
      <c r="F297" s="242"/>
      <c r="K297" s="242">
        <v>1</v>
      </c>
      <c r="L297" s="71"/>
      <c r="M297" s="71"/>
      <c r="N297" s="71"/>
      <c r="O297" s="92"/>
      <c r="P297" s="71"/>
      <c r="Q297" s="71"/>
      <c r="R297" s="71"/>
      <c r="S297" s="296"/>
      <c r="T297" s="71"/>
      <c r="U297" s="71"/>
      <c r="V297" s="71"/>
      <c r="W297" s="71"/>
      <c r="X297" s="71"/>
      <c r="Y297" s="71"/>
      <c r="Z297" s="71"/>
    </row>
    <row r="298" spans="1:26" ht="21" customHeight="1">
      <c r="A298" s="72"/>
      <c r="B298" s="76" t="s">
        <v>108</v>
      </c>
      <c r="C298" s="77"/>
      <c r="D298" s="78"/>
      <c r="E298" s="237"/>
      <c r="F298" s="237"/>
      <c r="K298" s="244">
        <v>60000</v>
      </c>
      <c r="L298" s="71"/>
      <c r="M298" s="71"/>
      <c r="N298" s="71"/>
      <c r="O298" s="92"/>
      <c r="P298" s="71"/>
      <c r="Q298" s="71"/>
      <c r="R298" s="71"/>
      <c r="S298" s="296"/>
      <c r="T298" s="71"/>
      <c r="U298" s="71"/>
      <c r="V298" s="71"/>
      <c r="W298" s="71"/>
      <c r="X298" s="71"/>
      <c r="Y298" s="71"/>
      <c r="Z298" s="71"/>
    </row>
    <row r="299" spans="1:26" ht="21" customHeight="1">
      <c r="A299" s="72"/>
      <c r="B299" s="80" t="s">
        <v>106</v>
      </c>
      <c r="C299" s="237"/>
      <c r="D299" s="81"/>
      <c r="E299" s="237"/>
      <c r="F299" s="237"/>
      <c r="K299" s="242">
        <v>1</v>
      </c>
      <c r="L299" s="71"/>
      <c r="M299" s="71"/>
      <c r="N299" s="71"/>
      <c r="O299" s="92"/>
      <c r="P299" s="71"/>
      <c r="Q299" s="71"/>
      <c r="R299" s="71"/>
      <c r="S299" s="296"/>
      <c r="T299" s="71"/>
      <c r="U299" s="71"/>
      <c r="V299" s="71"/>
      <c r="W299" s="71"/>
      <c r="X299" s="71"/>
      <c r="Y299" s="71"/>
      <c r="Z299" s="71"/>
    </row>
    <row r="300" spans="1:26" ht="21" customHeight="1" thickBot="1">
      <c r="A300" s="72"/>
      <c r="B300" s="83" t="s">
        <v>107</v>
      </c>
      <c r="C300" s="84"/>
      <c r="D300" s="85"/>
      <c r="E300" s="237"/>
      <c r="F300" s="237"/>
      <c r="K300" s="242">
        <v>1</v>
      </c>
      <c r="L300" s="71"/>
      <c r="M300" s="71"/>
      <c r="N300" s="71"/>
      <c r="O300" s="92"/>
      <c r="P300" s="71"/>
      <c r="Q300" s="71"/>
      <c r="R300" s="71"/>
      <c r="S300" s="296"/>
      <c r="T300" s="71"/>
      <c r="U300" s="71"/>
      <c r="V300" s="71"/>
      <c r="W300" s="71"/>
      <c r="X300" s="71"/>
      <c r="Y300" s="71"/>
      <c r="Z300" s="71"/>
    </row>
    <row r="301" spans="1:26" ht="21" customHeight="1">
      <c r="A301" s="80"/>
      <c r="B301" s="237" t="s">
        <v>109</v>
      </c>
      <c r="C301" s="237"/>
      <c r="D301" s="237"/>
      <c r="E301" s="237"/>
      <c r="F301" s="242"/>
      <c r="K301" s="245">
        <v>0.85</v>
      </c>
      <c r="L301" s="71"/>
      <c r="M301" s="71"/>
      <c r="N301" s="71"/>
      <c r="O301" s="92"/>
      <c r="P301" s="71"/>
      <c r="Q301" s="71"/>
      <c r="R301" s="71"/>
      <c r="S301" s="296"/>
      <c r="T301" s="71"/>
      <c r="U301" s="71"/>
      <c r="V301" s="71"/>
      <c r="W301" s="71"/>
      <c r="X301" s="71"/>
      <c r="Y301" s="71"/>
      <c r="Z301" s="71"/>
    </row>
    <row r="302" spans="1:26" ht="21" customHeight="1">
      <c r="A302" s="80"/>
      <c r="B302" s="237"/>
      <c r="C302" s="237"/>
      <c r="D302" s="237"/>
      <c r="E302" s="237"/>
      <c r="F302" s="242"/>
      <c r="K302" s="251"/>
      <c r="L302" s="71"/>
      <c r="M302" s="71"/>
      <c r="N302" s="71"/>
      <c r="O302" s="92"/>
      <c r="P302" s="71"/>
      <c r="Q302" s="71"/>
      <c r="R302" s="71"/>
      <c r="S302" s="296"/>
      <c r="T302" s="71"/>
      <c r="U302" s="71"/>
      <c r="V302" s="71"/>
      <c r="W302" s="71"/>
      <c r="X302" s="71"/>
      <c r="Y302" s="71"/>
      <c r="Z302" s="71"/>
    </row>
    <row r="303" spans="1:26" ht="21" customHeight="1">
      <c r="A303" s="80"/>
      <c r="B303" s="239" t="s">
        <v>110</v>
      </c>
      <c r="C303" s="239"/>
      <c r="D303" s="237"/>
      <c r="E303" s="237"/>
      <c r="F303" s="248"/>
      <c r="K303" s="244">
        <f>(K295*K297+K298*K300)*K301</f>
        <v>102000</v>
      </c>
      <c r="L303" s="71"/>
      <c r="M303" s="71"/>
      <c r="N303" s="71"/>
      <c r="O303" s="92"/>
      <c r="P303" s="71"/>
      <c r="Q303" s="71"/>
      <c r="R303" s="71"/>
      <c r="S303" s="296"/>
      <c r="T303" s="71"/>
      <c r="U303" s="71"/>
      <c r="V303" s="71"/>
      <c r="W303" s="71"/>
      <c r="X303" s="71"/>
      <c r="Y303" s="71"/>
      <c r="Z303" s="71"/>
    </row>
    <row r="304" spans="1:26" ht="21" customHeight="1">
      <c r="A304" s="80"/>
      <c r="B304" s="237"/>
      <c r="C304" s="237"/>
      <c r="D304" s="237"/>
      <c r="E304" s="237"/>
      <c r="F304" s="237"/>
      <c r="K304" s="244"/>
      <c r="L304" s="71"/>
      <c r="M304" s="71"/>
      <c r="N304" s="71"/>
      <c r="O304" s="92"/>
      <c r="P304" s="71"/>
      <c r="Q304" s="71"/>
      <c r="R304" s="71"/>
      <c r="S304" s="296"/>
      <c r="T304" s="71"/>
      <c r="U304" s="71"/>
      <c r="V304" s="71"/>
      <c r="W304" s="71"/>
      <c r="X304" s="71"/>
      <c r="Y304" s="71"/>
      <c r="Z304" s="71"/>
    </row>
    <row r="305" spans="1:26" ht="21" customHeight="1">
      <c r="A305" s="80"/>
      <c r="B305" s="239" t="s">
        <v>111</v>
      </c>
      <c r="C305" s="237"/>
      <c r="D305" s="237"/>
      <c r="E305" s="237"/>
      <c r="F305" s="248"/>
      <c r="K305" s="244">
        <f>K303+K292</f>
        <v>349365</v>
      </c>
      <c r="L305" s="71"/>
      <c r="M305" s="71"/>
      <c r="N305" s="71"/>
      <c r="O305" s="92"/>
      <c r="P305" s="71"/>
      <c r="Q305" s="71"/>
      <c r="R305" s="71"/>
      <c r="S305" s="296"/>
      <c r="T305" s="71"/>
      <c r="U305" s="71"/>
      <c r="V305" s="71"/>
      <c r="W305" s="71"/>
      <c r="X305" s="71"/>
      <c r="Y305" s="71"/>
      <c r="Z305" s="71"/>
    </row>
    <row r="306" spans="1:26" ht="21" customHeight="1">
      <c r="A306" s="80"/>
      <c r="B306" s="239"/>
      <c r="C306" s="237"/>
      <c r="D306" s="237"/>
      <c r="E306" s="237"/>
      <c r="F306" s="248"/>
      <c r="K306" s="248"/>
      <c r="L306" s="71"/>
      <c r="M306" s="71"/>
      <c r="N306" s="71"/>
      <c r="O306" s="92"/>
      <c r="P306" s="71"/>
      <c r="Q306" s="71"/>
      <c r="R306" s="71"/>
      <c r="S306" s="296"/>
      <c r="T306" s="71"/>
      <c r="U306" s="71"/>
      <c r="V306" s="71"/>
      <c r="W306" s="71"/>
      <c r="X306" s="71"/>
      <c r="Y306" s="71"/>
      <c r="Z306" s="71"/>
    </row>
    <row r="307" spans="1:26" ht="21" customHeight="1">
      <c r="A307" s="80"/>
      <c r="B307" s="237" t="s">
        <v>112</v>
      </c>
      <c r="C307" s="237"/>
      <c r="D307" s="252" t="s">
        <v>113</v>
      </c>
      <c r="E307" s="237"/>
      <c r="F307" s="242"/>
      <c r="K307" s="242">
        <v>0.5</v>
      </c>
      <c r="L307" s="71"/>
      <c r="M307" s="71"/>
      <c r="N307" s="71"/>
      <c r="O307" s="92"/>
      <c r="P307" s="71"/>
      <c r="Q307" s="71"/>
      <c r="R307" s="71"/>
      <c r="S307" s="296"/>
      <c r="T307" s="71"/>
      <c r="U307" s="71"/>
      <c r="V307" s="71"/>
      <c r="W307" s="71"/>
      <c r="X307" s="71"/>
      <c r="Y307" s="71"/>
      <c r="Z307" s="71"/>
    </row>
    <row r="308" spans="1:26" ht="21" customHeight="1">
      <c r="A308" s="80"/>
      <c r="B308" s="237" t="s">
        <v>114</v>
      </c>
      <c r="C308" s="237"/>
      <c r="D308" s="252" t="s">
        <v>115</v>
      </c>
      <c r="E308" s="237"/>
      <c r="F308" s="253"/>
      <c r="K308" s="249">
        <v>0</v>
      </c>
      <c r="L308" s="71"/>
      <c r="M308" s="71"/>
      <c r="N308" s="71"/>
      <c r="O308" s="92"/>
      <c r="P308" s="71"/>
      <c r="Q308" s="71"/>
      <c r="R308" s="71"/>
      <c r="S308" s="296"/>
      <c r="T308" s="71"/>
      <c r="U308" s="71"/>
      <c r="V308" s="71"/>
      <c r="W308" s="71"/>
      <c r="X308" s="71"/>
      <c r="Y308" s="71"/>
      <c r="Z308" s="71"/>
    </row>
    <row r="309" spans="1:26" ht="21" customHeight="1">
      <c r="A309" s="80"/>
      <c r="B309" s="237" t="s">
        <v>116</v>
      </c>
      <c r="C309" s="237"/>
      <c r="D309" s="252" t="s">
        <v>117</v>
      </c>
      <c r="E309" s="237"/>
      <c r="F309" s="237"/>
      <c r="K309" s="237"/>
      <c r="L309" s="71"/>
      <c r="M309" s="71"/>
      <c r="N309" s="71"/>
      <c r="O309" s="92"/>
      <c r="P309" s="71"/>
      <c r="Q309" s="71"/>
      <c r="R309" s="71"/>
      <c r="S309" s="296"/>
      <c r="T309" s="71"/>
      <c r="U309" s="71"/>
      <c r="V309" s="71"/>
      <c r="W309" s="71"/>
      <c r="X309" s="71"/>
      <c r="Y309" s="71"/>
      <c r="Z309" s="71"/>
    </row>
    <row r="310" spans="1:26" ht="21" customHeight="1">
      <c r="A310" s="80"/>
      <c r="B310" s="237" t="s">
        <v>118</v>
      </c>
      <c r="C310" s="237"/>
      <c r="D310" s="252" t="s">
        <v>119</v>
      </c>
      <c r="E310" s="237"/>
      <c r="F310" s="250"/>
      <c r="K310" s="250">
        <v>1</v>
      </c>
      <c r="L310" s="71"/>
      <c r="M310" s="71"/>
      <c r="N310" s="71"/>
      <c r="O310" s="92"/>
      <c r="P310" s="71"/>
      <c r="Q310" s="71"/>
      <c r="R310" s="71"/>
      <c r="S310" s="296"/>
      <c r="T310" s="71"/>
      <c r="U310" s="71"/>
      <c r="V310" s="71"/>
      <c r="W310" s="71"/>
      <c r="X310" s="71"/>
      <c r="Y310" s="71"/>
      <c r="Z310" s="71"/>
    </row>
    <row r="311" spans="1:26" ht="21" customHeight="1">
      <c r="A311" s="80"/>
      <c r="B311" s="239"/>
      <c r="C311" s="237"/>
      <c r="D311" s="237"/>
      <c r="E311" s="237"/>
      <c r="F311" s="242"/>
      <c r="G311" s="242"/>
      <c r="K311" s="242"/>
      <c r="L311" s="71"/>
      <c r="M311" s="71"/>
      <c r="N311" s="71"/>
      <c r="O311" s="92"/>
      <c r="P311" s="71"/>
      <c r="Q311" s="71"/>
      <c r="R311" s="71"/>
      <c r="S311" s="296"/>
      <c r="T311" s="71"/>
      <c r="U311" s="71"/>
      <c r="V311" s="71"/>
      <c r="W311" s="71"/>
      <c r="X311" s="71"/>
      <c r="Y311" s="71"/>
      <c r="Z311" s="71"/>
    </row>
    <row r="312" spans="1:26" ht="21" customHeight="1">
      <c r="A312" s="80"/>
      <c r="B312" s="239" t="s">
        <v>120</v>
      </c>
      <c r="C312" s="239"/>
      <c r="D312" s="239"/>
      <c r="E312" s="237"/>
      <c r="F312" s="248"/>
      <c r="K312" s="241">
        <f>K305*K310</f>
        <v>349365</v>
      </c>
      <c r="L312" s="71"/>
      <c r="M312" s="71"/>
      <c r="N312" s="71"/>
      <c r="O312" s="92"/>
      <c r="P312" s="71"/>
      <c r="Q312" s="71"/>
      <c r="R312" s="71"/>
      <c r="S312" s="296"/>
      <c r="T312" s="71"/>
      <c r="U312" s="71"/>
      <c r="V312" s="71"/>
      <c r="W312" s="71"/>
      <c r="X312" s="71"/>
      <c r="Y312" s="71"/>
      <c r="Z312" s="71"/>
    </row>
    <row r="313" spans="1:26" ht="21" customHeight="1">
      <c r="A313" s="80"/>
      <c r="B313" s="239"/>
      <c r="C313" s="237"/>
      <c r="D313" s="237"/>
      <c r="E313" s="237"/>
      <c r="F313" s="254"/>
      <c r="G313" s="237"/>
      <c r="H313" s="237"/>
      <c r="I313" s="237"/>
      <c r="J313" s="237"/>
      <c r="K313" s="237"/>
      <c r="L313" s="71"/>
      <c r="M313" s="71"/>
      <c r="N313" s="71"/>
      <c r="O313" s="92"/>
      <c r="P313" s="71"/>
      <c r="Q313" s="71"/>
      <c r="R313" s="71"/>
      <c r="S313" s="296"/>
      <c r="T313" s="71"/>
      <c r="U313" s="71"/>
      <c r="V313" s="71"/>
      <c r="W313" s="71"/>
      <c r="X313" s="71"/>
      <c r="Y313" s="71"/>
      <c r="Z313" s="71"/>
    </row>
    <row r="314" spans="1:26" ht="21" customHeight="1">
      <c r="A314" s="80"/>
      <c r="B314" s="239" t="s">
        <v>121</v>
      </c>
      <c r="C314" s="239"/>
      <c r="D314" s="237"/>
      <c r="E314" s="237"/>
      <c r="F314" s="476" t="s">
        <v>136</v>
      </c>
      <c r="G314" s="476"/>
      <c r="H314" s="476"/>
      <c r="I314" s="258"/>
      <c r="J314" s="258"/>
      <c r="K314" s="258">
        <f>K312+L277+M277+N244+O209+P209</f>
        <v>471678.22272000002</v>
      </c>
      <c r="L314" s="71"/>
      <c r="M314" s="71"/>
      <c r="N314" s="71"/>
      <c r="O314" s="92"/>
      <c r="P314" s="71"/>
      <c r="Q314" s="71"/>
      <c r="R314" s="71"/>
      <c r="S314" s="296"/>
      <c r="T314" s="71"/>
      <c r="U314" s="71"/>
      <c r="V314" s="71"/>
      <c r="W314" s="71"/>
      <c r="X314" s="71"/>
      <c r="Y314" s="71"/>
      <c r="Z314" s="71"/>
    </row>
    <row r="315" spans="1:26" ht="21" customHeight="1">
      <c r="A315" s="80"/>
      <c r="B315" s="237"/>
      <c r="C315" s="237"/>
      <c r="D315" s="237"/>
      <c r="E315" s="237"/>
      <c r="F315" s="237"/>
      <c r="G315" s="237"/>
      <c r="H315" s="237"/>
      <c r="I315" s="237"/>
      <c r="J315" s="237"/>
      <c r="K315" s="237"/>
      <c r="L315" s="71"/>
      <c r="M315" s="71"/>
      <c r="N315" s="71"/>
      <c r="O315" s="92"/>
      <c r="P315" s="71"/>
      <c r="Q315" s="71"/>
      <c r="R315" s="71"/>
      <c r="S315" s="296"/>
      <c r="T315" s="71"/>
      <c r="U315" s="71"/>
      <c r="V315" s="71"/>
      <c r="W315" s="71"/>
      <c r="X315" s="71"/>
      <c r="Y315" s="71"/>
      <c r="Z315" s="71"/>
    </row>
    <row r="316" spans="1:26" ht="21" customHeight="1">
      <c r="A316" s="80"/>
      <c r="B316" s="237"/>
      <c r="C316" s="237"/>
      <c r="D316" s="237"/>
      <c r="E316" s="237"/>
      <c r="F316" s="237"/>
      <c r="G316" s="237"/>
      <c r="H316" s="237"/>
      <c r="I316" s="237"/>
      <c r="J316" s="237"/>
      <c r="K316" s="237"/>
      <c r="L316" s="71"/>
      <c r="M316" s="71"/>
      <c r="N316" s="71"/>
      <c r="O316" s="92"/>
      <c r="P316" s="71"/>
      <c r="Q316" s="71"/>
      <c r="R316" s="71"/>
      <c r="S316" s="296"/>
      <c r="T316" s="71"/>
      <c r="U316" s="71"/>
      <c r="V316" s="71"/>
      <c r="W316" s="71"/>
      <c r="X316" s="71"/>
      <c r="Y316" s="71"/>
      <c r="Z316" s="71"/>
    </row>
    <row r="317" spans="1:26" ht="21" customHeight="1">
      <c r="A317" s="80"/>
      <c r="B317" s="237" t="s">
        <v>123</v>
      </c>
      <c r="C317" s="237" t="s">
        <v>124</v>
      </c>
      <c r="D317" s="237"/>
      <c r="E317" s="237"/>
      <c r="F317" s="239" t="s">
        <v>125</v>
      </c>
      <c r="G317" s="237"/>
      <c r="H317" s="237"/>
      <c r="I317" s="237"/>
      <c r="J317" s="237"/>
      <c r="K317" s="237"/>
      <c r="L317" s="71"/>
      <c r="M317" s="71"/>
      <c r="N317" s="71"/>
      <c r="O317" s="92"/>
      <c r="P317" s="71"/>
      <c r="Q317" s="71"/>
      <c r="R317" s="71"/>
      <c r="S317" s="296"/>
      <c r="T317" s="71"/>
      <c r="U317" s="71"/>
      <c r="V317" s="71"/>
      <c r="W317" s="71"/>
      <c r="X317" s="71"/>
      <c r="Y317" s="71"/>
      <c r="Z317" s="71"/>
    </row>
    <row r="318" spans="1:26" ht="21" customHeight="1">
      <c r="A318" s="80"/>
      <c r="B318" s="237" t="s">
        <v>126</v>
      </c>
      <c r="C318" s="237" t="s">
        <v>127</v>
      </c>
      <c r="D318" s="237"/>
      <c r="E318" s="237"/>
      <c r="F318" s="73" t="s">
        <v>128</v>
      </c>
      <c r="G318" s="237"/>
      <c r="H318" s="237"/>
      <c r="I318" s="237"/>
      <c r="J318" s="237"/>
      <c r="K318" s="237"/>
      <c r="L318" s="71"/>
      <c r="M318" s="71"/>
      <c r="N318" s="71"/>
      <c r="O318" s="92"/>
      <c r="P318" s="71"/>
      <c r="Q318" s="71"/>
      <c r="R318" s="71"/>
      <c r="S318" s="296"/>
      <c r="T318" s="71"/>
      <c r="U318" s="71"/>
      <c r="V318" s="71"/>
      <c r="W318" s="71"/>
      <c r="X318" s="71"/>
      <c r="Y318" s="71"/>
      <c r="Z318" s="71"/>
    </row>
    <row r="319" spans="1:26" ht="21" customHeight="1">
      <c r="A319" s="80"/>
      <c r="B319" s="237" t="s">
        <v>129</v>
      </c>
      <c r="C319" s="237" t="s">
        <v>113</v>
      </c>
      <c r="D319" s="237"/>
      <c r="E319" s="237"/>
      <c r="F319" s="237"/>
      <c r="G319" s="237"/>
      <c r="H319" s="237"/>
      <c r="I319" s="237"/>
      <c r="J319" s="237"/>
      <c r="K319" s="237"/>
      <c r="L319" s="71"/>
      <c r="M319" s="71"/>
      <c r="N319" s="71"/>
      <c r="O319" s="92"/>
      <c r="P319" s="71"/>
      <c r="Q319" s="71"/>
      <c r="R319" s="71"/>
      <c r="S319" s="296"/>
      <c r="T319" s="71"/>
      <c r="U319" s="71"/>
      <c r="V319" s="71"/>
      <c r="W319" s="71"/>
      <c r="X319" s="71"/>
      <c r="Y319" s="71"/>
      <c r="Z319" s="71"/>
    </row>
    <row r="320" spans="1:26" ht="21" customHeight="1">
      <c r="A320" s="80"/>
      <c r="B320" s="237" t="s">
        <v>130</v>
      </c>
      <c r="C320" s="237" t="s">
        <v>131</v>
      </c>
      <c r="D320" s="237"/>
      <c r="E320" s="237"/>
      <c r="F320" s="237"/>
      <c r="G320" s="237"/>
      <c r="H320" s="237"/>
      <c r="I320" s="237"/>
      <c r="J320" s="237"/>
      <c r="K320" s="237"/>
      <c r="L320" s="71"/>
      <c r="M320" s="71"/>
      <c r="N320" s="71"/>
      <c r="O320" s="92"/>
      <c r="P320" s="71"/>
      <c r="Q320" s="71"/>
      <c r="R320" s="71"/>
      <c r="S320" s="296"/>
      <c r="T320" s="71"/>
      <c r="U320" s="71"/>
      <c r="V320" s="71"/>
      <c r="W320" s="71"/>
      <c r="X320" s="71"/>
      <c r="Y320" s="71"/>
      <c r="Z320" s="71"/>
    </row>
    <row r="321" spans="1:26" ht="21" customHeight="1" thickBot="1">
      <c r="A321" s="83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99"/>
      <c r="M321" s="99"/>
      <c r="N321" s="99"/>
      <c r="O321" s="97"/>
      <c r="P321" s="71"/>
      <c r="Q321" s="71"/>
      <c r="R321" s="71"/>
      <c r="S321" s="296"/>
      <c r="T321" s="71"/>
      <c r="U321" s="71"/>
      <c r="V321" s="71"/>
      <c r="W321" s="71"/>
      <c r="X321" s="71"/>
      <c r="Y321" s="71"/>
      <c r="Z321" s="71"/>
    </row>
    <row r="322" spans="1:26" ht="21" customHeight="1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296"/>
      <c r="T322" s="71"/>
      <c r="U322" s="71"/>
      <c r="V322" s="71"/>
      <c r="W322" s="71"/>
      <c r="X322" s="71"/>
      <c r="Y322" s="71"/>
      <c r="Z322" s="71"/>
    </row>
    <row r="323" spans="1:26" ht="21" customHeight="1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296"/>
      <c r="T323" s="71"/>
      <c r="U323" s="71"/>
      <c r="V323" s="71"/>
      <c r="W323" s="71"/>
      <c r="X323" s="71"/>
      <c r="Y323" s="71"/>
      <c r="Z323" s="71"/>
    </row>
    <row r="324" spans="1:26" ht="21" customHeight="1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296"/>
      <c r="T324" s="71"/>
      <c r="U324" s="71"/>
      <c r="V324" s="71"/>
      <c r="W324" s="71"/>
      <c r="X324" s="71"/>
      <c r="Y324" s="71"/>
      <c r="Z324" s="71"/>
    </row>
    <row r="325" spans="1:26" ht="21" customHeight="1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296"/>
      <c r="T325" s="71"/>
      <c r="U325" s="71"/>
      <c r="V325" s="71"/>
      <c r="W325" s="71"/>
      <c r="X325" s="71"/>
      <c r="Y325" s="71"/>
      <c r="Z325" s="71"/>
    </row>
    <row r="326" spans="1:26" ht="21" customHeight="1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296"/>
      <c r="T326" s="71"/>
      <c r="U326" s="71"/>
      <c r="V326" s="71"/>
      <c r="W326" s="71"/>
      <c r="X326" s="71"/>
      <c r="Y326" s="71"/>
      <c r="Z326" s="71"/>
    </row>
    <row r="327" spans="1:26" ht="21" customHeight="1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296"/>
      <c r="T327" s="71"/>
      <c r="U327" s="71"/>
      <c r="V327" s="71"/>
      <c r="W327" s="71"/>
      <c r="X327" s="71"/>
      <c r="Y327" s="71"/>
      <c r="Z327" s="71"/>
    </row>
    <row r="328" spans="1:26" ht="21" customHeight="1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296"/>
      <c r="T328" s="71"/>
      <c r="U328" s="71"/>
      <c r="V328" s="71"/>
      <c r="W328" s="71"/>
      <c r="X328" s="71"/>
      <c r="Y328" s="71"/>
      <c r="Z328" s="71"/>
    </row>
    <row r="329" spans="1:26" ht="21" customHeight="1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296"/>
      <c r="T329" s="71"/>
      <c r="U329" s="71"/>
      <c r="V329" s="71"/>
      <c r="W329" s="71"/>
      <c r="X329" s="71"/>
      <c r="Y329" s="71"/>
      <c r="Z329" s="71"/>
    </row>
    <row r="330" spans="1:26" ht="21" customHeight="1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296"/>
      <c r="T330" s="71"/>
      <c r="U330" s="71"/>
      <c r="V330" s="71"/>
      <c r="W330" s="71"/>
      <c r="X330" s="71"/>
      <c r="Y330" s="71"/>
      <c r="Z330" s="71"/>
    </row>
    <row r="331" spans="1:26" ht="21" customHeight="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296"/>
      <c r="T331" s="71"/>
      <c r="U331" s="71"/>
      <c r="V331" s="71"/>
      <c r="W331" s="71"/>
      <c r="X331" s="71"/>
      <c r="Y331" s="71"/>
      <c r="Z331" s="71"/>
    </row>
    <row r="332" spans="1:26" ht="21" customHeight="1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296"/>
      <c r="T332" s="71"/>
      <c r="U332" s="71"/>
      <c r="V332" s="71"/>
      <c r="W332" s="71"/>
      <c r="X332" s="71"/>
      <c r="Y332" s="71"/>
      <c r="Z332" s="71"/>
    </row>
    <row r="333" spans="1:26" ht="21" customHeight="1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296"/>
      <c r="T333" s="71"/>
      <c r="U333" s="71"/>
      <c r="V333" s="71"/>
      <c r="W333" s="71"/>
      <c r="X333" s="71"/>
      <c r="Y333" s="71"/>
      <c r="Z333" s="71"/>
    </row>
    <row r="334" spans="1:26" ht="21" customHeight="1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296"/>
      <c r="T334" s="71"/>
      <c r="U334" s="71"/>
      <c r="V334" s="71"/>
      <c r="W334" s="71"/>
      <c r="X334" s="71"/>
      <c r="Y334" s="71"/>
      <c r="Z334" s="71"/>
    </row>
    <row r="335" spans="1:26" ht="21" customHeight="1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296"/>
      <c r="T335" s="71"/>
      <c r="U335" s="71"/>
      <c r="V335" s="71"/>
      <c r="W335" s="71"/>
      <c r="X335" s="71"/>
      <c r="Y335" s="71"/>
      <c r="Z335" s="71"/>
    </row>
    <row r="336" spans="1:26" ht="21" customHeight="1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296"/>
      <c r="T336" s="71"/>
      <c r="U336" s="71"/>
      <c r="V336" s="71"/>
      <c r="W336" s="71"/>
      <c r="X336" s="71"/>
      <c r="Y336" s="71"/>
      <c r="Z336" s="71"/>
    </row>
    <row r="337" spans="1:26" ht="21" customHeight="1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296"/>
      <c r="T337" s="71"/>
      <c r="U337" s="71"/>
      <c r="V337" s="71"/>
      <c r="W337" s="71"/>
      <c r="X337" s="71"/>
      <c r="Y337" s="71"/>
      <c r="Z337" s="71"/>
    </row>
    <row r="338" spans="1:26" ht="21" customHeight="1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296"/>
      <c r="T338" s="71"/>
      <c r="U338" s="71"/>
      <c r="V338" s="71"/>
      <c r="W338" s="71"/>
      <c r="X338" s="71"/>
      <c r="Y338" s="71"/>
      <c r="Z338" s="71"/>
    </row>
    <row r="339" spans="1:26" ht="21" customHeight="1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296"/>
      <c r="T339" s="71"/>
      <c r="U339" s="71"/>
      <c r="V339" s="71"/>
      <c r="W339" s="71"/>
      <c r="X339" s="71"/>
      <c r="Y339" s="71"/>
      <c r="Z339" s="71"/>
    </row>
    <row r="340" spans="1:26" ht="21" customHeight="1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296"/>
      <c r="T340" s="71"/>
      <c r="U340" s="71"/>
      <c r="V340" s="71"/>
      <c r="W340" s="71"/>
      <c r="X340" s="71"/>
      <c r="Y340" s="71"/>
      <c r="Z340" s="71"/>
    </row>
    <row r="341" spans="1:26" ht="21" customHeight="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296"/>
      <c r="T341" s="71"/>
      <c r="U341" s="71"/>
      <c r="V341" s="71"/>
      <c r="W341" s="71"/>
      <c r="X341" s="71"/>
      <c r="Y341" s="71"/>
      <c r="Z341" s="71"/>
    </row>
    <row r="342" spans="1:26" ht="21" customHeight="1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296"/>
      <c r="T342" s="71"/>
      <c r="U342" s="71"/>
      <c r="V342" s="71"/>
      <c r="W342" s="71"/>
      <c r="X342" s="71"/>
      <c r="Y342" s="71"/>
      <c r="Z342" s="71"/>
    </row>
    <row r="343" spans="1:26" ht="21" customHeight="1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296"/>
      <c r="T343" s="71"/>
      <c r="U343" s="71"/>
      <c r="V343" s="71"/>
      <c r="W343" s="71"/>
      <c r="X343" s="71"/>
      <c r="Y343" s="71"/>
      <c r="Z343" s="71"/>
    </row>
    <row r="344" spans="1:26" ht="21" customHeight="1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296"/>
      <c r="T344" s="71"/>
      <c r="U344" s="71"/>
      <c r="V344" s="71"/>
      <c r="W344" s="71"/>
      <c r="X344" s="71"/>
      <c r="Y344" s="71"/>
      <c r="Z344" s="71"/>
    </row>
    <row r="345" spans="1:26" ht="21" customHeight="1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296"/>
      <c r="T345" s="71"/>
      <c r="U345" s="71"/>
      <c r="V345" s="71"/>
      <c r="W345" s="71"/>
      <c r="X345" s="71"/>
      <c r="Y345" s="71"/>
      <c r="Z345" s="71"/>
    </row>
    <row r="346" spans="1:26" ht="21" customHeight="1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296"/>
      <c r="T346" s="71"/>
      <c r="U346" s="71"/>
      <c r="V346" s="71"/>
      <c r="W346" s="71"/>
      <c r="X346" s="71"/>
      <c r="Y346" s="71"/>
      <c r="Z346" s="71"/>
    </row>
    <row r="347" spans="1:26" ht="21" customHeight="1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296"/>
      <c r="T347" s="71"/>
      <c r="U347" s="71"/>
      <c r="V347" s="71"/>
      <c r="W347" s="71"/>
      <c r="X347" s="71"/>
      <c r="Y347" s="71"/>
      <c r="Z347" s="71"/>
    </row>
    <row r="348" spans="1:26" ht="21" customHeight="1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296"/>
      <c r="T348" s="71"/>
      <c r="U348" s="71"/>
      <c r="V348" s="71"/>
      <c r="W348" s="71"/>
      <c r="X348" s="71"/>
      <c r="Y348" s="71"/>
      <c r="Z348" s="71"/>
    </row>
    <row r="349" spans="1:26" ht="21" customHeight="1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296"/>
      <c r="T349" s="71"/>
      <c r="U349" s="71"/>
      <c r="V349" s="71"/>
      <c r="W349" s="71"/>
      <c r="X349" s="71"/>
      <c r="Y349" s="71"/>
      <c r="Z349" s="71"/>
    </row>
    <row r="350" spans="1:26" ht="21" customHeight="1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296"/>
      <c r="T350" s="71"/>
      <c r="U350" s="71"/>
      <c r="V350" s="71"/>
      <c r="W350" s="71"/>
      <c r="X350" s="71"/>
      <c r="Y350" s="71"/>
      <c r="Z350" s="71"/>
    </row>
    <row r="351" spans="1:26" ht="21" customHeight="1">
      <c r="A351" s="296"/>
      <c r="B351" s="296"/>
      <c r="C351" s="296"/>
      <c r="D351" s="296"/>
      <c r="E351" s="296"/>
      <c r="F351" s="296"/>
      <c r="G351" s="296"/>
      <c r="H351" s="296"/>
      <c r="I351" s="296"/>
      <c r="J351" s="296"/>
      <c r="K351" s="296"/>
      <c r="L351" s="296"/>
      <c r="M351" s="296"/>
      <c r="N351" s="296"/>
      <c r="O351" s="296"/>
      <c r="P351" s="296"/>
      <c r="Q351" s="296"/>
      <c r="R351" s="296"/>
      <c r="S351" s="296"/>
      <c r="T351" s="71"/>
      <c r="U351" s="71"/>
      <c r="V351" s="71"/>
      <c r="W351" s="71"/>
      <c r="X351" s="71"/>
      <c r="Y351" s="71"/>
      <c r="Z351" s="71"/>
    </row>
    <row r="352" spans="1:26" ht="21" customHeight="1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spans="1:26" ht="21" customHeight="1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spans="1:26" ht="21" customHeight="1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spans="1:26" ht="21" customHeight="1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spans="1:26" ht="21" customHeight="1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spans="1:26" ht="21" customHeight="1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spans="1:26" ht="21" customHeight="1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spans="1:26" ht="21" customHeight="1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spans="1:26" ht="21" customHeight="1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spans="1:26" ht="21" customHeight="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spans="1:26" ht="21" customHeight="1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spans="1:26" ht="21" customHeight="1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spans="1:26" ht="21" customHeight="1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spans="1:26" ht="21" customHeight="1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spans="1:26" ht="21" customHeight="1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spans="1:26" ht="21" customHeight="1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spans="1:26" ht="21" customHeight="1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spans="1:26" ht="21" customHeight="1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spans="1:26" ht="21" customHeight="1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spans="1:26" ht="21" customHeight="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spans="1:26" ht="21" customHeight="1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spans="1:26" ht="21" customHeight="1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spans="1:26" ht="21" customHeight="1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spans="1:26" ht="21" customHeight="1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spans="1:26" ht="21" customHeight="1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spans="1:26" ht="21" customHeight="1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spans="1:26" ht="21" customHeight="1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spans="1:26" ht="21" customHeight="1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spans="1:26" ht="21" customHeight="1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spans="1:26" ht="21" customHeight="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spans="1:26" ht="21" customHeight="1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spans="1:26" ht="21" customHeight="1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spans="1:26" ht="21" customHeight="1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spans="1:26" ht="21" customHeight="1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spans="1:26" ht="21" customHeight="1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spans="1:26" ht="21" customHeight="1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spans="1:26" ht="21" customHeight="1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spans="1:26" ht="21" customHeight="1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spans="1:26" ht="21" customHeight="1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spans="1:26" ht="21" customHeight="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spans="1:26" ht="21" customHeight="1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spans="1:26" ht="21" customHeight="1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spans="1:26" ht="21" customHeight="1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spans="1:26" ht="21" customHeight="1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spans="1:26" ht="21" customHeight="1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spans="1:26" ht="21" customHeight="1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spans="1:26" ht="21" customHeight="1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spans="1:26" ht="21" customHeight="1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spans="1:26" ht="21" customHeight="1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spans="1:26" ht="21" customHeight="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spans="1:26" ht="21" customHeight="1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spans="1:26" ht="21" customHeight="1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spans="1:26" ht="21" customHeight="1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spans="1:26" ht="21" customHeight="1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spans="1:26" ht="21" customHeight="1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spans="1:26" ht="21" customHeight="1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spans="1:26" ht="21" customHeight="1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spans="1:26" ht="21" customHeight="1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spans="1:26" ht="21" customHeight="1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spans="1:26" ht="21" customHeight="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spans="1:26" ht="21" customHeight="1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spans="1:26" ht="21" customHeight="1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spans="1:26" ht="21" customHeight="1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spans="1:26" ht="21" customHeight="1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spans="1:26" ht="21" customHeight="1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spans="1:26" ht="21" customHeight="1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spans="1:26" ht="21" customHeight="1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spans="1:26" ht="21" customHeight="1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spans="1:26" ht="21" customHeight="1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spans="1:26" ht="21" customHeight="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spans="1:26" ht="21" customHeight="1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spans="1:26" ht="21" customHeight="1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spans="1:26" ht="21" customHeight="1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spans="1:26" ht="21" customHeight="1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spans="1:26" ht="21" customHeight="1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spans="1:26" ht="21" customHeight="1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spans="1:26" ht="21" customHeight="1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spans="1:26" ht="21" customHeight="1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spans="1:26" ht="21" customHeight="1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spans="1:26" ht="21" customHeight="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spans="1:26" ht="21" customHeight="1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spans="1:26" ht="21" customHeight="1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spans="1:26" ht="21" customHeight="1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spans="1:26" ht="21" customHeight="1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spans="1:26" ht="21" customHeight="1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spans="1:26" ht="21" customHeight="1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spans="1:26" ht="21" customHeight="1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spans="1:26" ht="21" customHeight="1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spans="1:26" ht="21" customHeight="1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spans="1:26" ht="21" customHeight="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spans="1:26" ht="21" customHeight="1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spans="1:26" ht="21" customHeight="1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spans="1:26" ht="21" customHeight="1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spans="1:26" ht="21" customHeight="1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spans="1:26" ht="21" customHeight="1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spans="1:26" ht="21" customHeight="1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spans="1:26" ht="21" customHeight="1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spans="1:26" ht="21" customHeight="1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spans="1:26" ht="21" customHeight="1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spans="1:26" ht="21" customHeight="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spans="1:26" ht="21" customHeight="1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spans="1:26" ht="21" customHeight="1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spans="1:26" ht="21" customHeight="1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spans="1:26" ht="21" customHeight="1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spans="1:26" ht="21" customHeight="1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spans="1:26" ht="21" customHeight="1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spans="1:26" ht="21" customHeight="1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spans="1:26" ht="21" customHeight="1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spans="1:26" ht="21" customHeight="1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spans="1:26" ht="21" customHeight="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spans="1:26" ht="21" customHeight="1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spans="1:26" ht="21" customHeight="1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spans="1:26" ht="21" customHeight="1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spans="1:26" ht="21" customHeight="1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spans="1:26" ht="21" customHeight="1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spans="1:26" ht="21" customHeight="1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spans="1:26" ht="21" customHeight="1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spans="1:26" ht="21" customHeight="1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spans="1:26" ht="21" customHeight="1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spans="1:26" ht="21" customHeight="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spans="1:26" ht="21" customHeight="1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spans="1:26" ht="21" customHeight="1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spans="1:26" ht="21" customHeight="1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spans="1:26" ht="21" customHeight="1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spans="1:26" ht="21" customHeight="1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spans="1:26" ht="21" customHeight="1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spans="1:26" ht="21" customHeight="1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spans="1:26" ht="21" customHeight="1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spans="1:26" ht="21" customHeight="1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spans="1:26" ht="21" customHeight="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spans="1:26" ht="21" customHeight="1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spans="1:26" ht="21" customHeight="1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spans="1:26" ht="21" customHeight="1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spans="1:26" ht="21" customHeight="1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spans="1:26" ht="21" customHeight="1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spans="1:26" ht="21" customHeight="1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spans="1:26" ht="21" customHeight="1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spans="1:26" ht="21" customHeight="1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spans="1:26" ht="21" customHeight="1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spans="1:26" ht="21" customHeight="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spans="1:26" ht="21" customHeight="1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spans="1:26" ht="21" customHeight="1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spans="1:26" ht="21" customHeight="1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spans="1:26" ht="21" customHeight="1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spans="1:26" ht="21" customHeight="1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spans="1:26" ht="21" customHeight="1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spans="1:26" ht="21" customHeight="1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spans="1:26" ht="21" customHeight="1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spans="1:26" ht="21" customHeight="1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spans="1:26" ht="21" customHeight="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spans="1:26" ht="21" customHeight="1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spans="1:26" ht="21" customHeight="1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spans="1:26" ht="21" customHeight="1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spans="1:26" ht="21" customHeight="1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spans="1:26" ht="21" customHeight="1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spans="1:26" ht="21" customHeight="1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spans="1:26" ht="21" customHeight="1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spans="1:26" ht="21" customHeight="1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spans="1:26" ht="21" customHeight="1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spans="1:26" ht="21" customHeight="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spans="1:26" ht="21" customHeight="1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spans="1:26" ht="21" customHeight="1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spans="1:26" ht="21" customHeight="1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spans="1:26" ht="21" customHeight="1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spans="1:26" ht="21" customHeight="1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spans="1:26" ht="21" customHeight="1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spans="1:26" ht="21" customHeight="1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spans="1:26" ht="21" customHeight="1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spans="1:26" ht="21" customHeight="1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spans="1:26" ht="21" customHeight="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spans="1:26" ht="21" customHeight="1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spans="1:26" ht="21" customHeight="1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spans="1:26" ht="21" customHeight="1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spans="1:26" ht="21" customHeight="1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spans="1:26" ht="21" customHeight="1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spans="1:26" ht="21" customHeight="1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spans="1:26" ht="21" customHeight="1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spans="1:26" ht="21" customHeight="1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spans="1:26" ht="21" customHeight="1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spans="1:26" ht="21" customHeight="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spans="1:26" ht="21" customHeight="1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spans="1:26" ht="21" customHeight="1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spans="1:26" ht="21" customHeight="1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spans="1:26" ht="21" customHeight="1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spans="1:26" ht="21" customHeight="1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spans="1:26" ht="21" customHeight="1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spans="1:26" ht="21" customHeight="1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spans="1:26" ht="21" customHeight="1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spans="1:26" ht="21" customHeight="1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spans="1:26" ht="21" customHeight="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spans="1:26" ht="21" customHeight="1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spans="1:26" ht="21" customHeight="1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spans="1:26" ht="21" customHeight="1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spans="1:26" ht="21" customHeight="1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spans="1:26" ht="21" customHeight="1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spans="1:26" ht="21" customHeight="1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spans="1:26" ht="21" customHeight="1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spans="1:26" ht="21" customHeight="1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spans="1:26" ht="21" customHeight="1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spans="1:26" ht="21" customHeight="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spans="1:26" ht="21" customHeight="1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spans="1:26" ht="21" customHeight="1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spans="1:26" ht="21" customHeight="1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spans="1:26" ht="21" customHeight="1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spans="1:26" ht="21" customHeight="1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spans="1:26" ht="21" customHeight="1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spans="1:26" ht="21" customHeight="1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spans="1:26" ht="21" customHeight="1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spans="1:26" ht="21" customHeight="1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spans="1:26" ht="21" customHeight="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spans="1:26" ht="21" customHeight="1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spans="1:26" ht="21" customHeight="1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spans="1:26" ht="21" customHeight="1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spans="1:26" ht="21" customHeight="1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spans="1:26" ht="21" customHeight="1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spans="1:26" ht="21" customHeight="1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spans="1:26" ht="21" customHeight="1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spans="1:26" ht="21" customHeight="1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spans="1:26" ht="21" customHeight="1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spans="1:26" ht="21" customHeight="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spans="1:26" ht="21" customHeight="1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spans="1:26" ht="21" customHeight="1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spans="1:26" ht="21" customHeight="1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spans="1:26" ht="21" customHeight="1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spans="1:26" ht="21" customHeight="1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spans="1:26" ht="21" customHeight="1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spans="1:26" ht="21" customHeight="1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spans="1:26" ht="21" customHeight="1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spans="1:26" ht="21" customHeight="1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spans="1:26" ht="21" customHeight="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spans="1:26" ht="21" customHeight="1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spans="1:26" ht="21" customHeight="1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spans="1:26" ht="21" customHeight="1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spans="1:26" ht="21" customHeight="1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spans="1:26" ht="21" customHeight="1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spans="1:26" ht="21" customHeight="1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spans="1:26" ht="21" customHeight="1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spans="1:26" ht="21" customHeight="1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spans="1:26" ht="21" customHeight="1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spans="1:26" ht="21" customHeight="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spans="1:26" ht="21" customHeight="1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spans="1:26" ht="21" customHeight="1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spans="1:26" ht="21" customHeight="1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spans="1:26" ht="21" customHeight="1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spans="1:26" ht="21" customHeight="1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spans="1:26" ht="21" customHeight="1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spans="1:26" ht="21" customHeight="1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spans="1:26" ht="21" customHeight="1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spans="1:26" ht="21" customHeight="1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spans="1:26" ht="21" customHeight="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spans="1:26" ht="21" customHeight="1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spans="1:26" ht="21" customHeight="1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spans="1:26" ht="21" customHeight="1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spans="1:26" ht="21" customHeight="1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spans="1:26" ht="21" customHeight="1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spans="1:26" ht="21" customHeight="1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spans="1:26" ht="21" customHeight="1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spans="1:26" ht="21" customHeight="1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spans="1:26" ht="21" customHeight="1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spans="1:26" ht="21" customHeight="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spans="1:26" ht="21" customHeight="1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spans="1:26" ht="21" customHeight="1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spans="1:26" ht="21" customHeight="1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spans="1:26" ht="21" customHeight="1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spans="1:26" ht="21" customHeight="1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spans="1:26" ht="21" customHeight="1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spans="1:26" ht="21" customHeight="1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spans="1:26" ht="21" customHeight="1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spans="1:26" ht="21" customHeight="1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spans="1:26" ht="21" customHeight="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spans="1:26" ht="21" customHeight="1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spans="1:26" ht="21" customHeight="1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spans="1:26" ht="21" customHeight="1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spans="1:26" ht="21" customHeight="1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spans="1:26" ht="21" customHeight="1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spans="1:26" ht="21" customHeight="1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spans="1:26" ht="21" customHeight="1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spans="1:26" ht="21" customHeight="1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spans="1:26" ht="21" customHeight="1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spans="1:26" ht="21" customHeight="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spans="1:26" ht="21" customHeight="1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spans="1:26" ht="21" customHeight="1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spans="1:26" ht="21" customHeight="1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spans="1:26" ht="21" customHeight="1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spans="1:26" ht="21" customHeight="1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spans="1:26" ht="21" customHeight="1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spans="1:26" ht="21" customHeight="1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spans="1:26" ht="21" customHeight="1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spans="1:26" ht="21" customHeight="1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spans="1:26" ht="21" customHeight="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spans="1:26" ht="21" customHeight="1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spans="1:26" ht="21" customHeight="1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spans="1:26" ht="21" customHeight="1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spans="1:26" ht="21" customHeight="1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spans="1:26" ht="21" customHeight="1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spans="1:26" ht="21" customHeight="1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spans="1:26" ht="21" customHeight="1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spans="1:26" ht="21" customHeight="1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spans="1:26" ht="21" customHeight="1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spans="1:26" ht="21" customHeight="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spans="1:26" ht="21" customHeight="1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spans="1:26" ht="21" customHeight="1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spans="1:26" ht="21" customHeight="1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spans="1:26" ht="21" customHeight="1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spans="1:26" ht="21" customHeight="1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spans="1:26" ht="21" customHeight="1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spans="1:26" ht="21" customHeight="1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spans="1:26" ht="21" customHeight="1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spans="1:26" ht="21" customHeight="1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spans="1:26" ht="21" customHeight="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spans="1:26" ht="21" customHeight="1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spans="1:26" ht="21" customHeight="1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spans="1:26" ht="21" customHeight="1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spans="1:26" ht="21" customHeight="1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spans="1:26" ht="21" customHeight="1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spans="1:26" ht="21" customHeight="1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spans="1:26" ht="21" customHeight="1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spans="1:26" ht="21" customHeight="1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spans="1:26" ht="21" customHeight="1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spans="1:26" ht="21" customHeight="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spans="1:26" ht="21" customHeight="1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spans="1:26" ht="21" customHeight="1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spans="1:26" ht="21" customHeight="1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spans="1:26" ht="21" customHeight="1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spans="1:26" ht="21" customHeight="1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spans="1:26" ht="21" customHeight="1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spans="1:26" ht="21" customHeight="1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spans="1:26" ht="21" customHeight="1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spans="1:26" ht="21" customHeight="1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spans="1:26" ht="21" customHeight="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spans="1:26" ht="21" customHeight="1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spans="1:26" ht="21" customHeight="1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spans="1:26" ht="21" customHeight="1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spans="1:26" ht="21" customHeight="1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spans="1:26" ht="21" customHeight="1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spans="1:26" ht="21" customHeight="1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spans="1:26" ht="21" customHeight="1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spans="1:26" ht="21" customHeight="1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spans="1:26" ht="21" customHeight="1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spans="1:26" ht="21" customHeight="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spans="1:26" ht="21" customHeight="1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spans="1:26" ht="21" customHeight="1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spans="1:26" ht="21" customHeight="1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spans="1:26" ht="21" customHeight="1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spans="1:26" ht="21" customHeight="1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spans="1:26" ht="21" customHeight="1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spans="1:26" ht="21" customHeight="1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spans="1:26" ht="21" customHeight="1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spans="1:26" ht="21" customHeight="1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spans="1:26" ht="21" customHeight="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spans="1:26" ht="21" customHeight="1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spans="1:26" ht="21" customHeight="1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spans="1:26" ht="21" customHeight="1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spans="1:26" ht="21" customHeight="1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spans="1:26" ht="21" customHeight="1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spans="1:26" ht="21" customHeight="1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spans="1:26" ht="21" customHeight="1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spans="1:26" ht="21" customHeight="1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spans="1:26" ht="21" customHeight="1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spans="1:26" ht="21" customHeight="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spans="1:26" ht="21" customHeight="1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spans="1:26" ht="21" customHeight="1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spans="1:26" ht="21" customHeight="1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spans="1:26" ht="21" customHeight="1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spans="1:26" ht="21" customHeight="1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spans="1:26" ht="21" customHeight="1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spans="1:26" ht="21" customHeight="1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spans="1:26" ht="21" customHeight="1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spans="1:26" ht="21" customHeight="1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spans="1:26" ht="21" customHeight="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spans="1:26" ht="21" customHeight="1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spans="1:26" ht="21" customHeight="1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spans="1:26" ht="21" customHeight="1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spans="1:26" ht="21" customHeight="1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spans="1:26" ht="21" customHeight="1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spans="1:26" ht="21" customHeight="1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spans="1:26" ht="21" customHeight="1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spans="1:26" ht="21" customHeight="1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spans="1:26" ht="21" customHeight="1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spans="1:26" ht="21" customHeight="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spans="1:26" ht="21" customHeight="1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spans="1:26" ht="21" customHeight="1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spans="1:26" ht="21" customHeight="1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spans="1:26" ht="21" customHeight="1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spans="1:26" ht="21" customHeight="1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spans="1:26" ht="21" customHeight="1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spans="1:26" ht="21" customHeight="1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spans="1:26" ht="21" customHeight="1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spans="1:26" ht="21" customHeight="1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spans="1:26" ht="21" customHeight="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spans="1:26" ht="21" customHeight="1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spans="1:26" ht="21" customHeight="1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spans="1:26" ht="21" customHeight="1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spans="1:26" ht="21" customHeight="1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spans="1:26" ht="21" customHeight="1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spans="1:26" ht="21" customHeight="1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spans="1:26" ht="21" customHeight="1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spans="1:26" ht="21" customHeight="1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spans="1:26" ht="21" customHeight="1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spans="1:26" ht="21" customHeight="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spans="1:26" ht="21" customHeight="1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spans="1:26" ht="21" customHeight="1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spans="1:26" ht="21" customHeight="1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spans="1:26" ht="21" customHeight="1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spans="1:26" ht="21" customHeight="1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spans="1:26" ht="21" customHeight="1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spans="1:26" ht="21" customHeight="1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spans="1:26" ht="21" customHeight="1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spans="1:26" ht="21" customHeight="1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spans="1:26" ht="21" customHeight="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spans="1:26" ht="21" customHeight="1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spans="1:26" ht="21" customHeight="1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spans="1:26" ht="21" customHeight="1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spans="1:26" ht="21" customHeight="1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spans="1:26" ht="21" customHeight="1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spans="1:26" ht="21" customHeight="1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spans="1:26" ht="21" customHeight="1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spans="1:26" ht="21" customHeight="1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spans="1:26" ht="21" customHeight="1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spans="1:26" ht="21" customHeight="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spans="1:26" ht="21" customHeight="1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spans="1:26" ht="21" customHeight="1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spans="1:26" ht="21" customHeight="1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spans="1:26" ht="21" customHeight="1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spans="1:26" ht="21" customHeight="1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spans="1:26" ht="21" customHeight="1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spans="1:26" ht="21" customHeight="1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spans="1:26" ht="21" customHeight="1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spans="1:26" ht="21" customHeight="1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spans="1:26" ht="21" customHeight="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spans="1:26" ht="21" customHeight="1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spans="1:26" ht="21" customHeight="1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spans="1:26" ht="21" customHeight="1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spans="1:26" ht="21" customHeight="1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spans="1:26" ht="21" customHeight="1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spans="1:26" ht="21" customHeight="1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spans="1:26" ht="21" customHeight="1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spans="1:26" ht="21" customHeight="1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spans="1:26" ht="21" customHeight="1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spans="1:26" ht="21" customHeight="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spans="1:26" ht="21" customHeight="1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spans="1:26" ht="21" customHeight="1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spans="1:26" ht="21" customHeight="1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spans="1:26" ht="21" customHeight="1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spans="1:26" ht="21" customHeight="1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spans="1:26" ht="21" customHeight="1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spans="1:26" ht="21" customHeight="1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spans="1:26" ht="21" customHeight="1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spans="1:26" ht="21" customHeight="1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spans="1:26" ht="21" customHeight="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spans="1:26" ht="21" customHeight="1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spans="1:26" ht="21" customHeight="1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spans="1:26" ht="21" customHeight="1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spans="1:26" ht="21" customHeight="1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spans="1:26" ht="21" customHeight="1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spans="1:26" ht="21" customHeight="1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spans="1:26" ht="21" customHeight="1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spans="1:26" ht="21" customHeight="1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spans="1:26" ht="21" customHeight="1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spans="1:26" ht="21" customHeight="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spans="1:26" ht="21" customHeight="1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spans="1:26" ht="21" customHeight="1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spans="1:26" ht="21" customHeight="1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spans="1:26" ht="21" customHeight="1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spans="1:26" ht="21" customHeight="1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spans="1:26" ht="21" customHeight="1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spans="1:26" ht="21" customHeight="1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spans="1:26" ht="21" customHeight="1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spans="1:26" ht="21" customHeight="1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spans="1:26" ht="21" customHeight="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spans="1:26" ht="21" customHeight="1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spans="1:26" ht="21" customHeight="1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spans="1:26" ht="21" customHeight="1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spans="1:26" ht="21" customHeight="1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spans="1:26" ht="21" customHeight="1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spans="1:26" ht="21" customHeight="1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spans="1:26" ht="21" customHeight="1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spans="1:26" ht="21" customHeight="1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spans="1:26" ht="21" customHeight="1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spans="1:26" ht="21" customHeight="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spans="1:26" ht="21" customHeight="1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spans="1:26" ht="21" customHeight="1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spans="1:26" ht="21" customHeight="1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spans="1:26" ht="21" customHeight="1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spans="1:26" ht="21" customHeight="1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spans="1:26" ht="21" customHeight="1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spans="1:26" ht="21" customHeight="1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spans="1:26" ht="21" customHeight="1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spans="1:26" ht="21" customHeight="1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spans="1:26" ht="21" customHeight="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spans="1:26" ht="21" customHeight="1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spans="1:26" ht="21" customHeight="1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spans="1:26" ht="21" customHeight="1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spans="1:26" ht="21" customHeight="1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spans="1:26" ht="21" customHeight="1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spans="1:26" ht="21" customHeight="1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spans="1:26" ht="21" customHeight="1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spans="1:26" ht="21" customHeight="1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spans="1:26" ht="21" customHeight="1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spans="1:26" ht="21" customHeight="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spans="1:26" ht="21" customHeight="1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spans="1:26" ht="21" customHeight="1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spans="1:26" ht="21" customHeight="1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spans="1:26" ht="21" customHeight="1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spans="1:26" ht="21" customHeight="1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spans="1:26" ht="21" customHeight="1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spans="1:26" ht="21" customHeight="1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spans="1:26" ht="21" customHeight="1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spans="1:26" ht="21" customHeight="1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spans="1:26" ht="21" customHeight="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spans="1:26" ht="21" customHeight="1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spans="1:26" ht="21" customHeight="1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spans="1:26" ht="21" customHeight="1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spans="1:26" ht="21" customHeight="1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spans="1:26" ht="21" customHeight="1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spans="1:26" ht="21" customHeight="1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spans="1:26" ht="21" customHeight="1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spans="1:26" ht="21" customHeight="1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spans="1:26" ht="21" customHeight="1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spans="1:26" ht="21" customHeight="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spans="1:26" ht="21" customHeight="1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spans="1:26" ht="21" customHeight="1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spans="1:26" ht="21" customHeight="1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spans="1:26" ht="21" customHeight="1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spans="1:26" ht="21" customHeight="1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spans="1:26" ht="21" customHeight="1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spans="1:26" ht="21" customHeight="1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spans="1:26" ht="21" customHeight="1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spans="1:26" ht="21" customHeight="1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spans="1:26" ht="21" customHeight="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spans="1:26" ht="21" customHeight="1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spans="1:26" ht="21" customHeight="1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spans="1:26" ht="21" customHeight="1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spans="1:26" ht="21" customHeight="1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spans="1:26" ht="21" customHeight="1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spans="1:26" ht="21" customHeight="1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spans="1:26" ht="21" customHeight="1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spans="1:26" ht="21" customHeight="1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spans="1:26" ht="21" customHeight="1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spans="1:26" ht="21" customHeight="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spans="1:26" ht="21" customHeight="1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spans="1:26" ht="21" customHeight="1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spans="1:26" ht="21" customHeight="1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spans="1:26" ht="21" customHeight="1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spans="1:26" ht="21" customHeight="1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spans="1:26" ht="21" customHeight="1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spans="1:26" ht="21" customHeight="1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spans="1:26" ht="21" customHeight="1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spans="1:26" ht="21" customHeight="1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spans="1:26" ht="21" customHeight="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spans="1:26" ht="21" customHeight="1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spans="1:26" ht="21" customHeight="1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spans="1:26" ht="21" customHeight="1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spans="1:26" ht="21" customHeight="1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spans="1:26" ht="21" customHeight="1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spans="1:26" ht="21" customHeight="1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spans="1:26" ht="21" customHeight="1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spans="1:26" ht="21" customHeight="1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spans="1:26" ht="21" customHeight="1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spans="1:26" ht="21" customHeight="1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spans="1:26" ht="21" customHeight="1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spans="1:26" ht="21" customHeight="1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spans="1:26" ht="21" customHeight="1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spans="1:26" ht="21" customHeight="1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spans="1:26" ht="21" customHeight="1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spans="1:26" ht="21" customHeight="1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spans="1:26" ht="21" customHeight="1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spans="1:26" ht="21" customHeight="1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spans="1:26" ht="21" customHeight="1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spans="1:26" ht="21" customHeight="1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spans="1:26" ht="21" customHeight="1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spans="1:26" ht="21" customHeight="1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spans="1:26" ht="21" customHeight="1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spans="1:26" ht="21" customHeight="1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spans="1:26" ht="21" customHeight="1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spans="1:26" ht="21" customHeight="1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spans="1:26" ht="21" customHeight="1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spans="1:26" ht="21" customHeight="1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spans="1:26" ht="21" customHeight="1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spans="1:26" ht="21" customHeight="1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spans="1:26" ht="21" customHeight="1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spans="1:26" ht="21" customHeight="1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spans="1:26" ht="21" customHeight="1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spans="1:26" ht="21" customHeight="1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spans="1:26" ht="21" customHeight="1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spans="1:26" ht="21" customHeight="1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spans="1:26" ht="21" customHeight="1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spans="1:26" ht="21" customHeight="1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spans="1:26" ht="21" customHeight="1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spans="1:26" ht="21" customHeight="1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spans="1:26" ht="21" customHeight="1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spans="1:26" ht="21" customHeight="1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spans="1:26" ht="21" customHeight="1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spans="1:26" ht="21" customHeight="1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spans="1:26" ht="21" customHeight="1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spans="1:26" ht="21" customHeight="1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spans="1:26" ht="21" customHeight="1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spans="1:26" ht="21" customHeight="1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spans="1:26" ht="21" customHeight="1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spans="1:26" ht="21" customHeight="1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spans="1:26" ht="21" customHeight="1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spans="1:26" ht="21" customHeight="1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spans="1:26" ht="21" customHeight="1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spans="1:26" ht="21" customHeight="1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spans="1:26" ht="21" customHeight="1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spans="1:26" ht="21" customHeight="1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spans="1:26" ht="21" customHeight="1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spans="1:26" ht="21" customHeight="1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spans="1:26" ht="21" customHeight="1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spans="1:26" ht="21" customHeight="1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spans="1:26" ht="21" customHeight="1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spans="1:26" ht="21" customHeight="1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spans="1:26" ht="21" customHeight="1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spans="1:26" ht="21" customHeight="1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spans="1:26" ht="21" customHeight="1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spans="1:26" ht="21" customHeight="1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spans="1:26" ht="21" customHeight="1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spans="1:26" ht="21" customHeight="1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spans="1:26" ht="21" customHeight="1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spans="1:26" ht="21" customHeight="1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spans="1:26" ht="21" customHeight="1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spans="1:26" ht="21" customHeight="1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spans="1:26" ht="21" customHeight="1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spans="1:26" ht="21" customHeight="1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spans="1:26" ht="21" customHeight="1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spans="1:26" ht="21" customHeight="1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spans="1:26" ht="21" customHeight="1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spans="1:26" ht="21" customHeight="1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spans="1:26" ht="21" customHeight="1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spans="1:26" ht="21" customHeight="1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spans="1:26" ht="21" customHeight="1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spans="1:26" ht="21" customHeight="1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spans="1:26" ht="21" customHeight="1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spans="1:26" ht="21" customHeight="1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spans="1:26" ht="21" customHeight="1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spans="1:26" ht="21" customHeight="1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 spans="1:26" ht="21" customHeight="1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 spans="1:26" ht="21" customHeight="1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 spans="1:26" ht="21" customHeight="1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 spans="1:26" ht="21" customHeight="1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 spans="1:26" ht="21" customHeight="1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 spans="1:26" ht="21" customHeight="1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 spans="1:26" ht="21" customHeight="1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 spans="1:26" ht="21" customHeight="1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 spans="1:26" ht="21" customHeight="1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 spans="1:26" ht="21" customHeight="1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 spans="1:26" ht="21" customHeight="1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 spans="1:26" ht="21" customHeight="1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 spans="1:26" ht="21" customHeight="1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  <row r="1001" spans="1:26" ht="21" customHeight="1">
      <c r="A1001" s="71"/>
      <c r="B1001" s="71"/>
      <c r="C1001" s="71"/>
      <c r="D1001" s="71"/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  <c r="T1001" s="71"/>
      <c r="U1001" s="71"/>
      <c r="V1001" s="71"/>
      <c r="W1001" s="71"/>
      <c r="X1001" s="71"/>
      <c r="Y1001" s="71"/>
      <c r="Z1001" s="71"/>
    </row>
    <row r="1002" spans="1:26" ht="21" customHeight="1">
      <c r="A1002" s="71"/>
      <c r="B1002" s="71"/>
      <c r="C1002" s="71"/>
      <c r="D1002" s="71"/>
      <c r="E1002" s="71"/>
      <c r="F1002" s="71"/>
      <c r="G1002" s="71"/>
      <c r="H1002" s="71"/>
      <c r="I1002" s="71"/>
      <c r="J1002" s="71"/>
      <c r="K1002" s="71"/>
      <c r="L1002" s="71"/>
      <c r="M1002" s="71"/>
      <c r="N1002" s="71"/>
      <c r="O1002" s="71"/>
      <c r="P1002" s="71"/>
      <c r="Q1002" s="71"/>
      <c r="R1002" s="71"/>
      <c r="S1002" s="71"/>
      <c r="T1002" s="71"/>
      <c r="U1002" s="71"/>
      <c r="V1002" s="71"/>
      <c r="W1002" s="71"/>
      <c r="X1002" s="71"/>
      <c r="Y1002" s="71"/>
      <c r="Z1002" s="71"/>
    </row>
    <row r="1003" spans="1:26" ht="21" customHeight="1">
      <c r="A1003" s="71"/>
      <c r="B1003" s="71"/>
      <c r="C1003" s="71"/>
      <c r="D1003" s="71"/>
      <c r="E1003" s="71"/>
      <c r="F1003" s="71"/>
      <c r="G1003" s="71"/>
      <c r="H1003" s="71"/>
      <c r="I1003" s="71"/>
      <c r="J1003" s="71"/>
      <c r="K1003" s="71"/>
      <c r="L1003" s="71"/>
      <c r="M1003" s="71"/>
      <c r="N1003" s="71"/>
      <c r="O1003" s="71"/>
      <c r="P1003" s="71"/>
      <c r="Q1003" s="71"/>
      <c r="R1003" s="71"/>
      <c r="S1003" s="71"/>
      <c r="T1003" s="71"/>
      <c r="U1003" s="71"/>
      <c r="V1003" s="71"/>
      <c r="W1003" s="71"/>
      <c r="X1003" s="71"/>
      <c r="Y1003" s="71"/>
      <c r="Z1003" s="71"/>
    </row>
    <row r="1004" spans="1:26" ht="21" customHeight="1">
      <c r="A1004" s="71"/>
      <c r="B1004" s="71"/>
      <c r="C1004" s="71"/>
      <c r="D1004" s="71"/>
      <c r="E1004" s="71"/>
      <c r="F1004" s="71"/>
      <c r="G1004" s="71"/>
      <c r="H1004" s="71"/>
      <c r="I1004" s="71"/>
      <c r="J1004" s="71"/>
      <c r="K1004" s="71"/>
      <c r="L1004" s="71"/>
      <c r="M1004" s="71"/>
      <c r="N1004" s="71"/>
      <c r="O1004" s="71"/>
      <c r="P1004" s="71"/>
      <c r="Q1004" s="71"/>
      <c r="R1004" s="71"/>
      <c r="S1004" s="71"/>
      <c r="T1004" s="71"/>
      <c r="U1004" s="71"/>
      <c r="V1004" s="71"/>
      <c r="W1004" s="71"/>
      <c r="X1004" s="71"/>
      <c r="Y1004" s="71"/>
      <c r="Z1004" s="71"/>
    </row>
    <row r="1005" spans="1:26" ht="21" customHeight="1">
      <c r="A1005" s="71"/>
      <c r="B1005" s="71"/>
      <c r="C1005" s="71"/>
      <c r="D1005" s="71"/>
      <c r="E1005" s="71"/>
      <c r="F1005" s="71"/>
      <c r="G1005" s="71"/>
      <c r="H1005" s="71"/>
      <c r="I1005" s="71"/>
      <c r="J1005" s="71"/>
      <c r="K1005" s="71"/>
      <c r="L1005" s="71"/>
      <c r="M1005" s="71"/>
      <c r="N1005" s="71"/>
      <c r="O1005" s="71"/>
      <c r="P1005" s="71"/>
      <c r="Q1005" s="71"/>
      <c r="R1005" s="71"/>
      <c r="S1005" s="71"/>
      <c r="T1005" s="71"/>
      <c r="U1005" s="71"/>
      <c r="V1005" s="71"/>
      <c r="W1005" s="71"/>
      <c r="X1005" s="71"/>
      <c r="Y1005" s="71"/>
      <c r="Z1005" s="71"/>
    </row>
    <row r="1006" spans="1:26" ht="21" customHeight="1">
      <c r="A1006" s="71"/>
      <c r="B1006" s="71"/>
      <c r="C1006" s="71"/>
      <c r="D1006" s="71"/>
      <c r="E1006" s="71"/>
      <c r="F1006" s="71"/>
      <c r="G1006" s="71"/>
      <c r="H1006" s="71"/>
      <c r="I1006" s="71"/>
      <c r="J1006" s="71"/>
      <c r="K1006" s="71"/>
      <c r="L1006" s="71"/>
      <c r="M1006" s="71"/>
      <c r="N1006" s="71"/>
      <c r="O1006" s="71"/>
      <c r="P1006" s="71"/>
      <c r="Q1006" s="71"/>
      <c r="R1006" s="71"/>
      <c r="S1006" s="71"/>
      <c r="T1006" s="71"/>
      <c r="U1006" s="71"/>
      <c r="V1006" s="71"/>
      <c r="W1006" s="71"/>
      <c r="X1006" s="71"/>
      <c r="Y1006" s="71"/>
      <c r="Z1006" s="71"/>
    </row>
    <row r="1007" spans="1:26" ht="21" customHeight="1">
      <c r="A1007" s="71"/>
      <c r="B1007" s="71"/>
      <c r="C1007" s="71"/>
      <c r="D1007" s="71"/>
      <c r="E1007" s="71"/>
      <c r="F1007" s="71"/>
      <c r="G1007" s="71"/>
      <c r="H1007" s="71"/>
      <c r="I1007" s="71"/>
      <c r="J1007" s="71"/>
      <c r="K1007" s="71"/>
      <c r="L1007" s="71"/>
      <c r="M1007" s="71"/>
      <c r="N1007" s="71"/>
      <c r="O1007" s="71"/>
      <c r="P1007" s="71"/>
      <c r="Q1007" s="71"/>
      <c r="R1007" s="71"/>
      <c r="S1007" s="71"/>
      <c r="T1007" s="71"/>
      <c r="U1007" s="71"/>
      <c r="V1007" s="71"/>
      <c r="W1007" s="71"/>
      <c r="X1007" s="71"/>
      <c r="Y1007" s="71"/>
      <c r="Z1007" s="71"/>
    </row>
    <row r="1008" spans="1:26" ht="21" customHeight="1">
      <c r="A1008" s="71"/>
      <c r="B1008" s="71"/>
      <c r="C1008" s="71"/>
      <c r="D1008" s="71"/>
      <c r="E1008" s="71"/>
      <c r="F1008" s="71"/>
      <c r="G1008" s="71"/>
      <c r="H1008" s="71"/>
      <c r="I1008" s="71"/>
      <c r="J1008" s="71"/>
      <c r="K1008" s="71"/>
      <c r="L1008" s="71"/>
      <c r="M1008" s="71"/>
      <c r="N1008" s="71"/>
      <c r="O1008" s="71"/>
      <c r="P1008" s="71"/>
      <c r="Q1008" s="71"/>
      <c r="R1008" s="71"/>
      <c r="S1008" s="71"/>
      <c r="T1008" s="71"/>
      <c r="U1008" s="71"/>
      <c r="V1008" s="71"/>
      <c r="W1008" s="71"/>
      <c r="X1008" s="71"/>
      <c r="Y1008" s="71"/>
      <c r="Z1008" s="71"/>
    </row>
    <row r="1009" spans="1:26" ht="21" customHeight="1">
      <c r="A1009" s="71"/>
      <c r="B1009" s="71"/>
      <c r="C1009" s="71"/>
      <c r="D1009" s="71"/>
      <c r="E1009" s="71"/>
      <c r="F1009" s="71"/>
      <c r="G1009" s="71"/>
      <c r="H1009" s="71"/>
      <c r="I1009" s="71"/>
      <c r="J1009" s="71"/>
      <c r="K1009" s="71"/>
      <c r="L1009" s="71"/>
      <c r="M1009" s="71"/>
      <c r="N1009" s="71"/>
      <c r="O1009" s="71"/>
      <c r="P1009" s="71"/>
      <c r="Q1009" s="71"/>
      <c r="R1009" s="71"/>
      <c r="S1009" s="71"/>
      <c r="T1009" s="71"/>
      <c r="U1009" s="71"/>
      <c r="V1009" s="71"/>
      <c r="W1009" s="71"/>
      <c r="X1009" s="71"/>
      <c r="Y1009" s="71"/>
      <c r="Z1009" s="71"/>
    </row>
    <row r="1010" spans="1:26" ht="21" customHeight="1">
      <c r="A1010" s="71"/>
      <c r="B1010" s="71"/>
      <c r="C1010" s="71"/>
      <c r="D1010" s="71"/>
      <c r="E1010" s="71"/>
      <c r="F1010" s="71"/>
      <c r="G1010" s="71"/>
      <c r="H1010" s="71"/>
      <c r="I1010" s="71"/>
      <c r="J1010" s="71"/>
      <c r="K1010" s="71"/>
      <c r="L1010" s="71"/>
      <c r="M1010" s="71"/>
      <c r="N1010" s="71"/>
      <c r="O1010" s="71"/>
      <c r="P1010" s="71"/>
      <c r="Q1010" s="71"/>
      <c r="R1010" s="71"/>
      <c r="S1010" s="71"/>
      <c r="T1010" s="71"/>
      <c r="U1010" s="71"/>
      <c r="V1010" s="71"/>
      <c r="W1010" s="71"/>
      <c r="X1010" s="71"/>
      <c r="Y1010" s="71"/>
      <c r="Z1010" s="71"/>
    </row>
    <row r="1011" spans="1:26" ht="21" customHeight="1">
      <c r="A1011" s="71"/>
      <c r="B1011" s="71"/>
      <c r="C1011" s="71"/>
      <c r="D1011" s="71"/>
      <c r="E1011" s="71"/>
      <c r="F1011" s="71"/>
      <c r="G1011" s="71"/>
      <c r="H1011" s="71"/>
      <c r="I1011" s="71"/>
      <c r="J1011" s="71"/>
      <c r="K1011" s="71"/>
      <c r="L1011" s="71"/>
      <c r="M1011" s="71"/>
      <c r="N1011" s="71"/>
      <c r="O1011" s="71"/>
      <c r="P1011" s="71"/>
      <c r="Q1011" s="71"/>
      <c r="R1011" s="71"/>
      <c r="S1011" s="71"/>
      <c r="T1011" s="71"/>
      <c r="U1011" s="71"/>
      <c r="V1011" s="71"/>
      <c r="W1011" s="71"/>
      <c r="X1011" s="71"/>
      <c r="Y1011" s="71"/>
      <c r="Z1011" s="71"/>
    </row>
    <row r="1012" spans="1:26" ht="21" customHeight="1">
      <c r="A1012" s="71"/>
      <c r="B1012" s="71"/>
      <c r="C1012" s="71"/>
      <c r="D1012" s="71"/>
      <c r="E1012" s="71"/>
      <c r="F1012" s="71"/>
      <c r="G1012" s="71"/>
      <c r="H1012" s="71"/>
      <c r="I1012" s="71"/>
      <c r="J1012" s="71"/>
      <c r="K1012" s="71"/>
      <c r="L1012" s="71"/>
      <c r="M1012" s="71"/>
      <c r="N1012" s="71"/>
      <c r="O1012" s="71"/>
      <c r="P1012" s="71"/>
      <c r="Q1012" s="71"/>
      <c r="R1012" s="71"/>
      <c r="S1012" s="71"/>
      <c r="T1012" s="71"/>
      <c r="U1012" s="71"/>
      <c r="V1012" s="71"/>
      <c r="W1012" s="71"/>
      <c r="X1012" s="71"/>
      <c r="Y1012" s="71"/>
      <c r="Z1012" s="71"/>
    </row>
    <row r="1013" spans="1:26" ht="21" customHeight="1">
      <c r="A1013" s="71"/>
      <c r="B1013" s="71"/>
      <c r="C1013" s="71"/>
      <c r="D1013" s="71"/>
      <c r="E1013" s="71"/>
      <c r="F1013" s="71"/>
      <c r="G1013" s="71"/>
      <c r="H1013" s="71"/>
      <c r="I1013" s="71"/>
      <c r="J1013" s="71"/>
      <c r="K1013" s="71"/>
      <c r="L1013" s="71"/>
      <c r="M1013" s="71"/>
      <c r="N1013" s="71"/>
      <c r="O1013" s="71"/>
      <c r="P1013" s="71"/>
      <c r="Q1013" s="71"/>
      <c r="R1013" s="71"/>
      <c r="S1013" s="71"/>
      <c r="T1013" s="71"/>
      <c r="U1013" s="71"/>
      <c r="V1013" s="71"/>
      <c r="W1013" s="71"/>
      <c r="X1013" s="71"/>
      <c r="Y1013" s="71"/>
      <c r="Z1013" s="71"/>
    </row>
    <row r="1014" spans="1:26" ht="21" customHeight="1">
      <c r="A1014" s="71"/>
      <c r="B1014" s="71"/>
      <c r="C1014" s="71"/>
      <c r="D1014" s="71"/>
      <c r="E1014" s="71"/>
      <c r="F1014" s="71"/>
      <c r="G1014" s="71"/>
      <c r="H1014" s="71"/>
      <c r="I1014" s="71"/>
      <c r="J1014" s="71"/>
      <c r="K1014" s="71"/>
      <c r="L1014" s="71"/>
      <c r="M1014" s="71"/>
      <c r="N1014" s="71"/>
      <c r="O1014" s="71"/>
      <c r="P1014" s="71"/>
      <c r="Q1014" s="71"/>
      <c r="R1014" s="71"/>
      <c r="S1014" s="71"/>
      <c r="T1014" s="71"/>
      <c r="U1014" s="71"/>
      <c r="V1014" s="71"/>
      <c r="W1014" s="71"/>
      <c r="X1014" s="71"/>
      <c r="Y1014" s="71"/>
      <c r="Z1014" s="71"/>
    </row>
    <row r="1015" spans="1:26" ht="21" customHeight="1">
      <c r="A1015" s="71"/>
      <c r="B1015" s="71"/>
      <c r="C1015" s="71"/>
      <c r="D1015" s="71"/>
      <c r="E1015" s="71"/>
      <c r="F1015" s="71"/>
      <c r="G1015" s="71"/>
      <c r="H1015" s="71"/>
      <c r="I1015" s="71"/>
      <c r="J1015" s="71"/>
      <c r="K1015" s="71"/>
      <c r="L1015" s="71"/>
      <c r="M1015" s="71"/>
      <c r="N1015" s="71"/>
      <c r="O1015" s="71"/>
      <c r="P1015" s="71"/>
      <c r="Q1015" s="71"/>
      <c r="R1015" s="71"/>
      <c r="S1015" s="71"/>
      <c r="T1015" s="71"/>
      <c r="U1015" s="71"/>
      <c r="V1015" s="71"/>
      <c r="W1015" s="71"/>
      <c r="X1015" s="71"/>
      <c r="Y1015" s="71"/>
      <c r="Z1015" s="71"/>
    </row>
    <row r="1016" spans="1:26" ht="21" customHeight="1">
      <c r="A1016" s="71"/>
      <c r="B1016" s="71"/>
      <c r="C1016" s="71"/>
      <c r="D1016" s="71"/>
      <c r="E1016" s="71"/>
      <c r="F1016" s="71"/>
      <c r="G1016" s="71"/>
      <c r="H1016" s="71"/>
      <c r="I1016" s="71"/>
      <c r="J1016" s="71"/>
      <c r="K1016" s="71"/>
      <c r="L1016" s="71"/>
      <c r="M1016" s="71"/>
      <c r="N1016" s="71"/>
      <c r="O1016" s="71"/>
      <c r="P1016" s="71"/>
      <c r="Q1016" s="71"/>
      <c r="R1016" s="71"/>
      <c r="S1016" s="71"/>
      <c r="T1016" s="71"/>
      <c r="U1016" s="71"/>
      <c r="V1016" s="71"/>
      <c r="W1016" s="71"/>
      <c r="X1016" s="71"/>
      <c r="Y1016" s="71"/>
      <c r="Z1016" s="71"/>
    </row>
    <row r="1017" spans="1:26" ht="21" customHeight="1">
      <c r="A1017" s="71"/>
      <c r="B1017" s="71"/>
      <c r="C1017" s="71"/>
      <c r="D1017" s="71"/>
      <c r="E1017" s="71"/>
      <c r="F1017" s="71"/>
      <c r="G1017" s="71"/>
      <c r="H1017" s="71"/>
      <c r="I1017" s="71"/>
      <c r="J1017" s="71"/>
      <c r="K1017" s="71"/>
      <c r="L1017" s="71"/>
      <c r="M1017" s="71"/>
      <c r="N1017" s="71"/>
      <c r="O1017" s="71"/>
      <c r="P1017" s="71"/>
      <c r="Q1017" s="71"/>
      <c r="R1017" s="71"/>
      <c r="S1017" s="71"/>
      <c r="T1017" s="71"/>
      <c r="U1017" s="71"/>
      <c r="V1017" s="71"/>
      <c r="W1017" s="71"/>
      <c r="X1017" s="71"/>
      <c r="Y1017" s="71"/>
      <c r="Z1017" s="71"/>
    </row>
    <row r="1018" spans="1:26" ht="21" customHeight="1">
      <c r="A1018" s="71"/>
      <c r="B1018" s="71"/>
      <c r="C1018" s="71"/>
      <c r="D1018" s="71"/>
      <c r="E1018" s="71"/>
      <c r="F1018" s="71"/>
      <c r="G1018" s="71"/>
      <c r="H1018" s="71"/>
      <c r="I1018" s="71"/>
      <c r="J1018" s="71"/>
      <c r="K1018" s="71"/>
      <c r="L1018" s="71"/>
      <c r="M1018" s="71"/>
      <c r="N1018" s="71"/>
      <c r="O1018" s="71"/>
      <c r="P1018" s="71"/>
      <c r="Q1018" s="71"/>
      <c r="R1018" s="71"/>
      <c r="S1018" s="71"/>
      <c r="T1018" s="71"/>
      <c r="U1018" s="71"/>
      <c r="V1018" s="71"/>
      <c r="W1018" s="71"/>
      <c r="X1018" s="71"/>
      <c r="Y1018" s="71"/>
      <c r="Z1018" s="71"/>
    </row>
    <row r="1019" spans="1:26" ht="21" customHeight="1">
      <c r="A1019" s="71"/>
      <c r="B1019" s="71"/>
      <c r="C1019" s="71"/>
      <c r="D1019" s="71"/>
      <c r="E1019" s="71"/>
      <c r="F1019" s="71"/>
      <c r="G1019" s="71"/>
      <c r="H1019" s="71"/>
      <c r="I1019" s="71"/>
      <c r="J1019" s="71"/>
      <c r="K1019" s="71"/>
      <c r="L1019" s="71"/>
      <c r="M1019" s="71"/>
      <c r="N1019" s="71"/>
      <c r="O1019" s="71"/>
      <c r="P1019" s="71"/>
      <c r="Q1019" s="71"/>
      <c r="R1019" s="71"/>
      <c r="S1019" s="71"/>
      <c r="T1019" s="71"/>
      <c r="U1019" s="71"/>
      <c r="V1019" s="71"/>
      <c r="W1019" s="71"/>
      <c r="X1019" s="71"/>
      <c r="Y1019" s="71"/>
      <c r="Z1019" s="71"/>
    </row>
    <row r="1020" spans="1:26" ht="21" customHeight="1">
      <c r="A1020" s="71"/>
      <c r="B1020" s="71"/>
      <c r="C1020" s="71"/>
      <c r="D1020" s="71"/>
      <c r="E1020" s="71"/>
      <c r="F1020" s="71"/>
      <c r="G1020" s="71"/>
      <c r="H1020" s="71"/>
      <c r="I1020" s="71"/>
      <c r="J1020" s="71"/>
      <c r="K1020" s="71"/>
      <c r="L1020" s="71"/>
      <c r="M1020" s="71"/>
      <c r="N1020" s="71"/>
      <c r="O1020" s="71"/>
      <c r="P1020" s="71"/>
      <c r="Q1020" s="71"/>
      <c r="R1020" s="71"/>
      <c r="S1020" s="71"/>
      <c r="T1020" s="71"/>
      <c r="U1020" s="71"/>
      <c r="V1020" s="71"/>
      <c r="W1020" s="71"/>
      <c r="X1020" s="71"/>
      <c r="Y1020" s="71"/>
      <c r="Z1020" s="71"/>
    </row>
    <row r="1021" spans="1:26" ht="21" customHeight="1">
      <c r="A1021" s="71"/>
      <c r="B1021" s="71"/>
      <c r="C1021" s="71"/>
      <c r="D1021" s="71"/>
      <c r="E1021" s="71"/>
      <c r="F1021" s="71"/>
      <c r="G1021" s="71"/>
      <c r="H1021" s="71"/>
      <c r="I1021" s="71"/>
      <c r="J1021" s="71"/>
      <c r="K1021" s="71"/>
      <c r="L1021" s="71"/>
      <c r="M1021" s="71"/>
      <c r="N1021" s="71"/>
      <c r="O1021" s="71"/>
      <c r="P1021" s="71"/>
      <c r="Q1021" s="71"/>
      <c r="R1021" s="71"/>
      <c r="S1021" s="71"/>
      <c r="T1021" s="71"/>
      <c r="U1021" s="71"/>
      <c r="V1021" s="71"/>
      <c r="W1021" s="71"/>
      <c r="X1021" s="71"/>
      <c r="Y1021" s="71"/>
      <c r="Z1021" s="71"/>
    </row>
    <row r="1022" spans="1:26" ht="21" customHeight="1">
      <c r="A1022" s="71"/>
      <c r="B1022" s="71"/>
      <c r="C1022" s="71"/>
      <c r="D1022" s="71"/>
      <c r="E1022" s="71"/>
      <c r="F1022" s="71"/>
      <c r="G1022" s="71"/>
      <c r="H1022" s="71"/>
      <c r="I1022" s="71"/>
      <c r="J1022" s="71"/>
      <c r="K1022" s="71"/>
      <c r="L1022" s="71"/>
      <c r="M1022" s="71"/>
      <c r="N1022" s="71"/>
      <c r="O1022" s="71"/>
      <c r="P1022" s="71"/>
      <c r="Q1022" s="71"/>
      <c r="R1022" s="71"/>
      <c r="S1022" s="71"/>
      <c r="T1022" s="71"/>
      <c r="U1022" s="71"/>
      <c r="V1022" s="71"/>
      <c r="W1022" s="71"/>
      <c r="X1022" s="71"/>
      <c r="Y1022" s="71"/>
      <c r="Z1022" s="71"/>
    </row>
    <row r="1023" spans="1:26" ht="21" customHeight="1">
      <c r="A1023" s="71"/>
      <c r="B1023" s="71"/>
      <c r="C1023" s="71"/>
      <c r="D1023" s="71"/>
      <c r="E1023" s="71"/>
      <c r="F1023" s="71"/>
      <c r="G1023" s="71"/>
      <c r="H1023" s="71"/>
      <c r="I1023" s="71"/>
      <c r="J1023" s="71"/>
      <c r="K1023" s="71"/>
      <c r="L1023" s="71"/>
      <c r="M1023" s="71"/>
      <c r="N1023" s="71"/>
      <c r="O1023" s="71"/>
      <c r="P1023" s="71"/>
      <c r="Q1023" s="71"/>
      <c r="R1023" s="71"/>
      <c r="S1023" s="71"/>
      <c r="T1023" s="71"/>
      <c r="U1023" s="71"/>
      <c r="V1023" s="71"/>
      <c r="W1023" s="71"/>
      <c r="X1023" s="71"/>
      <c r="Y1023" s="71"/>
      <c r="Z1023" s="71"/>
    </row>
    <row r="1024" spans="1:26" ht="15" customHeight="1">
      <c r="A1024" s="71"/>
      <c r="B1024" s="71"/>
      <c r="C1024" s="71"/>
      <c r="D1024" s="71"/>
      <c r="E1024" s="71"/>
      <c r="F1024" s="71"/>
      <c r="G1024" s="71"/>
      <c r="H1024" s="71"/>
      <c r="I1024" s="71"/>
      <c r="J1024" s="71"/>
      <c r="K1024" s="71"/>
      <c r="L1024" s="71"/>
      <c r="M1024" s="71"/>
      <c r="N1024" s="71"/>
    </row>
    <row r="1025" spans="1:14" ht="15" customHeight="1">
      <c r="A1025" s="71"/>
      <c r="B1025" s="71"/>
      <c r="C1025" s="71"/>
      <c r="D1025" s="71"/>
      <c r="E1025" s="71"/>
      <c r="F1025" s="71"/>
      <c r="G1025" s="71"/>
      <c r="H1025" s="71"/>
      <c r="I1025" s="71"/>
      <c r="J1025" s="71"/>
      <c r="K1025" s="71"/>
      <c r="L1025" s="71"/>
      <c r="M1025" s="71"/>
      <c r="N1025" s="71"/>
    </row>
    <row r="1026" spans="1:14" ht="15" customHeight="1">
      <c r="A1026" s="71"/>
      <c r="B1026" s="71"/>
      <c r="C1026" s="71"/>
      <c r="D1026" s="71"/>
      <c r="E1026" s="71"/>
      <c r="F1026" s="71"/>
      <c r="G1026" s="71"/>
      <c r="H1026" s="71"/>
      <c r="I1026" s="71"/>
      <c r="J1026" s="71"/>
      <c r="K1026" s="71"/>
      <c r="L1026" s="71"/>
      <c r="M1026" s="71"/>
      <c r="N1026" s="71"/>
    </row>
    <row r="1027" spans="1:14" ht="15" customHeight="1">
      <c r="A1027" s="71"/>
      <c r="B1027" s="71"/>
      <c r="C1027" s="71"/>
      <c r="D1027" s="71"/>
      <c r="E1027" s="71"/>
      <c r="F1027" s="71"/>
      <c r="G1027" s="71"/>
      <c r="H1027" s="71"/>
      <c r="I1027" s="71"/>
      <c r="J1027" s="71"/>
      <c r="K1027" s="71"/>
      <c r="L1027" s="71"/>
      <c r="M1027" s="71"/>
      <c r="N1027" s="71"/>
    </row>
    <row r="1028" spans="1:14" ht="15" customHeight="1">
      <c r="A1028" s="71"/>
      <c r="B1028" s="71"/>
      <c r="C1028" s="71"/>
      <c r="D1028" s="71"/>
      <c r="E1028" s="71"/>
      <c r="F1028" s="71"/>
      <c r="G1028" s="71"/>
      <c r="H1028" s="71"/>
      <c r="I1028" s="71"/>
      <c r="J1028" s="71"/>
      <c r="K1028" s="71"/>
      <c r="L1028" s="71"/>
      <c r="M1028" s="71"/>
      <c r="N1028" s="71"/>
    </row>
    <row r="1029" spans="1:14" ht="15" customHeight="1">
      <c r="A1029" s="71"/>
      <c r="B1029" s="71"/>
      <c r="C1029" s="71"/>
      <c r="D1029" s="71"/>
      <c r="E1029" s="71"/>
      <c r="F1029" s="71"/>
      <c r="G1029" s="71"/>
      <c r="H1029" s="71"/>
      <c r="I1029" s="71"/>
      <c r="J1029" s="71"/>
      <c r="K1029" s="71"/>
      <c r="L1029" s="71"/>
      <c r="M1029" s="71"/>
      <c r="N1029" s="71"/>
    </row>
    <row r="1030" spans="1:14" ht="15" customHeight="1">
      <c r="A1030" s="71"/>
      <c r="B1030" s="71"/>
      <c r="C1030" s="71"/>
      <c r="D1030" s="71"/>
      <c r="E1030" s="71"/>
      <c r="F1030" s="71"/>
      <c r="G1030" s="71"/>
      <c r="H1030" s="71"/>
      <c r="I1030" s="71"/>
      <c r="J1030" s="71"/>
      <c r="K1030" s="71"/>
      <c r="L1030" s="71"/>
      <c r="M1030" s="71"/>
      <c r="N1030" s="71"/>
    </row>
    <row r="1031" spans="1:14" ht="15" customHeight="1">
      <c r="A1031" s="71"/>
      <c r="B1031" s="71"/>
      <c r="C1031" s="71"/>
      <c r="D1031" s="71"/>
      <c r="E1031" s="71"/>
      <c r="F1031" s="71"/>
      <c r="G1031" s="71"/>
      <c r="H1031" s="71"/>
      <c r="I1031" s="71"/>
      <c r="J1031" s="71"/>
      <c r="K1031" s="71"/>
      <c r="L1031" s="71"/>
      <c r="M1031" s="71"/>
      <c r="N1031" s="71"/>
    </row>
    <row r="1032" spans="1:14" ht="15" customHeight="1">
      <c r="A1032" s="71"/>
      <c r="B1032" s="71"/>
      <c r="C1032" s="71"/>
      <c r="D1032" s="71"/>
      <c r="E1032" s="71"/>
      <c r="F1032" s="71"/>
      <c r="G1032" s="71"/>
      <c r="H1032" s="71"/>
      <c r="I1032" s="71"/>
      <c r="J1032" s="71"/>
      <c r="K1032" s="71"/>
      <c r="L1032" s="71"/>
      <c r="M1032" s="71"/>
      <c r="N1032" s="71"/>
    </row>
    <row r="1033" spans="1:14" ht="15" customHeight="1">
      <c r="A1033" s="71"/>
      <c r="B1033" s="71"/>
      <c r="C1033" s="71"/>
      <c r="D1033" s="71"/>
      <c r="E1033" s="71"/>
      <c r="F1033" s="71"/>
      <c r="G1033" s="71"/>
      <c r="H1033" s="71"/>
      <c r="I1033" s="71"/>
      <c r="J1033" s="71"/>
      <c r="K1033" s="71"/>
      <c r="L1033" s="71"/>
      <c r="M1033" s="71"/>
      <c r="N1033" s="71"/>
    </row>
    <row r="1034" spans="1:14" ht="15" customHeight="1">
      <c r="A1034" s="71"/>
      <c r="B1034" s="71"/>
      <c r="C1034" s="71"/>
      <c r="D1034" s="71"/>
      <c r="E1034" s="71"/>
      <c r="F1034" s="71"/>
      <c r="G1034" s="71"/>
      <c r="H1034" s="71"/>
      <c r="I1034" s="71"/>
      <c r="J1034" s="71"/>
      <c r="K1034" s="71"/>
      <c r="L1034" s="71"/>
      <c r="M1034" s="71"/>
      <c r="N1034" s="71"/>
    </row>
    <row r="1035" spans="1:14" ht="15" customHeight="1">
      <c r="A1035" s="71"/>
      <c r="B1035" s="71"/>
      <c r="C1035" s="71"/>
      <c r="D1035" s="71"/>
      <c r="E1035" s="71"/>
      <c r="F1035" s="71"/>
      <c r="G1035" s="71"/>
      <c r="H1035" s="71"/>
      <c r="I1035" s="71"/>
      <c r="J1035" s="71"/>
      <c r="K1035" s="71"/>
      <c r="L1035" s="71"/>
      <c r="M1035" s="71"/>
      <c r="N1035" s="71"/>
    </row>
    <row r="1036" spans="1:14" ht="15" customHeight="1">
      <c r="A1036" s="71"/>
      <c r="B1036" s="71"/>
      <c r="C1036" s="71"/>
      <c r="D1036" s="71"/>
      <c r="E1036" s="71"/>
      <c r="F1036" s="71"/>
      <c r="G1036" s="71"/>
      <c r="H1036" s="71"/>
      <c r="I1036" s="71"/>
      <c r="J1036" s="71"/>
      <c r="K1036" s="71"/>
      <c r="L1036" s="71"/>
      <c r="M1036" s="71"/>
      <c r="N1036" s="71"/>
    </row>
    <row r="1037" spans="1:14" ht="15" customHeight="1">
      <c r="A1037" s="71"/>
      <c r="B1037" s="71"/>
      <c r="C1037" s="71"/>
      <c r="D1037" s="71"/>
      <c r="E1037" s="71"/>
      <c r="F1037" s="71"/>
      <c r="G1037" s="71"/>
      <c r="H1037" s="71"/>
      <c r="I1037" s="71"/>
      <c r="J1037" s="71"/>
      <c r="K1037" s="71"/>
      <c r="L1037" s="71"/>
      <c r="M1037" s="71"/>
      <c r="N1037" s="71"/>
    </row>
    <row r="1038" spans="1:14" ht="15" customHeight="1">
      <c r="A1038" s="71"/>
      <c r="B1038" s="71"/>
      <c r="C1038" s="71"/>
      <c r="D1038" s="71"/>
      <c r="E1038" s="71"/>
      <c r="F1038" s="71"/>
      <c r="G1038" s="71"/>
      <c r="H1038" s="71"/>
      <c r="I1038" s="71"/>
      <c r="J1038" s="71"/>
      <c r="K1038" s="71"/>
      <c r="L1038" s="71"/>
      <c r="M1038" s="71"/>
      <c r="N1038" s="71"/>
    </row>
    <row r="1039" spans="1:14" ht="15" customHeight="1">
      <c r="A1039" s="71"/>
      <c r="B1039" s="71"/>
      <c r="C1039" s="71"/>
      <c r="D1039" s="71"/>
      <c r="E1039" s="71"/>
      <c r="F1039" s="71"/>
      <c r="G1039" s="71"/>
      <c r="H1039" s="71"/>
      <c r="I1039" s="71"/>
      <c r="J1039" s="71"/>
      <c r="K1039" s="71"/>
      <c r="L1039" s="71"/>
      <c r="M1039" s="71"/>
      <c r="N1039" s="71"/>
    </row>
    <row r="1040" spans="1:14" ht="15" customHeight="1">
      <c r="A1040" s="71"/>
      <c r="B1040" s="71"/>
      <c r="C1040" s="71"/>
      <c r="D1040" s="71"/>
      <c r="E1040" s="71"/>
      <c r="F1040" s="71"/>
      <c r="G1040" s="71"/>
      <c r="H1040" s="71"/>
      <c r="I1040" s="71"/>
      <c r="J1040" s="71"/>
      <c r="K1040" s="71"/>
      <c r="L1040" s="71"/>
      <c r="M1040" s="71"/>
      <c r="N1040" s="71"/>
    </row>
    <row r="1041" spans="1:14" ht="15" customHeight="1">
      <c r="A1041" s="71"/>
      <c r="B1041" s="71"/>
      <c r="C1041" s="71"/>
      <c r="D1041" s="71"/>
      <c r="E1041" s="71"/>
      <c r="F1041" s="71"/>
      <c r="G1041" s="71"/>
      <c r="H1041" s="71"/>
      <c r="I1041" s="71"/>
      <c r="J1041" s="71"/>
      <c r="K1041" s="71"/>
      <c r="L1041" s="71"/>
      <c r="M1041" s="71"/>
      <c r="N1041" s="71"/>
    </row>
    <row r="1042" spans="1:14" ht="15" customHeight="1">
      <c r="A1042" s="71"/>
      <c r="B1042" s="71"/>
      <c r="C1042" s="71"/>
      <c r="D1042" s="71"/>
      <c r="E1042" s="71"/>
      <c r="F1042" s="71"/>
      <c r="G1042" s="71"/>
      <c r="H1042" s="71"/>
      <c r="I1042" s="71"/>
      <c r="J1042" s="71"/>
      <c r="K1042" s="71"/>
      <c r="L1042" s="71"/>
      <c r="M1042" s="71"/>
      <c r="N1042" s="71"/>
    </row>
    <row r="1043" spans="1:14" ht="15" customHeight="1">
      <c r="A1043" s="71"/>
      <c r="B1043" s="71"/>
      <c r="C1043" s="71"/>
      <c r="D1043" s="71"/>
      <c r="E1043" s="71"/>
      <c r="F1043" s="71"/>
      <c r="G1043" s="71"/>
      <c r="H1043" s="71"/>
      <c r="I1043" s="71"/>
      <c r="J1043" s="71"/>
      <c r="K1043" s="71"/>
      <c r="L1043" s="71"/>
      <c r="M1043" s="71"/>
      <c r="N1043" s="71"/>
    </row>
    <row r="1044" spans="1:14" ht="15" customHeight="1">
      <c r="A1044" s="71"/>
      <c r="B1044" s="71"/>
      <c r="C1044" s="71"/>
      <c r="D1044" s="71"/>
      <c r="E1044" s="71"/>
      <c r="F1044" s="71"/>
      <c r="G1044" s="71"/>
      <c r="H1044" s="71"/>
      <c r="I1044" s="71"/>
      <c r="J1044" s="71"/>
      <c r="K1044" s="71"/>
      <c r="L1044" s="71"/>
      <c r="M1044" s="71"/>
      <c r="N1044" s="71"/>
    </row>
    <row r="1045" spans="1:14" ht="15" customHeight="1">
      <c r="A1045" s="71"/>
      <c r="B1045" s="71"/>
      <c r="C1045" s="71"/>
      <c r="D1045" s="71"/>
      <c r="E1045" s="71"/>
      <c r="F1045" s="71"/>
      <c r="G1045" s="71"/>
      <c r="H1045" s="71"/>
      <c r="I1045" s="71"/>
      <c r="J1045" s="71"/>
      <c r="K1045" s="71"/>
      <c r="L1045" s="71"/>
      <c r="M1045" s="71"/>
      <c r="N1045" s="71"/>
    </row>
    <row r="1046" spans="1:14" ht="15" customHeight="1">
      <c r="A1046" s="71"/>
      <c r="B1046" s="71"/>
      <c r="C1046" s="71"/>
      <c r="D1046" s="71"/>
      <c r="E1046" s="71"/>
      <c r="F1046" s="71"/>
      <c r="G1046" s="71"/>
      <c r="H1046" s="71"/>
      <c r="I1046" s="71"/>
      <c r="J1046" s="71"/>
      <c r="K1046" s="71"/>
      <c r="L1046" s="71"/>
      <c r="M1046" s="71"/>
      <c r="N1046" s="71"/>
    </row>
    <row r="1047" spans="1:14" ht="15" customHeight="1">
      <c r="A1047" s="71"/>
      <c r="B1047" s="71"/>
      <c r="C1047" s="71"/>
      <c r="D1047" s="71"/>
      <c r="E1047" s="71"/>
      <c r="F1047" s="71"/>
      <c r="G1047" s="71"/>
      <c r="H1047" s="71"/>
      <c r="I1047" s="71"/>
      <c r="J1047" s="71"/>
      <c r="K1047" s="71"/>
      <c r="L1047" s="71"/>
      <c r="M1047" s="71"/>
      <c r="N1047" s="71"/>
    </row>
    <row r="1048" spans="1:14" ht="15" customHeight="1">
      <c r="A1048" s="71"/>
      <c r="B1048" s="71"/>
      <c r="C1048" s="71"/>
      <c r="D1048" s="71"/>
      <c r="E1048" s="71"/>
      <c r="F1048" s="71"/>
      <c r="G1048" s="71"/>
      <c r="H1048" s="71"/>
      <c r="I1048" s="71"/>
      <c r="J1048" s="71"/>
      <c r="K1048" s="71"/>
      <c r="L1048" s="71"/>
      <c r="M1048" s="71"/>
      <c r="N1048" s="71"/>
    </row>
    <row r="1049" spans="1:14" ht="15" customHeight="1">
      <c r="A1049" s="71"/>
      <c r="B1049" s="71"/>
      <c r="C1049" s="71"/>
      <c r="D1049" s="71"/>
      <c r="E1049" s="71"/>
      <c r="F1049" s="71"/>
      <c r="G1049" s="71"/>
      <c r="H1049" s="71"/>
      <c r="I1049" s="71"/>
      <c r="J1049" s="71"/>
      <c r="K1049" s="71"/>
      <c r="L1049" s="71"/>
      <c r="M1049" s="71"/>
      <c r="N1049" s="71"/>
    </row>
    <row r="1050" spans="1:14" ht="15" customHeight="1">
      <c r="A1050" s="71"/>
      <c r="B1050" s="71"/>
      <c r="C1050" s="71"/>
      <c r="D1050" s="71"/>
      <c r="E1050" s="71"/>
      <c r="F1050" s="71"/>
      <c r="G1050" s="71"/>
      <c r="H1050" s="71"/>
      <c r="I1050" s="71"/>
      <c r="J1050" s="71"/>
      <c r="K1050" s="71"/>
      <c r="L1050" s="71"/>
      <c r="M1050" s="71"/>
      <c r="N1050" s="71"/>
    </row>
    <row r="1051" spans="1:14" ht="15" customHeight="1">
      <c r="A1051" s="71"/>
      <c r="B1051" s="71"/>
      <c r="C1051" s="71"/>
      <c r="D1051" s="71"/>
      <c r="E1051" s="71"/>
      <c r="F1051" s="71"/>
      <c r="G1051" s="71"/>
      <c r="H1051" s="71"/>
      <c r="I1051" s="71"/>
      <c r="J1051" s="71"/>
      <c r="K1051" s="71"/>
      <c r="L1051" s="71"/>
      <c r="M1051" s="71"/>
      <c r="N1051" s="71"/>
    </row>
    <row r="1052" spans="1:14" ht="15" customHeight="1">
      <c r="A1052" s="71"/>
      <c r="B1052" s="71"/>
      <c r="C1052" s="71"/>
      <c r="D1052" s="71"/>
      <c r="E1052" s="71"/>
      <c r="F1052" s="71"/>
      <c r="G1052" s="71"/>
      <c r="H1052" s="71"/>
      <c r="I1052" s="71"/>
      <c r="J1052" s="71"/>
      <c r="K1052" s="71"/>
      <c r="L1052" s="71"/>
      <c r="M1052" s="71"/>
      <c r="N1052" s="71"/>
    </row>
    <row r="1053" spans="1:14" ht="15" customHeight="1">
      <c r="A1053" s="71"/>
      <c r="B1053" s="71"/>
      <c r="C1053" s="71"/>
      <c r="D1053" s="71"/>
      <c r="E1053" s="71"/>
      <c r="F1053" s="71"/>
      <c r="G1053" s="71"/>
      <c r="H1053" s="71"/>
      <c r="I1053" s="71"/>
      <c r="J1053" s="71"/>
      <c r="K1053" s="71"/>
      <c r="L1053" s="71"/>
      <c r="M1053" s="71"/>
      <c r="N1053" s="71"/>
    </row>
    <row r="1054" spans="1:14" ht="15" customHeight="1">
      <c r="A1054" s="71"/>
      <c r="B1054" s="71"/>
      <c r="C1054" s="71"/>
      <c r="D1054" s="71"/>
      <c r="E1054" s="71"/>
      <c r="F1054" s="71"/>
      <c r="G1054" s="71"/>
      <c r="H1054" s="71"/>
      <c r="I1054" s="71"/>
      <c r="J1054" s="71"/>
      <c r="K1054" s="71"/>
      <c r="L1054" s="71"/>
      <c r="M1054" s="71"/>
      <c r="N1054" s="71"/>
    </row>
    <row r="1055" spans="1:14" ht="15" customHeight="1">
      <c r="A1055" s="71"/>
      <c r="B1055" s="71"/>
      <c r="C1055" s="71"/>
      <c r="D1055" s="71"/>
      <c r="E1055" s="71"/>
      <c r="F1055" s="71"/>
      <c r="G1055" s="71"/>
      <c r="H1055" s="71"/>
      <c r="I1055" s="71"/>
      <c r="J1055" s="71"/>
      <c r="K1055" s="71"/>
      <c r="L1055" s="71"/>
      <c r="M1055" s="71"/>
      <c r="N1055" s="71"/>
    </row>
    <row r="1056" spans="1:14" ht="15" customHeight="1">
      <c r="A1056" s="71"/>
      <c r="B1056" s="71"/>
      <c r="C1056" s="71"/>
      <c r="D1056" s="71"/>
      <c r="E1056" s="71"/>
      <c r="F1056" s="71"/>
      <c r="G1056" s="71"/>
      <c r="H1056" s="71"/>
      <c r="I1056" s="71"/>
      <c r="J1056" s="71"/>
      <c r="K1056" s="71"/>
      <c r="L1056" s="71"/>
      <c r="M1056" s="71"/>
      <c r="N1056" s="71"/>
    </row>
    <row r="1057" spans="1:13" ht="15" customHeight="1">
      <c r="A1057" s="71"/>
      <c r="B1057" s="71"/>
      <c r="C1057" s="71"/>
      <c r="D1057" s="71"/>
      <c r="E1057" s="71"/>
      <c r="F1057" s="71"/>
      <c r="G1057" s="71"/>
      <c r="H1057" s="71"/>
      <c r="I1057" s="71"/>
      <c r="J1057" s="71"/>
      <c r="K1057" s="71"/>
      <c r="L1057" s="71"/>
      <c r="M1057" s="71"/>
    </row>
    <row r="1058" spans="1:13" ht="15" customHeight="1">
      <c r="A1058" s="71"/>
      <c r="B1058" s="71"/>
      <c r="C1058" s="71"/>
      <c r="D1058" s="71"/>
      <c r="E1058" s="71"/>
      <c r="F1058" s="71"/>
      <c r="G1058" s="71"/>
      <c r="H1058" s="71"/>
      <c r="I1058" s="71"/>
      <c r="J1058" s="71"/>
      <c r="K1058" s="71"/>
      <c r="L1058" s="71"/>
      <c r="M1058" s="71"/>
    </row>
    <row r="1059" spans="1:13" ht="15" customHeight="1">
      <c r="A1059" s="71"/>
      <c r="B1059" s="71"/>
      <c r="C1059" s="71"/>
      <c r="D1059" s="71"/>
      <c r="E1059" s="71"/>
      <c r="F1059" s="71"/>
      <c r="G1059" s="71"/>
      <c r="H1059" s="71"/>
      <c r="I1059" s="71"/>
      <c r="J1059" s="71"/>
      <c r="K1059" s="71"/>
      <c r="L1059" s="71"/>
      <c r="M1059" s="71"/>
    </row>
    <row r="1060" spans="1:13" ht="15" customHeight="1">
      <c r="A1060" s="71"/>
      <c r="B1060" s="71"/>
      <c r="C1060" s="71"/>
      <c r="D1060" s="71"/>
      <c r="E1060" s="71"/>
      <c r="F1060" s="71"/>
      <c r="G1060" s="71"/>
      <c r="H1060" s="71"/>
      <c r="I1060" s="71"/>
      <c r="J1060" s="71"/>
      <c r="K1060" s="71"/>
      <c r="L1060" s="71"/>
      <c r="M1060" s="71"/>
    </row>
    <row r="1061" spans="1:13" ht="15" customHeight="1">
      <c r="A1061" s="71"/>
      <c r="B1061" s="71"/>
      <c r="C1061" s="71"/>
      <c r="D1061" s="71"/>
      <c r="E1061" s="71"/>
      <c r="F1061" s="71"/>
      <c r="G1061" s="71"/>
      <c r="H1061" s="71"/>
      <c r="I1061" s="71"/>
      <c r="J1061" s="71"/>
      <c r="K1061" s="71"/>
      <c r="L1061" s="71"/>
      <c r="M1061" s="71"/>
    </row>
    <row r="1062" spans="1:13" ht="15" customHeight="1">
      <c r="A1062" s="71"/>
      <c r="B1062" s="71"/>
      <c r="C1062" s="71"/>
      <c r="D1062" s="71"/>
      <c r="E1062" s="71"/>
      <c r="F1062" s="71"/>
      <c r="G1062" s="71"/>
      <c r="H1062" s="71"/>
      <c r="I1062" s="71"/>
      <c r="J1062" s="71"/>
      <c r="K1062" s="71"/>
      <c r="L1062" s="71"/>
      <c r="M1062" s="71"/>
    </row>
    <row r="1063" spans="1:13" ht="15" customHeight="1">
      <c r="A1063" s="71"/>
      <c r="B1063" s="71"/>
      <c r="C1063" s="71"/>
      <c r="D1063" s="71"/>
      <c r="E1063" s="71"/>
      <c r="F1063" s="71"/>
      <c r="G1063" s="71"/>
      <c r="H1063" s="71"/>
      <c r="I1063" s="71"/>
      <c r="J1063" s="71"/>
      <c r="K1063" s="71"/>
      <c r="L1063" s="71"/>
      <c r="M1063" s="71"/>
    </row>
    <row r="1064" spans="1:13" ht="15" customHeight="1">
      <c r="A1064" s="71"/>
      <c r="B1064" s="71"/>
      <c r="C1064" s="71"/>
      <c r="D1064" s="71"/>
      <c r="E1064" s="71"/>
      <c r="F1064" s="71"/>
      <c r="G1064" s="71"/>
      <c r="H1064" s="71"/>
      <c r="I1064" s="71"/>
      <c r="J1064" s="71"/>
      <c r="K1064" s="71"/>
      <c r="L1064" s="71"/>
      <c r="M1064" s="71"/>
    </row>
    <row r="1065" spans="1:13" ht="15" customHeight="1">
      <c r="A1065" s="71"/>
      <c r="B1065" s="71"/>
      <c r="C1065" s="71"/>
      <c r="D1065" s="71"/>
      <c r="E1065" s="71"/>
      <c r="F1065" s="71"/>
      <c r="G1065" s="71"/>
      <c r="H1065" s="71"/>
      <c r="I1065" s="71"/>
      <c r="J1065" s="71"/>
      <c r="K1065" s="71"/>
      <c r="L1065" s="71"/>
      <c r="M1065" s="71"/>
    </row>
    <row r="1066" spans="1:13" ht="15" customHeight="1">
      <c r="A1066" s="71"/>
      <c r="B1066" s="71"/>
      <c r="C1066" s="71"/>
      <c r="D1066" s="71"/>
      <c r="E1066" s="71"/>
      <c r="F1066" s="71"/>
      <c r="G1066" s="71"/>
      <c r="H1066" s="71"/>
      <c r="I1066" s="71"/>
      <c r="J1066" s="71"/>
      <c r="K1066" s="71"/>
      <c r="L1066" s="71"/>
      <c r="M1066" s="71"/>
    </row>
    <row r="1067" spans="1:13" ht="15" customHeight="1">
      <c r="A1067" s="71"/>
      <c r="B1067" s="71"/>
      <c r="C1067" s="71"/>
      <c r="D1067" s="71"/>
      <c r="E1067" s="71"/>
      <c r="F1067" s="71"/>
      <c r="G1067" s="71"/>
      <c r="H1067" s="71"/>
      <c r="I1067" s="71"/>
      <c r="J1067" s="71"/>
      <c r="K1067" s="71"/>
      <c r="L1067" s="71"/>
      <c r="M1067" s="71"/>
    </row>
    <row r="1068" spans="1:13" ht="15" customHeight="1">
      <c r="A1068" s="71"/>
      <c r="B1068" s="71"/>
      <c r="C1068" s="71"/>
      <c r="D1068" s="71"/>
      <c r="E1068" s="71"/>
      <c r="F1068" s="71"/>
      <c r="G1068" s="71"/>
      <c r="H1068" s="71"/>
      <c r="I1068" s="71"/>
      <c r="J1068" s="71"/>
      <c r="K1068" s="71"/>
      <c r="L1068" s="71"/>
      <c r="M1068" s="71"/>
    </row>
    <row r="1069" spans="1:13" ht="15" customHeight="1">
      <c r="A1069" s="71"/>
      <c r="B1069" s="71"/>
      <c r="C1069" s="71"/>
      <c r="D1069" s="71"/>
      <c r="E1069" s="71"/>
      <c r="F1069" s="71"/>
      <c r="G1069" s="71"/>
      <c r="H1069" s="71"/>
      <c r="I1069" s="71"/>
      <c r="J1069" s="71"/>
      <c r="K1069" s="71"/>
      <c r="L1069" s="71"/>
      <c r="M1069" s="71"/>
    </row>
    <row r="1070" spans="1:13" ht="15" customHeight="1">
      <c r="A1070" s="71"/>
      <c r="B1070" s="71"/>
      <c r="C1070" s="71"/>
      <c r="D1070" s="71"/>
      <c r="E1070" s="71"/>
      <c r="F1070" s="71"/>
      <c r="G1070" s="71"/>
      <c r="H1070" s="71"/>
      <c r="I1070" s="71"/>
      <c r="J1070" s="71"/>
      <c r="K1070" s="71"/>
      <c r="L1070" s="71"/>
      <c r="M1070" s="71"/>
    </row>
    <row r="1071" spans="1:13" ht="15" customHeight="1">
      <c r="A1071" s="71"/>
      <c r="B1071" s="71"/>
      <c r="C1071" s="71"/>
      <c r="D1071" s="71"/>
      <c r="E1071" s="71"/>
      <c r="F1071" s="71"/>
      <c r="G1071" s="71"/>
      <c r="H1071" s="71"/>
      <c r="I1071" s="71"/>
      <c r="J1071" s="71"/>
      <c r="K1071" s="71"/>
      <c r="L1071" s="71"/>
      <c r="M1071" s="71"/>
    </row>
    <row r="1072" spans="1:13" ht="15" customHeight="1">
      <c r="A1072" s="71"/>
      <c r="B1072" s="71"/>
      <c r="C1072" s="71"/>
      <c r="D1072" s="71"/>
      <c r="E1072" s="71"/>
      <c r="F1072" s="71"/>
      <c r="G1072" s="71"/>
      <c r="H1072" s="71"/>
      <c r="I1072" s="71"/>
      <c r="J1072" s="71"/>
      <c r="K1072" s="71"/>
      <c r="L1072" s="71"/>
      <c r="M1072" s="71"/>
    </row>
    <row r="1073" spans="1:13" ht="15" customHeight="1">
      <c r="A1073" s="71"/>
      <c r="B1073" s="71"/>
      <c r="C1073" s="71"/>
      <c r="D1073" s="71"/>
      <c r="E1073" s="71"/>
      <c r="F1073" s="71"/>
      <c r="G1073" s="71"/>
      <c r="H1073" s="71"/>
      <c r="I1073" s="71"/>
      <c r="J1073" s="71"/>
      <c r="K1073" s="71"/>
      <c r="L1073" s="71"/>
      <c r="M1073" s="71"/>
    </row>
    <row r="1074" spans="1:13" ht="15" customHeight="1">
      <c r="A1074" s="71"/>
      <c r="B1074" s="71"/>
      <c r="C1074" s="71"/>
      <c r="D1074" s="71"/>
      <c r="E1074" s="71"/>
      <c r="F1074" s="71"/>
      <c r="G1074" s="71"/>
      <c r="H1074" s="71"/>
      <c r="I1074" s="71"/>
      <c r="J1074" s="71"/>
      <c r="K1074" s="71"/>
      <c r="L1074" s="71"/>
      <c r="M1074" s="71"/>
    </row>
    <row r="1075" spans="1:13" ht="15" customHeight="1">
      <c r="A1075" s="71"/>
      <c r="B1075" s="71"/>
      <c r="C1075" s="71"/>
      <c r="D1075" s="71"/>
      <c r="E1075" s="71"/>
      <c r="F1075" s="71"/>
      <c r="G1075" s="71"/>
      <c r="H1075" s="71"/>
      <c r="I1075" s="71"/>
      <c r="J1075" s="71"/>
      <c r="K1075" s="71"/>
      <c r="L1075" s="71"/>
      <c r="M1075" s="71"/>
    </row>
    <row r="1076" spans="1:13" ht="15" customHeight="1">
      <c r="A1076" s="71"/>
      <c r="B1076" s="71"/>
      <c r="C1076" s="71"/>
      <c r="D1076" s="71"/>
      <c r="E1076" s="71"/>
      <c r="F1076" s="71"/>
      <c r="G1076" s="71"/>
      <c r="H1076" s="71"/>
      <c r="I1076" s="71"/>
      <c r="J1076" s="71"/>
      <c r="K1076" s="71"/>
      <c r="L1076" s="71"/>
      <c r="M1076" s="71"/>
    </row>
    <row r="1077" spans="1:13" ht="15" customHeight="1">
      <c r="A1077" s="71"/>
      <c r="B1077" s="71"/>
      <c r="C1077" s="71"/>
      <c r="D1077" s="71"/>
      <c r="E1077" s="71"/>
      <c r="F1077" s="71"/>
      <c r="G1077" s="71"/>
      <c r="H1077" s="71"/>
      <c r="I1077" s="71"/>
      <c r="J1077" s="71"/>
      <c r="K1077" s="71"/>
      <c r="L1077" s="71"/>
      <c r="M1077" s="71"/>
    </row>
    <row r="1078" spans="1:13" ht="15" customHeight="1">
      <c r="A1078" s="71"/>
      <c r="B1078" s="71"/>
      <c r="C1078" s="71"/>
      <c r="D1078" s="71"/>
      <c r="E1078" s="71"/>
      <c r="F1078" s="71"/>
      <c r="G1078" s="71"/>
      <c r="H1078" s="71"/>
      <c r="I1078" s="71"/>
      <c r="J1078" s="71"/>
      <c r="K1078" s="71"/>
      <c r="L1078" s="71"/>
      <c r="M1078" s="71"/>
    </row>
    <row r="1079" spans="1:13" ht="15" customHeight="1">
      <c r="A1079" s="71"/>
      <c r="B1079" s="71"/>
      <c r="C1079" s="71"/>
      <c r="D1079" s="71"/>
      <c r="E1079" s="71"/>
      <c r="F1079" s="71"/>
      <c r="G1079" s="71"/>
      <c r="H1079" s="71"/>
      <c r="I1079" s="71"/>
      <c r="J1079" s="71"/>
      <c r="K1079" s="71"/>
      <c r="L1079" s="71"/>
      <c r="M1079" s="71"/>
    </row>
    <row r="1080" spans="1:13" ht="15" customHeight="1">
      <c r="A1080" s="71"/>
      <c r="B1080" s="71"/>
      <c r="C1080" s="71"/>
      <c r="D1080" s="71"/>
      <c r="E1080" s="71"/>
      <c r="F1080" s="71"/>
      <c r="G1080" s="71"/>
      <c r="H1080" s="71"/>
      <c r="I1080" s="71"/>
      <c r="J1080" s="71"/>
      <c r="K1080" s="71"/>
      <c r="L1080" s="71"/>
      <c r="M1080" s="71"/>
    </row>
    <row r="1081" spans="1:13" ht="15" customHeight="1">
      <c r="A1081" s="71"/>
      <c r="B1081" s="71"/>
      <c r="C1081" s="71"/>
      <c r="D1081" s="71"/>
      <c r="E1081" s="71"/>
      <c r="F1081" s="71"/>
      <c r="G1081" s="71"/>
      <c r="H1081" s="71"/>
      <c r="I1081" s="71"/>
      <c r="J1081" s="71"/>
      <c r="K1081" s="71"/>
      <c r="L1081" s="71"/>
      <c r="M1081" s="71"/>
    </row>
    <row r="1082" spans="1:13" ht="15" customHeight="1">
      <c r="A1082" s="71"/>
      <c r="B1082" s="71"/>
      <c r="C1082" s="71"/>
      <c r="D1082" s="71"/>
      <c r="E1082" s="71"/>
      <c r="F1082" s="71"/>
      <c r="G1082" s="71"/>
      <c r="H1082" s="71"/>
      <c r="I1082" s="71"/>
      <c r="J1082" s="71"/>
      <c r="K1082" s="71"/>
      <c r="L1082" s="71"/>
      <c r="M1082" s="71"/>
    </row>
    <row r="1083" spans="1:13" ht="15" customHeight="1">
      <c r="A1083" s="71"/>
      <c r="B1083" s="71"/>
      <c r="C1083" s="71"/>
      <c r="D1083" s="71"/>
      <c r="E1083" s="71"/>
      <c r="F1083" s="71"/>
      <c r="G1083" s="71"/>
      <c r="H1083" s="71"/>
      <c r="I1083" s="71"/>
      <c r="J1083" s="71"/>
      <c r="K1083" s="71"/>
      <c r="L1083" s="71"/>
      <c r="M1083" s="71"/>
    </row>
    <row r="1084" spans="1:13" ht="15" customHeight="1">
      <c r="A1084" s="71"/>
      <c r="B1084" s="71"/>
      <c r="C1084" s="71"/>
      <c r="D1084" s="71"/>
      <c r="E1084" s="71"/>
      <c r="F1084" s="71"/>
      <c r="G1084" s="71"/>
      <c r="H1084" s="71"/>
      <c r="I1084" s="71"/>
      <c r="J1084" s="71"/>
      <c r="K1084" s="71"/>
      <c r="L1084" s="71"/>
      <c r="M1084" s="71"/>
    </row>
    <row r="1085" spans="1:13" ht="15" customHeight="1">
      <c r="A1085" s="71"/>
      <c r="B1085" s="71"/>
      <c r="C1085" s="71"/>
      <c r="D1085" s="71"/>
      <c r="E1085" s="71"/>
      <c r="F1085" s="71"/>
      <c r="G1085" s="71"/>
      <c r="H1085" s="71"/>
      <c r="I1085" s="71"/>
      <c r="J1085" s="71"/>
      <c r="K1085" s="71"/>
      <c r="L1085" s="71"/>
      <c r="M1085" s="71"/>
    </row>
    <row r="1086" spans="1:13" ht="15" customHeight="1">
      <c r="A1086" s="71"/>
      <c r="B1086" s="71"/>
      <c r="C1086" s="71"/>
      <c r="D1086" s="71"/>
      <c r="E1086" s="71"/>
      <c r="F1086" s="71"/>
      <c r="G1086" s="71"/>
      <c r="H1086" s="71"/>
      <c r="I1086" s="71"/>
      <c r="J1086" s="71"/>
      <c r="K1086" s="71"/>
      <c r="L1086" s="71"/>
      <c r="M1086" s="71"/>
    </row>
    <row r="1087" spans="1:13" ht="15" customHeight="1">
      <c r="A1087" s="71"/>
      <c r="B1087" s="71"/>
      <c r="C1087" s="71"/>
      <c r="D1087" s="71"/>
      <c r="E1087" s="71"/>
      <c r="F1087" s="71"/>
      <c r="G1087" s="71"/>
      <c r="H1087" s="71"/>
      <c r="I1087" s="71"/>
      <c r="J1087" s="71"/>
      <c r="K1087" s="71"/>
      <c r="L1087" s="71"/>
      <c r="M1087" s="71"/>
    </row>
    <row r="1088" spans="1:13" ht="15" customHeight="1">
      <c r="A1088" s="71"/>
      <c r="B1088" s="71"/>
      <c r="C1088" s="71"/>
      <c r="D1088" s="71"/>
      <c r="E1088" s="71"/>
      <c r="F1088" s="71"/>
      <c r="G1088" s="71"/>
      <c r="H1088" s="71"/>
      <c r="I1088" s="71"/>
      <c r="J1088" s="71"/>
      <c r="K1088" s="71"/>
      <c r="L1088" s="71"/>
      <c r="M1088" s="71"/>
    </row>
    <row r="1089" spans="1:13" ht="15" customHeight="1">
      <c r="A1089" s="71"/>
      <c r="B1089" s="71"/>
      <c r="C1089" s="71"/>
      <c r="D1089" s="71"/>
      <c r="E1089" s="71"/>
      <c r="F1089" s="71"/>
      <c r="G1089" s="71"/>
      <c r="H1089" s="71"/>
      <c r="I1089" s="71"/>
      <c r="J1089" s="71"/>
      <c r="K1089" s="71"/>
      <c r="L1089" s="71"/>
      <c r="M1089" s="71"/>
    </row>
    <row r="1090" spans="1:13" ht="15" customHeight="1">
      <c r="A1090" s="71"/>
      <c r="B1090" s="71"/>
      <c r="C1090" s="71"/>
      <c r="D1090" s="71"/>
      <c r="E1090" s="71"/>
      <c r="F1090" s="71"/>
      <c r="G1090" s="71"/>
      <c r="H1090" s="71"/>
      <c r="I1090" s="71"/>
      <c r="J1090" s="71"/>
      <c r="K1090" s="71"/>
    </row>
    <row r="1091" spans="1:13" ht="15" customHeight="1">
      <c r="A1091" s="71"/>
      <c r="B1091" s="71"/>
      <c r="C1091" s="71"/>
      <c r="D1091" s="71"/>
      <c r="E1091" s="71"/>
      <c r="F1091" s="71"/>
      <c r="G1091" s="71"/>
      <c r="H1091" s="71"/>
      <c r="I1091" s="71"/>
      <c r="J1091" s="71"/>
      <c r="K1091" s="71"/>
    </row>
    <row r="1092" spans="1:13" ht="15" customHeight="1">
      <c r="A1092" s="71"/>
      <c r="B1092" s="71"/>
      <c r="C1092" s="71"/>
      <c r="D1092" s="71"/>
      <c r="E1092" s="71"/>
      <c r="F1092" s="71"/>
      <c r="G1092" s="71"/>
      <c r="H1092" s="71"/>
      <c r="I1092" s="71"/>
      <c r="J1092" s="71"/>
      <c r="K1092" s="71"/>
    </row>
    <row r="1093" spans="1:13" ht="15" customHeight="1">
      <c r="A1093" s="71"/>
      <c r="B1093" s="71"/>
      <c r="C1093" s="71"/>
      <c r="D1093" s="71"/>
      <c r="E1093" s="71"/>
      <c r="F1093" s="71"/>
      <c r="G1093" s="71"/>
      <c r="H1093" s="71"/>
      <c r="I1093" s="71"/>
      <c r="J1093" s="71"/>
      <c r="K1093" s="71"/>
    </row>
    <row r="1094" spans="1:13" ht="15" customHeight="1">
      <c r="A1094" s="71"/>
      <c r="B1094" s="71"/>
      <c r="C1094" s="71"/>
      <c r="D1094" s="71"/>
      <c r="E1094" s="71"/>
      <c r="F1094" s="71"/>
      <c r="G1094" s="71"/>
      <c r="H1094" s="71"/>
      <c r="I1094" s="71"/>
      <c r="J1094" s="71"/>
      <c r="K1094" s="71"/>
    </row>
    <row r="1095" spans="1:13" ht="15" customHeight="1">
      <c r="A1095" s="71"/>
      <c r="B1095" s="71"/>
      <c r="C1095" s="71"/>
      <c r="D1095" s="71"/>
      <c r="E1095" s="71"/>
      <c r="F1095" s="71"/>
      <c r="G1095" s="71"/>
      <c r="H1095" s="71"/>
      <c r="I1095" s="71"/>
      <c r="J1095" s="71"/>
      <c r="K1095" s="71"/>
    </row>
    <row r="1096" spans="1:13" ht="15" customHeight="1">
      <c r="A1096" s="71"/>
      <c r="B1096" s="71"/>
      <c r="C1096" s="71"/>
      <c r="D1096" s="71"/>
      <c r="E1096" s="71"/>
      <c r="F1096" s="71"/>
      <c r="G1096" s="71"/>
      <c r="H1096" s="71"/>
      <c r="I1096" s="71"/>
      <c r="J1096" s="71"/>
      <c r="K1096" s="71"/>
    </row>
    <row r="1097" spans="1:13" ht="15" customHeight="1">
      <c r="A1097" s="71"/>
      <c r="B1097" s="71"/>
      <c r="C1097" s="71"/>
      <c r="D1097" s="71"/>
      <c r="E1097" s="71"/>
      <c r="F1097" s="71"/>
      <c r="G1097" s="71"/>
      <c r="H1097" s="71"/>
      <c r="I1097" s="71"/>
      <c r="J1097" s="71"/>
      <c r="K1097" s="71"/>
    </row>
    <row r="1098" spans="1:13" ht="15" customHeight="1">
      <c r="A1098" s="71"/>
      <c r="B1098" s="71"/>
      <c r="C1098" s="71"/>
      <c r="D1098" s="71"/>
      <c r="E1098" s="71"/>
      <c r="F1098" s="71"/>
      <c r="G1098" s="71"/>
      <c r="H1098" s="71"/>
      <c r="I1098" s="71"/>
      <c r="J1098" s="71"/>
      <c r="K1098" s="71"/>
    </row>
    <row r="1099" spans="1:13" ht="15" customHeight="1">
      <c r="A1099" s="71"/>
      <c r="B1099" s="71"/>
      <c r="C1099" s="71"/>
      <c r="D1099" s="71"/>
      <c r="E1099" s="71"/>
      <c r="F1099" s="71"/>
      <c r="G1099" s="71"/>
      <c r="H1099" s="71"/>
      <c r="I1099" s="71"/>
      <c r="J1099" s="71"/>
      <c r="K1099" s="71"/>
    </row>
    <row r="1100" spans="1:13" ht="15" customHeight="1">
      <c r="A1100" s="71"/>
      <c r="B1100" s="71"/>
      <c r="C1100" s="71"/>
      <c r="D1100" s="71"/>
      <c r="E1100" s="71"/>
      <c r="F1100" s="71"/>
      <c r="G1100" s="71"/>
      <c r="H1100" s="71"/>
      <c r="I1100" s="71"/>
      <c r="J1100" s="71"/>
      <c r="K1100" s="71"/>
    </row>
    <row r="1101" spans="1:13" ht="15" customHeight="1">
      <c r="A1101" s="71"/>
      <c r="B1101" s="71"/>
      <c r="C1101" s="71"/>
      <c r="D1101" s="71"/>
      <c r="E1101" s="71"/>
      <c r="F1101" s="71"/>
      <c r="G1101" s="71"/>
      <c r="H1101" s="71"/>
      <c r="I1101" s="71"/>
      <c r="J1101" s="71"/>
      <c r="K1101" s="71"/>
    </row>
    <row r="1102" spans="1:13" ht="15" customHeight="1">
      <c r="A1102" s="71"/>
      <c r="B1102" s="71"/>
      <c r="C1102" s="71"/>
      <c r="D1102" s="71"/>
      <c r="E1102" s="71"/>
      <c r="F1102" s="71"/>
      <c r="G1102" s="71"/>
      <c r="H1102" s="71"/>
      <c r="I1102" s="71"/>
      <c r="J1102" s="71"/>
      <c r="K1102" s="71"/>
    </row>
    <row r="1103" spans="1:13" ht="15" customHeight="1">
      <c r="A1103" s="71"/>
      <c r="B1103" s="71"/>
      <c r="C1103" s="71"/>
      <c r="D1103" s="71"/>
      <c r="E1103" s="71"/>
      <c r="F1103" s="71"/>
      <c r="G1103" s="71"/>
      <c r="H1103" s="71"/>
      <c r="I1103" s="71"/>
      <c r="J1103" s="71"/>
      <c r="K1103" s="71"/>
    </row>
    <row r="1104" spans="1:13" ht="15" customHeight="1">
      <c r="A1104" s="71"/>
      <c r="B1104" s="71"/>
      <c r="C1104" s="71"/>
      <c r="D1104" s="71"/>
      <c r="E1104" s="71"/>
      <c r="F1104" s="71"/>
      <c r="G1104" s="71"/>
      <c r="H1104" s="71"/>
      <c r="I1104" s="71"/>
      <c r="J1104" s="71"/>
      <c r="K1104" s="71"/>
    </row>
    <row r="1105" spans="1:11" ht="15" customHeight="1">
      <c r="A1105" s="71"/>
      <c r="B1105" s="71"/>
      <c r="C1105" s="71"/>
      <c r="D1105" s="71"/>
      <c r="E1105" s="71"/>
      <c r="F1105" s="71"/>
      <c r="G1105" s="71"/>
      <c r="H1105" s="71"/>
      <c r="I1105" s="71"/>
      <c r="J1105" s="71"/>
      <c r="K1105" s="71"/>
    </row>
    <row r="1106" spans="1:11" ht="15" customHeight="1">
      <c r="A1106" s="71"/>
      <c r="B1106" s="71"/>
      <c r="C1106" s="71"/>
      <c r="D1106" s="71"/>
      <c r="E1106" s="71"/>
      <c r="F1106" s="71"/>
      <c r="G1106" s="71"/>
      <c r="H1106" s="71"/>
      <c r="I1106" s="71"/>
      <c r="J1106" s="71"/>
      <c r="K1106" s="71"/>
    </row>
    <row r="1107" spans="1:11" ht="15" customHeight="1">
      <c r="A1107" s="71"/>
      <c r="B1107" s="71"/>
      <c r="C1107" s="71"/>
      <c r="D1107" s="71"/>
      <c r="E1107" s="71"/>
      <c r="F1107" s="71"/>
      <c r="G1107" s="71"/>
      <c r="H1107" s="71"/>
      <c r="I1107" s="71"/>
      <c r="J1107" s="71"/>
      <c r="K1107" s="71"/>
    </row>
    <row r="1108" spans="1:11" ht="15" customHeight="1">
      <c r="A1108" s="71"/>
      <c r="B1108" s="71"/>
      <c r="C1108" s="71"/>
      <c r="D1108" s="71"/>
      <c r="E1108" s="71"/>
      <c r="F1108" s="71"/>
      <c r="G1108" s="71"/>
      <c r="H1108" s="71"/>
      <c r="I1108" s="71"/>
      <c r="J1108" s="71"/>
      <c r="K1108" s="71"/>
    </row>
    <row r="1109" spans="1:11" ht="15" customHeight="1">
      <c r="A1109" s="71"/>
      <c r="B1109" s="71"/>
      <c r="C1109" s="71"/>
      <c r="D1109" s="71"/>
      <c r="E1109" s="71"/>
      <c r="F1109" s="71"/>
      <c r="G1109" s="71"/>
      <c r="H1109" s="71"/>
      <c r="I1109" s="71"/>
      <c r="J1109" s="71"/>
      <c r="K1109" s="71"/>
    </row>
    <row r="1110" spans="1:11" ht="15" customHeight="1">
      <c r="A1110" s="71"/>
      <c r="B1110" s="71"/>
      <c r="C1110" s="71"/>
      <c r="D1110" s="71"/>
      <c r="E1110" s="71"/>
      <c r="F1110" s="71"/>
      <c r="G1110" s="71"/>
      <c r="H1110" s="71"/>
      <c r="I1110" s="71"/>
      <c r="J1110" s="71"/>
      <c r="K1110" s="71"/>
    </row>
    <row r="1111" spans="1:11" ht="15" customHeight="1">
      <c r="A1111" s="71"/>
      <c r="B1111" s="71"/>
      <c r="C1111" s="71"/>
      <c r="D1111" s="71"/>
      <c r="E1111" s="71"/>
      <c r="F1111" s="71"/>
      <c r="G1111" s="71"/>
      <c r="H1111" s="71"/>
      <c r="I1111" s="71"/>
      <c r="J1111" s="71"/>
      <c r="K1111" s="71"/>
    </row>
    <row r="1112" spans="1:11" ht="15" customHeight="1">
      <c r="A1112" s="71"/>
      <c r="B1112" s="71"/>
      <c r="C1112" s="71"/>
      <c r="D1112" s="71"/>
      <c r="E1112" s="71"/>
      <c r="F1112" s="71"/>
      <c r="G1112" s="71"/>
      <c r="H1112" s="71"/>
      <c r="I1112" s="71"/>
      <c r="J1112" s="71"/>
      <c r="K1112" s="71"/>
    </row>
    <row r="1113" spans="1:11" ht="15" customHeight="1">
      <c r="A1113" s="71"/>
      <c r="B1113" s="71"/>
      <c r="C1113" s="71"/>
      <c r="D1113" s="71"/>
      <c r="E1113" s="71"/>
      <c r="F1113" s="71"/>
      <c r="G1113" s="71"/>
      <c r="H1113" s="71"/>
      <c r="I1113" s="71"/>
      <c r="J1113" s="71"/>
      <c r="K1113" s="71"/>
    </row>
    <row r="1114" spans="1:11" ht="15" customHeight="1">
      <c r="A1114" s="71"/>
      <c r="B1114" s="71"/>
      <c r="C1114" s="71"/>
      <c r="D1114" s="71"/>
      <c r="E1114" s="71"/>
      <c r="F1114" s="71"/>
      <c r="G1114" s="71"/>
      <c r="H1114" s="71"/>
      <c r="I1114" s="71"/>
      <c r="J1114" s="71"/>
      <c r="K1114" s="71"/>
    </row>
    <row r="1115" spans="1:11" ht="15" customHeight="1">
      <c r="A1115" s="71"/>
      <c r="B1115" s="71"/>
      <c r="C1115" s="71"/>
      <c r="D1115" s="71"/>
      <c r="E1115" s="71"/>
      <c r="F1115" s="71"/>
      <c r="G1115" s="71"/>
      <c r="H1115" s="71"/>
      <c r="I1115" s="71"/>
      <c r="J1115" s="71"/>
      <c r="K1115" s="71"/>
    </row>
    <row r="1116" spans="1:11" ht="15" customHeight="1">
      <c r="A1116" s="71"/>
      <c r="B1116" s="71"/>
      <c r="C1116" s="71"/>
      <c r="D1116" s="71"/>
      <c r="E1116" s="71"/>
      <c r="F1116" s="71"/>
      <c r="G1116" s="71"/>
      <c r="H1116" s="71"/>
      <c r="I1116" s="71"/>
      <c r="J1116" s="71"/>
      <c r="K1116" s="71"/>
    </row>
    <row r="1117" spans="1:11" ht="15" customHeight="1">
      <c r="A1117" s="71"/>
      <c r="B1117" s="71"/>
      <c r="C1117" s="71"/>
      <c r="D1117" s="71"/>
      <c r="E1117" s="71"/>
      <c r="F1117" s="71"/>
      <c r="G1117" s="71"/>
      <c r="H1117" s="71"/>
      <c r="I1117" s="71"/>
      <c r="J1117" s="71"/>
      <c r="K1117" s="71"/>
    </row>
    <row r="1118" spans="1:11" ht="15" customHeight="1">
      <c r="A1118" s="71"/>
      <c r="B1118" s="71"/>
      <c r="C1118" s="71"/>
      <c r="D1118" s="71"/>
      <c r="E1118" s="71"/>
      <c r="F1118" s="71"/>
      <c r="G1118" s="71"/>
      <c r="H1118" s="71"/>
      <c r="I1118" s="71"/>
      <c r="J1118" s="71"/>
      <c r="K1118" s="71"/>
    </row>
    <row r="1119" spans="1:11" ht="15" customHeight="1">
      <c r="A1119" s="71"/>
      <c r="B1119" s="71"/>
      <c r="C1119" s="71"/>
      <c r="D1119" s="71"/>
      <c r="E1119" s="71"/>
      <c r="F1119" s="71"/>
      <c r="G1119" s="71"/>
      <c r="H1119" s="71"/>
      <c r="I1119" s="71"/>
      <c r="J1119" s="71"/>
      <c r="K1119" s="71"/>
    </row>
    <row r="1120" spans="1:11" ht="15" customHeight="1">
      <c r="A1120" s="71"/>
      <c r="B1120" s="71"/>
      <c r="C1120" s="71"/>
      <c r="D1120" s="71"/>
      <c r="E1120" s="71"/>
      <c r="F1120" s="71"/>
      <c r="G1120" s="71"/>
      <c r="H1120" s="71"/>
      <c r="I1120" s="71"/>
      <c r="J1120" s="71"/>
      <c r="K1120" s="71"/>
    </row>
    <row r="1121" spans="1:11" ht="15" customHeight="1">
      <c r="A1121" s="71"/>
      <c r="B1121" s="71"/>
      <c r="C1121" s="71"/>
      <c r="D1121" s="71"/>
      <c r="E1121" s="71"/>
      <c r="F1121" s="71"/>
      <c r="G1121" s="71"/>
      <c r="H1121" s="71"/>
      <c r="I1121" s="71"/>
      <c r="J1121" s="71"/>
      <c r="K1121" s="71"/>
    </row>
    <row r="1122" spans="1:11" ht="15" customHeight="1">
      <c r="A1122" s="71"/>
      <c r="B1122" s="71"/>
      <c r="C1122" s="71"/>
      <c r="D1122" s="71"/>
      <c r="E1122" s="71"/>
      <c r="F1122" s="71"/>
      <c r="G1122" s="71"/>
      <c r="H1122" s="71"/>
      <c r="I1122" s="71"/>
      <c r="J1122" s="71"/>
      <c r="K1122" s="71"/>
    </row>
    <row r="1123" spans="1:11" ht="15" customHeight="1">
      <c r="A1123" s="71"/>
      <c r="B1123" s="71"/>
      <c r="C1123" s="71"/>
      <c r="D1123" s="71"/>
      <c r="E1123" s="71"/>
      <c r="F1123" s="71"/>
      <c r="G1123" s="71"/>
      <c r="H1123" s="71"/>
      <c r="I1123" s="71"/>
      <c r="J1123" s="71"/>
      <c r="K1123" s="71"/>
    </row>
  </sheetData>
  <mergeCells count="9">
    <mergeCell ref="F314:H314"/>
    <mergeCell ref="H31:J31"/>
    <mergeCell ref="I102:K102"/>
    <mergeCell ref="I172:K172"/>
    <mergeCell ref="F245:H245"/>
    <mergeCell ref="F279:H279"/>
    <mergeCell ref="H67:J67"/>
    <mergeCell ref="I137:K137"/>
    <mergeCell ref="I209:K209"/>
  </mergeCells>
  <pageMargins left="0.70000000000000007" right="0.70000000000000007" top="0.75000000000000011" bottom="0.75000000000000011" header="0" footer="0"/>
  <pageSetup scale="50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36"/>
  <sheetViews>
    <sheetView showGridLines="0" zoomScale="90" zoomScaleNormal="90" zoomScalePageLayoutView="125" workbookViewId="0">
      <selection activeCell="C29" sqref="C29"/>
    </sheetView>
  </sheetViews>
  <sheetFormatPr defaultColWidth="0" defaultRowHeight="13.2" zeroHeight="1"/>
  <cols>
    <col min="1" max="1" width="6" style="138" customWidth="1"/>
    <col min="2" max="2" width="60.21875" style="138" bestFit="1" customWidth="1"/>
    <col min="3" max="3" width="11.88671875" style="138" bestFit="1" customWidth="1"/>
    <col min="4" max="4" width="26.77734375" style="138" customWidth="1"/>
    <col min="5" max="5" width="11.88671875" style="138" bestFit="1" customWidth="1"/>
    <col min="6" max="6" width="5.109375" style="138" customWidth="1"/>
    <col min="7" max="7" width="11.5546875" style="138" bestFit="1" customWidth="1"/>
    <col min="8" max="8" width="37.88671875" style="138" customWidth="1"/>
    <col min="9" max="10" width="13.44140625" style="138" bestFit="1" customWidth="1"/>
    <col min="11" max="13" width="12.33203125" style="138" customWidth="1"/>
    <col min="14" max="14" width="19.44140625" style="138" bestFit="1" customWidth="1"/>
    <col min="15" max="15" width="11.44140625" style="138" customWidth="1"/>
    <col min="16" max="17" width="11.5546875" style="138" bestFit="1" customWidth="1"/>
    <col min="18" max="18" width="2.109375" style="138" customWidth="1"/>
    <col min="19" max="16384" width="11.44140625" style="138" hidden="1"/>
  </cols>
  <sheetData>
    <row r="1" spans="1:18" ht="14.4">
      <c r="A1" s="297"/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6"/>
    </row>
    <row r="2" spans="1:18" ht="14.4">
      <c r="A2" s="297"/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6"/>
    </row>
    <row r="3" spans="1:18" ht="14.4">
      <c r="A3" s="359"/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59"/>
      <c r="R3" s="296"/>
    </row>
    <row r="4" spans="1:18">
      <c r="A4" s="299"/>
      <c r="B4" s="299"/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299"/>
      <c r="R4" s="296"/>
    </row>
    <row r="5" spans="1:18" ht="14.4">
      <c r="A5" s="359"/>
      <c r="C5" s="221"/>
      <c r="R5" s="296"/>
    </row>
    <row r="6" spans="1:18" ht="15" thickBot="1">
      <c r="A6" s="67"/>
      <c r="C6" s="221"/>
      <c r="R6" s="296"/>
    </row>
    <row r="7" spans="1:18" ht="13.8" thickBot="1">
      <c r="C7" s="221"/>
      <c r="G7" s="405"/>
      <c r="H7" s="406"/>
      <c r="I7" s="480" t="s">
        <v>311</v>
      </c>
      <c r="J7" s="481"/>
      <c r="K7" s="481"/>
      <c r="L7" s="481"/>
      <c r="M7" s="482"/>
      <c r="N7" s="406"/>
      <c r="O7" s="407"/>
      <c r="R7" s="296"/>
    </row>
    <row r="8" spans="1:18">
      <c r="B8" s="138" t="s">
        <v>71</v>
      </c>
      <c r="C8" s="138">
        <f>6/12</f>
        <v>0.5</v>
      </c>
      <c r="G8" s="222"/>
      <c r="J8" s="146">
        <v>1.4999999999999999E-2</v>
      </c>
      <c r="K8" s="146">
        <v>2.5000000000000001E-2</v>
      </c>
      <c r="L8" s="146">
        <v>0.05</v>
      </c>
      <c r="M8" s="146">
        <v>7.0000000000000007E-2</v>
      </c>
      <c r="O8" s="408"/>
      <c r="R8" s="296"/>
    </row>
    <row r="9" spans="1:18">
      <c r="G9" s="222"/>
      <c r="I9" s="142" t="s">
        <v>159</v>
      </c>
      <c r="J9" s="142" t="s">
        <v>160</v>
      </c>
      <c r="K9" s="142" t="s">
        <v>161</v>
      </c>
      <c r="L9" s="142" t="s">
        <v>163</v>
      </c>
      <c r="M9" s="142" t="s">
        <v>164</v>
      </c>
      <c r="N9" s="142" t="s">
        <v>185</v>
      </c>
      <c r="O9" s="408"/>
      <c r="R9" s="296"/>
    </row>
    <row r="10" spans="1:18">
      <c r="G10" s="222">
        <v>5</v>
      </c>
      <c r="H10" s="138" t="s">
        <v>180</v>
      </c>
      <c r="I10" s="409">
        <f>N10*G10</f>
        <v>7000</v>
      </c>
      <c r="J10" s="409"/>
      <c r="K10" s="409"/>
      <c r="L10" s="409"/>
      <c r="M10" s="409"/>
      <c r="N10" s="409">
        <v>1400</v>
      </c>
      <c r="O10" s="408"/>
      <c r="R10" s="296"/>
    </row>
    <row r="11" spans="1:18">
      <c r="G11" s="222">
        <v>5</v>
      </c>
      <c r="H11" s="138" t="s">
        <v>188</v>
      </c>
      <c r="I11" s="409">
        <f>N11*3*12</f>
        <v>90000</v>
      </c>
      <c r="J11" s="409">
        <f>I11*(1+J$8)</f>
        <v>91349.999999999985</v>
      </c>
      <c r="K11" s="409">
        <f>J11*(1+K$8)</f>
        <v>93633.749999999971</v>
      </c>
      <c r="L11" s="409">
        <f>K11*(1+L$8)</f>
        <v>98315.437499999971</v>
      </c>
      <c r="M11" s="409">
        <f>L11*(1+M$8)</f>
        <v>105197.51812499997</v>
      </c>
      <c r="N11" s="409">
        <v>2500</v>
      </c>
      <c r="O11" s="408" t="s">
        <v>186</v>
      </c>
      <c r="R11" s="296"/>
    </row>
    <row r="12" spans="1:18">
      <c r="G12" s="222">
        <v>7</v>
      </c>
      <c r="H12" s="138" t="s">
        <v>181</v>
      </c>
      <c r="I12" s="409">
        <v>0</v>
      </c>
      <c r="J12" s="409">
        <f>(2500*7)*(1+J$8)</f>
        <v>17762.5</v>
      </c>
      <c r="K12" s="409">
        <f t="shared" ref="K12:M12" si="0">J12*(1+K$8)</f>
        <v>18206.5625</v>
      </c>
      <c r="L12" s="409">
        <f t="shared" si="0"/>
        <v>19116.890625</v>
      </c>
      <c r="M12" s="409">
        <f t="shared" si="0"/>
        <v>20455.072968750002</v>
      </c>
      <c r="N12" s="409">
        <v>1500</v>
      </c>
      <c r="O12" s="408" t="s">
        <v>186</v>
      </c>
      <c r="R12" s="296"/>
    </row>
    <row r="13" spans="1:18" ht="13.8" thickBot="1">
      <c r="B13" s="144" t="s">
        <v>17</v>
      </c>
      <c r="G13" s="222"/>
      <c r="H13" s="138" t="s">
        <v>182</v>
      </c>
      <c r="I13" s="409">
        <f>N13*4</f>
        <v>5600</v>
      </c>
      <c r="J13" s="409">
        <f t="shared" ref="J13:M13" si="1">I13*(1+J$8)</f>
        <v>5683.9999999999991</v>
      </c>
      <c r="K13" s="409">
        <f t="shared" si="1"/>
        <v>5826.0999999999985</v>
      </c>
      <c r="L13" s="409">
        <f t="shared" si="1"/>
        <v>6117.4049999999988</v>
      </c>
      <c r="M13" s="409">
        <f t="shared" si="1"/>
        <v>6545.6233499999989</v>
      </c>
      <c r="N13" s="409">
        <v>1400</v>
      </c>
      <c r="O13" s="408" t="s">
        <v>186</v>
      </c>
      <c r="R13" s="296"/>
    </row>
    <row r="14" spans="1:18" s="144" customFormat="1">
      <c r="B14" s="477" t="s">
        <v>10</v>
      </c>
      <c r="C14" s="478"/>
      <c r="D14" s="477" t="s">
        <v>11</v>
      </c>
      <c r="E14" s="479"/>
      <c r="G14" s="410"/>
      <c r="H14" s="138" t="s">
        <v>183</v>
      </c>
      <c r="I14" s="409">
        <f>N14*12</f>
        <v>24000</v>
      </c>
      <c r="J14" s="409">
        <f t="shared" ref="J14:M14" si="2">I14*(1+J$8)</f>
        <v>24359.999999999996</v>
      </c>
      <c r="K14" s="409">
        <f t="shared" si="2"/>
        <v>24968.999999999993</v>
      </c>
      <c r="L14" s="409">
        <f t="shared" si="2"/>
        <v>26217.449999999993</v>
      </c>
      <c r="M14" s="409">
        <f t="shared" si="2"/>
        <v>28052.671499999993</v>
      </c>
      <c r="N14" s="409">
        <v>2000</v>
      </c>
      <c r="O14" s="411" t="s">
        <v>186</v>
      </c>
      <c r="R14" s="296"/>
    </row>
    <row r="15" spans="1:18">
      <c r="B15" s="222" t="s">
        <v>180</v>
      </c>
      <c r="C15" s="223">
        <f>I10</f>
        <v>7000</v>
      </c>
      <c r="D15" s="222" t="s">
        <v>13</v>
      </c>
      <c r="E15" s="224"/>
      <c r="G15" s="222"/>
      <c r="H15" s="138" t="s">
        <v>187</v>
      </c>
      <c r="I15" s="409">
        <f>N15*12</f>
        <v>18000</v>
      </c>
      <c r="J15" s="409">
        <f t="shared" ref="J15:M15" si="3">I15*(1+J$8)</f>
        <v>18270</v>
      </c>
      <c r="K15" s="409">
        <f t="shared" si="3"/>
        <v>18726.75</v>
      </c>
      <c r="L15" s="409">
        <f t="shared" si="3"/>
        <v>19663.087500000001</v>
      </c>
      <c r="M15" s="409">
        <f t="shared" si="3"/>
        <v>21039.503625000001</v>
      </c>
      <c r="N15" s="409">
        <v>1500</v>
      </c>
      <c r="O15" s="408" t="s">
        <v>186</v>
      </c>
      <c r="R15" s="296"/>
    </row>
    <row r="16" spans="1:18">
      <c r="B16" s="222" t="s">
        <v>188</v>
      </c>
      <c r="C16" s="223">
        <f>I11*0.5</f>
        <v>45000</v>
      </c>
      <c r="D16" s="222" t="s">
        <v>14</v>
      </c>
      <c r="E16" s="225">
        <v>200000</v>
      </c>
      <c r="G16" s="222"/>
      <c r="H16" s="138" t="s">
        <v>184</v>
      </c>
      <c r="I16" s="412">
        <f>COCA!F9+COCA!F11+COCA!F12</f>
        <v>123000</v>
      </c>
      <c r="J16" s="412">
        <f>COCA!G9+COCA!G11+COCA!G12</f>
        <v>201000</v>
      </c>
      <c r="K16" s="412">
        <f>COCA!H9+COCA!H11+COCA!H12</f>
        <v>201000</v>
      </c>
      <c r="L16" s="412">
        <f>COCA!I9+COCA!I11+COCA!I12</f>
        <v>324000</v>
      </c>
      <c r="M16" s="412">
        <f>COCA!J9+COCA!J11+COCA!J12</f>
        <v>402000</v>
      </c>
      <c r="N16" s="409"/>
      <c r="O16" s="408" t="s">
        <v>191</v>
      </c>
      <c r="R16" s="296"/>
    </row>
    <row r="17" spans="2:18">
      <c r="B17" s="222" t="s">
        <v>181</v>
      </c>
      <c r="C17" s="223">
        <f t="shared" ref="C17" si="4">I12</f>
        <v>0</v>
      </c>
      <c r="D17" s="222" t="s">
        <v>15</v>
      </c>
      <c r="E17" s="225"/>
      <c r="G17" s="222"/>
      <c r="H17" s="138" t="s">
        <v>189</v>
      </c>
      <c r="I17" s="409">
        <f>N17*12</f>
        <v>4800</v>
      </c>
      <c r="J17" s="409">
        <f t="shared" ref="J17:M17" si="5">I17*(1+J$8)</f>
        <v>4871.9999999999991</v>
      </c>
      <c r="K17" s="409">
        <f t="shared" si="5"/>
        <v>4993.7999999999984</v>
      </c>
      <c r="L17" s="409">
        <f t="shared" si="5"/>
        <v>5243.4899999999989</v>
      </c>
      <c r="M17" s="409">
        <f t="shared" si="5"/>
        <v>5610.5342999999993</v>
      </c>
      <c r="N17" s="409">
        <v>400</v>
      </c>
      <c r="O17" s="408" t="s">
        <v>186</v>
      </c>
      <c r="R17" s="296"/>
    </row>
    <row r="18" spans="2:18">
      <c r="B18" s="222" t="s">
        <v>182</v>
      </c>
      <c r="C18" s="223">
        <f t="shared" ref="C18:C23" si="6">I13*0.5</f>
        <v>2800</v>
      </c>
      <c r="D18" s="222" t="s">
        <v>62</v>
      </c>
      <c r="E18" s="225"/>
      <c r="G18" s="222"/>
      <c r="H18" s="138" t="s">
        <v>190</v>
      </c>
      <c r="I18" s="409">
        <f>N18*12</f>
        <v>3600</v>
      </c>
      <c r="J18" s="409">
        <f t="shared" ref="J18:M18" si="7">I18*(1+J$8)</f>
        <v>3653.9999999999995</v>
      </c>
      <c r="K18" s="409">
        <f t="shared" si="7"/>
        <v>3745.349999999999</v>
      </c>
      <c r="L18" s="409">
        <f t="shared" si="7"/>
        <v>3932.6174999999989</v>
      </c>
      <c r="M18" s="409">
        <f t="shared" si="7"/>
        <v>4207.9007249999995</v>
      </c>
      <c r="N18" s="138">
        <v>300</v>
      </c>
      <c r="O18" s="408" t="s">
        <v>186</v>
      </c>
      <c r="R18" s="296"/>
    </row>
    <row r="19" spans="2:18" ht="13.8" thickBot="1">
      <c r="B19" s="222" t="s">
        <v>183</v>
      </c>
      <c r="C19" s="223">
        <f t="shared" si="6"/>
        <v>12000</v>
      </c>
      <c r="D19" s="222" t="s">
        <v>16</v>
      </c>
      <c r="E19" s="225"/>
      <c r="G19" s="231"/>
      <c r="H19" s="413" t="s">
        <v>254</v>
      </c>
      <c r="I19" s="413"/>
      <c r="J19" s="413"/>
      <c r="K19" s="413"/>
      <c r="L19" s="413"/>
      <c r="M19" s="413"/>
      <c r="N19" s="413"/>
      <c r="O19" s="414" t="s">
        <v>186</v>
      </c>
      <c r="R19" s="296"/>
    </row>
    <row r="20" spans="2:18">
      <c r="B20" s="222" t="s">
        <v>187</v>
      </c>
      <c r="C20" s="223">
        <f t="shared" si="6"/>
        <v>9000</v>
      </c>
      <c r="D20" s="222" t="s">
        <v>70</v>
      </c>
      <c r="E20" s="224"/>
      <c r="R20" s="296"/>
    </row>
    <row r="21" spans="2:18">
      <c r="B21" s="222" t="s">
        <v>184</v>
      </c>
      <c r="C21" s="223">
        <f t="shared" si="6"/>
        <v>61500</v>
      </c>
      <c r="D21" s="222" t="s">
        <v>31</v>
      </c>
      <c r="E21" s="225">
        <v>53000</v>
      </c>
      <c r="R21" s="296"/>
    </row>
    <row r="22" spans="2:18">
      <c r="B22" s="222" t="s">
        <v>189</v>
      </c>
      <c r="C22" s="223">
        <f t="shared" si="6"/>
        <v>2400</v>
      </c>
      <c r="D22" s="222"/>
      <c r="E22" s="224"/>
      <c r="R22" s="296"/>
    </row>
    <row r="23" spans="2:18">
      <c r="B23" s="222" t="s">
        <v>190</v>
      </c>
      <c r="C23" s="223">
        <f t="shared" si="6"/>
        <v>1800</v>
      </c>
      <c r="D23" s="222"/>
      <c r="E23" s="224"/>
      <c r="R23" s="296"/>
    </row>
    <row r="24" spans="2:18">
      <c r="B24" s="226" t="s">
        <v>12</v>
      </c>
      <c r="C24" s="227">
        <v>141500</v>
      </c>
      <c r="D24" s="226" t="s">
        <v>68</v>
      </c>
      <c r="E24" s="228">
        <v>30000</v>
      </c>
      <c r="G24" s="232"/>
      <c r="R24" s="296"/>
    </row>
    <row r="25" spans="2:18" ht="13.8" thickBot="1">
      <c r="B25" s="229" t="s">
        <v>2</v>
      </c>
      <c r="C25" s="230">
        <f>SUM(C15:C24)</f>
        <v>283000</v>
      </c>
      <c r="D25" s="231"/>
      <c r="E25" s="230">
        <f>SUM(E15:E24)</f>
        <v>283000</v>
      </c>
      <c r="G25" s="232"/>
      <c r="R25" s="296"/>
    </row>
    <row r="26" spans="2:18">
      <c r="C26" s="233"/>
      <c r="E26" s="233"/>
      <c r="G26" s="232"/>
      <c r="H26" s="232"/>
      <c r="R26" s="296"/>
    </row>
    <row r="27" spans="2:18">
      <c r="R27" s="296"/>
    </row>
    <row r="28" spans="2:18">
      <c r="B28" s="138" t="s">
        <v>29</v>
      </c>
      <c r="C28" s="232">
        <f>C15+C17</f>
        <v>7000</v>
      </c>
      <c r="D28" s="144" t="s">
        <v>30</v>
      </c>
      <c r="E28" s="232">
        <f>E16+E19</f>
        <v>200000</v>
      </c>
      <c r="R28" s="296"/>
    </row>
    <row r="29" spans="2:18">
      <c r="B29" s="167" t="s">
        <v>12</v>
      </c>
      <c r="C29" s="234">
        <f>C24+C23+C22+C21+C20+C19+C18+C16</f>
        <v>276000</v>
      </c>
      <c r="D29" s="138" t="s">
        <v>31</v>
      </c>
      <c r="E29" s="233">
        <f>E21</f>
        <v>53000</v>
      </c>
      <c r="R29" s="296"/>
    </row>
    <row r="30" spans="2:18">
      <c r="B30" s="144" t="s">
        <v>2</v>
      </c>
      <c r="C30" s="235">
        <f>SUM(C28:C29)</f>
        <v>283000</v>
      </c>
      <c r="D30" s="138" t="s">
        <v>76</v>
      </c>
      <c r="E30" s="232"/>
      <c r="R30" s="296"/>
    </row>
    <row r="31" spans="2:18">
      <c r="D31" s="167" t="s">
        <v>32</v>
      </c>
      <c r="E31" s="234">
        <f>E24</f>
        <v>30000</v>
      </c>
      <c r="R31" s="296"/>
    </row>
    <row r="32" spans="2:18">
      <c r="D32" s="144" t="s">
        <v>2</v>
      </c>
      <c r="E32" s="235">
        <f>SUM(E28:E31)</f>
        <v>283000</v>
      </c>
      <c r="R32" s="296"/>
    </row>
    <row r="33" spans="1:18">
      <c r="R33" s="296"/>
    </row>
    <row r="34" spans="1:18">
      <c r="R34" s="296"/>
    </row>
    <row r="35" spans="1:18">
      <c r="R35" s="296"/>
    </row>
    <row r="36" spans="1:18">
      <c r="A36" s="296"/>
      <c r="B36" s="296"/>
      <c r="C36" s="296"/>
      <c r="D36" s="296"/>
      <c r="E36" s="296"/>
      <c r="F36" s="296"/>
      <c r="G36" s="296"/>
      <c r="H36" s="296"/>
      <c r="I36" s="296"/>
      <c r="J36" s="296"/>
      <c r="K36" s="296"/>
      <c r="L36" s="296"/>
      <c r="M36" s="296"/>
      <c r="N36" s="296"/>
      <c r="O36" s="296"/>
      <c r="P36" s="296"/>
      <c r="Q36" s="296"/>
      <c r="R36" s="296"/>
    </row>
  </sheetData>
  <mergeCells count="3">
    <mergeCell ref="B14:C14"/>
    <mergeCell ref="D14:E14"/>
    <mergeCell ref="I7:M7"/>
  </mergeCells>
  <pageMargins left="0.75" right="0.75" top="1" bottom="1" header="0.5" footer="0.5"/>
  <pageSetup scale="88" fitToHeight="0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BC0E6-86B8-4A92-8577-23A66768EB19}">
  <dimension ref="A1:Z1006"/>
  <sheetViews>
    <sheetView showGridLines="0" zoomScale="70" zoomScaleNormal="70" workbookViewId="0">
      <pane ySplit="6" topLeftCell="A7" activePane="bottomLeft" state="frozen"/>
      <selection pane="bottomLeft" activeCell="F14" sqref="F14:J16"/>
    </sheetView>
  </sheetViews>
  <sheetFormatPr defaultColWidth="0" defaultRowHeight="15" customHeight="1"/>
  <cols>
    <col min="1" max="1" width="4" style="67" customWidth="1"/>
    <col min="2" max="2" width="39.109375" style="67" customWidth="1"/>
    <col min="3" max="3" width="10.6640625" style="67" customWidth="1"/>
    <col min="4" max="4" width="19.109375" style="67" customWidth="1"/>
    <col min="5" max="5" width="2.44140625" style="67" customWidth="1"/>
    <col min="6" max="6" width="14.77734375" style="67" customWidth="1"/>
    <col min="7" max="7" width="16.6640625" style="67" customWidth="1"/>
    <col min="8" max="8" width="17.33203125" style="67" customWidth="1"/>
    <col min="9" max="9" width="17.6640625" style="67" customWidth="1"/>
    <col min="10" max="10" width="16.33203125" style="67" customWidth="1"/>
    <col min="11" max="11" width="8.77734375" style="67" customWidth="1"/>
    <col min="12" max="12" width="8.77734375" style="67" hidden="1" customWidth="1"/>
    <col min="13" max="13" width="2.88671875" style="67" customWidth="1"/>
    <col min="14" max="17" width="8.77734375" style="67" hidden="1" customWidth="1"/>
    <col min="18" max="20" width="10.44140625" style="67" hidden="1" customWidth="1"/>
    <col min="21" max="22" width="12" style="67" hidden="1" customWidth="1"/>
    <col min="23" max="26" width="8.77734375" style="67" hidden="1" customWidth="1"/>
    <col min="27" max="16384" width="14.44140625" style="67" hidden="1"/>
  </cols>
  <sheetData>
    <row r="1" spans="1:26" ht="15" customHeight="1">
      <c r="A1" s="297"/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6"/>
    </row>
    <row r="2" spans="1:26" ht="15" customHeight="1">
      <c r="A2" s="297"/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6"/>
    </row>
    <row r="3" spans="1:26" ht="15" customHeight="1">
      <c r="M3" s="296"/>
    </row>
    <row r="4" spans="1:26" ht="15" customHeight="1">
      <c r="A4" s="299"/>
      <c r="B4" s="299"/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6"/>
    </row>
    <row r="5" spans="1:26" ht="15" customHeight="1">
      <c r="M5" s="296"/>
    </row>
    <row r="6" spans="1:26" ht="21" customHeight="1">
      <c r="A6" s="65"/>
      <c r="B6" s="65" t="s">
        <v>137</v>
      </c>
      <c r="C6" s="65"/>
      <c r="D6" s="65"/>
      <c r="E6" s="65"/>
      <c r="F6" s="66" t="s">
        <v>4</v>
      </c>
      <c r="G6" s="66" t="s">
        <v>5</v>
      </c>
      <c r="H6" s="66" t="s">
        <v>6</v>
      </c>
      <c r="I6" s="66" t="s">
        <v>8</v>
      </c>
      <c r="J6" s="66" t="s">
        <v>9</v>
      </c>
      <c r="K6" s="65"/>
      <c r="L6" s="65"/>
      <c r="M6" s="296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spans="1:26" ht="21" customHeight="1">
      <c r="B7" s="73"/>
      <c r="C7" s="73"/>
      <c r="D7" s="73"/>
      <c r="E7" s="73"/>
      <c r="F7" s="73"/>
      <c r="G7" s="73"/>
      <c r="H7" s="73"/>
      <c r="I7" s="73"/>
      <c r="J7" s="73"/>
      <c r="K7" s="71"/>
      <c r="L7" s="71"/>
      <c r="M7" s="296"/>
      <c r="T7" s="71"/>
      <c r="U7" s="71"/>
      <c r="V7" s="71"/>
      <c r="W7" s="71"/>
      <c r="X7" s="71"/>
      <c r="Y7" s="71"/>
      <c r="Z7" s="71"/>
    </row>
    <row r="8" spans="1:26" ht="21" customHeight="1">
      <c r="B8" s="73" t="s">
        <v>138</v>
      </c>
      <c r="C8" s="73"/>
      <c r="D8" s="73"/>
      <c r="E8" s="73"/>
      <c r="F8" s="100">
        <v>1</v>
      </c>
      <c r="G8" s="100">
        <v>2</v>
      </c>
      <c r="H8" s="100">
        <v>2</v>
      </c>
      <c r="I8" s="100">
        <v>3</v>
      </c>
      <c r="J8" s="100">
        <v>4</v>
      </c>
      <c r="K8" s="71"/>
      <c r="L8" s="71"/>
      <c r="M8" s="296"/>
      <c r="T8" s="71"/>
      <c r="U8" s="71"/>
      <c r="V8" s="71"/>
      <c r="W8" s="71"/>
      <c r="X8" s="71"/>
      <c r="Y8" s="71"/>
      <c r="Z8" s="71"/>
    </row>
    <row r="9" spans="1:26" ht="21" customHeight="1">
      <c r="B9" s="73" t="s">
        <v>139</v>
      </c>
      <c r="C9" s="73"/>
      <c r="D9" s="101">
        <v>65000</v>
      </c>
      <c r="E9" s="73"/>
      <c r="F9" s="102">
        <f t="shared" ref="F9:J9" si="0">F8*$D$9</f>
        <v>65000</v>
      </c>
      <c r="G9" s="102">
        <f t="shared" si="0"/>
        <v>130000</v>
      </c>
      <c r="H9" s="102">
        <f t="shared" si="0"/>
        <v>130000</v>
      </c>
      <c r="I9" s="102">
        <f t="shared" si="0"/>
        <v>195000</v>
      </c>
      <c r="J9" s="102">
        <f t="shared" si="0"/>
        <v>260000</v>
      </c>
      <c r="K9" s="71"/>
      <c r="L9" s="71"/>
      <c r="M9" s="296"/>
      <c r="R9" s="103"/>
      <c r="S9" s="103"/>
      <c r="T9" s="104"/>
      <c r="U9" s="104"/>
      <c r="V9" s="104"/>
      <c r="W9" s="71"/>
      <c r="X9" s="71"/>
      <c r="Y9" s="71"/>
      <c r="Z9" s="71"/>
    </row>
    <row r="10" spans="1:26" ht="21" customHeight="1">
      <c r="B10" s="73" t="s">
        <v>140</v>
      </c>
      <c r="C10" s="73"/>
      <c r="D10" s="105"/>
      <c r="E10" s="73"/>
      <c r="F10" s="106">
        <v>1</v>
      </c>
      <c r="G10" s="106">
        <v>1</v>
      </c>
      <c r="H10" s="106">
        <v>1</v>
      </c>
      <c r="I10" s="106">
        <v>2</v>
      </c>
      <c r="J10" s="106">
        <v>2</v>
      </c>
      <c r="K10" s="71"/>
      <c r="L10" s="71"/>
      <c r="M10" s="296"/>
      <c r="N10" s="107"/>
      <c r="O10" s="71"/>
      <c r="P10" s="104"/>
      <c r="Q10" s="71"/>
      <c r="R10" s="108"/>
      <c r="S10" s="108"/>
      <c r="T10" s="108"/>
      <c r="U10" s="108"/>
      <c r="V10" s="108"/>
      <c r="W10" s="71"/>
      <c r="X10" s="71"/>
      <c r="Y10" s="71"/>
      <c r="Z10" s="71"/>
    </row>
    <row r="11" spans="1:26" ht="21" customHeight="1">
      <c r="B11" s="73" t="s">
        <v>141</v>
      </c>
      <c r="C11" s="73"/>
      <c r="D11" s="105">
        <v>45000</v>
      </c>
      <c r="E11" s="73"/>
      <c r="F11" s="109">
        <f t="shared" ref="F11:J11" si="1">$D$11*F10</f>
        <v>45000</v>
      </c>
      <c r="G11" s="109">
        <f t="shared" si="1"/>
        <v>45000</v>
      </c>
      <c r="H11" s="109">
        <f t="shared" si="1"/>
        <v>45000</v>
      </c>
      <c r="I11" s="109">
        <f t="shared" si="1"/>
        <v>90000</v>
      </c>
      <c r="J11" s="109">
        <f t="shared" si="1"/>
        <v>90000</v>
      </c>
      <c r="K11" s="71"/>
      <c r="L11" s="71"/>
      <c r="M11" s="296"/>
      <c r="N11" s="107"/>
      <c r="O11" s="71"/>
      <c r="P11" s="104"/>
      <c r="Q11" s="71"/>
      <c r="R11" s="108"/>
      <c r="S11" s="108"/>
      <c r="T11" s="108"/>
      <c r="U11" s="108"/>
      <c r="V11" s="108"/>
      <c r="W11" s="71"/>
      <c r="X11" s="71"/>
      <c r="Y11" s="71"/>
      <c r="Z11" s="71"/>
    </row>
    <row r="12" spans="1:26" ht="21" customHeight="1">
      <c r="B12" s="73" t="s">
        <v>142</v>
      </c>
      <c r="C12" s="73" t="s">
        <v>143</v>
      </c>
      <c r="D12" s="101">
        <v>13000</v>
      </c>
      <c r="E12" s="73"/>
      <c r="F12" s="102">
        <f t="shared" ref="F12:J12" si="2">F8*$D$12</f>
        <v>13000</v>
      </c>
      <c r="G12" s="102">
        <f t="shared" si="2"/>
        <v>26000</v>
      </c>
      <c r="H12" s="102">
        <f t="shared" si="2"/>
        <v>26000</v>
      </c>
      <c r="I12" s="102">
        <f t="shared" si="2"/>
        <v>39000</v>
      </c>
      <c r="J12" s="102">
        <f t="shared" si="2"/>
        <v>52000</v>
      </c>
      <c r="K12" s="71"/>
      <c r="L12" s="71"/>
      <c r="M12" s="296"/>
      <c r="N12" s="107"/>
      <c r="O12" s="71"/>
      <c r="P12" s="104"/>
      <c r="Q12" s="104"/>
      <c r="R12" s="110"/>
      <c r="S12" s="110"/>
      <c r="T12" s="110"/>
      <c r="U12" s="110"/>
      <c r="V12" s="110"/>
      <c r="W12" s="71"/>
      <c r="X12" s="71"/>
      <c r="Y12" s="71"/>
      <c r="Z12" s="71"/>
    </row>
    <row r="13" spans="1:26" ht="21" customHeight="1">
      <c r="B13" s="73" t="s">
        <v>144</v>
      </c>
      <c r="C13" s="73" t="s">
        <v>145</v>
      </c>
      <c r="D13" s="105">
        <v>10000</v>
      </c>
      <c r="E13" s="73"/>
      <c r="F13" s="109">
        <f t="shared" ref="F13:J13" si="3">$D$13</f>
        <v>10000</v>
      </c>
      <c r="G13" s="109">
        <f t="shared" si="3"/>
        <v>10000</v>
      </c>
      <c r="H13" s="109">
        <f t="shared" si="3"/>
        <v>10000</v>
      </c>
      <c r="I13" s="109">
        <f t="shared" si="3"/>
        <v>10000</v>
      </c>
      <c r="J13" s="109">
        <f t="shared" si="3"/>
        <v>10000</v>
      </c>
      <c r="K13" s="71"/>
      <c r="L13" s="71"/>
      <c r="M13" s="296"/>
      <c r="N13" s="107"/>
      <c r="O13" s="71"/>
      <c r="P13" s="104"/>
      <c r="Q13" s="71"/>
      <c r="R13" s="108"/>
      <c r="S13" s="108"/>
      <c r="T13" s="108"/>
      <c r="U13" s="108"/>
      <c r="V13" s="108"/>
      <c r="W13" s="71"/>
      <c r="X13" s="71"/>
      <c r="Y13" s="71"/>
      <c r="Z13" s="71"/>
    </row>
    <row r="14" spans="1:26" ht="21" customHeight="1">
      <c r="B14" s="73" t="s">
        <v>146</v>
      </c>
      <c r="C14" s="73" t="s">
        <v>147</v>
      </c>
      <c r="D14" s="105">
        <v>5000</v>
      </c>
      <c r="E14" s="73"/>
      <c r="F14" s="109">
        <f t="shared" ref="F14:F15" si="4">D14</f>
        <v>5000</v>
      </c>
      <c r="G14" s="111">
        <v>0</v>
      </c>
      <c r="H14" s="111">
        <v>0</v>
      </c>
      <c r="I14" s="111">
        <v>0</v>
      </c>
      <c r="J14" s="111">
        <v>0</v>
      </c>
      <c r="K14" s="71"/>
      <c r="L14" s="71"/>
      <c r="M14" s="296"/>
      <c r="N14" s="71"/>
      <c r="O14" s="71"/>
      <c r="P14" s="104"/>
      <c r="Q14" s="104"/>
      <c r="R14" s="110"/>
      <c r="S14" s="110"/>
      <c r="T14" s="110"/>
      <c r="U14" s="110"/>
      <c r="V14" s="110"/>
      <c r="W14" s="71"/>
      <c r="X14" s="71"/>
      <c r="Y14" s="71"/>
      <c r="Z14" s="71"/>
    </row>
    <row r="15" spans="1:26" ht="21" customHeight="1">
      <c r="B15" s="73" t="s">
        <v>148</v>
      </c>
      <c r="C15" s="73" t="s">
        <v>147</v>
      </c>
      <c r="D15" s="105">
        <v>7000</v>
      </c>
      <c r="E15" s="73"/>
      <c r="F15" s="109">
        <f t="shared" si="4"/>
        <v>7000</v>
      </c>
      <c r="G15" s="111">
        <v>0</v>
      </c>
      <c r="H15" s="111">
        <v>0</v>
      </c>
      <c r="I15" s="111">
        <v>0</v>
      </c>
      <c r="J15" s="111">
        <v>0</v>
      </c>
      <c r="K15" s="71"/>
      <c r="L15" s="71"/>
      <c r="M15" s="296"/>
      <c r="N15" s="71"/>
      <c r="O15" s="71"/>
      <c r="P15" s="104"/>
      <c r="Q15" s="71"/>
      <c r="R15" s="108"/>
      <c r="S15" s="71"/>
      <c r="T15" s="71"/>
      <c r="U15" s="71"/>
      <c r="V15" s="71"/>
      <c r="W15" s="71"/>
      <c r="X15" s="71"/>
      <c r="Y15" s="71"/>
      <c r="Z15" s="71"/>
    </row>
    <row r="16" spans="1:26" ht="21" customHeight="1">
      <c r="B16" s="73" t="s">
        <v>149</v>
      </c>
      <c r="C16" s="73" t="s">
        <v>150</v>
      </c>
      <c r="D16" s="105">
        <v>5000</v>
      </c>
      <c r="E16" s="73"/>
      <c r="F16" s="111">
        <v>0</v>
      </c>
      <c r="G16" s="109">
        <f t="shared" ref="G16:J16" si="5">$D$16</f>
        <v>5000</v>
      </c>
      <c r="H16" s="109">
        <f t="shared" si="5"/>
        <v>5000</v>
      </c>
      <c r="I16" s="109">
        <f t="shared" si="5"/>
        <v>5000</v>
      </c>
      <c r="J16" s="109">
        <f t="shared" si="5"/>
        <v>5000</v>
      </c>
      <c r="K16" s="71"/>
      <c r="L16" s="71"/>
      <c r="M16" s="296"/>
      <c r="N16" s="71"/>
      <c r="O16" s="71"/>
      <c r="P16" s="104"/>
      <c r="Q16" s="71"/>
      <c r="R16" s="108"/>
      <c r="S16" s="71"/>
      <c r="T16" s="71"/>
      <c r="U16" s="71"/>
      <c r="V16" s="71"/>
      <c r="W16" s="71"/>
      <c r="X16" s="71"/>
      <c r="Y16" s="71"/>
      <c r="Z16" s="71"/>
    </row>
    <row r="17" spans="1:26" ht="21" customHeight="1">
      <c r="B17" s="112" t="s">
        <v>151</v>
      </c>
      <c r="C17" s="73"/>
      <c r="D17" s="73"/>
      <c r="E17" s="73"/>
      <c r="F17" s="113">
        <f t="shared" ref="F17:J17" si="6">SUM(F9:F16)</f>
        <v>145001</v>
      </c>
      <c r="G17" s="113">
        <f t="shared" si="6"/>
        <v>216001</v>
      </c>
      <c r="H17" s="113">
        <f t="shared" si="6"/>
        <v>216001</v>
      </c>
      <c r="I17" s="113">
        <f t="shared" si="6"/>
        <v>339002</v>
      </c>
      <c r="J17" s="113">
        <f t="shared" si="6"/>
        <v>417002</v>
      </c>
      <c r="K17" s="71"/>
      <c r="L17" s="71"/>
      <c r="M17" s="296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spans="1:26" ht="21" customHeight="1">
      <c r="B18" s="73"/>
      <c r="C18" s="73"/>
      <c r="D18" s="73"/>
      <c r="E18" s="73"/>
      <c r="F18" s="73"/>
      <c r="G18" s="73"/>
      <c r="H18" s="73"/>
      <c r="I18" s="73"/>
      <c r="J18" s="73"/>
      <c r="K18" s="71"/>
      <c r="L18" s="71"/>
      <c r="M18" s="296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spans="1:26" ht="21" customHeight="1">
      <c r="B19" s="73" t="s">
        <v>152</v>
      </c>
      <c r="C19" s="73"/>
      <c r="D19" s="73"/>
      <c r="E19" s="73"/>
      <c r="F19" s="111">
        <v>150</v>
      </c>
      <c r="G19" s="111">
        <v>320</v>
      </c>
      <c r="H19" s="111">
        <v>560</v>
      </c>
      <c r="I19" s="111">
        <v>870</v>
      </c>
      <c r="J19" s="111">
        <v>1200</v>
      </c>
      <c r="K19" s="71"/>
      <c r="L19" s="71"/>
      <c r="M19" s="296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spans="1:26" ht="21" customHeight="1">
      <c r="B20" s="112" t="s">
        <v>137</v>
      </c>
      <c r="C20" s="73"/>
      <c r="D20" s="73"/>
      <c r="E20" s="73"/>
      <c r="F20" s="114">
        <f t="shared" ref="F20:J20" si="7">F17/F19</f>
        <v>966.67333333333329</v>
      </c>
      <c r="G20" s="114">
        <f t="shared" si="7"/>
        <v>675.00312499999995</v>
      </c>
      <c r="H20" s="114">
        <f t="shared" si="7"/>
        <v>385.71607142857141</v>
      </c>
      <c r="I20" s="114">
        <f t="shared" si="7"/>
        <v>389.65747126436781</v>
      </c>
      <c r="J20" s="114">
        <f t="shared" si="7"/>
        <v>347.50166666666667</v>
      </c>
      <c r="K20" s="71"/>
      <c r="L20" s="71"/>
      <c r="M20" s="296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spans="1:26" ht="21" customHeight="1">
      <c r="B21" s="73"/>
      <c r="C21" s="73"/>
      <c r="D21" s="73"/>
      <c r="E21" s="73"/>
      <c r="F21" s="73"/>
      <c r="G21" s="73"/>
      <c r="H21" s="73"/>
      <c r="I21" s="73"/>
      <c r="J21" s="73"/>
      <c r="K21" s="71"/>
      <c r="L21" s="71"/>
      <c r="M21" s="296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spans="1:26" ht="21" customHeight="1">
      <c r="B22" s="73" t="s">
        <v>153</v>
      </c>
      <c r="C22" s="73" t="s">
        <v>145</v>
      </c>
      <c r="D22" s="105">
        <v>100000</v>
      </c>
      <c r="E22" s="73"/>
      <c r="F22" s="73"/>
      <c r="G22" s="73"/>
      <c r="H22" s="73"/>
      <c r="I22" s="73"/>
      <c r="J22" s="73"/>
      <c r="K22" s="71"/>
      <c r="L22" s="71"/>
      <c r="M22" s="296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spans="1:26" ht="21" customHeight="1">
      <c r="B23" s="73" t="s">
        <v>154</v>
      </c>
      <c r="C23" s="73" t="s">
        <v>145</v>
      </c>
      <c r="D23" s="105">
        <v>100000</v>
      </c>
      <c r="E23" s="73"/>
      <c r="F23" s="73"/>
      <c r="G23" s="73"/>
      <c r="H23" s="73"/>
      <c r="I23" s="73"/>
      <c r="J23" s="73"/>
      <c r="K23" s="71"/>
      <c r="L23" s="71"/>
      <c r="M23" s="296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spans="1:26" ht="21" customHeight="1" thickBot="1">
      <c r="B24" s="73"/>
      <c r="C24" s="73"/>
      <c r="D24" s="73"/>
      <c r="E24" s="73"/>
      <c r="F24" s="73"/>
      <c r="G24" s="73"/>
      <c r="H24" s="73"/>
      <c r="I24" s="73"/>
      <c r="J24" s="73"/>
      <c r="K24" s="71"/>
      <c r="L24" s="71"/>
      <c r="M24" s="296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spans="1:26" ht="21" customHeight="1">
      <c r="B25" s="115"/>
      <c r="C25" s="116"/>
      <c r="D25" s="116"/>
      <c r="E25" s="116"/>
      <c r="F25" s="117" t="s">
        <v>4</v>
      </c>
      <c r="G25" s="117" t="s">
        <v>5</v>
      </c>
      <c r="H25" s="117" t="s">
        <v>6</v>
      </c>
      <c r="I25" s="117" t="s">
        <v>8</v>
      </c>
      <c r="J25" s="118" t="s">
        <v>9</v>
      </c>
      <c r="K25" s="71"/>
      <c r="L25" s="71"/>
      <c r="M25" s="296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spans="1:26" ht="21" customHeight="1">
      <c r="B26" s="119"/>
      <c r="C26" s="120"/>
      <c r="D26" s="120"/>
      <c r="E26" s="120"/>
      <c r="F26" s="120"/>
      <c r="G26" s="120"/>
      <c r="H26" s="120"/>
      <c r="I26" s="120"/>
      <c r="J26" s="121"/>
      <c r="K26" s="71"/>
      <c r="L26" s="71"/>
      <c r="M26" s="296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spans="1:26" ht="21" customHeight="1">
      <c r="B27" s="122" t="s">
        <v>155</v>
      </c>
      <c r="C27" s="120"/>
      <c r="D27" s="120"/>
      <c r="E27" s="120"/>
      <c r="F27" s="120"/>
      <c r="G27" s="120"/>
      <c r="H27" s="120"/>
      <c r="I27" s="120"/>
      <c r="J27" s="121"/>
      <c r="K27" s="71"/>
      <c r="L27" s="71"/>
      <c r="M27" s="296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spans="1:26" ht="21" customHeight="1">
      <c r="A28" s="71"/>
      <c r="B28" s="123" t="s">
        <v>156</v>
      </c>
      <c r="C28" s="124"/>
      <c r="D28" s="124"/>
      <c r="E28" s="124"/>
      <c r="F28" s="125">
        <f>LTV!F31+LTV!G102+LTV!H172</f>
        <v>11572.584958010735</v>
      </c>
      <c r="G28" s="126">
        <f>LTV!F67+LTV!G137+LTV!H209</f>
        <v>9242.9501002985398</v>
      </c>
      <c r="H28" s="126">
        <f>LTV!H29+LTV!I29+LTV!J29+LTV!K29+LTV!L29+LTV!I100+LTV!J100+LTV!K100+LTV!L100+LTV!M100+LTV!J170+LTV!K170+LTV!L170+LTV!M170+LTV!N170</f>
        <v>6576.8045940241645</v>
      </c>
      <c r="I28" s="126">
        <f>LTV!I29+LTV!J29+LTV!K29+LTV!L29+LTV!M29+LTV!J100+LTV!K100+LTV!L100+LTV!M100+LTV!N100+LTV!K170+LTV!L170+LTV!M170+LTV!N170+LTV!O170</f>
        <v>5136.509958156942</v>
      </c>
      <c r="J28" s="127">
        <f>LTV!L170+LTV!M170+LTV!N170+LTV!O170+LTV!O170+LTV!K100+LTV!L100+LTV!M100+LTV!N100+257+LTV!J29+LTV!K29+LTV!L29+LTV!M29+967</f>
        <v>4859.807415392539</v>
      </c>
      <c r="K28" s="71"/>
      <c r="L28" s="71"/>
      <c r="M28" s="296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spans="1:26" ht="21" customHeight="1" thickBot="1">
      <c r="A29" s="71"/>
      <c r="B29" s="128"/>
      <c r="C29" s="129"/>
      <c r="D29" s="129"/>
      <c r="E29" s="129"/>
      <c r="F29" s="129"/>
      <c r="G29" s="129"/>
      <c r="H29" s="129"/>
      <c r="I29" s="129"/>
      <c r="J29" s="130"/>
      <c r="K29" s="71"/>
      <c r="L29" s="71"/>
      <c r="M29" s="296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spans="1:26" ht="21" customHeight="1">
      <c r="A30" s="71"/>
      <c r="B30" s="131"/>
      <c r="C30" s="132"/>
      <c r="D30" s="132"/>
      <c r="E30" s="132"/>
      <c r="F30" s="132"/>
      <c r="G30" s="132"/>
      <c r="H30" s="132"/>
      <c r="I30" s="132"/>
      <c r="J30" s="133"/>
      <c r="K30" s="71"/>
      <c r="L30" s="71"/>
      <c r="M30" s="296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spans="1:26" ht="21" customHeight="1">
      <c r="A31" s="71"/>
      <c r="B31" s="134" t="s">
        <v>157</v>
      </c>
      <c r="C31" s="124"/>
      <c r="D31" s="124"/>
      <c r="E31" s="124"/>
      <c r="F31" s="135">
        <f>F28/F20</f>
        <v>11.971557049272835</v>
      </c>
      <c r="G31" s="135">
        <f t="shared" ref="G31:J31" si="8">G28/G20</f>
        <v>13.693196013423702</v>
      </c>
      <c r="H31" s="135">
        <f t="shared" si="8"/>
        <v>17.050895934062954</v>
      </c>
      <c r="I31" s="135">
        <f t="shared" si="8"/>
        <v>13.182115927329454</v>
      </c>
      <c r="J31" s="136">
        <f t="shared" si="8"/>
        <v>13.984990236188429</v>
      </c>
      <c r="K31" s="71"/>
      <c r="L31" s="71"/>
      <c r="M31" s="296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spans="1:26" ht="21" customHeight="1">
      <c r="A32" s="71"/>
      <c r="B32" s="123" t="s">
        <v>158</v>
      </c>
      <c r="C32" s="124"/>
      <c r="D32" s="124"/>
      <c r="E32" s="124"/>
      <c r="F32" s="124"/>
      <c r="G32" s="124"/>
      <c r="H32" s="124"/>
      <c r="I32" s="124"/>
      <c r="J32" s="137"/>
      <c r="K32" s="71"/>
      <c r="L32" s="71"/>
      <c r="M32" s="296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spans="1:26" ht="21" customHeight="1" thickBot="1">
      <c r="A33" s="71"/>
      <c r="B33" s="128"/>
      <c r="C33" s="129"/>
      <c r="D33" s="129"/>
      <c r="E33" s="129"/>
      <c r="F33" s="129"/>
      <c r="G33" s="129"/>
      <c r="H33" s="129"/>
      <c r="I33" s="129"/>
      <c r="J33" s="130"/>
      <c r="K33" s="71"/>
      <c r="L33" s="71"/>
      <c r="M33" s="296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spans="1:26" ht="21" customHeight="1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296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spans="1:26" ht="21" customHeight="1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296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spans="1:26" ht="21" customHeight="1">
      <c r="A36" s="296"/>
      <c r="B36" s="296"/>
      <c r="C36" s="296"/>
      <c r="D36" s="296"/>
      <c r="E36" s="296"/>
      <c r="F36" s="296"/>
      <c r="G36" s="296"/>
      <c r="H36" s="296"/>
      <c r="I36" s="296"/>
      <c r="J36" s="296"/>
      <c r="K36" s="296"/>
      <c r="L36" s="296"/>
      <c r="M36" s="296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spans="1:26" ht="21" customHeight="1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spans="1:26" ht="21" customHeight="1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spans="1:26" ht="21" customHeight="1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spans="1:26" ht="21" customHeight="1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spans="1:26" ht="21" customHeight="1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21" customHeight="1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spans="1:26" ht="21" customHeight="1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spans="1:26" ht="21" customHeight="1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spans="1:26" ht="21" customHeight="1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spans="1:26" ht="21" customHeight="1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spans="1:26" ht="21" customHeight="1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spans="1:26" ht="21" customHeight="1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spans="1:26" ht="21" customHeight="1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spans="1:26" ht="21" customHeight="1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spans="1:26" ht="21" customHeight="1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spans="1:26" ht="21" customHeight="1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spans="1:26" ht="21" customHeight="1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spans="1:26" ht="21" customHeight="1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spans="1:26" ht="21" customHeight="1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spans="1:26" ht="21" customHeight="1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spans="1:26" ht="21" customHeight="1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spans="1:26" ht="21" customHeight="1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spans="1:26" ht="21" customHeight="1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spans="1:26" ht="21" customHeight="1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spans="1:26" ht="21" customHeight="1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spans="1:26" ht="21" customHeight="1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spans="1:26" ht="21" customHeight="1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spans="1:26" ht="21" customHeight="1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spans="1:26" ht="21" customHeight="1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spans="1:26" ht="21" customHeight="1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spans="1:26" ht="21" customHeight="1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spans="1:26" ht="21" customHeight="1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spans="1:26" ht="21" customHeight="1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spans="1:26" ht="21" customHeight="1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spans="1:26" ht="21" customHeight="1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spans="1:26" ht="21" customHeight="1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spans="1:26" ht="21" customHeight="1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spans="1:26" ht="21" customHeight="1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spans="1:26" ht="21" customHeight="1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spans="1:26" ht="21" customHeight="1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spans="1:26" ht="21" customHeight="1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spans="1:26" ht="21" customHeight="1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spans="1:26" ht="21" customHeight="1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spans="1:26" ht="21" customHeight="1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spans="1:26" ht="21" customHeight="1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spans="1:26" ht="21" customHeight="1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spans="1:26" ht="21" customHeight="1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spans="1:26" ht="21" customHeight="1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spans="1:26" ht="21" customHeight="1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spans="1:26" ht="21" customHeight="1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spans="1:26" ht="21" customHeight="1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spans="1:26" ht="21" customHeight="1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spans="1:26" ht="21" customHeight="1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spans="1:26" ht="21" customHeight="1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spans="1:26" ht="21" customHeight="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spans="1:26" ht="21" customHeight="1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spans="1:26" ht="21" customHeight="1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spans="1:26" ht="21" customHeight="1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spans="1:26" ht="21" customHeight="1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spans="1:26" ht="21" customHeight="1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spans="1:26" ht="21" customHeight="1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spans="1:26" ht="21" customHeight="1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spans="1:26" ht="21" customHeight="1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spans="1:26" ht="21" customHeight="1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spans="1:26" ht="21" customHeight="1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spans="1:26" ht="21" customHeight="1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spans="1:26" ht="21" customHeight="1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spans="1:26" ht="21" customHeight="1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spans="1:26" ht="21" customHeight="1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spans="1:26" ht="21" customHeight="1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spans="1:26" ht="21" customHeight="1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spans="1:26" ht="21" customHeight="1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spans="1:26" ht="21" customHeight="1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spans="1:26" ht="21" customHeight="1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spans="1:26" ht="21" customHeight="1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spans="1:26" ht="21" customHeight="1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spans="1:26" ht="21" customHeight="1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spans="1:26" ht="21" customHeight="1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spans="1:26" ht="21" customHeight="1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spans="1:26" ht="21" customHeight="1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spans="1:26" ht="21" customHeight="1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spans="1:26" ht="21" customHeight="1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spans="1:26" ht="21" customHeight="1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spans="1:26" ht="21" customHeight="1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spans="1:26" ht="21" customHeight="1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spans="1:26" ht="21" customHeight="1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spans="1:26" ht="21" customHeight="1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spans="1:26" ht="21" customHeight="1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spans="1:26" ht="21" customHeight="1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spans="1:26" ht="21" customHeight="1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spans="1:26" ht="21" customHeight="1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spans="1:26" ht="21" customHeight="1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spans="1:26" ht="21" customHeight="1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spans="1:26" ht="21" customHeight="1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spans="1:26" ht="21" customHeight="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spans="1:26" ht="21" customHeight="1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spans="1:26" ht="21" customHeight="1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spans="1:26" ht="21" customHeight="1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spans="1:26" ht="21" customHeight="1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spans="1:26" ht="21" customHeight="1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spans="1:26" ht="21" customHeight="1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spans="1:26" ht="21" customHeight="1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spans="1:26" ht="21" customHeight="1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spans="1:26" ht="21" customHeight="1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spans="1:26" ht="21" customHeight="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spans="1:26" ht="21" customHeight="1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spans="1:26" ht="21" customHeight="1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spans="1:26" ht="21" customHeight="1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spans="1:26" ht="21" customHeight="1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spans="1:26" ht="21" customHeight="1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spans="1:26" ht="21" customHeight="1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spans="1:26" ht="21" customHeight="1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spans="1:26" ht="21" customHeight="1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spans="1:26" ht="21" customHeight="1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spans="1:26" ht="21" customHeight="1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spans="1:26" ht="21" customHeight="1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spans="1:26" ht="21" customHeight="1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spans="1:26" ht="21" customHeight="1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spans="1:26" ht="21" customHeight="1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spans="1:26" ht="21" customHeight="1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spans="1:26" ht="21" customHeight="1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spans="1:26" ht="21" customHeight="1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spans="1:26" ht="21" customHeight="1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spans="1:26" ht="21" customHeight="1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spans="1:26" ht="21" customHeight="1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spans="1:26" ht="21" customHeight="1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spans="1:26" ht="21" customHeight="1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spans="1:26" ht="21" customHeight="1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spans="1:26" ht="21" customHeight="1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spans="1:26" ht="21" customHeight="1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spans="1:26" ht="21" customHeight="1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spans="1:26" ht="21" customHeight="1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spans="1:26" ht="21" customHeight="1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spans="1:26" ht="21" customHeight="1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spans="1:26" ht="21" customHeight="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spans="1:26" ht="21" customHeight="1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spans="1:26" ht="21" customHeight="1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spans="1:26" ht="21" customHeight="1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spans="1:26" ht="21" customHeight="1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spans="1:26" ht="21" customHeight="1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spans="1:26" ht="21" customHeight="1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spans="1:26" ht="21" customHeight="1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spans="1:26" ht="21" customHeight="1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spans="1:26" ht="21" customHeight="1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spans="1:26" ht="21" customHeight="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spans="1:26" ht="21" customHeight="1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spans="1:26" ht="21" customHeight="1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spans="1:26" ht="21" customHeight="1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spans="1:26" ht="21" customHeight="1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spans="1:26" ht="21" customHeight="1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spans="1:26" ht="21" customHeight="1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spans="1:26" ht="21" customHeight="1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spans="1:26" ht="21" customHeight="1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spans="1:26" ht="21" customHeight="1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spans="1:26" ht="21" customHeight="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spans="1:26" ht="21" customHeight="1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spans="1:26" ht="21" customHeight="1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spans="1:26" ht="21" customHeight="1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spans="1:26" ht="21" customHeight="1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spans="1:26" ht="21" customHeight="1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spans="1:26" ht="21" customHeight="1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spans="1:26" ht="21" customHeight="1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spans="1:26" ht="21" customHeight="1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spans="1:26" ht="21" customHeight="1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spans="1:26" ht="21" customHeight="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spans="1:26" ht="21" customHeight="1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spans="1:26" ht="21" customHeight="1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spans="1:26" ht="21" customHeight="1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spans="1:26" ht="21" customHeight="1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spans="1:26" ht="21" customHeight="1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spans="1:26" ht="21" customHeight="1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spans="1:26" ht="21" customHeight="1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spans="1:26" ht="21" customHeight="1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spans="1:26" ht="21" customHeight="1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spans="1:26" ht="21" customHeight="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spans="1:26" ht="21" customHeight="1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spans="1:26" ht="21" customHeight="1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spans="1:26" ht="21" customHeight="1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spans="1:26" ht="21" customHeight="1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spans="1:26" ht="21" customHeight="1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spans="1:26" ht="21" customHeight="1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spans="1:26" ht="21" customHeight="1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spans="1:26" ht="21" customHeight="1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spans="1:26" ht="21" customHeight="1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spans="1:26" ht="21" customHeight="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spans="1:26" ht="21" customHeight="1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spans="1:26" ht="21" customHeight="1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spans="1:26" ht="21" customHeight="1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spans="1:26" ht="21" customHeight="1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spans="1:26" ht="21" customHeight="1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spans="1:26" ht="21" customHeight="1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spans="1:26" ht="21" customHeight="1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spans="1:26" ht="21" customHeight="1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spans="1:26" ht="21" customHeight="1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spans="1:26" ht="21" customHeight="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spans="1:26" ht="21" customHeight="1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spans="1:26" ht="21" customHeight="1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spans="1:26" ht="21" customHeight="1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spans="1:26" ht="21" customHeight="1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spans="1:26" ht="21" customHeight="1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spans="1:26" ht="21" customHeight="1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spans="1:26" ht="21" customHeight="1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spans="1:26" ht="21" customHeight="1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spans="1:26" ht="21" customHeight="1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spans="1:26" ht="21" customHeight="1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spans="1:26" ht="21" customHeight="1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spans="1:26" ht="21" customHeight="1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spans="1:26" ht="21" customHeight="1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spans="1:26" ht="21" customHeight="1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spans="1:26" ht="21" customHeight="1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spans="1:26" ht="21" customHeight="1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spans="1:26" ht="21" customHeight="1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spans="1:26" ht="21" customHeight="1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spans="1:26" ht="21" customHeight="1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spans="1:26" ht="21" customHeight="1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spans="1:26" ht="21" customHeight="1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spans="1:26" ht="21" customHeight="1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spans="1:26" ht="21" customHeight="1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spans="1:26" ht="21" customHeight="1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spans="1:26" ht="21" customHeight="1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spans="1:26" ht="21" customHeight="1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spans="1:26" ht="21" customHeight="1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spans="1:26" ht="21" customHeight="1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spans="1:26" ht="21" customHeight="1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spans="1:26" ht="21" customHeight="1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spans="1:26" ht="21" customHeight="1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spans="1:26" ht="21" customHeight="1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spans="1:26" ht="21" customHeight="1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spans="1:26" ht="21" customHeight="1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spans="1:26" ht="21" customHeight="1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spans="1:26" ht="21" customHeight="1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spans="1:26" ht="21" customHeight="1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spans="1:26" ht="21" customHeight="1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spans="1:26" ht="21" customHeight="1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spans="1:26" ht="21" customHeight="1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spans="1:26" ht="21" customHeight="1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spans="1:26" ht="21" customHeight="1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spans="1:26" ht="21" customHeight="1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spans="1:26" ht="21" customHeight="1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spans="1:26" ht="21" customHeight="1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spans="1:26" ht="21" customHeight="1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spans="1:26" ht="21" customHeight="1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spans="1:26" ht="21" customHeight="1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spans="1:26" ht="21" customHeight="1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spans="1:26" ht="21" customHeight="1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spans="1:26" ht="21" customHeight="1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spans="1:26" ht="21" customHeight="1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spans="1:26" ht="21" customHeight="1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spans="1:26" ht="21" customHeight="1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spans="1:26" ht="21" customHeight="1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spans="1:26" ht="21" customHeight="1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spans="1:26" ht="21" customHeight="1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spans="1:26" ht="21" customHeight="1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spans="1:26" ht="21" customHeight="1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spans="1:26" ht="21" customHeight="1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spans="1:26" ht="21" customHeight="1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spans="1:26" ht="21" customHeight="1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spans="1:26" ht="21" customHeight="1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spans="1:26" ht="21" customHeight="1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spans="1:26" ht="21" customHeight="1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spans="1:26" ht="21" customHeight="1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spans="1:26" ht="21" customHeight="1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spans="1:26" ht="21" customHeight="1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spans="1:26" ht="21" customHeight="1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spans="1:26" ht="21" customHeight="1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spans="1:26" ht="21" customHeight="1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spans="1:26" ht="21" customHeight="1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spans="1:26" ht="21" customHeight="1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spans="1:26" ht="21" customHeight="1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spans="1:26" ht="21" customHeight="1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spans="1:26" ht="21" customHeight="1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spans="1:26" ht="21" customHeight="1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spans="1:26" ht="21" customHeight="1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spans="1:26" ht="21" customHeight="1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spans="1:26" ht="21" customHeight="1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spans="1:26" ht="21" customHeight="1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spans="1:26" ht="21" customHeight="1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spans="1:26" ht="21" customHeight="1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spans="1:26" ht="21" customHeight="1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spans="1:26" ht="21" customHeight="1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spans="1:26" ht="21" customHeight="1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spans="1:26" ht="21" customHeight="1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spans="1:26" ht="21" customHeight="1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spans="1:26" ht="21" customHeight="1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spans="1:26" ht="21" customHeight="1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spans="1:26" ht="21" customHeight="1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spans="1:26" ht="21" customHeight="1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spans="1:26" ht="21" customHeight="1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spans="1:26" ht="21" customHeight="1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spans="1:26" ht="21" customHeight="1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spans="1:26" ht="21" customHeight="1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spans="1:26" ht="21" customHeight="1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spans="1:26" ht="21" customHeight="1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spans="1:26" ht="21" customHeight="1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spans="1:26" ht="21" customHeight="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spans="1:26" ht="21" customHeight="1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spans="1:26" ht="21" customHeight="1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spans="1:26" ht="21" customHeight="1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spans="1:26" ht="21" customHeight="1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spans="1:26" ht="21" customHeight="1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spans="1:26" ht="21" customHeight="1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spans="1:26" ht="21" customHeight="1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spans="1:26" ht="21" customHeight="1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spans="1:26" ht="21" customHeight="1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spans="1:26" ht="21" customHeight="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spans="1:26" ht="21" customHeight="1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spans="1:26" ht="21" customHeight="1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spans="1:26" ht="21" customHeight="1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spans="1:26" ht="21" customHeight="1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spans="1:26" ht="21" customHeight="1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spans="1:26" ht="21" customHeight="1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spans="1:26" ht="21" customHeight="1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spans="1:26" ht="21" customHeight="1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spans="1:26" ht="21" customHeight="1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spans="1:26" ht="21" customHeight="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spans="1:26" ht="21" customHeight="1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spans="1:26" ht="21" customHeight="1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spans="1:26" ht="21" customHeight="1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spans="1:26" ht="21" customHeight="1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spans="1:26" ht="21" customHeight="1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spans="1:26" ht="21" customHeight="1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spans="1:26" ht="21" customHeight="1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spans="1:26" ht="21" customHeight="1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spans="1:26" ht="21" customHeight="1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spans="1:26" ht="21" customHeight="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spans="1:26" ht="21" customHeight="1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spans="1:26" ht="21" customHeight="1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spans="1:26" ht="21" customHeight="1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spans="1:26" ht="21" customHeight="1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spans="1:26" ht="21" customHeight="1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spans="1:26" ht="21" customHeight="1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spans="1:26" ht="21" customHeight="1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spans="1:26" ht="21" customHeight="1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spans="1:26" ht="21" customHeight="1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spans="1:26" ht="21" customHeight="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spans="1:26" ht="21" customHeight="1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spans="1:26" ht="21" customHeight="1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spans="1:26" ht="21" customHeight="1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spans="1:26" ht="21" customHeight="1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spans="1:26" ht="21" customHeight="1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spans="1:26" ht="21" customHeight="1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spans="1:26" ht="21" customHeight="1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spans="1:26" ht="21" customHeight="1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spans="1:26" ht="21" customHeight="1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spans="1:26" ht="21" customHeight="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spans="1:26" ht="21" customHeight="1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spans="1:26" ht="21" customHeight="1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spans="1:26" ht="21" customHeight="1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spans="1:26" ht="21" customHeight="1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spans="1:26" ht="21" customHeight="1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spans="1:26" ht="21" customHeight="1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spans="1:26" ht="21" customHeight="1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spans="1:26" ht="21" customHeight="1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spans="1:26" ht="21" customHeight="1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spans="1:26" ht="21" customHeight="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spans="1:26" ht="21" customHeight="1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spans="1:26" ht="21" customHeight="1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spans="1:26" ht="21" customHeight="1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spans="1:26" ht="21" customHeight="1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spans="1:26" ht="21" customHeight="1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spans="1:26" ht="21" customHeight="1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spans="1:26" ht="21" customHeight="1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spans="1:26" ht="21" customHeight="1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spans="1:26" ht="21" customHeight="1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spans="1:26" ht="21" customHeight="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spans="1:26" ht="21" customHeight="1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spans="1:26" ht="21" customHeight="1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spans="1:26" ht="21" customHeight="1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spans="1:26" ht="21" customHeight="1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spans="1:26" ht="21" customHeight="1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spans="1:26" ht="21" customHeight="1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spans="1:26" ht="21" customHeight="1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spans="1:26" ht="21" customHeight="1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spans="1:26" ht="21" customHeight="1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spans="1:26" ht="21" customHeight="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spans="1:26" ht="21" customHeight="1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spans="1:26" ht="21" customHeight="1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spans="1:26" ht="21" customHeight="1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spans="1:26" ht="21" customHeight="1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spans="1:26" ht="21" customHeight="1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spans="1:26" ht="21" customHeight="1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spans="1:26" ht="21" customHeight="1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spans="1:26" ht="21" customHeight="1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spans="1:26" ht="21" customHeight="1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spans="1:26" ht="21" customHeight="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spans="1:26" ht="21" customHeight="1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spans="1:26" ht="21" customHeight="1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spans="1:26" ht="21" customHeight="1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spans="1:26" ht="21" customHeight="1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spans="1:26" ht="21" customHeight="1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spans="1:26" ht="21" customHeight="1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spans="1:26" ht="21" customHeight="1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spans="1:26" ht="21" customHeight="1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spans="1:26" ht="21" customHeight="1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spans="1:26" ht="21" customHeight="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spans="1:26" ht="21" customHeight="1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spans="1:26" ht="21" customHeight="1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spans="1:26" ht="21" customHeight="1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spans="1:26" ht="21" customHeight="1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spans="1:26" ht="21" customHeight="1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spans="1:26" ht="21" customHeight="1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spans="1:26" ht="21" customHeight="1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spans="1:26" ht="21" customHeight="1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spans="1:26" ht="21" customHeight="1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spans="1:26" ht="21" customHeight="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spans="1:26" ht="21" customHeight="1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spans="1:26" ht="21" customHeight="1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spans="1:26" ht="21" customHeight="1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spans="1:26" ht="21" customHeight="1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spans="1:26" ht="21" customHeight="1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spans="1:26" ht="21" customHeight="1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spans="1:26" ht="21" customHeight="1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spans="1:26" ht="21" customHeight="1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spans="1:26" ht="21" customHeight="1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spans="1:26" ht="21" customHeight="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spans="1:26" ht="21" customHeight="1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spans="1:26" ht="21" customHeight="1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spans="1:26" ht="21" customHeight="1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spans="1:26" ht="21" customHeight="1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spans="1:26" ht="21" customHeight="1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spans="1:26" ht="21" customHeight="1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spans="1:26" ht="21" customHeight="1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spans="1:26" ht="21" customHeight="1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spans="1:26" ht="21" customHeight="1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spans="1:26" ht="21" customHeight="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spans="1:26" ht="21" customHeight="1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spans="1:26" ht="21" customHeight="1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spans="1:26" ht="21" customHeight="1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spans="1:26" ht="21" customHeight="1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spans="1:26" ht="21" customHeight="1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spans="1:26" ht="21" customHeight="1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spans="1:26" ht="21" customHeight="1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spans="1:26" ht="21" customHeight="1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spans="1:26" ht="21" customHeight="1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spans="1:26" ht="21" customHeight="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spans="1:26" ht="21" customHeight="1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spans="1:26" ht="21" customHeight="1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spans="1:26" ht="21" customHeight="1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spans="1:26" ht="21" customHeight="1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spans="1:26" ht="21" customHeight="1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spans="1:26" ht="21" customHeight="1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spans="1:26" ht="21" customHeight="1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spans="1:26" ht="21" customHeight="1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spans="1:26" ht="21" customHeight="1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spans="1:26" ht="21" customHeight="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spans="1:26" ht="21" customHeight="1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spans="1:26" ht="21" customHeight="1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spans="1:26" ht="21" customHeight="1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spans="1:26" ht="21" customHeight="1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spans="1:26" ht="21" customHeight="1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spans="1:26" ht="21" customHeight="1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spans="1:26" ht="21" customHeight="1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spans="1:26" ht="21" customHeight="1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spans="1:26" ht="21" customHeight="1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spans="1:26" ht="21" customHeight="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spans="1:26" ht="21" customHeight="1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spans="1:26" ht="21" customHeight="1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spans="1:26" ht="21" customHeight="1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spans="1:26" ht="21" customHeight="1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spans="1:26" ht="21" customHeight="1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spans="1:26" ht="21" customHeight="1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spans="1:26" ht="21" customHeight="1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spans="1:26" ht="21" customHeight="1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spans="1:26" ht="21" customHeight="1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spans="1:26" ht="21" customHeight="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spans="1:26" ht="21" customHeight="1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spans="1:26" ht="21" customHeight="1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spans="1:26" ht="21" customHeight="1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spans="1:26" ht="21" customHeight="1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spans="1:26" ht="21" customHeight="1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spans="1:26" ht="21" customHeight="1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spans="1:26" ht="21" customHeight="1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spans="1:26" ht="21" customHeight="1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spans="1:26" ht="21" customHeight="1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spans="1:26" ht="21" customHeight="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spans="1:26" ht="21" customHeight="1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spans="1:26" ht="21" customHeight="1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spans="1:26" ht="21" customHeight="1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spans="1:26" ht="21" customHeight="1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spans="1:26" ht="21" customHeight="1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spans="1:26" ht="21" customHeight="1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spans="1:26" ht="21" customHeight="1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spans="1:26" ht="21" customHeight="1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spans="1:26" ht="21" customHeight="1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spans="1:26" ht="21" customHeight="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spans="1:26" ht="21" customHeight="1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spans="1:26" ht="21" customHeight="1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spans="1:26" ht="21" customHeight="1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spans="1:26" ht="21" customHeight="1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spans="1:26" ht="21" customHeight="1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spans="1:26" ht="21" customHeight="1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spans="1:26" ht="21" customHeight="1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spans="1:26" ht="21" customHeight="1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spans="1:26" ht="21" customHeight="1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spans="1:26" ht="21" customHeight="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spans="1:26" ht="21" customHeight="1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spans="1:26" ht="21" customHeight="1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spans="1:26" ht="21" customHeight="1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spans="1:26" ht="21" customHeight="1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spans="1:26" ht="21" customHeight="1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spans="1:26" ht="21" customHeight="1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spans="1:26" ht="21" customHeight="1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spans="1:26" ht="21" customHeight="1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spans="1:26" ht="21" customHeight="1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spans="1:26" ht="21" customHeight="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spans="1:26" ht="21" customHeight="1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spans="1:26" ht="21" customHeight="1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spans="1:26" ht="21" customHeight="1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spans="1:26" ht="21" customHeight="1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spans="1:26" ht="21" customHeight="1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spans="1:26" ht="21" customHeight="1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spans="1:26" ht="21" customHeight="1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spans="1:26" ht="21" customHeight="1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spans="1:26" ht="21" customHeight="1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spans="1:26" ht="21" customHeight="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spans="1:26" ht="21" customHeight="1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spans="1:26" ht="21" customHeight="1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spans="1:26" ht="21" customHeight="1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spans="1:26" ht="21" customHeight="1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spans="1:26" ht="21" customHeight="1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spans="1:26" ht="21" customHeight="1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spans="1:26" ht="21" customHeight="1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spans="1:26" ht="21" customHeight="1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spans="1:26" ht="21" customHeight="1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spans="1:26" ht="21" customHeight="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spans="1:26" ht="21" customHeight="1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spans="1:26" ht="21" customHeight="1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spans="1:26" ht="21" customHeight="1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spans="1:26" ht="21" customHeight="1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spans="1:26" ht="21" customHeight="1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spans="1:26" ht="21" customHeight="1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spans="1:26" ht="21" customHeight="1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spans="1:26" ht="21" customHeight="1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spans="1:26" ht="21" customHeight="1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spans="1:26" ht="21" customHeight="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spans="1:26" ht="21" customHeight="1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spans="1:26" ht="21" customHeight="1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spans="1:26" ht="21" customHeight="1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spans="1:26" ht="21" customHeight="1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spans="1:26" ht="21" customHeight="1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spans="1:26" ht="21" customHeight="1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spans="1:26" ht="21" customHeight="1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spans="1:26" ht="21" customHeight="1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spans="1:26" ht="21" customHeight="1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spans="1:26" ht="21" customHeight="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spans="1:26" ht="21" customHeight="1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spans="1:26" ht="21" customHeight="1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spans="1:26" ht="21" customHeight="1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spans="1:26" ht="21" customHeight="1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spans="1:26" ht="21" customHeight="1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spans="1:26" ht="21" customHeight="1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spans="1:26" ht="21" customHeight="1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spans="1:26" ht="21" customHeight="1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spans="1:26" ht="21" customHeight="1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spans="1:26" ht="21" customHeight="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spans="1:26" ht="21" customHeight="1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spans="1:26" ht="21" customHeight="1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spans="1:26" ht="21" customHeight="1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spans="1:26" ht="21" customHeight="1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spans="1:26" ht="21" customHeight="1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spans="1:26" ht="21" customHeight="1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spans="1:26" ht="21" customHeight="1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spans="1:26" ht="21" customHeight="1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spans="1:26" ht="21" customHeight="1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spans="1:26" ht="21" customHeight="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spans="1:26" ht="21" customHeight="1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spans="1:26" ht="21" customHeight="1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spans="1:26" ht="21" customHeight="1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spans="1:26" ht="21" customHeight="1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spans="1:26" ht="21" customHeight="1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spans="1:26" ht="21" customHeight="1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spans="1:26" ht="21" customHeight="1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spans="1:26" ht="21" customHeight="1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spans="1:26" ht="21" customHeight="1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spans="1:26" ht="21" customHeight="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spans="1:26" ht="21" customHeight="1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spans="1:26" ht="21" customHeight="1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spans="1:26" ht="21" customHeight="1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spans="1:26" ht="21" customHeight="1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spans="1:26" ht="21" customHeight="1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spans="1:26" ht="21" customHeight="1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spans="1:26" ht="21" customHeight="1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spans="1:26" ht="21" customHeight="1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spans="1:26" ht="21" customHeight="1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spans="1:26" ht="21" customHeight="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spans="1:26" ht="21" customHeight="1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spans="1:26" ht="21" customHeight="1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spans="1:26" ht="21" customHeight="1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spans="1:26" ht="21" customHeight="1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spans="1:26" ht="21" customHeight="1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spans="1:26" ht="21" customHeight="1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spans="1:26" ht="21" customHeight="1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spans="1:26" ht="21" customHeight="1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spans="1:26" ht="21" customHeight="1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spans="1:26" ht="21" customHeight="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spans="1:26" ht="21" customHeight="1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spans="1:26" ht="21" customHeight="1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spans="1:26" ht="21" customHeight="1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spans="1:26" ht="21" customHeight="1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spans="1:26" ht="21" customHeight="1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spans="1:26" ht="21" customHeight="1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spans="1:26" ht="21" customHeight="1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spans="1:26" ht="21" customHeight="1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spans="1:26" ht="21" customHeight="1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spans="1:26" ht="21" customHeight="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spans="1:26" ht="21" customHeight="1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spans="1:26" ht="21" customHeight="1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spans="1:26" ht="21" customHeight="1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spans="1:26" ht="21" customHeight="1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spans="1:26" ht="21" customHeight="1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spans="1:26" ht="21" customHeight="1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spans="1:26" ht="21" customHeight="1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spans="1:26" ht="21" customHeight="1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spans="1:26" ht="21" customHeight="1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spans="1:26" ht="21" customHeight="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spans="1:26" ht="21" customHeight="1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spans="1:26" ht="21" customHeight="1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spans="1:26" ht="21" customHeight="1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spans="1:26" ht="21" customHeight="1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spans="1:26" ht="21" customHeight="1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spans="1:26" ht="21" customHeight="1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spans="1:26" ht="21" customHeight="1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spans="1:26" ht="21" customHeight="1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spans="1:26" ht="21" customHeight="1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spans="1:26" ht="21" customHeight="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spans="1:26" ht="21" customHeight="1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spans="1:26" ht="21" customHeight="1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spans="1:26" ht="21" customHeight="1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spans="1:26" ht="21" customHeight="1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spans="1:26" ht="21" customHeight="1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spans="1:26" ht="21" customHeight="1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spans="1:26" ht="21" customHeight="1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spans="1:26" ht="21" customHeight="1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spans="1:26" ht="21" customHeight="1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spans="1:26" ht="21" customHeight="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spans="1:26" ht="21" customHeight="1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spans="1:26" ht="21" customHeight="1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spans="1:26" ht="21" customHeight="1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spans="1:26" ht="21" customHeight="1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spans="1:26" ht="21" customHeight="1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spans="1:26" ht="21" customHeight="1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spans="1:26" ht="21" customHeight="1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spans="1:26" ht="21" customHeight="1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spans="1:26" ht="21" customHeight="1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spans="1:26" ht="21" customHeight="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spans="1:26" ht="21" customHeight="1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spans="1:26" ht="21" customHeight="1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spans="1:26" ht="21" customHeight="1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spans="1:26" ht="21" customHeight="1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spans="1:26" ht="21" customHeight="1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spans="1:26" ht="21" customHeight="1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spans="1:26" ht="21" customHeight="1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spans="1:26" ht="21" customHeight="1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spans="1:26" ht="21" customHeight="1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spans="1:26" ht="21" customHeight="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spans="1:26" ht="21" customHeight="1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spans="1:26" ht="21" customHeight="1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spans="1:26" ht="21" customHeight="1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spans="1:26" ht="21" customHeight="1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spans="1:26" ht="21" customHeight="1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spans="1:26" ht="21" customHeight="1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spans="1:26" ht="21" customHeight="1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spans="1:26" ht="21" customHeight="1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spans="1:26" ht="21" customHeight="1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spans="1:26" ht="21" customHeight="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spans="1:26" ht="21" customHeight="1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spans="1:26" ht="21" customHeight="1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spans="1:26" ht="21" customHeight="1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spans="1:26" ht="21" customHeight="1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spans="1:26" ht="21" customHeight="1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spans="1:26" ht="21" customHeight="1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spans="1:26" ht="21" customHeight="1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spans="1:26" ht="21" customHeight="1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spans="1:26" ht="21" customHeight="1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spans="1:26" ht="21" customHeight="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spans="1:26" ht="21" customHeight="1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spans="1:26" ht="21" customHeight="1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spans="1:26" ht="21" customHeight="1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spans="1:26" ht="21" customHeight="1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spans="1:26" ht="21" customHeight="1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spans="1:26" ht="21" customHeight="1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spans="1:26" ht="21" customHeight="1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spans="1:26" ht="21" customHeight="1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spans="1:26" ht="21" customHeight="1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spans="1:26" ht="21" customHeight="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spans="1:26" ht="21" customHeight="1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spans="1:26" ht="21" customHeight="1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spans="1:26" ht="21" customHeight="1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spans="1:26" ht="21" customHeight="1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spans="1:26" ht="21" customHeight="1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spans="1:26" ht="21" customHeight="1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spans="1:26" ht="21" customHeight="1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spans="1:26" ht="21" customHeight="1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spans="1:26" ht="21" customHeight="1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spans="1:26" ht="21" customHeight="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spans="1:26" ht="21" customHeight="1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spans="1:26" ht="21" customHeight="1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spans="1:26" ht="21" customHeight="1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spans="1:26" ht="21" customHeight="1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spans="1:26" ht="21" customHeight="1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spans="1:26" ht="21" customHeight="1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spans="1:26" ht="21" customHeight="1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spans="1:26" ht="21" customHeight="1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spans="1:26" ht="21" customHeight="1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spans="1:26" ht="21" customHeight="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spans="1:26" ht="21" customHeight="1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spans="1:26" ht="21" customHeight="1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spans="1:26" ht="21" customHeight="1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spans="1:26" ht="21" customHeight="1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spans="1:26" ht="21" customHeight="1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spans="1:26" ht="21" customHeight="1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spans="1:26" ht="21" customHeight="1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spans="1:26" ht="21" customHeight="1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spans="1:26" ht="21" customHeight="1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spans="1:26" ht="21" customHeight="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spans="1:26" ht="21" customHeight="1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spans="1:26" ht="21" customHeight="1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spans="1:26" ht="21" customHeight="1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spans="1:26" ht="21" customHeight="1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spans="1:26" ht="21" customHeight="1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spans="1:26" ht="21" customHeight="1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spans="1:26" ht="21" customHeight="1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spans="1:26" ht="21" customHeight="1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spans="1:26" ht="21" customHeight="1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spans="1:26" ht="21" customHeight="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spans="1:26" ht="21" customHeight="1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spans="1:26" ht="21" customHeight="1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spans="1:26" ht="21" customHeight="1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spans="1:26" ht="21" customHeight="1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spans="1:26" ht="21" customHeight="1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spans="1:26" ht="21" customHeight="1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spans="1:26" ht="21" customHeight="1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spans="1:26" ht="21" customHeight="1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spans="1:26" ht="21" customHeight="1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spans="1:26" ht="21" customHeight="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spans="1:26" ht="21" customHeight="1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spans="1:26" ht="21" customHeight="1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spans="1:26" ht="21" customHeight="1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spans="1:26" ht="21" customHeight="1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spans="1:26" ht="21" customHeight="1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spans="1:26" ht="21" customHeight="1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spans="1:26" ht="21" customHeight="1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spans="1:26" ht="21" customHeight="1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spans="1:26" ht="21" customHeight="1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spans="1:26" ht="21" customHeight="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spans="1:26" ht="21" customHeight="1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spans="1:26" ht="21" customHeight="1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spans="1:26" ht="21" customHeight="1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spans="1:26" ht="21" customHeight="1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spans="1:26" ht="21" customHeight="1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spans="1:26" ht="21" customHeight="1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spans="1:26" ht="21" customHeight="1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spans="1:26" ht="21" customHeight="1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spans="1:26" ht="21" customHeight="1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spans="1:26" ht="21" customHeight="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spans="1:26" ht="21" customHeight="1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spans="1:26" ht="21" customHeight="1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spans="1:26" ht="21" customHeight="1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spans="1:26" ht="21" customHeight="1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spans="1:26" ht="21" customHeight="1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spans="1:26" ht="21" customHeight="1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spans="1:26" ht="21" customHeight="1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spans="1:26" ht="21" customHeight="1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spans="1:26" ht="21" customHeight="1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spans="1:26" ht="21" customHeight="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spans="1:26" ht="21" customHeight="1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spans="1:26" ht="21" customHeight="1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spans="1:26" ht="21" customHeight="1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spans="1:26" ht="21" customHeight="1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spans="1:26" ht="21" customHeight="1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spans="1:26" ht="21" customHeight="1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spans="1:26" ht="21" customHeight="1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spans="1:26" ht="21" customHeight="1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spans="1:26" ht="21" customHeight="1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spans="1:26" ht="21" customHeight="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spans="1:26" ht="21" customHeight="1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spans="1:26" ht="21" customHeight="1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spans="1:26" ht="21" customHeight="1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spans="1:26" ht="21" customHeight="1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spans="1:26" ht="21" customHeight="1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spans="1:26" ht="21" customHeight="1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spans="1:26" ht="21" customHeight="1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spans="1:26" ht="21" customHeight="1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spans="1:26" ht="21" customHeight="1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spans="1:26" ht="21" customHeight="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spans="1:26" ht="21" customHeight="1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spans="1:26" ht="21" customHeight="1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spans="1:26" ht="21" customHeight="1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spans="1:26" ht="21" customHeight="1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spans="1:26" ht="21" customHeight="1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spans="1:26" ht="21" customHeight="1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spans="1:26" ht="21" customHeight="1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spans="1:26" ht="21" customHeight="1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spans="1:26" ht="21" customHeight="1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spans="1:26" ht="21" customHeight="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spans="1:26" ht="21" customHeight="1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spans="1:26" ht="21" customHeight="1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spans="1:26" ht="21" customHeight="1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spans="1:26" ht="21" customHeight="1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spans="1:26" ht="21" customHeight="1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spans="1:26" ht="21" customHeight="1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spans="1:26" ht="21" customHeight="1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spans="1:26" ht="21" customHeight="1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spans="1:26" ht="21" customHeight="1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spans="1:26" ht="21" customHeight="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spans="1:26" ht="21" customHeight="1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spans="1:26" ht="21" customHeight="1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spans="1:26" ht="21" customHeight="1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spans="1:26" ht="21" customHeight="1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spans="1:26" ht="21" customHeight="1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spans="1:26" ht="21" customHeight="1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spans="1:26" ht="21" customHeight="1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spans="1:26" ht="21" customHeight="1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spans="1:26" ht="21" customHeight="1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spans="1:26" ht="21" customHeight="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spans="1:26" ht="21" customHeight="1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spans="1:26" ht="21" customHeight="1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spans="1:26" ht="21" customHeight="1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spans="1:26" ht="21" customHeight="1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spans="1:26" ht="21" customHeight="1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spans="1:26" ht="21" customHeight="1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spans="1:26" ht="21" customHeight="1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spans="1:26" ht="21" customHeight="1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spans="1:26" ht="21" customHeight="1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spans="1:26" ht="21" customHeight="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spans="1:26" ht="21" customHeight="1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spans="1:26" ht="21" customHeight="1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spans="1:26" ht="21" customHeight="1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spans="1:26" ht="21" customHeight="1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spans="1:26" ht="21" customHeight="1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spans="1:26" ht="21" customHeight="1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spans="1:26" ht="21" customHeight="1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spans="1:26" ht="21" customHeight="1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spans="1:26" ht="21" customHeight="1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spans="1:26" ht="21" customHeight="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spans="1:26" ht="21" customHeight="1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spans="1:26" ht="21" customHeight="1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spans="1:26" ht="21" customHeight="1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spans="1:26" ht="21" customHeight="1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spans="1:26" ht="21" customHeight="1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spans="1:26" ht="21" customHeight="1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spans="1:26" ht="21" customHeight="1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spans="1:26" ht="21" customHeight="1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spans="1:26" ht="21" customHeight="1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spans="1:26" ht="21" customHeight="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spans="1:26" ht="21" customHeight="1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spans="1:26" ht="21" customHeight="1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spans="1:26" ht="21" customHeight="1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spans="1:26" ht="21" customHeight="1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spans="1:26" ht="21" customHeight="1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spans="1:26" ht="21" customHeight="1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spans="1:26" ht="21" customHeight="1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spans="1:26" ht="21" customHeight="1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spans="1:26" ht="21" customHeight="1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spans="1:26" ht="21" customHeight="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spans="1:26" ht="21" customHeight="1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spans="1:26" ht="21" customHeight="1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spans="1:26" ht="21" customHeight="1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spans="1:26" ht="21" customHeight="1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spans="1:26" ht="21" customHeight="1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spans="1:26" ht="21" customHeight="1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spans="1:26" ht="21" customHeight="1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spans="1:26" ht="21" customHeight="1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spans="1:26" ht="21" customHeight="1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spans="1:26" ht="21" customHeight="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spans="1:26" ht="21" customHeight="1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spans="1:26" ht="21" customHeight="1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spans="1:26" ht="21" customHeight="1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spans="1:26" ht="21" customHeight="1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spans="1:26" ht="21" customHeight="1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spans="1:26" ht="21" customHeight="1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spans="1:26" ht="21" customHeight="1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spans="1:26" ht="21" customHeight="1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spans="1:26" ht="21" customHeight="1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spans="1:26" ht="21" customHeight="1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spans="1:26" ht="21" customHeight="1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spans="1:26" ht="21" customHeight="1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spans="1:26" ht="21" customHeight="1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spans="1:26" ht="21" customHeight="1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spans="1:26" ht="21" customHeight="1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spans="1:26" ht="21" customHeight="1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spans="1:26" ht="21" customHeight="1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spans="1:26" ht="21" customHeight="1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spans="1:26" ht="21" customHeight="1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spans="1:26" ht="21" customHeight="1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spans="1:26" ht="21" customHeight="1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spans="1:26" ht="21" customHeight="1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spans="1:26" ht="21" customHeight="1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spans="1:26" ht="21" customHeight="1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spans="1:26" ht="21" customHeight="1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spans="1:26" ht="21" customHeight="1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spans="1:26" ht="21" customHeight="1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spans="1:26" ht="21" customHeight="1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spans="1:26" ht="21" customHeight="1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spans="1:26" ht="21" customHeight="1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spans="1:26" ht="21" customHeight="1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spans="1:26" ht="21" customHeight="1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spans="1:26" ht="21" customHeight="1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spans="1:26" ht="21" customHeight="1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spans="1:26" ht="21" customHeight="1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spans="1:26" ht="21" customHeight="1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spans="1:26" ht="21" customHeight="1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spans="1:26" ht="21" customHeight="1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spans="1:26" ht="21" customHeight="1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spans="1:26" ht="21" customHeight="1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spans="1:26" ht="21" customHeight="1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spans="1:26" ht="21" customHeight="1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spans="1:26" ht="21" customHeight="1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spans="1:26" ht="21" customHeight="1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spans="1:26" ht="21" customHeight="1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spans="1:26" ht="21" customHeight="1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spans="1:26" ht="21" customHeight="1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spans="1:26" ht="21" customHeight="1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spans="1:26" ht="21" customHeight="1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spans="1:26" ht="21" customHeight="1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spans="1:26" ht="21" customHeight="1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spans="1:26" ht="21" customHeight="1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spans="1:26" ht="21" customHeight="1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spans="1:26" ht="21" customHeight="1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spans="1:26" ht="21" customHeight="1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spans="1:26" ht="21" customHeight="1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spans="1:26" ht="21" customHeight="1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spans="1:26" ht="21" customHeight="1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spans="1:26" ht="21" customHeight="1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spans="1:26" ht="21" customHeight="1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spans="1:26" ht="21" customHeight="1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spans="1:26" ht="21" customHeight="1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spans="1:26" ht="21" customHeight="1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spans="1:26" ht="21" customHeight="1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spans="1:26" ht="21" customHeight="1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spans="1:26" ht="21" customHeight="1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spans="1:26" ht="21" customHeight="1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spans="1:26" ht="21" customHeight="1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spans="1:26" ht="21" customHeight="1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spans="1:26" ht="21" customHeight="1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spans="1:26" ht="21" customHeight="1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spans="1:26" ht="21" customHeight="1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spans="1:26" ht="21" customHeight="1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spans="1:26" ht="21" customHeight="1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spans="1:26" ht="21" customHeight="1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spans="1:26" ht="21" customHeight="1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spans="1:26" ht="21" customHeight="1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spans="1:26" ht="21" customHeight="1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spans="1:26" ht="21" customHeight="1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spans="1:26" ht="21" customHeight="1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spans="1:26" ht="21" customHeight="1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spans="1:26" ht="21" customHeight="1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spans="1:26" ht="21" customHeight="1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spans="1:26" ht="21" customHeight="1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spans="1:26" ht="21" customHeight="1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spans="1:26" ht="21" customHeight="1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 spans="1:26" ht="21" customHeight="1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 spans="1:26" ht="21" customHeight="1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 spans="1:26" ht="21" customHeight="1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 spans="1:26" ht="21" customHeight="1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 spans="1:26" ht="21" customHeight="1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 spans="1:26" ht="21" customHeight="1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 spans="1:26" ht="21" customHeight="1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 spans="1:26" ht="21" customHeight="1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 spans="1:26" ht="21" customHeight="1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 spans="1:26" ht="21" customHeight="1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 spans="1:26" ht="21" customHeight="1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 spans="1:26" ht="21" customHeight="1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 spans="1:26" ht="21" customHeight="1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  <row r="1001" spans="1:26" ht="21" customHeight="1">
      <c r="A1001" s="71"/>
      <c r="B1001" s="71"/>
      <c r="C1001" s="71"/>
      <c r="D1001" s="71"/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  <c r="T1001" s="71"/>
      <c r="U1001" s="71"/>
      <c r="V1001" s="71"/>
      <c r="W1001" s="71"/>
      <c r="X1001" s="71"/>
      <c r="Y1001" s="71"/>
      <c r="Z1001" s="71"/>
    </row>
    <row r="1002" spans="1:26" ht="21" customHeight="1">
      <c r="A1002" s="71"/>
      <c r="B1002" s="71"/>
      <c r="C1002" s="71"/>
      <c r="D1002" s="71"/>
      <c r="E1002" s="71"/>
      <c r="F1002" s="71"/>
      <c r="G1002" s="71"/>
      <c r="H1002" s="71"/>
      <c r="I1002" s="71"/>
      <c r="J1002" s="71"/>
      <c r="K1002" s="71"/>
      <c r="L1002" s="71"/>
      <c r="M1002" s="71"/>
      <c r="N1002" s="71"/>
      <c r="O1002" s="71"/>
      <c r="P1002" s="71"/>
      <c r="Q1002" s="71"/>
      <c r="R1002" s="71"/>
      <c r="S1002" s="71"/>
      <c r="T1002" s="71"/>
      <c r="U1002" s="71"/>
      <c r="V1002" s="71"/>
      <c r="W1002" s="71"/>
      <c r="X1002" s="71"/>
      <c r="Y1002" s="71"/>
      <c r="Z1002" s="71"/>
    </row>
    <row r="1003" spans="1:26" ht="21" customHeight="1">
      <c r="A1003" s="71"/>
      <c r="B1003" s="71"/>
      <c r="C1003" s="71"/>
      <c r="D1003" s="71"/>
      <c r="E1003" s="71"/>
      <c r="F1003" s="71"/>
      <c r="G1003" s="71"/>
      <c r="H1003" s="71"/>
      <c r="I1003" s="71"/>
      <c r="J1003" s="71"/>
      <c r="K1003" s="71"/>
      <c r="L1003" s="71"/>
      <c r="M1003" s="71"/>
      <c r="N1003" s="71"/>
      <c r="O1003" s="71"/>
      <c r="P1003" s="71"/>
      <c r="Q1003" s="71"/>
      <c r="R1003" s="71"/>
      <c r="S1003" s="71"/>
      <c r="T1003" s="71"/>
      <c r="U1003" s="71"/>
      <c r="V1003" s="71"/>
      <c r="W1003" s="71"/>
      <c r="X1003" s="71"/>
      <c r="Y1003" s="71"/>
      <c r="Z1003" s="71"/>
    </row>
    <row r="1004" spans="1:26" ht="21" customHeight="1">
      <c r="A1004" s="71"/>
      <c r="B1004" s="71"/>
      <c r="C1004" s="71"/>
      <c r="D1004" s="71"/>
      <c r="E1004" s="71"/>
      <c r="F1004" s="71"/>
      <c r="G1004" s="71"/>
      <c r="H1004" s="71"/>
      <c r="I1004" s="71"/>
      <c r="J1004" s="71"/>
      <c r="K1004" s="71"/>
      <c r="L1004" s="71"/>
      <c r="M1004" s="71"/>
      <c r="N1004" s="71"/>
      <c r="O1004" s="71"/>
      <c r="P1004" s="71"/>
      <c r="Q1004" s="71"/>
      <c r="R1004" s="71"/>
      <c r="S1004" s="71"/>
      <c r="T1004" s="71"/>
      <c r="U1004" s="71"/>
      <c r="V1004" s="71"/>
      <c r="W1004" s="71"/>
      <c r="X1004" s="71"/>
      <c r="Y1004" s="71"/>
      <c r="Z1004" s="71"/>
    </row>
    <row r="1005" spans="1:26" ht="21" customHeight="1">
      <c r="A1005" s="71"/>
      <c r="B1005" s="71"/>
      <c r="C1005" s="71"/>
      <c r="D1005" s="71"/>
      <c r="E1005" s="71"/>
      <c r="F1005" s="71"/>
      <c r="G1005" s="71"/>
      <c r="H1005" s="71"/>
      <c r="I1005" s="71"/>
      <c r="J1005" s="71"/>
      <c r="K1005" s="71"/>
      <c r="L1005" s="71"/>
      <c r="M1005" s="71"/>
      <c r="N1005" s="71"/>
      <c r="O1005" s="71"/>
      <c r="P1005" s="71"/>
      <c r="Q1005" s="71"/>
      <c r="R1005" s="71"/>
      <c r="S1005" s="71"/>
      <c r="T1005" s="71"/>
      <c r="U1005" s="71"/>
      <c r="V1005" s="71"/>
      <c r="W1005" s="71"/>
      <c r="X1005" s="71"/>
      <c r="Y1005" s="71"/>
      <c r="Z1005" s="71"/>
    </row>
    <row r="1006" spans="1:26" ht="21" customHeight="1">
      <c r="A1006" s="71"/>
      <c r="B1006" s="71"/>
      <c r="C1006" s="71"/>
      <c r="D1006" s="71"/>
      <c r="E1006" s="71"/>
      <c r="F1006" s="71"/>
      <c r="G1006" s="71"/>
      <c r="H1006" s="71"/>
      <c r="I1006" s="71"/>
      <c r="J1006" s="71"/>
      <c r="K1006" s="71"/>
      <c r="L1006" s="71"/>
      <c r="M1006" s="71"/>
      <c r="N1006" s="71"/>
      <c r="O1006" s="71"/>
      <c r="P1006" s="71"/>
      <c r="Q1006" s="71"/>
      <c r="R1006" s="71"/>
      <c r="S1006" s="71"/>
      <c r="T1006" s="71"/>
      <c r="U1006" s="71"/>
      <c r="V1006" s="71"/>
      <c r="W1006" s="71"/>
      <c r="X1006" s="71"/>
      <c r="Y1006" s="71"/>
      <c r="Z1006" s="71"/>
    </row>
  </sheetData>
  <pageMargins left="0.7" right="0.7" top="0.75" bottom="0.75" header="0" footer="0"/>
  <pageSetup orientation="landscape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25"/>
  <sheetViews>
    <sheetView showGridLines="0" zoomScale="90" zoomScaleNormal="90" zoomScalePageLayoutView="125" workbookViewId="0">
      <selection activeCell="J1" sqref="J1:J5"/>
    </sheetView>
  </sheetViews>
  <sheetFormatPr defaultColWidth="0" defaultRowHeight="15.6" zeroHeight="1"/>
  <cols>
    <col min="1" max="3" width="11.44140625" style="1" customWidth="1"/>
    <col min="4" max="4" width="21.109375" style="1" bestFit="1" customWidth="1"/>
    <col min="5" max="9" width="11.77734375" style="1" bestFit="1" customWidth="1"/>
    <col min="10" max="10" width="2.44140625" style="1" customWidth="1"/>
    <col min="11" max="16384" width="11.44140625" style="1" hidden="1"/>
  </cols>
  <sheetData>
    <row r="1" spans="1:10">
      <c r="A1" s="297"/>
      <c r="B1" s="297"/>
      <c r="C1" s="297"/>
      <c r="D1" s="297"/>
      <c r="E1" s="297"/>
      <c r="F1" s="297"/>
      <c r="G1" s="297"/>
      <c r="H1" s="297"/>
      <c r="I1" s="297"/>
      <c r="J1" s="296"/>
    </row>
    <row r="2" spans="1:10">
      <c r="A2" s="297"/>
      <c r="B2" s="297"/>
      <c r="C2" s="297"/>
      <c r="D2" s="297"/>
      <c r="E2" s="297"/>
      <c r="F2" s="297"/>
      <c r="G2" s="297"/>
      <c r="H2" s="297"/>
      <c r="I2" s="297"/>
      <c r="J2" s="296"/>
    </row>
    <row r="3" spans="1:10">
      <c r="A3" s="359"/>
      <c r="B3" s="359"/>
      <c r="C3" s="359"/>
      <c r="D3" s="359"/>
      <c r="E3" s="359"/>
      <c r="F3" s="359"/>
      <c r="G3" s="359"/>
      <c r="H3" s="359"/>
      <c r="I3" s="359"/>
      <c r="J3" s="296"/>
    </row>
    <row r="4" spans="1:10">
      <c r="A4" s="299"/>
      <c r="B4" s="299"/>
      <c r="C4" s="299"/>
      <c r="D4" s="299"/>
      <c r="E4" s="299"/>
      <c r="F4" s="299"/>
      <c r="G4" s="299"/>
      <c r="H4" s="299"/>
      <c r="I4" s="299"/>
      <c r="J4" s="296"/>
    </row>
    <row r="5" spans="1:10">
      <c r="J5" s="296"/>
    </row>
    <row r="6" spans="1:10">
      <c r="J6" s="296"/>
    </row>
    <row r="7" spans="1:10">
      <c r="J7" s="296"/>
    </row>
    <row r="8" spans="1:10">
      <c r="D8" s="4" t="s">
        <v>40</v>
      </c>
      <c r="E8" s="5">
        <f>'Startup Costs'!E29</f>
        <v>53000</v>
      </c>
      <c r="F8" s="6"/>
      <c r="G8" s="6"/>
      <c r="H8" s="6"/>
      <c r="I8" s="6"/>
      <c r="J8" s="296"/>
    </row>
    <row r="9" spans="1:10" ht="16.2" thickBot="1">
      <c r="D9" s="6"/>
      <c r="E9" s="6"/>
      <c r="F9" s="6"/>
      <c r="G9" s="6"/>
      <c r="H9" s="6"/>
      <c r="I9" s="6"/>
      <c r="J9" s="296"/>
    </row>
    <row r="10" spans="1:10">
      <c r="D10" s="55" t="s">
        <v>41</v>
      </c>
      <c r="E10" s="56">
        <v>0.1</v>
      </c>
      <c r="F10" s="57"/>
      <c r="G10" s="57"/>
      <c r="H10" s="57"/>
      <c r="I10" s="58"/>
      <c r="J10" s="296"/>
    </row>
    <row r="11" spans="1:10">
      <c r="D11" s="7"/>
      <c r="E11" s="8"/>
      <c r="F11" s="8"/>
      <c r="G11" s="8"/>
      <c r="H11" s="8"/>
      <c r="I11" s="9"/>
      <c r="J11" s="296"/>
    </row>
    <row r="12" spans="1:10">
      <c r="D12" s="7"/>
      <c r="E12" s="10" t="s">
        <v>4</v>
      </c>
      <c r="F12" s="10" t="s">
        <v>5</v>
      </c>
      <c r="G12" s="10" t="s">
        <v>6</v>
      </c>
      <c r="H12" s="10" t="s">
        <v>8</v>
      </c>
      <c r="I12" s="11" t="s">
        <v>9</v>
      </c>
      <c r="J12" s="296"/>
    </row>
    <row r="13" spans="1:10">
      <c r="D13" s="7"/>
      <c r="E13" s="12"/>
      <c r="F13" s="12"/>
      <c r="G13" s="12"/>
      <c r="H13" s="12"/>
      <c r="I13" s="13"/>
      <c r="J13" s="296"/>
    </row>
    <row r="14" spans="1:10">
      <c r="D14" s="7" t="s">
        <v>42</v>
      </c>
      <c r="E14" s="12">
        <f>E8</f>
        <v>53000</v>
      </c>
      <c r="F14" s="12">
        <f>E18</f>
        <v>53000</v>
      </c>
      <c r="G14" s="12">
        <f>F18</f>
        <v>39750</v>
      </c>
      <c r="H14" s="12">
        <f>G18</f>
        <v>26500</v>
      </c>
      <c r="I14" s="13">
        <f>H18</f>
        <v>13250</v>
      </c>
      <c r="J14" s="296"/>
    </row>
    <row r="15" spans="1:10">
      <c r="D15" s="7"/>
      <c r="E15" s="12"/>
      <c r="F15" s="12"/>
      <c r="G15" s="12"/>
      <c r="H15" s="12"/>
      <c r="I15" s="13"/>
      <c r="J15" s="296"/>
    </row>
    <row r="16" spans="1:10">
      <c r="D16" s="62" t="s">
        <v>43</v>
      </c>
      <c r="E16" s="63">
        <v>0</v>
      </c>
      <c r="F16" s="63">
        <f>E8/4</f>
        <v>13250</v>
      </c>
      <c r="G16" s="63">
        <f>F16</f>
        <v>13250</v>
      </c>
      <c r="H16" s="63">
        <f>G16</f>
        <v>13250</v>
      </c>
      <c r="I16" s="64">
        <f>I14</f>
        <v>13250</v>
      </c>
      <c r="J16" s="296"/>
    </row>
    <row r="17" spans="1:10">
      <c r="D17" s="7"/>
      <c r="E17" s="12"/>
      <c r="F17" s="12"/>
      <c r="G17" s="12"/>
      <c r="H17" s="12"/>
      <c r="I17" s="13"/>
      <c r="J17" s="296"/>
    </row>
    <row r="18" spans="1:10">
      <c r="D18" s="7" t="s">
        <v>28</v>
      </c>
      <c r="E18" s="12">
        <f>E14</f>
        <v>53000</v>
      </c>
      <c r="F18" s="12">
        <f>F14-F16</f>
        <v>39750</v>
      </c>
      <c r="G18" s="12">
        <f t="shared" ref="G18:I18" si="0">G14-G16</f>
        <v>26500</v>
      </c>
      <c r="H18" s="12">
        <f t="shared" si="0"/>
        <v>13250</v>
      </c>
      <c r="I18" s="13">
        <f t="shared" si="0"/>
        <v>0</v>
      </c>
      <c r="J18" s="296"/>
    </row>
    <row r="19" spans="1:10">
      <c r="D19" s="7"/>
      <c r="E19" s="12"/>
      <c r="F19" s="12"/>
      <c r="G19" s="12"/>
      <c r="H19" s="12"/>
      <c r="I19" s="13"/>
      <c r="J19" s="296"/>
    </row>
    <row r="20" spans="1:10" ht="16.2" thickBot="1">
      <c r="D20" s="59" t="s">
        <v>44</v>
      </c>
      <c r="E20" s="60">
        <f>E18*$E$10</f>
        <v>5300</v>
      </c>
      <c r="F20" s="60">
        <f t="shared" ref="F20:I20" si="1">F14*$E$10</f>
        <v>5300</v>
      </c>
      <c r="G20" s="60">
        <f t="shared" si="1"/>
        <v>3975</v>
      </c>
      <c r="H20" s="60">
        <f t="shared" si="1"/>
        <v>2650</v>
      </c>
      <c r="I20" s="61">
        <f t="shared" si="1"/>
        <v>1325</v>
      </c>
      <c r="J20" s="296"/>
    </row>
    <row r="21" spans="1:10">
      <c r="J21" s="296"/>
    </row>
    <row r="22" spans="1:10">
      <c r="J22" s="296"/>
    </row>
    <row r="23" spans="1:10" ht="28.5" customHeight="1">
      <c r="D23" s="483" t="s">
        <v>78</v>
      </c>
      <c r="E23" s="484"/>
      <c r="F23" s="484"/>
      <c r="G23" s="484"/>
      <c r="H23" s="484"/>
      <c r="I23" s="484"/>
      <c r="J23" s="296"/>
    </row>
    <row r="24" spans="1:10">
      <c r="J24" s="296"/>
    </row>
    <row r="25" spans="1:10">
      <c r="A25" s="296"/>
      <c r="B25" s="296"/>
      <c r="C25" s="296"/>
      <c r="D25" s="296"/>
      <c r="E25" s="296"/>
      <c r="F25" s="296"/>
      <c r="G25" s="296"/>
      <c r="H25" s="296"/>
      <c r="I25" s="296"/>
      <c r="J25" s="296"/>
    </row>
  </sheetData>
  <mergeCells count="1">
    <mergeCell ref="D23:I23"/>
  </mergeCells>
  <pageMargins left="0.75" right="0.75" top="1" bottom="1" header="0.5" footer="0.5"/>
  <pageSetup fitToHeight="0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39"/>
  <sheetViews>
    <sheetView showGridLines="0" topLeftCell="A10" zoomScale="80" zoomScaleNormal="80" zoomScalePageLayoutView="115" workbookViewId="0">
      <selection activeCell="E9" sqref="E9"/>
    </sheetView>
  </sheetViews>
  <sheetFormatPr defaultColWidth="0" defaultRowHeight="18" zeroHeight="1"/>
  <cols>
    <col min="1" max="3" width="11.44140625" style="2" customWidth="1"/>
    <col min="4" max="4" width="33.109375" style="2" bestFit="1" customWidth="1"/>
    <col min="5" max="9" width="13.109375" style="2" bestFit="1" customWidth="1"/>
    <col min="10" max="10" width="11.44140625" style="2" customWidth="1"/>
    <col min="11" max="11" width="4.109375" style="2" customWidth="1"/>
    <col min="12" max="16" width="0" style="2" hidden="1" customWidth="1"/>
    <col min="17" max="16384" width="11.44140625" style="2" hidden="1"/>
  </cols>
  <sheetData>
    <row r="1" spans="1:16">
      <c r="A1" s="297"/>
      <c r="B1" s="297"/>
      <c r="C1" s="297"/>
      <c r="D1" s="297"/>
      <c r="E1" s="297"/>
      <c r="F1" s="297"/>
      <c r="G1" s="297"/>
      <c r="H1" s="297"/>
      <c r="I1" s="297"/>
      <c r="J1" s="297"/>
      <c r="K1" s="296"/>
    </row>
    <row r="2" spans="1:16">
      <c r="A2" s="297"/>
      <c r="B2" s="297"/>
      <c r="C2" s="297"/>
      <c r="D2" s="297"/>
      <c r="E2" s="297"/>
      <c r="F2" s="297"/>
      <c r="G2" s="297"/>
      <c r="H2" s="297"/>
      <c r="I2" s="297"/>
      <c r="J2" s="297"/>
      <c r="K2" s="296"/>
    </row>
    <row r="3" spans="1:16">
      <c r="A3" s="359"/>
      <c r="B3" s="359"/>
      <c r="C3" s="359"/>
      <c r="D3" s="359"/>
      <c r="E3" s="359"/>
      <c r="F3" s="359"/>
      <c r="G3" s="359"/>
      <c r="H3" s="359"/>
      <c r="I3" s="359"/>
      <c r="J3" s="359"/>
      <c r="K3" s="296"/>
    </row>
    <row r="4" spans="1:16">
      <c r="A4" s="299"/>
      <c r="B4" s="299"/>
      <c r="C4" s="299"/>
      <c r="D4" s="299"/>
      <c r="E4" s="299"/>
      <c r="F4" s="299"/>
      <c r="G4" s="299"/>
      <c r="H4" s="299"/>
      <c r="I4" s="299"/>
      <c r="J4" s="299"/>
      <c r="K4" s="296"/>
    </row>
    <row r="5" spans="1:16">
      <c r="A5" s="359"/>
      <c r="K5" s="296"/>
    </row>
    <row r="6" spans="1:16">
      <c r="A6" s="359"/>
      <c r="K6" s="296"/>
    </row>
    <row r="7" spans="1:16">
      <c r="E7" s="3" t="s">
        <v>4</v>
      </c>
      <c r="F7" s="3" t="s">
        <v>5</v>
      </c>
      <c r="G7" s="3" t="s">
        <v>6</v>
      </c>
      <c r="H7" s="3" t="s">
        <v>8</v>
      </c>
      <c r="I7" s="3" t="s">
        <v>9</v>
      </c>
      <c r="K7" s="296"/>
    </row>
    <row r="8" spans="1:16">
      <c r="D8" s="19"/>
      <c r="E8" s="53"/>
      <c r="F8" s="53"/>
      <c r="G8" s="53"/>
      <c r="H8" s="53"/>
      <c r="I8" s="53"/>
      <c r="K8" s="296"/>
    </row>
    <row r="9" spans="1:16">
      <c r="D9" s="2" t="s">
        <v>72</v>
      </c>
      <c r="E9" s="20">
        <f>'Startup Costs'!C28</f>
        <v>7000</v>
      </c>
      <c r="K9" s="296"/>
    </row>
    <row r="10" spans="1:16">
      <c r="D10" s="2" t="s">
        <v>73</v>
      </c>
      <c r="E10" s="21"/>
      <c r="F10" s="21">
        <v>1100</v>
      </c>
      <c r="G10" s="21"/>
      <c r="H10" s="21">
        <v>1300</v>
      </c>
      <c r="I10" s="21"/>
      <c r="K10" s="296"/>
    </row>
    <row r="11" spans="1:16">
      <c r="E11" s="22"/>
      <c r="F11" s="22"/>
      <c r="G11" s="22"/>
      <c r="H11" s="22"/>
      <c r="I11" s="22"/>
      <c r="K11" s="296"/>
    </row>
    <row r="12" spans="1:16">
      <c r="D12" s="2" t="s">
        <v>23</v>
      </c>
      <c r="E12" s="54">
        <f>SUM(E9:E11)</f>
        <v>7000</v>
      </c>
      <c r="F12" s="54">
        <f t="shared" ref="F12:I12" si="0">F10+F11</f>
        <v>1100</v>
      </c>
      <c r="G12" s="54">
        <f t="shared" si="0"/>
        <v>0</v>
      </c>
      <c r="H12" s="54">
        <f t="shared" si="0"/>
        <v>1300</v>
      </c>
      <c r="I12" s="54">
        <f t="shared" si="0"/>
        <v>0</v>
      </c>
      <c r="K12" s="296"/>
    </row>
    <row r="13" spans="1:16">
      <c r="K13" s="296"/>
    </row>
    <row r="14" spans="1:16">
      <c r="K14" s="296"/>
    </row>
    <row r="15" spans="1:16">
      <c r="D15" s="23" t="s">
        <v>18</v>
      </c>
      <c r="E15" s="14"/>
      <c r="F15" s="14"/>
      <c r="G15" s="14"/>
      <c r="H15" s="14"/>
      <c r="I15" s="14"/>
      <c r="K15" s="296"/>
      <c r="L15" s="330"/>
      <c r="M15" s="330"/>
      <c r="N15" s="330"/>
      <c r="O15" s="330"/>
      <c r="P15" s="330"/>
    </row>
    <row r="16" spans="1:16" ht="18.600000000000001" thickBot="1">
      <c r="D16" s="24"/>
      <c r="E16" s="14"/>
      <c r="F16" s="14"/>
      <c r="G16" s="14"/>
      <c r="H16" s="14"/>
      <c r="I16" s="14"/>
      <c r="K16" s="296"/>
    </row>
    <row r="17" spans="4:11">
      <c r="D17" s="25" t="s">
        <v>19</v>
      </c>
      <c r="E17" s="26">
        <v>5</v>
      </c>
      <c r="F17" s="27" t="s">
        <v>20</v>
      </c>
      <c r="G17" s="28"/>
      <c r="H17" s="28"/>
      <c r="I17" s="29"/>
      <c r="K17" s="296"/>
    </row>
    <row r="18" spans="4:11">
      <c r="D18" s="30"/>
      <c r="E18" s="31"/>
      <c r="F18" s="15"/>
      <c r="G18" s="15"/>
      <c r="H18" s="15"/>
      <c r="I18" s="16"/>
      <c r="K18" s="296"/>
    </row>
    <row r="19" spans="4:11">
      <c r="D19" s="30"/>
      <c r="E19" s="32" t="s">
        <v>4</v>
      </c>
      <c r="F19" s="17" t="s">
        <v>5</v>
      </c>
      <c r="G19" s="17" t="s">
        <v>6</v>
      </c>
      <c r="H19" s="17" t="s">
        <v>8</v>
      </c>
      <c r="I19" s="18" t="s">
        <v>9</v>
      </c>
      <c r="K19" s="296"/>
    </row>
    <row r="20" spans="4:11">
      <c r="D20" s="30"/>
      <c r="E20" s="32"/>
      <c r="F20" s="17"/>
      <c r="G20" s="17"/>
      <c r="H20" s="17"/>
      <c r="I20" s="18"/>
      <c r="K20" s="296"/>
    </row>
    <row r="21" spans="4:11">
      <c r="D21" s="33" t="s">
        <v>21</v>
      </c>
      <c r="E21" s="34">
        <f>E9</f>
        <v>7000</v>
      </c>
      <c r="F21" s="15"/>
      <c r="G21" s="15"/>
      <c r="H21" s="15"/>
      <c r="I21" s="16"/>
      <c r="K21" s="296"/>
    </row>
    <row r="22" spans="4:11">
      <c r="D22" s="30" t="s">
        <v>22</v>
      </c>
      <c r="E22" s="35">
        <f>E10</f>
        <v>0</v>
      </c>
      <c r="F22" s="36">
        <f t="shared" ref="F22:I22" si="1">F12</f>
        <v>1100</v>
      </c>
      <c r="G22" s="36">
        <f t="shared" si="1"/>
        <v>0</v>
      </c>
      <c r="H22" s="36">
        <f t="shared" si="1"/>
        <v>1300</v>
      </c>
      <c r="I22" s="37">
        <f t="shared" si="1"/>
        <v>0</v>
      </c>
      <c r="K22" s="296"/>
    </row>
    <row r="23" spans="4:11">
      <c r="D23" s="38" t="s">
        <v>23</v>
      </c>
      <c r="E23" s="39">
        <f>E21+E22</f>
        <v>7000</v>
      </c>
      <c r="F23" s="40">
        <f>E23+F22</f>
        <v>8100</v>
      </c>
      <c r="G23" s="40">
        <f>F23+G22</f>
        <v>8100</v>
      </c>
      <c r="H23" s="40">
        <f>G23+H22</f>
        <v>9400</v>
      </c>
      <c r="I23" s="41">
        <f>H23+I22</f>
        <v>9400</v>
      </c>
      <c r="K23" s="296"/>
    </row>
    <row r="24" spans="4:11">
      <c r="D24" s="30"/>
      <c r="E24" s="31"/>
      <c r="F24" s="15"/>
      <c r="G24" s="15"/>
      <c r="H24" s="15"/>
      <c r="I24" s="16"/>
      <c r="K24" s="296"/>
    </row>
    <row r="25" spans="4:11">
      <c r="D25" s="42" t="s">
        <v>24</v>
      </c>
      <c r="E25" s="43"/>
      <c r="F25" s="44"/>
      <c r="G25" s="44"/>
      <c r="H25" s="44"/>
      <c r="I25" s="45"/>
      <c r="K25" s="296"/>
    </row>
    <row r="26" spans="4:11">
      <c r="D26" s="42"/>
      <c r="E26" s="43">
        <f>E21/E17</f>
        <v>1400</v>
      </c>
      <c r="F26" s="44">
        <f>E26</f>
        <v>1400</v>
      </c>
      <c r="G26" s="44">
        <f>F26</f>
        <v>1400</v>
      </c>
      <c r="H26" s="44">
        <f>G26</f>
        <v>1400</v>
      </c>
      <c r="I26" s="45">
        <f>H26</f>
        <v>1400</v>
      </c>
      <c r="K26" s="296"/>
    </row>
    <row r="27" spans="4:11">
      <c r="D27" s="42"/>
      <c r="E27" s="43"/>
      <c r="F27" s="44">
        <f>F22/E17</f>
        <v>220</v>
      </c>
      <c r="G27" s="44">
        <f>F27</f>
        <v>220</v>
      </c>
      <c r="H27" s="44">
        <f>G27</f>
        <v>220</v>
      </c>
      <c r="I27" s="45">
        <f>H27</f>
        <v>220</v>
      </c>
      <c r="K27" s="296"/>
    </row>
    <row r="28" spans="4:11">
      <c r="D28" s="42"/>
      <c r="E28" s="43"/>
      <c r="F28" s="44"/>
      <c r="G28" s="44">
        <f>G22/E17</f>
        <v>0</v>
      </c>
      <c r="H28" s="44">
        <f>H22/5</f>
        <v>260</v>
      </c>
      <c r="I28" s="45">
        <f>H28</f>
        <v>260</v>
      </c>
      <c r="K28" s="296"/>
    </row>
    <row r="29" spans="4:11">
      <c r="D29" s="42"/>
      <c r="E29" s="43"/>
      <c r="F29" s="44"/>
      <c r="G29" s="44"/>
      <c r="H29" s="44">
        <f>H22/E17</f>
        <v>260</v>
      </c>
      <c r="I29" s="45">
        <f>H29</f>
        <v>260</v>
      </c>
      <c r="K29" s="296"/>
    </row>
    <row r="30" spans="4:11">
      <c r="D30" s="42"/>
      <c r="E30" s="46"/>
      <c r="F30" s="47"/>
      <c r="G30" s="47"/>
      <c r="H30" s="47"/>
      <c r="I30" s="48">
        <f>I22/E17</f>
        <v>0</v>
      </c>
      <c r="K30" s="296"/>
    </row>
    <row r="31" spans="4:11">
      <c r="D31" s="42" t="s">
        <v>25</v>
      </c>
      <c r="E31" s="43">
        <f>SUM(E26:E30)</f>
        <v>1400</v>
      </c>
      <c r="F31" s="44">
        <f>SUM(F26:F30)</f>
        <v>1620</v>
      </c>
      <c r="G31" s="44">
        <f>SUM(G26:G30)</f>
        <v>1620</v>
      </c>
      <c r="H31" s="44">
        <f>SUM(H26:H30)</f>
        <v>2140</v>
      </c>
      <c r="I31" s="45">
        <f>SUM(I26:I30)</f>
        <v>2140</v>
      </c>
      <c r="K31" s="296"/>
    </row>
    <row r="32" spans="4:11">
      <c r="D32" s="42" t="s">
        <v>26</v>
      </c>
      <c r="E32" s="43">
        <f>E31</f>
        <v>1400</v>
      </c>
      <c r="F32" s="44">
        <f>E32+F31</f>
        <v>3020</v>
      </c>
      <c r="G32" s="44">
        <f>F32+G31</f>
        <v>4640</v>
      </c>
      <c r="H32" s="44">
        <f>G32+H31</f>
        <v>6780</v>
      </c>
      <c r="I32" s="45">
        <f>H32+I31</f>
        <v>8920</v>
      </c>
      <c r="K32" s="296"/>
    </row>
    <row r="33" spans="1:11">
      <c r="D33" s="30"/>
      <c r="E33" s="31"/>
      <c r="F33" s="15"/>
      <c r="G33" s="15"/>
      <c r="H33" s="15"/>
      <c r="I33" s="16"/>
      <c r="K33" s="296"/>
    </row>
    <row r="34" spans="1:11">
      <c r="D34" s="33" t="s">
        <v>27</v>
      </c>
      <c r="E34" s="31">
        <f>E23</f>
        <v>7000</v>
      </c>
      <c r="F34" s="15">
        <f>E35+F22</f>
        <v>6700</v>
      </c>
      <c r="G34" s="15">
        <f>F35+G22</f>
        <v>5080</v>
      </c>
      <c r="H34" s="15">
        <f>G35+H22</f>
        <v>4760</v>
      </c>
      <c r="I34" s="16">
        <f>H35+I22</f>
        <v>2620</v>
      </c>
      <c r="K34" s="296"/>
    </row>
    <row r="35" spans="1:11" ht="18.600000000000001" thickBot="1">
      <c r="D35" s="49" t="s">
        <v>28</v>
      </c>
      <c r="E35" s="50">
        <f>E34-E31</f>
        <v>5600</v>
      </c>
      <c r="F35" s="51">
        <f>F34-F31</f>
        <v>5080</v>
      </c>
      <c r="G35" s="51">
        <f>G34-G31</f>
        <v>3460</v>
      </c>
      <c r="H35" s="51">
        <f>H34-H31</f>
        <v>2620</v>
      </c>
      <c r="I35" s="52">
        <f>I34-I31</f>
        <v>480</v>
      </c>
      <c r="K35" s="296"/>
    </row>
    <row r="36" spans="1:11">
      <c r="K36" s="296"/>
    </row>
    <row r="37" spans="1:11">
      <c r="K37" s="296"/>
    </row>
    <row r="38" spans="1:11">
      <c r="K38" s="296"/>
    </row>
    <row r="39" spans="1:11">
      <c r="A39" s="296"/>
      <c r="B39" s="296"/>
      <c r="C39" s="296"/>
      <c r="D39" s="296"/>
      <c r="E39" s="296"/>
      <c r="F39" s="296"/>
      <c r="G39" s="296"/>
      <c r="H39" s="296"/>
      <c r="I39" s="296"/>
      <c r="J39" s="296"/>
      <c r="K39" s="296"/>
    </row>
  </sheetData>
  <pageMargins left="0.75" right="0.75" top="1" bottom="1" header="0.5" footer="0.5"/>
  <pageSetup fitToHeight="0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7BBF8-F9A7-4622-A457-0A6E7708E360}">
  <dimension ref="A1:W117"/>
  <sheetViews>
    <sheetView showGridLines="0" topLeftCell="A41" zoomScale="80" zoomScaleNormal="80" workbookViewId="0">
      <selection activeCell="B48" sqref="B48"/>
    </sheetView>
  </sheetViews>
  <sheetFormatPr defaultColWidth="0" defaultRowHeight="14.4" zeroHeight="1"/>
  <cols>
    <col min="1" max="1" width="3.5546875" customWidth="1"/>
    <col min="2" max="2" width="29.5546875" bestFit="1" customWidth="1"/>
    <col min="3" max="3" width="12.77734375" bestFit="1" customWidth="1"/>
    <col min="4" max="4" width="12.21875" bestFit="1" customWidth="1"/>
    <col min="5" max="7" width="13.77734375" bestFit="1" customWidth="1"/>
    <col min="8" max="11" width="8.88671875" customWidth="1"/>
    <col min="12" max="12" width="14.77734375" bestFit="1" customWidth="1"/>
    <col min="13" max="22" width="8.88671875" customWidth="1"/>
    <col min="23" max="23" width="2.88671875" customWidth="1"/>
    <col min="24" max="16384" width="8.88671875" hidden="1"/>
  </cols>
  <sheetData>
    <row r="1" spans="1:23">
      <c r="A1" s="443"/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  <c r="N1" s="444"/>
      <c r="O1" s="444"/>
      <c r="P1" s="444"/>
      <c r="Q1" s="444"/>
      <c r="R1" s="444"/>
      <c r="S1" s="444"/>
      <c r="T1" s="444"/>
      <c r="U1" s="444"/>
      <c r="V1" s="444"/>
      <c r="W1" s="447"/>
    </row>
    <row r="2" spans="1:23">
      <c r="A2" s="443"/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  <c r="O2" s="444"/>
      <c r="P2" s="444"/>
      <c r="Q2" s="444"/>
      <c r="R2" s="444"/>
      <c r="S2" s="444"/>
      <c r="T2" s="444"/>
      <c r="U2" s="444"/>
      <c r="V2" s="444"/>
      <c r="W2" s="447"/>
    </row>
    <row r="3" spans="1:23">
      <c r="A3" s="444"/>
      <c r="B3" s="444"/>
      <c r="C3" s="444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4"/>
      <c r="S3" s="444"/>
      <c r="T3" s="444"/>
      <c r="U3" s="444"/>
      <c r="V3" s="444"/>
      <c r="W3" s="447"/>
    </row>
    <row r="4" spans="1:23">
      <c r="A4" s="444"/>
      <c r="B4" s="444"/>
      <c r="C4" s="444"/>
      <c r="D4" s="444"/>
      <c r="E4" s="444"/>
      <c r="F4" s="444"/>
      <c r="G4" s="444"/>
      <c r="H4" s="444"/>
      <c r="I4" s="444"/>
      <c r="J4" s="444"/>
      <c r="K4" s="444"/>
      <c r="L4" s="444"/>
      <c r="M4" s="444"/>
      <c r="N4" s="444"/>
      <c r="O4" s="444"/>
      <c r="P4" s="444"/>
      <c r="Q4" s="444"/>
      <c r="R4" s="444"/>
      <c r="S4" s="444"/>
      <c r="T4" s="444"/>
      <c r="U4" s="444"/>
      <c r="V4" s="444"/>
      <c r="W4" s="447"/>
    </row>
    <row r="5" spans="1:23">
      <c r="A5" s="445">
        <v>1</v>
      </c>
      <c r="B5" s="446"/>
      <c r="C5" s="446"/>
      <c r="D5" s="446"/>
      <c r="E5" s="446"/>
      <c r="F5" s="446"/>
      <c r="G5" s="446"/>
      <c r="H5" s="446"/>
      <c r="I5" s="446"/>
      <c r="J5" s="446"/>
      <c r="K5" s="446"/>
      <c r="L5" s="446"/>
      <c r="M5" s="446"/>
      <c r="N5" s="446"/>
      <c r="O5" s="446"/>
      <c r="P5" s="446"/>
      <c r="Q5" s="446"/>
      <c r="R5" s="446"/>
      <c r="S5" s="446"/>
      <c r="T5" s="446"/>
      <c r="U5" s="446"/>
      <c r="V5" s="446"/>
      <c r="W5" s="447"/>
    </row>
    <row r="6" spans="1:23">
      <c r="W6" s="447"/>
    </row>
    <row r="7" spans="1:23">
      <c r="A7" s="448"/>
      <c r="B7" s="449"/>
      <c r="C7" s="450" t="s">
        <v>159</v>
      </c>
      <c r="D7" s="450" t="s">
        <v>160</v>
      </c>
      <c r="E7" s="450" t="s">
        <v>161</v>
      </c>
      <c r="F7" s="450" t="s">
        <v>163</v>
      </c>
      <c r="G7" s="450" t="s">
        <v>164</v>
      </c>
      <c r="H7" s="451"/>
      <c r="I7" s="451"/>
      <c r="J7" s="451"/>
      <c r="K7" s="448"/>
      <c r="L7" s="449"/>
      <c r="M7" s="450" t="s">
        <v>159</v>
      </c>
      <c r="N7" s="450" t="s">
        <v>160</v>
      </c>
      <c r="O7" s="450" t="s">
        <v>161</v>
      </c>
      <c r="P7" s="450" t="s">
        <v>163</v>
      </c>
      <c r="Q7" s="450" t="s">
        <v>164</v>
      </c>
      <c r="R7" s="451"/>
      <c r="S7" s="451"/>
      <c r="T7" s="451"/>
      <c r="U7" s="451"/>
      <c r="V7" s="451"/>
      <c r="W7" s="447"/>
    </row>
    <row r="8" spans="1:23">
      <c r="B8" t="s">
        <v>1</v>
      </c>
      <c r="C8" s="452">
        <f>'Revenue Forecast'!E35</f>
        <v>135584.75434965279</v>
      </c>
      <c r="D8" s="452">
        <f>'Revenue Forecast'!F35</f>
        <v>653816.31202154304</v>
      </c>
      <c r="E8" s="452">
        <f>'Revenue Forecast'!G35</f>
        <v>1075040.8361007893</v>
      </c>
      <c r="F8" s="452">
        <f>'Revenue Forecast'!H35</f>
        <v>1551476.1650304683</v>
      </c>
      <c r="G8" s="452">
        <f>'Revenue Forecast'!I35</f>
        <v>2911926.5454581291</v>
      </c>
      <c r="L8" t="s">
        <v>75</v>
      </c>
      <c r="M8" s="452">
        <f>'Cash Flow'!D31</f>
        <v>-377767.38209875906</v>
      </c>
      <c r="N8" s="452">
        <f>'Cash Flow'!E31</f>
        <v>-392563.39002727589</v>
      </c>
      <c r="O8" s="452">
        <f>'Cash Flow'!F31</f>
        <v>-190881.81729876067</v>
      </c>
      <c r="P8" s="452">
        <f>'Cash Flow'!G31</f>
        <v>145508.61387701196</v>
      </c>
      <c r="Q8" s="452">
        <f>'Cash Flow'!H31</f>
        <v>1049352.2382263956</v>
      </c>
      <c r="W8" s="447"/>
    </row>
    <row r="9" spans="1:23">
      <c r="W9" s="447"/>
    </row>
    <row r="10" spans="1:23">
      <c r="W10" s="447"/>
    </row>
    <row r="11" spans="1:23">
      <c r="W11" s="447"/>
    </row>
    <row r="12" spans="1:23">
      <c r="W12" s="447"/>
    </row>
    <row r="13" spans="1:23">
      <c r="W13" s="447"/>
    </row>
    <row r="14" spans="1:23">
      <c r="W14" s="447"/>
    </row>
    <row r="15" spans="1:23">
      <c r="W15" s="447"/>
    </row>
    <row r="16" spans="1:23">
      <c r="W16" s="447"/>
    </row>
    <row r="17" spans="1:23">
      <c r="W17" s="447"/>
    </row>
    <row r="18" spans="1:23">
      <c r="W18" s="447"/>
    </row>
    <row r="19" spans="1:23">
      <c r="W19" s="447"/>
    </row>
    <row r="20" spans="1:23">
      <c r="W20" s="447"/>
    </row>
    <row r="21" spans="1:23">
      <c r="W21" s="447"/>
    </row>
    <row r="22" spans="1:23">
      <c r="W22" s="447"/>
    </row>
    <row r="23" spans="1:23">
      <c r="W23" s="447"/>
    </row>
    <row r="24" spans="1:23">
      <c r="W24" s="447"/>
    </row>
    <row r="25" spans="1:23">
      <c r="W25" s="447"/>
    </row>
    <row r="26" spans="1:23">
      <c r="A26" s="448"/>
      <c r="B26" s="449" t="s">
        <v>1</v>
      </c>
      <c r="C26" s="450" t="s">
        <v>159</v>
      </c>
      <c r="D26" s="450" t="s">
        <v>160</v>
      </c>
      <c r="E26" s="450" t="s">
        <v>161</v>
      </c>
      <c r="F26" s="450" t="s">
        <v>163</v>
      </c>
      <c r="G26" s="450" t="s">
        <v>164</v>
      </c>
      <c r="H26" s="450"/>
      <c r="I26" s="454"/>
      <c r="J26" s="454"/>
      <c r="K26" s="450"/>
      <c r="L26" s="449"/>
      <c r="M26" s="450" t="s">
        <v>159</v>
      </c>
      <c r="N26" s="450" t="s">
        <v>160</v>
      </c>
      <c r="O26" s="450" t="s">
        <v>161</v>
      </c>
      <c r="P26" s="450" t="s">
        <v>163</v>
      </c>
      <c r="Q26" s="450" t="s">
        <v>164</v>
      </c>
      <c r="R26" s="450"/>
      <c r="S26" s="450"/>
      <c r="T26" s="450"/>
      <c r="U26" s="450"/>
      <c r="V26" s="450"/>
      <c r="W26" s="447"/>
    </row>
    <row r="27" spans="1:23">
      <c r="B27" t="str">
        <f>'Revenue Forecast'!D13</f>
        <v>Sollo Travellers</v>
      </c>
      <c r="C27" s="452">
        <f>'Revenue Forecast'!E18</f>
        <v>110124.75434965278</v>
      </c>
      <c r="D27" s="452">
        <f>'Revenue Forecast'!F18</f>
        <v>410505.11202154297</v>
      </c>
      <c r="E27" s="452">
        <f>'Revenue Forecast'!G18</f>
        <v>567331.23610078916</v>
      </c>
      <c r="F27" s="452">
        <f>'Revenue Forecast'!H18</f>
        <v>794156.16503046814</v>
      </c>
      <c r="G27" s="452">
        <f>'Revenue Forecast'!I18</f>
        <v>1438236.5454581289</v>
      </c>
      <c r="L27" t="s">
        <v>137</v>
      </c>
      <c r="M27" s="452">
        <f>COCA!F20</f>
        <v>966.67333333333329</v>
      </c>
      <c r="N27" s="452">
        <f>COCA!G20</f>
        <v>675.00312499999995</v>
      </c>
      <c r="O27" s="452">
        <f>COCA!H20</f>
        <v>385.71607142857141</v>
      </c>
      <c r="P27" s="452">
        <f>COCA!I20</f>
        <v>389.65747126436781</v>
      </c>
      <c r="Q27" s="452">
        <f>COCA!J20</f>
        <v>347.50166666666667</v>
      </c>
      <c r="W27" s="447"/>
    </row>
    <row r="28" spans="1:23">
      <c r="B28" t="str">
        <f>'Revenue Forecast'!D20</f>
        <v>Local Business(Adv)</v>
      </c>
      <c r="C28" s="452">
        <f>'Revenue Forecast'!E25</f>
        <v>23660.000000000004</v>
      </c>
      <c r="D28" s="452">
        <f>'Revenue Forecast'!F25</f>
        <v>237952.00000000006</v>
      </c>
      <c r="E28" s="452">
        <f>'Revenue Forecast'!G25</f>
        <v>499158.40000000008</v>
      </c>
      <c r="F28" s="452">
        <f>'Revenue Forecast'!H25</f>
        <v>746304.00000000012</v>
      </c>
      <c r="G28" s="452">
        <f>'Revenue Forecast'!I25</f>
        <v>1460160.0000000002</v>
      </c>
      <c r="W28" s="447"/>
    </row>
    <row r="29" spans="1:23">
      <c r="B29" t="str">
        <f>'Revenue Forecast'!D27</f>
        <v>Travel Agency(Comm)</v>
      </c>
      <c r="C29" s="452">
        <f>'Revenue Forecast'!E32</f>
        <v>1800</v>
      </c>
      <c r="D29" s="452">
        <f>'Revenue Forecast'!F32</f>
        <v>5359.2</v>
      </c>
      <c r="E29" s="452">
        <f>'Revenue Forecast'!G32</f>
        <v>8551.2000000000007</v>
      </c>
      <c r="F29" s="452">
        <f>'Revenue Forecast'!H32</f>
        <v>11016</v>
      </c>
      <c r="G29" s="452">
        <f>'Revenue Forecast'!I32</f>
        <v>13530</v>
      </c>
      <c r="W29" s="447"/>
    </row>
    <row r="30" spans="1:23">
      <c r="W30" s="447"/>
    </row>
    <row r="31" spans="1:23">
      <c r="W31" s="447"/>
    </row>
    <row r="32" spans="1:23">
      <c r="W32" s="447"/>
    </row>
    <row r="33" spans="2:23">
      <c r="W33" s="447"/>
    </row>
    <row r="34" spans="2:23">
      <c r="W34" s="447"/>
    </row>
    <row r="35" spans="2:23">
      <c r="W35" s="447"/>
    </row>
    <row r="36" spans="2:23">
      <c r="W36" s="447"/>
    </row>
    <row r="37" spans="2:23">
      <c r="W37" s="447"/>
    </row>
    <row r="38" spans="2:23">
      <c r="W38" s="447"/>
    </row>
    <row r="39" spans="2:23">
      <c r="W39" s="447"/>
    </row>
    <row r="40" spans="2:23">
      <c r="W40" s="447"/>
    </row>
    <row r="41" spans="2:23">
      <c r="W41" s="447"/>
    </row>
    <row r="42" spans="2:23">
      <c r="W42" s="447"/>
    </row>
    <row r="43" spans="2:23">
      <c r="W43" s="447"/>
    </row>
    <row r="44" spans="2:23">
      <c r="W44" s="447"/>
    </row>
    <row r="45" spans="2:23">
      <c r="W45" s="447"/>
    </row>
    <row r="46" spans="2:23">
      <c r="W46" s="447"/>
    </row>
    <row r="47" spans="2:23">
      <c r="W47" s="447"/>
    </row>
    <row r="48" spans="2:23">
      <c r="B48" s="449"/>
      <c r="C48" s="450" t="s">
        <v>159</v>
      </c>
      <c r="D48" s="450" t="s">
        <v>160</v>
      </c>
      <c r="E48" s="450" t="s">
        <v>161</v>
      </c>
      <c r="F48" s="450" t="s">
        <v>163</v>
      </c>
      <c r="G48" s="450" t="s">
        <v>164</v>
      </c>
      <c r="L48" s="449"/>
      <c r="M48" s="450" t="s">
        <v>159</v>
      </c>
      <c r="N48" s="450" t="s">
        <v>160</v>
      </c>
      <c r="O48" s="450" t="s">
        <v>161</v>
      </c>
      <c r="P48" s="450" t="s">
        <v>163</v>
      </c>
      <c r="Q48" s="450" t="s">
        <v>164</v>
      </c>
      <c r="W48" s="447"/>
    </row>
    <row r="49" spans="2:23">
      <c r="B49" t="s">
        <v>1</v>
      </c>
      <c r="C49" s="453">
        <f>'Revenue Forecast'!E35</f>
        <v>135584.75434965279</v>
      </c>
      <c r="D49" s="453">
        <f>'Revenue Forecast'!F35</f>
        <v>653816.31202154304</v>
      </c>
      <c r="E49" s="453">
        <f>'Revenue Forecast'!G35</f>
        <v>1075040.8361007893</v>
      </c>
      <c r="F49" s="453">
        <f>'Revenue Forecast'!H35</f>
        <v>1551476.1650304683</v>
      </c>
      <c r="G49" s="453">
        <f>'Revenue Forecast'!I35</f>
        <v>2911926.5454581291</v>
      </c>
      <c r="L49" t="s">
        <v>313</v>
      </c>
      <c r="M49" s="452">
        <f>COCA!F28</f>
        <v>11572.584958010735</v>
      </c>
      <c r="N49" s="452">
        <f>COCA!G28</f>
        <v>9242.9501002985398</v>
      </c>
      <c r="O49" s="452">
        <f>COCA!H28</f>
        <v>6576.8045940241645</v>
      </c>
      <c r="P49" s="452">
        <f>COCA!I28</f>
        <v>5136.509958156942</v>
      </c>
      <c r="Q49" s="452">
        <f>COCA!J28</f>
        <v>4859.807415392539</v>
      </c>
      <c r="W49" s="447"/>
    </row>
    <row r="50" spans="2:23">
      <c r="B50" t="s">
        <v>312</v>
      </c>
      <c r="C50" s="453">
        <f>'Cash Flow'!D24</f>
        <v>-177767.38209875906</v>
      </c>
      <c r="D50" s="453">
        <f>'Cash Flow'!E24</f>
        <v>-14796.007928516814</v>
      </c>
      <c r="E50" s="453">
        <f>'Cash Flow'!F24</f>
        <v>201681.57272851522</v>
      </c>
      <c r="F50" s="453">
        <f>'Cash Flow'!G24</f>
        <v>336390.43117577262</v>
      </c>
      <c r="G50" s="453">
        <f>'Cash Flow'!H24</f>
        <v>903843.62434938352</v>
      </c>
      <c r="W50" s="447"/>
    </row>
    <row r="51" spans="2:23">
      <c r="W51" s="447"/>
    </row>
    <row r="52" spans="2:23">
      <c r="W52" s="447"/>
    </row>
    <row r="53" spans="2:23">
      <c r="W53" s="447"/>
    </row>
    <row r="54" spans="2:23">
      <c r="W54" s="447"/>
    </row>
    <row r="55" spans="2:23">
      <c r="W55" s="447"/>
    </row>
    <row r="56" spans="2:23">
      <c r="W56" s="447"/>
    </row>
    <row r="57" spans="2:23">
      <c r="W57" s="447"/>
    </row>
    <row r="58" spans="2:23">
      <c r="W58" s="447"/>
    </row>
    <row r="59" spans="2:23">
      <c r="W59" s="447"/>
    </row>
    <row r="60" spans="2:23">
      <c r="W60" s="447"/>
    </row>
    <row r="61" spans="2:23">
      <c r="W61" s="447"/>
    </row>
    <row r="62" spans="2:23">
      <c r="W62" s="447"/>
    </row>
    <row r="63" spans="2:23">
      <c r="W63" s="447"/>
    </row>
    <row r="64" spans="2:23">
      <c r="W64" s="447"/>
    </row>
    <row r="65" spans="2:23">
      <c r="W65" s="447"/>
    </row>
    <row r="66" spans="2:23">
      <c r="W66" s="447"/>
    </row>
    <row r="67" spans="2:23">
      <c r="W67" s="447"/>
    </row>
    <row r="68" spans="2:23">
      <c r="W68" s="447"/>
    </row>
    <row r="69" spans="2:23">
      <c r="W69" s="447"/>
    </row>
    <row r="70" spans="2:23">
      <c r="W70" s="447"/>
    </row>
    <row r="71" spans="2:23">
      <c r="B71" s="449"/>
      <c r="C71" s="450" t="s">
        <v>159</v>
      </c>
      <c r="D71" s="450" t="s">
        <v>160</v>
      </c>
      <c r="E71" s="450" t="s">
        <v>161</v>
      </c>
      <c r="F71" s="450" t="s">
        <v>163</v>
      </c>
      <c r="G71" s="450" t="s">
        <v>164</v>
      </c>
      <c r="W71" s="447"/>
    </row>
    <row r="72" spans="2:23">
      <c r="B72" t="s">
        <v>34</v>
      </c>
      <c r="C72" s="453">
        <f>'Income Statement'!E32</f>
        <v>-189004.99493370485</v>
      </c>
      <c r="D72" s="453">
        <f>'Income Statement'!F32</f>
        <v>4352.547852279502</v>
      </c>
      <c r="E72" s="453">
        <f>'Income Statement'!G32</f>
        <v>260831.93704946578</v>
      </c>
      <c r="F72" s="453">
        <f>'Income Statement'!H32</f>
        <v>409815.06611797644</v>
      </c>
      <c r="G72" s="453">
        <f>'Income Statement'!I32</f>
        <v>1121245.9240921712</v>
      </c>
      <c r="W72" s="447"/>
    </row>
    <row r="73" spans="2:23">
      <c r="W73" s="447"/>
    </row>
    <row r="74" spans="2:23">
      <c r="W74" s="447"/>
    </row>
    <row r="75" spans="2:23">
      <c r="W75" s="447"/>
    </row>
    <row r="76" spans="2:23">
      <c r="W76" s="447"/>
    </row>
    <row r="77" spans="2:23">
      <c r="W77" s="447"/>
    </row>
    <row r="78" spans="2:23">
      <c r="W78" s="447"/>
    </row>
    <row r="79" spans="2:23">
      <c r="W79" s="447"/>
    </row>
    <row r="80" spans="2:23">
      <c r="W80" s="447"/>
    </row>
    <row r="81" spans="23:23">
      <c r="W81" s="447"/>
    </row>
    <row r="82" spans="23:23">
      <c r="W82" s="447"/>
    </row>
    <row r="83" spans="23:23">
      <c r="W83" s="447"/>
    </row>
    <row r="84" spans="23:23">
      <c r="W84" s="447"/>
    </row>
    <row r="85" spans="23:23">
      <c r="W85" s="447"/>
    </row>
    <row r="86" spans="23:23">
      <c r="W86" s="447"/>
    </row>
    <row r="87" spans="23:23">
      <c r="W87" s="447"/>
    </row>
    <row r="88" spans="23:23">
      <c r="W88" s="447"/>
    </row>
    <row r="89" spans="23:23">
      <c r="W89" s="447"/>
    </row>
    <row r="90" spans="23:23">
      <c r="W90" s="447"/>
    </row>
    <row r="91" spans="23:23">
      <c r="W91" s="447"/>
    </row>
    <row r="92" spans="23:23">
      <c r="W92" s="447"/>
    </row>
    <row r="93" spans="23:23">
      <c r="W93" s="447"/>
    </row>
    <row r="94" spans="23:23">
      <c r="W94" s="447"/>
    </row>
    <row r="95" spans="23:23">
      <c r="W95" s="447"/>
    </row>
    <row r="96" spans="23:23">
      <c r="W96" s="447"/>
    </row>
    <row r="97" spans="23:23">
      <c r="W97" s="447"/>
    </row>
    <row r="98" spans="23:23">
      <c r="W98" s="447"/>
    </row>
    <row r="99" spans="23:23">
      <c r="W99" s="447"/>
    </row>
    <row r="100" spans="23:23">
      <c r="W100" s="447"/>
    </row>
    <row r="101" spans="23:23">
      <c r="W101" s="447"/>
    </row>
    <row r="102" spans="23:23">
      <c r="W102" s="447"/>
    </row>
    <row r="103" spans="23:23">
      <c r="W103" s="447"/>
    </row>
    <row r="104" spans="23:23">
      <c r="W104" s="447"/>
    </row>
    <row r="105" spans="23:23">
      <c r="W105" s="447"/>
    </row>
    <row r="106" spans="23:23">
      <c r="W106" s="447"/>
    </row>
    <row r="107" spans="23:23">
      <c r="W107" s="447"/>
    </row>
    <row r="108" spans="23:23">
      <c r="W108" s="447"/>
    </row>
    <row r="109" spans="23:23">
      <c r="W109" s="447"/>
    </row>
    <row r="110" spans="23:23">
      <c r="W110" s="447"/>
    </row>
    <row r="111" spans="23:23">
      <c r="W111" s="447"/>
    </row>
    <row r="112" spans="23:23">
      <c r="W112" s="447"/>
    </row>
    <row r="113" spans="1:23">
      <c r="W113" s="447"/>
    </row>
    <row r="114" spans="1:23">
      <c r="A114" s="447"/>
      <c r="B114" s="447"/>
      <c r="C114" s="447"/>
      <c r="D114" s="447"/>
      <c r="E114" s="447"/>
      <c r="F114" s="447"/>
      <c r="G114" s="447"/>
      <c r="H114" s="447"/>
      <c r="I114" s="447"/>
      <c r="J114" s="447"/>
      <c r="K114" s="447"/>
      <c r="L114" s="447"/>
      <c r="M114" s="447"/>
      <c r="N114" s="447"/>
      <c r="O114" s="447"/>
      <c r="P114" s="447"/>
      <c r="Q114" s="447"/>
      <c r="R114" s="447"/>
      <c r="S114" s="447"/>
      <c r="T114" s="447"/>
      <c r="U114" s="447"/>
      <c r="V114" s="447"/>
      <c r="W114" s="447"/>
    </row>
    <row r="115" spans="1:23"/>
    <row r="116" spans="1:23"/>
    <row r="117" spans="1:23"/>
  </sheetData>
  <phoneticPr fontId="2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0AB13-BBA4-4A77-A2C6-7FED91F9D3EF}">
  <dimension ref="A1"/>
  <sheetViews>
    <sheetView showGridLines="0" workbookViewId="0">
      <selection activeCell="K7" sqref="K7"/>
    </sheetView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44"/>
  <sheetViews>
    <sheetView showGridLines="0" tabSelected="1" zoomScale="70" zoomScaleNormal="70" workbookViewId="0">
      <pane xSplit="4" ySplit="5" topLeftCell="E6" activePane="bottomRight" state="frozen"/>
      <selection pane="topRight" activeCell="E1" sqref="E1"/>
      <selection pane="bottomLeft" activeCell="A5" sqref="A5"/>
      <selection pane="bottomRight" activeCell="E16" sqref="E16"/>
    </sheetView>
  </sheetViews>
  <sheetFormatPr defaultColWidth="0" defaultRowHeight="13.8" zeroHeight="1"/>
  <cols>
    <col min="1" max="1" width="4.77734375" style="362" customWidth="1"/>
    <col min="2" max="2" width="11.77734375" style="362" bestFit="1" customWidth="1"/>
    <col min="3" max="3" width="63.33203125" style="362" customWidth="1"/>
    <col min="4" max="4" width="5.44140625" style="362" customWidth="1"/>
    <col min="5" max="5" width="14.5546875" style="364" bestFit="1" customWidth="1"/>
    <col min="6" max="6" width="14.77734375" style="364" customWidth="1"/>
    <col min="7" max="7" width="16" style="364" customWidth="1"/>
    <col min="8" max="8" width="15.6640625" style="364" customWidth="1"/>
    <col min="9" max="9" width="16.109375" style="364" bestFit="1" customWidth="1"/>
    <col min="10" max="10" width="11.44140625" style="364" customWidth="1"/>
    <col min="11" max="11" width="11.44140625" style="364" hidden="1" customWidth="1"/>
    <col min="12" max="12" width="4.6640625" style="364" customWidth="1"/>
    <col min="13" max="14" width="11.44140625" style="362" hidden="1" customWidth="1"/>
    <col min="15" max="15" width="12" style="362" hidden="1" customWidth="1"/>
    <col min="16" max="22" width="0" style="362" hidden="1" customWidth="1"/>
    <col min="23" max="16384" width="11.44140625" style="362" hidden="1"/>
  </cols>
  <sheetData>
    <row r="1" spans="1:22">
      <c r="A1" s="360"/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1"/>
    </row>
    <row r="2" spans="1:22" ht="15.6" customHeight="1">
      <c r="E2" s="362"/>
      <c r="F2" s="362"/>
      <c r="G2" s="362"/>
      <c r="H2" s="362"/>
      <c r="I2" s="362"/>
      <c r="J2" s="362"/>
      <c r="K2" s="362"/>
      <c r="L2" s="361"/>
    </row>
    <row r="3" spans="1:22">
      <c r="A3" s="363"/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1"/>
    </row>
    <row r="4" spans="1:22" ht="14.4" thickBot="1">
      <c r="L4" s="361"/>
    </row>
    <row r="5" spans="1:22" ht="14.4" thickBot="1">
      <c r="A5" s="365"/>
      <c r="C5" s="366"/>
      <c r="D5" s="367"/>
      <c r="E5" s="368" t="s">
        <v>4</v>
      </c>
      <c r="F5" s="369" t="s">
        <v>5</v>
      </c>
      <c r="G5" s="369" t="s">
        <v>6</v>
      </c>
      <c r="H5" s="369" t="s">
        <v>8</v>
      </c>
      <c r="I5" s="370" t="s">
        <v>9</v>
      </c>
      <c r="L5" s="361"/>
    </row>
    <row r="6" spans="1:22" ht="14.4" thickTop="1">
      <c r="C6" s="463" t="s">
        <v>1</v>
      </c>
      <c r="D6" s="464"/>
      <c r="E6" s="371"/>
      <c r="F6" s="372"/>
      <c r="G6" s="372"/>
      <c r="H6" s="372"/>
      <c r="I6" s="373"/>
      <c r="L6" s="361"/>
    </row>
    <row r="7" spans="1:22">
      <c r="C7" s="374" t="str">
        <f>'Revenue Forecast'!D13</f>
        <v>Sollo Travellers</v>
      </c>
      <c r="E7" s="372">
        <f>'Revenue Forecast'!E18</f>
        <v>110124.75434965278</v>
      </c>
      <c r="F7" s="372">
        <f>'Revenue Forecast'!F18</f>
        <v>410505.11202154297</v>
      </c>
      <c r="G7" s="372">
        <f>'Revenue Forecast'!G18</f>
        <v>567331.23610078916</v>
      </c>
      <c r="H7" s="372">
        <f>'Revenue Forecast'!H18</f>
        <v>794156.16503046814</v>
      </c>
      <c r="I7" s="373">
        <f>'Revenue Forecast'!I18</f>
        <v>1438236.5454581289</v>
      </c>
      <c r="L7" s="361"/>
    </row>
    <row r="8" spans="1:22">
      <c r="C8" s="374" t="str">
        <f>'Revenue Forecast'!D20</f>
        <v>Local Business(Adv)</v>
      </c>
      <c r="E8" s="372">
        <f>'Revenue Forecast'!E25</f>
        <v>23660.000000000004</v>
      </c>
      <c r="F8" s="372">
        <f>'Revenue Forecast'!F25</f>
        <v>237952.00000000006</v>
      </c>
      <c r="G8" s="372">
        <f>'Revenue Forecast'!G25</f>
        <v>499158.40000000008</v>
      </c>
      <c r="H8" s="372">
        <f>'Revenue Forecast'!H25</f>
        <v>746304.00000000012</v>
      </c>
      <c r="I8" s="373">
        <f>'Revenue Forecast'!I25</f>
        <v>1460160.0000000002</v>
      </c>
      <c r="L8" s="361"/>
    </row>
    <row r="9" spans="1:22" ht="14.4" thickBot="1">
      <c r="C9" s="374" t="str">
        <f>'Revenue Forecast'!D27</f>
        <v>Travel Agency(Comm)</v>
      </c>
      <c r="E9" s="375">
        <f>'Revenue Forecast'!E32</f>
        <v>1800</v>
      </c>
      <c r="F9" s="375">
        <f>'Revenue Forecast'!F32</f>
        <v>5359.2</v>
      </c>
      <c r="G9" s="375">
        <f>'Revenue Forecast'!G32</f>
        <v>8551.2000000000007</v>
      </c>
      <c r="H9" s="375">
        <f>'Revenue Forecast'!H32</f>
        <v>11016</v>
      </c>
      <c r="I9" s="376">
        <f>'Revenue Forecast'!I32</f>
        <v>13530</v>
      </c>
      <c r="L9" s="361"/>
    </row>
    <row r="10" spans="1:22">
      <c r="C10" s="463" t="s">
        <v>3</v>
      </c>
      <c r="D10" s="464"/>
      <c r="E10" s="377">
        <f>'Revenue Forecast'!E35</f>
        <v>135584.75434965279</v>
      </c>
      <c r="F10" s="378">
        <f>'Revenue Forecast'!F35</f>
        <v>653816.31202154304</v>
      </c>
      <c r="G10" s="378">
        <f>'Revenue Forecast'!G35</f>
        <v>1075040.8361007893</v>
      </c>
      <c r="H10" s="378">
        <f>'Revenue Forecast'!H35</f>
        <v>1551476.1650304683</v>
      </c>
      <c r="I10" s="379">
        <f>'Revenue Forecast'!I35</f>
        <v>2911926.5454581291</v>
      </c>
      <c r="L10" s="361"/>
    </row>
    <row r="11" spans="1:22">
      <c r="C11" s="374"/>
      <c r="E11" s="371"/>
      <c r="F11" s="372"/>
      <c r="G11" s="372"/>
      <c r="H11" s="372"/>
      <c r="I11" s="373"/>
      <c r="L11" s="361"/>
    </row>
    <row r="12" spans="1:22">
      <c r="C12" s="463" t="s">
        <v>94</v>
      </c>
      <c r="D12" s="464"/>
      <c r="E12" s="371"/>
      <c r="F12" s="372"/>
      <c r="G12" s="372"/>
      <c r="H12" s="372"/>
      <c r="I12" s="373"/>
      <c r="L12" s="361"/>
    </row>
    <row r="13" spans="1:22">
      <c r="C13" s="374" t="str">
        <f>C7</f>
        <v>Sollo Travellers</v>
      </c>
      <c r="E13" s="372">
        <f>'Cost Assumptions'!D22</f>
        <v>48474.261375087859</v>
      </c>
      <c r="F13" s="372">
        <f>'Cost Assumptions'!E22</f>
        <v>245154.96435559777</v>
      </c>
      <c r="G13" s="372">
        <f>'Cost Assumptions'!F22</f>
        <v>384348.59972275415</v>
      </c>
      <c r="H13" s="372">
        <f>'Cost Assumptions'!G22</f>
        <v>554683.75852169294</v>
      </c>
      <c r="I13" s="373">
        <f>'Cost Assumptions'!H22</f>
        <v>1041071.9785321903</v>
      </c>
      <c r="L13" s="361"/>
    </row>
    <row r="14" spans="1:22">
      <c r="C14" s="374" t="str">
        <f>C8</f>
        <v>Local Business(Adv)</v>
      </c>
      <c r="E14" s="372">
        <f>'Cost Assumptions'!D23</f>
        <v>6114.8724211693407</v>
      </c>
      <c r="F14" s="372">
        <f>'Cost Assumptions'!E23</f>
        <v>30925.511558618982</v>
      </c>
      <c r="G14" s="372">
        <f>'Cost Assumptions'!F23</f>
        <v>48484.341708145592</v>
      </c>
      <c r="H14" s="372">
        <f>'Cost Assumptions'!G23</f>
        <v>69971.575042874116</v>
      </c>
      <c r="I14" s="373">
        <f>'Cost Assumptions'!H23</f>
        <v>131327.88720016161</v>
      </c>
      <c r="L14" s="361"/>
    </row>
    <row r="15" spans="1:22">
      <c r="C15" s="374" t="str">
        <f>C9</f>
        <v>Travel Agency(Comm)</v>
      </c>
      <c r="E15" s="372">
        <f>'Cost Assumptions'!D24</f>
        <v>1000.6154871004375</v>
      </c>
      <c r="F15" s="372">
        <f>'Cost Assumptions'!E24</f>
        <v>5060.5382550467421</v>
      </c>
      <c r="G15" s="372">
        <f>'Cost Assumptions'!F24</f>
        <v>7933.8013704238238</v>
      </c>
      <c r="H15" s="372">
        <f>'Cost Assumptions'!G24</f>
        <v>11449.894097924855</v>
      </c>
      <c r="I15" s="373">
        <f>'Cost Assumptions'!H24</f>
        <v>21490.017905480992</v>
      </c>
      <c r="L15" s="361"/>
    </row>
    <row r="16" spans="1:22">
      <c r="B16" s="380">
        <v>0.4</v>
      </c>
      <c r="C16" s="463" t="s">
        <v>92</v>
      </c>
      <c r="D16" s="464"/>
      <c r="E16" s="378">
        <f>'Cost Assumptions'!D25</f>
        <v>55589.74928335764</v>
      </c>
      <c r="F16" s="378">
        <f>'Cost Assumptions'!E25</f>
        <v>281141.01416926354</v>
      </c>
      <c r="G16" s="378">
        <f>'Cost Assumptions'!F25</f>
        <v>440766.74280132353</v>
      </c>
      <c r="H16" s="378">
        <f>'Cost Assumptions'!G5+'Cost Assumptions'!G25</f>
        <v>636105.25766249187</v>
      </c>
      <c r="I16" s="379">
        <f>'Cost Assumptions'!H25</f>
        <v>1193889.8836378329</v>
      </c>
      <c r="L16" s="361"/>
      <c r="R16" s="381"/>
      <c r="S16" s="381"/>
      <c r="T16" s="381"/>
      <c r="U16" s="381"/>
      <c r="V16" s="381"/>
    </row>
    <row r="17" spans="3:22">
      <c r="C17" s="374"/>
      <c r="E17" s="372"/>
      <c r="F17" s="372"/>
      <c r="G17" s="372"/>
      <c r="H17" s="372"/>
      <c r="I17" s="373"/>
      <c r="L17" s="361"/>
      <c r="R17" s="382"/>
      <c r="S17" s="382"/>
      <c r="T17" s="382"/>
      <c r="U17" s="382"/>
      <c r="V17" s="382"/>
    </row>
    <row r="18" spans="3:22">
      <c r="C18" s="463" t="s">
        <v>33</v>
      </c>
      <c r="D18" s="464"/>
      <c r="E18" s="377">
        <f>E10-E16</f>
        <v>79995.005066295154</v>
      </c>
      <c r="F18" s="378">
        <f>F10-F16</f>
        <v>372675.2978522795</v>
      </c>
      <c r="G18" s="378">
        <f>G10-G16</f>
        <v>634274.09329946572</v>
      </c>
      <c r="H18" s="378">
        <f>H10-H16</f>
        <v>915370.90736797638</v>
      </c>
      <c r="I18" s="379">
        <f>I10-I16</f>
        <v>1718036.6618202962</v>
      </c>
      <c r="L18" s="361"/>
      <c r="R18" s="383"/>
      <c r="S18" s="383"/>
      <c r="T18" s="383"/>
      <c r="U18" s="383"/>
      <c r="V18" s="383"/>
    </row>
    <row r="19" spans="3:22">
      <c r="C19" s="374"/>
      <c r="E19" s="384">
        <f>E18/E10</f>
        <v>0.59000000000000008</v>
      </c>
      <c r="F19" s="385">
        <f>F18/F10</f>
        <v>0.56999999999999995</v>
      </c>
      <c r="G19" s="385">
        <f>G18/G10</f>
        <v>0.59000000000000008</v>
      </c>
      <c r="H19" s="385">
        <f>H18/H10</f>
        <v>0.58999998066357673</v>
      </c>
      <c r="I19" s="386">
        <f>I18/I10</f>
        <v>0.59</v>
      </c>
      <c r="L19" s="361"/>
    </row>
    <row r="20" spans="3:22">
      <c r="C20" s="374"/>
      <c r="E20" s="384"/>
      <c r="F20" s="385"/>
      <c r="G20" s="385"/>
      <c r="H20" s="385"/>
      <c r="I20" s="386"/>
      <c r="L20" s="361"/>
    </row>
    <row r="21" spans="3:22">
      <c r="C21" s="387" t="s">
        <v>0</v>
      </c>
      <c r="E21" s="388"/>
      <c r="F21" s="389"/>
      <c r="G21" s="389"/>
      <c r="H21" s="389"/>
      <c r="I21" s="390"/>
      <c r="L21" s="361"/>
    </row>
    <row r="22" spans="3:22">
      <c r="C22" s="374" t="str">
        <f>'Cost Assumptions'!B7</f>
        <v>Employee salary(3 tech guys)</v>
      </c>
      <c r="E22" s="391">
        <f>'Cost Assumptions'!D7</f>
        <v>90000</v>
      </c>
      <c r="F22" s="391">
        <f>'Cost Assumptions'!E7</f>
        <v>92720.249999999971</v>
      </c>
      <c r="G22" s="391">
        <f>'Cost Assumptions'!F7</f>
        <v>95974.593749999956</v>
      </c>
      <c r="H22" s="391">
        <f>'Cost Assumptions'!G7</f>
        <v>101264.90062499997</v>
      </c>
      <c r="I22" s="392">
        <f>'Cost Assumptions'!H7</f>
        <v>108879.43125937496</v>
      </c>
      <c r="J22" s="393"/>
      <c r="L22" s="361"/>
      <c r="M22" s="364"/>
      <c r="N22" s="364"/>
    </row>
    <row r="23" spans="3:22">
      <c r="C23" s="374" t="str">
        <f>'Cost Assumptions'!B8</f>
        <v>Business owners</v>
      </c>
      <c r="E23" s="391">
        <f>'Cost Assumptions'!D8</f>
        <v>0</v>
      </c>
      <c r="F23" s="391">
        <f>'Cost Assumptions'!E8</f>
        <v>17762.5</v>
      </c>
      <c r="G23" s="391">
        <f>'Cost Assumptions'!F8</f>
        <v>18206.5625</v>
      </c>
      <c r="H23" s="391">
        <f>'Cost Assumptions'!G8</f>
        <v>19116.890625</v>
      </c>
      <c r="I23" s="392">
        <f>'Cost Assumptions'!H8</f>
        <v>20455.072968750002</v>
      </c>
      <c r="J23" s="393"/>
      <c r="L23" s="361"/>
      <c r="M23" s="364"/>
      <c r="N23" s="364"/>
    </row>
    <row r="24" spans="3:22">
      <c r="C24" s="374" t="str">
        <f>'Cost Assumptions'!B9</f>
        <v xml:space="preserve">Travel &amp; entertainment </v>
      </c>
      <c r="E24" s="391">
        <f>'Cost Assumptions'!D9</f>
        <v>5600</v>
      </c>
      <c r="F24" s="391">
        <f>'Cost Assumptions'!E9</f>
        <v>5683.9999999999991</v>
      </c>
      <c r="G24" s="391">
        <f>'Cost Assumptions'!F9</f>
        <v>5826.0999999999985</v>
      </c>
      <c r="H24" s="391">
        <f>'Cost Assumptions'!G9</f>
        <v>6117.4049999999988</v>
      </c>
      <c r="I24" s="392">
        <f>'Cost Assumptions'!H9</f>
        <v>6545.6233499999989</v>
      </c>
      <c r="J24" s="393"/>
      <c r="L24" s="361"/>
      <c r="M24" s="364"/>
      <c r="N24" s="364"/>
    </row>
    <row r="25" spans="3:22">
      <c r="C25" s="374" t="str">
        <f>'Cost Assumptions'!B10</f>
        <v>Legal (SLAs)</v>
      </c>
      <c r="E25" s="391">
        <f>'Cost Assumptions'!D10</f>
        <v>24000</v>
      </c>
      <c r="F25" s="391">
        <f>'Cost Assumptions'!E10</f>
        <v>24359.999999999996</v>
      </c>
      <c r="G25" s="391">
        <f>'Cost Assumptions'!F10</f>
        <v>24968.999999999993</v>
      </c>
      <c r="H25" s="391">
        <f>'Cost Assumptions'!G10</f>
        <v>26217.449999999993</v>
      </c>
      <c r="I25" s="392">
        <f>'Cost Assumptions'!H10</f>
        <v>28052.671499999993</v>
      </c>
      <c r="J25" s="393"/>
      <c r="L25" s="361"/>
      <c r="M25" s="364"/>
      <c r="N25" s="364"/>
    </row>
    <row r="26" spans="3:22">
      <c r="C26" s="374" t="str">
        <f>'Cost Assumptions'!B11</f>
        <v>App maintenance</v>
      </c>
      <c r="E26" s="391">
        <f>'Cost Assumptions'!D11</f>
        <v>18000</v>
      </c>
      <c r="F26" s="391">
        <f>'Cost Assumptions'!E11</f>
        <v>18270</v>
      </c>
      <c r="G26" s="391">
        <f>'Cost Assumptions'!F11</f>
        <v>18726.75</v>
      </c>
      <c r="H26" s="391">
        <f>'Cost Assumptions'!G11</f>
        <v>19663.087500000001</v>
      </c>
      <c r="I26" s="392">
        <f>'Cost Assumptions'!H11</f>
        <v>21039.503625000001</v>
      </c>
      <c r="J26" s="393"/>
      <c r="L26" s="361"/>
      <c r="M26" s="364"/>
      <c r="N26" s="364"/>
    </row>
    <row r="27" spans="3:22">
      <c r="C27" s="374" t="str">
        <f>'Cost Assumptions'!B12</f>
        <v>Lead Customer Development Part of (COCA)</v>
      </c>
      <c r="E27" s="391">
        <f>'Cost Assumptions'!D12</f>
        <v>123000</v>
      </c>
      <c r="F27" s="391">
        <f>'Cost Assumptions'!E12</f>
        <v>201000</v>
      </c>
      <c r="G27" s="391">
        <f>'Cost Assumptions'!F12</f>
        <v>201000</v>
      </c>
      <c r="H27" s="391">
        <f>'Cost Assumptions'!G12</f>
        <v>324000</v>
      </c>
      <c r="I27" s="392">
        <f>'Cost Assumptions'!H12</f>
        <v>402000</v>
      </c>
      <c r="J27" s="393"/>
      <c r="L27" s="361"/>
      <c r="M27" s="364"/>
      <c r="N27" s="364"/>
    </row>
    <row r="28" spans="3:22">
      <c r="C28" s="374" t="str">
        <f>'Cost Assumptions'!B13</f>
        <v>Miscellaneous(Internet, food, )</v>
      </c>
      <c r="E28" s="391">
        <f>'Cost Assumptions'!D13</f>
        <v>4800</v>
      </c>
      <c r="F28" s="391">
        <f>'Cost Assumptions'!E13</f>
        <v>4871.9999999999991</v>
      </c>
      <c r="G28" s="391">
        <f>'Cost Assumptions'!F13</f>
        <v>4993.7999999999984</v>
      </c>
      <c r="H28" s="391">
        <f>'Cost Assumptions'!G13</f>
        <v>5243.4899999999989</v>
      </c>
      <c r="I28" s="392">
        <f>'Cost Assumptions'!H13</f>
        <v>5610.5342999999993</v>
      </c>
      <c r="J28" s="393"/>
      <c r="L28" s="361"/>
      <c r="M28" s="364"/>
      <c r="N28" s="364"/>
    </row>
    <row r="29" spans="3:22">
      <c r="C29" s="374" t="str">
        <f>'Cost Assumptions'!B14</f>
        <v>Purchasing initial item(letterhead, company stationaries etc)</v>
      </c>
      <c r="E29" s="391">
        <f>'Cost Assumptions'!D14</f>
        <v>3600</v>
      </c>
      <c r="F29" s="391">
        <f>'Cost Assumptions'!E14</f>
        <v>3653.9999999999995</v>
      </c>
      <c r="G29" s="391">
        <f>'Cost Assumptions'!F14</f>
        <v>3745.349999999999</v>
      </c>
      <c r="H29" s="391">
        <f>'Cost Assumptions'!G14</f>
        <v>3932.6174999999989</v>
      </c>
      <c r="I29" s="392">
        <f>'Cost Assumptions'!H14</f>
        <v>4207.9007249999995</v>
      </c>
      <c r="J29" s="393"/>
      <c r="L29" s="361"/>
      <c r="M29" s="364"/>
      <c r="N29" s="364"/>
    </row>
    <row r="30" spans="3:22">
      <c r="C30" s="387" t="s">
        <v>35</v>
      </c>
      <c r="E30" s="394">
        <f>'Cost Assumptions'!D17</f>
        <v>269000</v>
      </c>
      <c r="F30" s="395">
        <f>'Cost Assumptions'!E17</f>
        <v>368322.75</v>
      </c>
      <c r="G30" s="395">
        <f>'Cost Assumptions'!F17</f>
        <v>373442.15624999994</v>
      </c>
      <c r="H30" s="395">
        <f>'Cost Assumptions'!G17</f>
        <v>505555.84124999994</v>
      </c>
      <c r="I30" s="396">
        <f>'Cost Assumptions'!H17</f>
        <v>596790.73772812483</v>
      </c>
      <c r="L30" s="361"/>
    </row>
    <row r="31" spans="3:22">
      <c r="C31" s="374"/>
      <c r="E31" s="371"/>
      <c r="F31" s="372"/>
      <c r="G31" s="372"/>
      <c r="H31" s="372"/>
      <c r="I31" s="373"/>
      <c r="L31" s="361"/>
    </row>
    <row r="32" spans="3:22">
      <c r="C32" s="374" t="s">
        <v>34</v>
      </c>
      <c r="E32" s="372">
        <f>E18-E30</f>
        <v>-189004.99493370485</v>
      </c>
      <c r="F32" s="372">
        <f>F18-F30</f>
        <v>4352.547852279502</v>
      </c>
      <c r="G32" s="372">
        <f>G18-G30</f>
        <v>260831.93704946578</v>
      </c>
      <c r="H32" s="372">
        <f>H18-H30</f>
        <v>409815.06611797644</v>
      </c>
      <c r="I32" s="373">
        <f>I18-I30</f>
        <v>1121245.9240921712</v>
      </c>
      <c r="L32" s="361"/>
    </row>
    <row r="33" spans="1:12">
      <c r="C33" s="374"/>
      <c r="E33" s="371"/>
      <c r="F33" s="372"/>
      <c r="G33" s="372"/>
      <c r="H33" s="372"/>
      <c r="I33" s="373"/>
      <c r="L33" s="361"/>
    </row>
    <row r="34" spans="1:12">
      <c r="C34" s="374" t="s">
        <v>24</v>
      </c>
      <c r="E34" s="371">
        <f>'Capital Schedule'!E31</f>
        <v>1400</v>
      </c>
      <c r="F34" s="372">
        <f>'Capital Schedule'!F31</f>
        <v>1620</v>
      </c>
      <c r="G34" s="372">
        <f>'Capital Schedule'!G31</f>
        <v>1620</v>
      </c>
      <c r="H34" s="372">
        <f>'Capital Schedule'!H31</f>
        <v>2140</v>
      </c>
      <c r="I34" s="373">
        <f>'Capital Schedule'!I31</f>
        <v>2140</v>
      </c>
      <c r="L34" s="361"/>
    </row>
    <row r="35" spans="1:12">
      <c r="C35" s="374" t="s">
        <v>36</v>
      </c>
      <c r="E35" s="371">
        <f>'Debt Schedule'!E20</f>
        <v>5300</v>
      </c>
      <c r="F35" s="372">
        <f>'Debt Schedule'!F20</f>
        <v>5300</v>
      </c>
      <c r="G35" s="372">
        <f>'Debt Schedule'!G20</f>
        <v>3975</v>
      </c>
      <c r="H35" s="372">
        <f>'Debt Schedule'!H20</f>
        <v>2650</v>
      </c>
      <c r="I35" s="373">
        <f>'Debt Schedule'!I20</f>
        <v>1325</v>
      </c>
      <c r="L35" s="361"/>
    </row>
    <row r="36" spans="1:12">
      <c r="C36" s="374"/>
      <c r="E36" s="371"/>
      <c r="F36" s="372"/>
      <c r="G36" s="372"/>
      <c r="H36" s="372"/>
      <c r="I36" s="373"/>
      <c r="L36" s="361"/>
    </row>
    <row r="37" spans="1:12">
      <c r="C37" s="374" t="s">
        <v>37</v>
      </c>
      <c r="E37" s="371">
        <f>E32-E34-E35</f>
        <v>-195704.99493370485</v>
      </c>
      <c r="F37" s="372">
        <f t="shared" ref="F37:I37" si="0">F32-F34-F35</f>
        <v>-2567.452147720498</v>
      </c>
      <c r="G37" s="372">
        <f t="shared" si="0"/>
        <v>255236.93704946578</v>
      </c>
      <c r="H37" s="372">
        <f t="shared" si="0"/>
        <v>405025.06611797644</v>
      </c>
      <c r="I37" s="373">
        <f t="shared" si="0"/>
        <v>1117780.9240921712</v>
      </c>
      <c r="L37" s="361"/>
    </row>
    <row r="38" spans="1:12">
      <c r="C38" s="374"/>
      <c r="E38" s="371"/>
      <c r="F38" s="372"/>
      <c r="G38" s="372"/>
      <c r="H38" s="372"/>
      <c r="I38" s="373"/>
      <c r="L38" s="361"/>
    </row>
    <row r="39" spans="1:12">
      <c r="B39" s="397">
        <v>0.15</v>
      </c>
      <c r="C39" s="374" t="s">
        <v>38</v>
      </c>
      <c r="E39" s="371"/>
      <c r="F39" s="372">
        <f t="shared" ref="F39:I39" si="1">F37*$B$39</f>
        <v>-385.11782215807472</v>
      </c>
      <c r="G39" s="372">
        <f t="shared" si="1"/>
        <v>38285.540557419867</v>
      </c>
      <c r="H39" s="372">
        <f t="shared" si="1"/>
        <v>60753.759917696465</v>
      </c>
      <c r="I39" s="373">
        <f t="shared" si="1"/>
        <v>167667.13861382569</v>
      </c>
      <c r="L39" s="361"/>
    </row>
    <row r="40" spans="1:12">
      <c r="C40" s="374"/>
      <c r="E40" s="371"/>
      <c r="F40" s="372"/>
      <c r="G40" s="372"/>
      <c r="H40" s="372"/>
      <c r="I40" s="373"/>
      <c r="L40" s="361"/>
    </row>
    <row r="41" spans="1:12" ht="14.4" thickBot="1">
      <c r="C41" s="398" t="s">
        <v>39</v>
      </c>
      <c r="D41" s="399"/>
      <c r="E41" s="400">
        <f>E37-E39</f>
        <v>-195704.99493370485</v>
      </c>
      <c r="F41" s="401">
        <f t="shared" ref="F41:I41" si="2">F37-F39</f>
        <v>-2182.3343255624231</v>
      </c>
      <c r="G41" s="401">
        <f t="shared" si="2"/>
        <v>216951.3964920459</v>
      </c>
      <c r="H41" s="401">
        <f t="shared" si="2"/>
        <v>344271.30620027997</v>
      </c>
      <c r="I41" s="402">
        <f t="shared" si="2"/>
        <v>950113.78547834558</v>
      </c>
      <c r="L41" s="361"/>
    </row>
    <row r="42" spans="1:12">
      <c r="E42" s="403">
        <f>E41/E10</f>
        <v>-1.4434144596302543</v>
      </c>
      <c r="F42" s="403">
        <f>F41/F10</f>
        <v>-3.3378401325210678E-3</v>
      </c>
      <c r="G42" s="403">
        <f>G41/G10</f>
        <v>0.20180758647172531</v>
      </c>
      <c r="H42" s="403">
        <f>H41/H10</f>
        <v>0.22189919120898585</v>
      </c>
      <c r="I42" s="403">
        <f>I41/I10</f>
        <v>0.32628356884904375</v>
      </c>
      <c r="L42" s="361"/>
    </row>
    <row r="43" spans="1:12">
      <c r="L43" s="361"/>
    </row>
    <row r="44" spans="1:12">
      <c r="A44" s="361"/>
      <c r="B44" s="361"/>
      <c r="C44" s="361"/>
      <c r="D44" s="361"/>
      <c r="E44" s="361"/>
      <c r="F44" s="361"/>
      <c r="G44" s="361"/>
      <c r="H44" s="361"/>
      <c r="I44" s="361"/>
      <c r="J44" s="361"/>
      <c r="K44" s="361"/>
      <c r="L44" s="361"/>
    </row>
  </sheetData>
  <mergeCells count="5">
    <mergeCell ref="C6:D6"/>
    <mergeCell ref="C10:D10"/>
    <mergeCell ref="C12:D12"/>
    <mergeCell ref="C16:D16"/>
    <mergeCell ref="C18:D18"/>
  </mergeCells>
  <phoneticPr fontId="22" type="noConversion"/>
  <pageMargins left="0.75" right="0.75" top="1" bottom="1" header="0.5" footer="0.5"/>
  <pageSetup scale="84" fitToHeight="0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N34"/>
  <sheetViews>
    <sheetView showGridLines="0" zoomScale="70" zoomScaleNormal="70" workbookViewId="0">
      <selection activeCell="H27" sqref="H27"/>
    </sheetView>
  </sheetViews>
  <sheetFormatPr defaultColWidth="0" defaultRowHeight="13.8" zeroHeight="1"/>
  <cols>
    <col min="1" max="1" width="4" style="362" customWidth="1"/>
    <col min="2" max="2" width="11.44140625" style="362" hidden="1" customWidth="1"/>
    <col min="3" max="3" width="6.5546875" style="362" customWidth="1"/>
    <col min="4" max="4" width="32" style="362" customWidth="1"/>
    <col min="5" max="5" width="20.6640625" style="362" customWidth="1"/>
    <col min="6" max="7" width="13.5546875" style="362" bestFit="1" customWidth="1"/>
    <col min="8" max="9" width="13.44140625" style="362" bestFit="1" customWidth="1"/>
    <col min="10" max="10" width="14.77734375" style="362" bestFit="1" customWidth="1"/>
    <col min="11" max="11" width="7.44140625" style="362" customWidth="1"/>
    <col min="12" max="13" width="11.44140625" style="362" hidden="1" customWidth="1"/>
    <col min="14" max="14" width="2.44140625" style="362" customWidth="1"/>
    <col min="15" max="16384" width="11.44140625" style="362" hidden="1"/>
  </cols>
  <sheetData>
    <row r="1" spans="1:14">
      <c r="A1" s="360"/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1"/>
    </row>
    <row r="2" spans="1:14">
      <c r="A2" s="360"/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1"/>
    </row>
    <row r="3" spans="1:14">
      <c r="N3" s="361"/>
    </row>
    <row r="4" spans="1:14">
      <c r="A4" s="363"/>
      <c r="B4" s="363"/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  <c r="N4" s="361"/>
    </row>
    <row r="5" spans="1:14" ht="14.4" thickBot="1">
      <c r="N5" s="361"/>
    </row>
    <row r="6" spans="1:14">
      <c r="D6" s="424" t="s">
        <v>45</v>
      </c>
      <c r="E6" s="425" t="s">
        <v>46</v>
      </c>
      <c r="F6" s="426" t="s">
        <v>4</v>
      </c>
      <c r="G6" s="425" t="s">
        <v>5</v>
      </c>
      <c r="H6" s="425" t="s">
        <v>6</v>
      </c>
      <c r="I6" s="425" t="s">
        <v>8</v>
      </c>
      <c r="J6" s="427" t="s">
        <v>9</v>
      </c>
      <c r="N6" s="361"/>
    </row>
    <row r="7" spans="1:14">
      <c r="D7" s="387"/>
      <c r="E7" s="417" t="s">
        <v>45</v>
      </c>
      <c r="F7" s="428"/>
      <c r="G7" s="416"/>
      <c r="H7" s="416"/>
      <c r="I7" s="416"/>
      <c r="J7" s="429"/>
      <c r="N7" s="361"/>
    </row>
    <row r="8" spans="1:14">
      <c r="D8" s="387" t="s">
        <v>29</v>
      </c>
      <c r="E8" s="372"/>
      <c r="F8" s="371"/>
      <c r="G8" s="372"/>
      <c r="H8" s="372"/>
      <c r="I8" s="372"/>
      <c r="J8" s="373"/>
      <c r="K8" s="364"/>
      <c r="N8" s="361"/>
    </row>
    <row r="9" spans="1:14">
      <c r="D9" s="374" t="s">
        <v>47</v>
      </c>
      <c r="E9" s="372">
        <f>'Startup Costs'!C29</f>
        <v>276000</v>
      </c>
      <c r="F9" s="371">
        <f>'Cash Flow'!D19</f>
        <v>98232.617901240927</v>
      </c>
      <c r="G9" s="372">
        <f>'Cash Flow'!E19</f>
        <v>70186.609972724109</v>
      </c>
      <c r="H9" s="372">
        <f>'Cash Flow'!F19</f>
        <v>258618.18270123936</v>
      </c>
      <c r="I9" s="372">
        <f>'Cash Flow'!G19</f>
        <v>581758.61387701193</v>
      </c>
      <c r="J9" s="373">
        <f>'Cash Flow'!H19</f>
        <v>1472352.2382263953</v>
      </c>
      <c r="K9" s="364"/>
      <c r="N9" s="361"/>
    </row>
    <row r="10" spans="1:14">
      <c r="C10" s="418">
        <v>15</v>
      </c>
      <c r="D10" s="374" t="s">
        <v>48</v>
      </c>
      <c r="E10" s="372">
        <v>0</v>
      </c>
      <c r="F10" s="371">
        <f>'Income Statement'!E10/365*'Balance Sheet'!$C$10</f>
        <v>5571.9762061501151</v>
      </c>
      <c r="G10" s="372">
        <f>'Income Statement'!F10/365*'Balance Sheet'!$C$10</f>
        <v>26869.163507734644</v>
      </c>
      <c r="H10" s="372">
        <f>'Income Statement'!G10/365*'Balance Sheet'!$C$10</f>
        <v>44179.760387703667</v>
      </c>
      <c r="I10" s="372">
        <f>'Income Statement'!H10/365*'Balance Sheet'!$C$10</f>
        <v>63759.294453306909</v>
      </c>
      <c r="J10" s="373">
        <f>'Income Statement'!I10/365*'Balance Sheet'!$C$10</f>
        <v>119668.21419690941</v>
      </c>
      <c r="K10" s="364"/>
      <c r="N10" s="361"/>
    </row>
    <row r="11" spans="1:14">
      <c r="D11" s="374"/>
      <c r="E11" s="372"/>
      <c r="F11" s="371"/>
      <c r="G11" s="372"/>
      <c r="H11" s="372"/>
      <c r="I11" s="372"/>
      <c r="J11" s="373"/>
      <c r="K11" s="364"/>
      <c r="N11" s="361"/>
    </row>
    <row r="12" spans="1:14">
      <c r="D12" s="374" t="s">
        <v>49</v>
      </c>
      <c r="E12" s="372">
        <f>'Startup Costs'!C28</f>
        <v>7000</v>
      </c>
      <c r="F12" s="371">
        <f>'Capital Schedule'!E23</f>
        <v>7000</v>
      </c>
      <c r="G12" s="372">
        <f>'Capital Schedule'!F23</f>
        <v>8100</v>
      </c>
      <c r="H12" s="372">
        <f>'Capital Schedule'!G23</f>
        <v>8100</v>
      </c>
      <c r="I12" s="372">
        <f>'Capital Schedule'!H23</f>
        <v>9400</v>
      </c>
      <c r="J12" s="373">
        <f>'Capital Schedule'!I23</f>
        <v>9400</v>
      </c>
      <c r="K12" s="364"/>
      <c r="N12" s="361"/>
    </row>
    <row r="13" spans="1:14">
      <c r="D13" s="430" t="s">
        <v>50</v>
      </c>
      <c r="E13" s="372">
        <v>0</v>
      </c>
      <c r="F13" s="371">
        <f>'Capital Schedule'!E32</f>
        <v>1400</v>
      </c>
      <c r="G13" s="372">
        <f>'Capital Schedule'!F32</f>
        <v>3020</v>
      </c>
      <c r="H13" s="372">
        <f>'Capital Schedule'!G32</f>
        <v>4640</v>
      </c>
      <c r="I13" s="372">
        <f>'Capital Schedule'!H32</f>
        <v>6780</v>
      </c>
      <c r="J13" s="373">
        <f>'Capital Schedule'!I32</f>
        <v>8920</v>
      </c>
      <c r="K13" s="364"/>
      <c r="N13" s="361"/>
    </row>
    <row r="14" spans="1:14">
      <c r="D14" s="374" t="s">
        <v>51</v>
      </c>
      <c r="E14" s="372">
        <f>E12-E13</f>
        <v>7000</v>
      </c>
      <c r="F14" s="371">
        <f>'Capital Schedule'!E35</f>
        <v>5600</v>
      </c>
      <c r="G14" s="372">
        <f>'Capital Schedule'!F35</f>
        <v>5080</v>
      </c>
      <c r="H14" s="372">
        <f>'Capital Schedule'!G35</f>
        <v>3460</v>
      </c>
      <c r="I14" s="372">
        <f>'Capital Schedule'!H35</f>
        <v>2620</v>
      </c>
      <c r="J14" s="373">
        <f>'Capital Schedule'!I35</f>
        <v>480</v>
      </c>
      <c r="K14" s="364"/>
      <c r="N14" s="361"/>
    </row>
    <row r="15" spans="1:14">
      <c r="D15" s="374"/>
      <c r="E15" s="372"/>
      <c r="F15" s="371"/>
      <c r="G15" s="372"/>
      <c r="H15" s="372"/>
      <c r="I15" s="372"/>
      <c r="J15" s="373"/>
      <c r="K15" s="364"/>
      <c r="N15" s="361"/>
    </row>
    <row r="16" spans="1:14">
      <c r="D16" s="387" t="s">
        <v>23</v>
      </c>
      <c r="E16" s="431">
        <f>E14+E10+E9</f>
        <v>283000</v>
      </c>
      <c r="F16" s="432">
        <f t="shared" ref="F16:J16" si="0">F14+F10+F9</f>
        <v>109404.59410739104</v>
      </c>
      <c r="G16" s="431">
        <f t="shared" si="0"/>
        <v>102135.77348045875</v>
      </c>
      <c r="H16" s="431">
        <f t="shared" si="0"/>
        <v>306257.94308894302</v>
      </c>
      <c r="I16" s="431">
        <f t="shared" si="0"/>
        <v>648137.90833031887</v>
      </c>
      <c r="J16" s="433">
        <f t="shared" si="0"/>
        <v>1592500.4524233048</v>
      </c>
      <c r="K16" s="364"/>
      <c r="N16" s="361"/>
    </row>
    <row r="17" spans="3:14">
      <c r="D17" s="374"/>
      <c r="E17" s="372"/>
      <c r="F17" s="371"/>
      <c r="G17" s="372"/>
      <c r="H17" s="372"/>
      <c r="I17" s="372"/>
      <c r="J17" s="373"/>
      <c r="K17" s="364"/>
      <c r="N17" s="361"/>
    </row>
    <row r="18" spans="3:14">
      <c r="D18" s="387" t="s">
        <v>52</v>
      </c>
      <c r="E18" s="372"/>
      <c r="F18" s="372"/>
      <c r="G18" s="372"/>
      <c r="H18" s="372"/>
      <c r="I18" s="372"/>
      <c r="J18" s="373"/>
      <c r="K18" s="364"/>
      <c r="N18" s="361"/>
    </row>
    <row r="19" spans="3:14">
      <c r="C19" s="418">
        <v>30</v>
      </c>
      <c r="D19" s="374" t="s">
        <v>53</v>
      </c>
      <c r="E19" s="372">
        <v>0</v>
      </c>
      <c r="F19" s="372">
        <f>'Income Statement'!E30/365*'Balance Sheet'!$C$19</f>
        <v>22109.589041095889</v>
      </c>
      <c r="G19" s="372">
        <f>'Income Statement'!F30/365*'Balance Sheet'!$C$19</f>
        <v>30273.102739726026</v>
      </c>
      <c r="H19" s="372">
        <f>'Income Statement'!G30/365*'Balance Sheet'!$C$19</f>
        <v>30693.875856164377</v>
      </c>
      <c r="I19" s="372">
        <f>'Income Statement'!H30/365*'Balance Sheet'!$C$19</f>
        <v>41552.534897260266</v>
      </c>
      <c r="J19" s="373">
        <f>'Income Statement'!I30/365*'Balance Sheet'!$C$19</f>
        <v>49051.293511900672</v>
      </c>
      <c r="K19" s="364"/>
      <c r="N19" s="361"/>
    </row>
    <row r="20" spans="3:14">
      <c r="D20" s="374" t="s">
        <v>31</v>
      </c>
      <c r="E20" s="372">
        <f>'Startup Costs'!E29</f>
        <v>53000</v>
      </c>
      <c r="F20" s="372">
        <f>'Debt Schedule'!E18</f>
        <v>53000</v>
      </c>
      <c r="G20" s="372">
        <f>'Debt Schedule'!F18</f>
        <v>39750</v>
      </c>
      <c r="H20" s="372">
        <f>'Debt Schedule'!G18</f>
        <v>26500</v>
      </c>
      <c r="I20" s="372">
        <f>'Debt Schedule'!H18</f>
        <v>13250</v>
      </c>
      <c r="J20" s="373">
        <f>'Debt Schedule'!I18</f>
        <v>0</v>
      </c>
      <c r="K20" s="364"/>
      <c r="N20" s="361"/>
    </row>
    <row r="21" spans="3:14">
      <c r="D21" s="374" t="s">
        <v>55</v>
      </c>
      <c r="E21" s="372">
        <f>'Startup Costs'!E31</f>
        <v>30000</v>
      </c>
      <c r="F21" s="371">
        <f>E21</f>
        <v>30000</v>
      </c>
      <c r="G21" s="372">
        <f t="shared" ref="G21:J21" si="1">F21</f>
        <v>30000</v>
      </c>
      <c r="H21" s="372">
        <f t="shared" si="1"/>
        <v>30000</v>
      </c>
      <c r="I21" s="372">
        <f t="shared" si="1"/>
        <v>30000</v>
      </c>
      <c r="J21" s="373">
        <f t="shared" si="1"/>
        <v>30000</v>
      </c>
      <c r="K21" s="364"/>
      <c r="N21" s="361"/>
    </row>
    <row r="22" spans="3:14">
      <c r="D22" s="374" t="s">
        <v>14</v>
      </c>
      <c r="E22" s="372">
        <f>'Startup Costs'!E28</f>
        <v>200000</v>
      </c>
      <c r="F22" s="371">
        <f>E22</f>
        <v>200000</v>
      </c>
      <c r="G22" s="372">
        <f t="shared" ref="G22:J22" si="2">F22</f>
        <v>200000</v>
      </c>
      <c r="H22" s="372">
        <f t="shared" si="2"/>
        <v>200000</v>
      </c>
      <c r="I22" s="372">
        <f t="shared" si="2"/>
        <v>200000</v>
      </c>
      <c r="J22" s="373">
        <f t="shared" si="2"/>
        <v>200000</v>
      </c>
      <c r="K22" s="364"/>
      <c r="N22" s="361"/>
    </row>
    <row r="23" spans="3:14">
      <c r="D23" s="374" t="s">
        <v>7</v>
      </c>
      <c r="E23" s="372">
        <f>'Startup Costs'!E15</f>
        <v>0</v>
      </c>
      <c r="F23" s="371">
        <f>'Income Statement'!E41+E23</f>
        <v>-195704.99493370485</v>
      </c>
      <c r="G23" s="372">
        <f>F23+'Income Statement'!F41</f>
        <v>-197887.32925926728</v>
      </c>
      <c r="H23" s="372">
        <f>G23+'Income Statement'!G41</f>
        <v>19064.067232778616</v>
      </c>
      <c r="I23" s="372">
        <f>H23+'Income Statement'!H41</f>
        <v>363335.37343305862</v>
      </c>
      <c r="J23" s="373">
        <f>I23+'Income Statement'!I41</f>
        <v>1313449.1589114042</v>
      </c>
      <c r="K23" s="364"/>
      <c r="N23" s="361"/>
    </row>
    <row r="24" spans="3:14">
      <c r="D24" s="374"/>
      <c r="E24" s="372"/>
      <c r="F24" s="371"/>
      <c r="G24" s="372"/>
      <c r="H24" s="372"/>
      <c r="I24" s="372"/>
      <c r="J24" s="373"/>
      <c r="K24" s="364"/>
      <c r="N24" s="361"/>
    </row>
    <row r="25" spans="3:14" ht="14.4" thickBot="1">
      <c r="D25" s="398" t="s">
        <v>54</v>
      </c>
      <c r="E25" s="401">
        <f>SUM(E19:E23)</f>
        <v>283000</v>
      </c>
      <c r="F25" s="400">
        <f t="shared" ref="F25:J25" si="3">SUM(F19:F23)</f>
        <v>109404.59410739108</v>
      </c>
      <c r="G25" s="401">
        <f t="shared" si="3"/>
        <v>102135.77348045874</v>
      </c>
      <c r="H25" s="401">
        <f t="shared" si="3"/>
        <v>306257.94308894302</v>
      </c>
      <c r="I25" s="401">
        <f t="shared" si="3"/>
        <v>648137.90833031887</v>
      </c>
      <c r="J25" s="402">
        <f t="shared" si="3"/>
        <v>1592500.4524233048</v>
      </c>
      <c r="K25" s="364"/>
      <c r="N25" s="361"/>
    </row>
    <row r="26" spans="3:14">
      <c r="E26" s="364"/>
      <c r="F26" s="364"/>
      <c r="G26" s="364"/>
      <c r="H26" s="364"/>
      <c r="I26" s="364"/>
      <c r="J26" s="364"/>
      <c r="K26" s="364"/>
      <c r="N26" s="361"/>
    </row>
    <row r="27" spans="3:14">
      <c r="D27" s="364" t="s">
        <v>66</v>
      </c>
      <c r="F27" s="364">
        <f>F19-F10</f>
        <v>16537.612834945772</v>
      </c>
      <c r="G27" s="364">
        <f t="shared" ref="G27:J27" si="4">G19-G10</f>
        <v>3403.9392319913823</v>
      </c>
      <c r="H27" s="364">
        <f t="shared" si="4"/>
        <v>-13485.88453153929</v>
      </c>
      <c r="I27" s="364">
        <f t="shared" si="4"/>
        <v>-22206.759556046643</v>
      </c>
      <c r="J27" s="364">
        <f t="shared" si="4"/>
        <v>-70616.920685008736</v>
      </c>
      <c r="K27" s="364"/>
      <c r="N27" s="361"/>
    </row>
    <row r="28" spans="3:14">
      <c r="F28" s="434">
        <f>F27</f>
        <v>16537.612834945772</v>
      </c>
      <c r="G28" s="434">
        <f>G27-F27</f>
        <v>-13133.67360295439</v>
      </c>
      <c r="H28" s="434">
        <f t="shared" ref="H28:J28" si="5">H27-G27</f>
        <v>-16889.823763530672</v>
      </c>
      <c r="I28" s="434">
        <f t="shared" si="5"/>
        <v>-8720.8750245073534</v>
      </c>
      <c r="J28" s="434">
        <f t="shared" si="5"/>
        <v>-48410.161128962092</v>
      </c>
      <c r="N28" s="361"/>
    </row>
    <row r="29" spans="3:14">
      <c r="N29" s="361"/>
    </row>
    <row r="30" spans="3:14">
      <c r="E30" s="362" t="s">
        <v>67</v>
      </c>
      <c r="F30" s="434">
        <f>F16-F25</f>
        <v>0</v>
      </c>
      <c r="G30" s="434">
        <f t="shared" ref="G30:J30" si="6">G16-G25</f>
        <v>0</v>
      </c>
      <c r="H30" s="434">
        <f t="shared" si="6"/>
        <v>0</v>
      </c>
      <c r="I30" s="434">
        <f t="shared" si="6"/>
        <v>0</v>
      </c>
      <c r="J30" s="434">
        <f t="shared" si="6"/>
        <v>0</v>
      </c>
      <c r="N30" s="361"/>
    </row>
    <row r="31" spans="3:14">
      <c r="N31" s="361"/>
    </row>
    <row r="32" spans="3:14">
      <c r="N32" s="361"/>
    </row>
    <row r="33" spans="1:14">
      <c r="N33" s="361"/>
    </row>
    <row r="34" spans="1:14" ht="11.4" customHeight="1">
      <c r="A34" s="361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1"/>
      <c r="N34" s="361"/>
    </row>
  </sheetData>
  <pageMargins left="0.75" right="0.75" top="1" bottom="1" header="0.5" footer="0.5"/>
  <pageSetup scale="91" fitToHeight="0" orientation="landscape" horizontalDpi="4294967293" verticalDpi="429496729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showGridLines="0" topLeftCell="A4" zoomScale="70" zoomScaleNormal="70" zoomScalePageLayoutView="85" workbookViewId="0">
      <selection activeCell="D14" sqref="D14"/>
    </sheetView>
  </sheetViews>
  <sheetFormatPr defaultColWidth="0" defaultRowHeight="13.8" zeroHeight="1"/>
  <cols>
    <col min="1" max="1" width="6.33203125" style="362" customWidth="1"/>
    <col min="2" max="2" width="11.44140625" style="362" hidden="1" customWidth="1"/>
    <col min="3" max="3" width="16.88671875" style="362" bestFit="1" customWidth="1"/>
    <col min="4" max="4" width="45.5546875" style="362" customWidth="1"/>
    <col min="5" max="5" width="13.77734375" style="362" bestFit="1" customWidth="1"/>
    <col min="6" max="6" width="15.21875" style="362" bestFit="1" customWidth="1"/>
    <col min="7" max="7" width="15" style="362" bestFit="1" customWidth="1"/>
    <col min="8" max="9" width="15.21875" style="362" bestFit="1" customWidth="1"/>
    <col min="10" max="10" width="11.44140625" style="362" customWidth="1"/>
    <col min="11" max="11" width="11.44140625" style="362" hidden="1" customWidth="1"/>
    <col min="12" max="12" width="3.77734375" style="362" customWidth="1"/>
    <col min="13" max="13" width="11.44140625" style="362" hidden="1" customWidth="1"/>
    <col min="14" max="17" width="0" style="362" hidden="1" customWidth="1"/>
    <col min="18" max="16384" width="11.44140625" style="362" hidden="1"/>
  </cols>
  <sheetData>
    <row r="1" spans="1:12">
      <c r="A1" s="360" t="s">
        <v>314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1"/>
    </row>
    <row r="2" spans="1:12">
      <c r="A2" s="415"/>
      <c r="B2" s="415"/>
      <c r="C2" s="415"/>
      <c r="D2" s="415"/>
      <c r="E2" s="415"/>
      <c r="F2" s="415"/>
      <c r="G2" s="415"/>
      <c r="H2" s="415"/>
      <c r="I2" s="415"/>
      <c r="J2" s="415"/>
      <c r="K2" s="415"/>
      <c r="L2" s="361"/>
    </row>
    <row r="3" spans="1:12">
      <c r="A3" s="415"/>
      <c r="B3" s="415"/>
      <c r="C3" s="415"/>
      <c r="D3" s="415"/>
      <c r="E3" s="415"/>
      <c r="F3" s="415"/>
      <c r="G3" s="415"/>
      <c r="H3" s="415"/>
      <c r="I3" s="415"/>
      <c r="J3" s="415"/>
      <c r="K3" s="415"/>
      <c r="L3" s="361"/>
    </row>
    <row r="4" spans="1:12">
      <c r="A4" s="365"/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1"/>
    </row>
    <row r="5" spans="1:12">
      <c r="A5" s="363"/>
      <c r="B5" s="363"/>
      <c r="C5" s="363"/>
      <c r="D5" s="363"/>
      <c r="E5" s="363"/>
      <c r="F5" s="363"/>
      <c r="G5" s="363"/>
      <c r="H5" s="363"/>
      <c r="I5" s="363"/>
      <c r="J5" s="363"/>
      <c r="K5" s="363"/>
      <c r="L5" s="361"/>
    </row>
    <row r="6" spans="1:12">
      <c r="L6" s="361"/>
    </row>
    <row r="7" spans="1:12">
      <c r="L7" s="361"/>
    </row>
    <row r="8" spans="1:12">
      <c r="C8" s="416" t="s">
        <v>77</v>
      </c>
      <c r="L8" s="361"/>
    </row>
    <row r="9" spans="1:12">
      <c r="E9" s="465" t="s">
        <v>69</v>
      </c>
      <c r="F9" s="465"/>
      <c r="G9" s="465"/>
      <c r="H9" s="465"/>
      <c r="I9" s="465"/>
      <c r="L9" s="361"/>
    </row>
    <row r="10" spans="1:12">
      <c r="C10" s="416"/>
      <c r="E10" s="418"/>
      <c r="F10" s="418"/>
      <c r="G10" s="418"/>
      <c r="H10" s="418"/>
      <c r="I10" s="418"/>
      <c r="L10" s="361"/>
    </row>
    <row r="11" spans="1:12">
      <c r="E11" s="465" t="s">
        <v>1</v>
      </c>
      <c r="F11" s="465"/>
      <c r="G11" s="465"/>
      <c r="H11" s="465"/>
      <c r="I11" s="465"/>
      <c r="L11" s="361"/>
    </row>
    <row r="12" spans="1:12">
      <c r="E12" s="417" t="s">
        <v>4</v>
      </c>
      <c r="F12" s="417" t="s">
        <v>5</v>
      </c>
      <c r="G12" s="417" t="s">
        <v>6</v>
      </c>
      <c r="H12" s="417" t="s">
        <v>8</v>
      </c>
      <c r="I12" s="417" t="s">
        <v>9</v>
      </c>
      <c r="L12" s="361"/>
    </row>
    <row r="13" spans="1:12">
      <c r="C13" s="416" t="s">
        <v>84</v>
      </c>
      <c r="D13" s="416" t="s">
        <v>290</v>
      </c>
      <c r="E13" s="419"/>
      <c r="F13" s="419"/>
      <c r="G13" s="419"/>
      <c r="H13" s="419"/>
      <c r="I13" s="419"/>
      <c r="L13" s="361"/>
    </row>
    <row r="14" spans="1:12">
      <c r="C14" s="416"/>
      <c r="D14" s="362" t="s">
        <v>285</v>
      </c>
      <c r="E14" s="419">
        <f>Calculations!S9</f>
        <v>29.5</v>
      </c>
      <c r="F14" s="419">
        <f>Calculations!T9</f>
        <v>66.197999999999993</v>
      </c>
      <c r="G14" s="419">
        <f>Calculations!U9</f>
        <v>87.131200000000021</v>
      </c>
      <c r="H14" s="419">
        <f>Calculations!V9</f>
        <v>113.988</v>
      </c>
      <c r="I14" s="419">
        <f>Calculations!W9</f>
        <v>189.39</v>
      </c>
      <c r="L14" s="361"/>
    </row>
    <row r="15" spans="1:12">
      <c r="C15" s="416"/>
      <c r="D15" s="362" t="s">
        <v>286</v>
      </c>
      <c r="E15" s="419">
        <f>5%*E16</f>
        <v>12.5</v>
      </c>
      <c r="F15" s="419">
        <f t="shared" ref="F15:I15" si="0">5%*F16</f>
        <v>27.5</v>
      </c>
      <c r="G15" s="419">
        <f t="shared" si="0"/>
        <v>35.5</v>
      </c>
      <c r="H15" s="419">
        <f t="shared" si="0"/>
        <v>46</v>
      </c>
      <c r="I15" s="419">
        <f t="shared" si="0"/>
        <v>75</v>
      </c>
      <c r="L15" s="361"/>
    </row>
    <row r="16" spans="1:12">
      <c r="C16" s="416"/>
      <c r="D16" s="362" t="s">
        <v>288</v>
      </c>
      <c r="E16" s="419">
        <f>Calculations!G4</f>
        <v>250</v>
      </c>
      <c r="F16" s="419">
        <f>Calculations!H4</f>
        <v>550</v>
      </c>
      <c r="G16" s="419">
        <f>Calculations!I4</f>
        <v>710</v>
      </c>
      <c r="H16" s="419">
        <f>Calculations!J4</f>
        <v>920</v>
      </c>
      <c r="I16" s="419">
        <f>Calculations!K4</f>
        <v>1500</v>
      </c>
      <c r="L16" s="361"/>
    </row>
    <row r="17" spans="3:12">
      <c r="C17" s="416"/>
      <c r="D17" s="362" t="s">
        <v>93</v>
      </c>
      <c r="E17" s="420">
        <f>Calculations!S11</f>
        <v>3733.042520327213</v>
      </c>
      <c r="F17" s="420">
        <f>Calculations!T11</f>
        <v>6201.1709118333338</v>
      </c>
      <c r="G17" s="420">
        <f>Calculations!U11</f>
        <v>6511.2294574249981</v>
      </c>
      <c r="H17" s="420">
        <f>Calculations!V11</f>
        <v>6967.0155194447498</v>
      </c>
      <c r="I17" s="420">
        <f>Calculations!W11</f>
        <v>7594.0469161947776</v>
      </c>
      <c r="L17" s="361"/>
    </row>
    <row r="18" spans="3:12">
      <c r="C18" s="416"/>
      <c r="D18" s="362" t="s">
        <v>81</v>
      </c>
      <c r="E18" s="421">
        <f>E17*E14</f>
        <v>110124.75434965278</v>
      </c>
      <c r="F18" s="421">
        <f t="shared" ref="F18:I18" si="1">F17*F14</f>
        <v>410505.11202154297</v>
      </c>
      <c r="G18" s="421">
        <f t="shared" si="1"/>
        <v>567331.23610078916</v>
      </c>
      <c r="H18" s="421">
        <f t="shared" si="1"/>
        <v>794156.16503046814</v>
      </c>
      <c r="I18" s="421">
        <f t="shared" si="1"/>
        <v>1438236.5454581289</v>
      </c>
      <c r="L18" s="361"/>
    </row>
    <row r="19" spans="3:12">
      <c r="C19" s="416"/>
      <c r="E19" s="419"/>
      <c r="F19" s="419"/>
      <c r="G19" s="419"/>
      <c r="H19" s="419"/>
      <c r="I19" s="419"/>
      <c r="L19" s="361"/>
    </row>
    <row r="20" spans="3:12">
      <c r="C20" s="416" t="s">
        <v>85</v>
      </c>
      <c r="D20" s="416" t="s">
        <v>316</v>
      </c>
      <c r="E20" s="419"/>
      <c r="F20" s="419"/>
      <c r="G20" s="419"/>
      <c r="H20" s="419"/>
      <c r="I20" s="419"/>
      <c r="L20" s="361"/>
    </row>
    <row r="21" spans="3:12">
      <c r="C21" s="416"/>
      <c r="D21" s="362" t="s">
        <v>287</v>
      </c>
      <c r="E21" s="419">
        <f>Calculations!E52</f>
        <v>125</v>
      </c>
      <c r="F21" s="419">
        <f>Calculations!F52</f>
        <v>275</v>
      </c>
      <c r="G21" s="419">
        <f>Calculations!G52</f>
        <v>355</v>
      </c>
      <c r="H21" s="419">
        <f>Calculations!H52</f>
        <v>460</v>
      </c>
      <c r="I21" s="419">
        <f>Calculations!I52</f>
        <v>750</v>
      </c>
      <c r="L21" s="361"/>
    </row>
    <row r="22" spans="3:12">
      <c r="C22" s="416"/>
      <c r="D22" s="362" t="s">
        <v>289</v>
      </c>
      <c r="E22" s="419">
        <f>E23*5%</f>
        <v>12.5</v>
      </c>
      <c r="F22" s="419">
        <f t="shared" ref="F22:I22" si="2">F23*5%</f>
        <v>27.5</v>
      </c>
      <c r="G22" s="419">
        <f t="shared" si="2"/>
        <v>35.5</v>
      </c>
      <c r="H22" s="419">
        <f t="shared" si="2"/>
        <v>46</v>
      </c>
      <c r="I22" s="419">
        <f t="shared" si="2"/>
        <v>75</v>
      </c>
      <c r="L22" s="361"/>
    </row>
    <row r="23" spans="3:12">
      <c r="C23" s="416"/>
      <c r="D23" s="362" t="s">
        <v>288</v>
      </c>
      <c r="E23" s="419">
        <f>Calculations!G4</f>
        <v>250</v>
      </c>
      <c r="F23" s="419">
        <f>Calculations!H4</f>
        <v>550</v>
      </c>
      <c r="G23" s="419">
        <f>Calculations!I4</f>
        <v>710</v>
      </c>
      <c r="H23" s="419">
        <f>Calculations!J4</f>
        <v>920</v>
      </c>
      <c r="I23" s="419">
        <f>Calculations!K4</f>
        <v>1500</v>
      </c>
      <c r="L23" s="361"/>
    </row>
    <row r="24" spans="3:12">
      <c r="C24" s="416"/>
      <c r="D24" s="362" t="s">
        <v>93</v>
      </c>
      <c r="E24" s="420">
        <f>Calculations!E64</f>
        <v>189.28000000000003</v>
      </c>
      <c r="F24" s="420">
        <f>Calculations!F64</f>
        <v>865.2800000000002</v>
      </c>
      <c r="G24" s="420">
        <f>Calculations!G64</f>
        <v>1406.0800000000002</v>
      </c>
      <c r="H24" s="420">
        <f>Calculations!H64</f>
        <v>1622.4000000000003</v>
      </c>
      <c r="I24" s="420">
        <f>Calculations!I64</f>
        <v>1946.8800000000003</v>
      </c>
      <c r="L24" s="361"/>
    </row>
    <row r="25" spans="3:12">
      <c r="C25" s="416"/>
      <c r="D25" s="362" t="s">
        <v>82</v>
      </c>
      <c r="E25" s="421">
        <f>E24*E21</f>
        <v>23660.000000000004</v>
      </c>
      <c r="F25" s="421">
        <f t="shared" ref="F25:I25" si="3">F24*F21</f>
        <v>237952.00000000006</v>
      </c>
      <c r="G25" s="421">
        <f t="shared" si="3"/>
        <v>499158.40000000008</v>
      </c>
      <c r="H25" s="421">
        <f t="shared" si="3"/>
        <v>746304.00000000012</v>
      </c>
      <c r="I25" s="421">
        <f t="shared" si="3"/>
        <v>1460160.0000000002</v>
      </c>
      <c r="L25" s="361"/>
    </row>
    <row r="26" spans="3:12">
      <c r="C26" s="416"/>
      <c r="E26" s="419"/>
      <c r="F26" s="419"/>
      <c r="G26" s="419"/>
      <c r="H26" s="419"/>
      <c r="I26" s="419"/>
      <c r="L26" s="361"/>
    </row>
    <row r="27" spans="3:12">
      <c r="C27" s="416" t="s">
        <v>86</v>
      </c>
      <c r="D27" s="416" t="s">
        <v>317</v>
      </c>
      <c r="E27" s="419"/>
      <c r="F27" s="419"/>
      <c r="G27" s="419"/>
      <c r="H27" s="419"/>
      <c r="I27" s="419"/>
      <c r="L27" s="361"/>
    </row>
    <row r="28" spans="3:12">
      <c r="C28" s="416"/>
      <c r="D28" s="362" t="s">
        <v>291</v>
      </c>
      <c r="E28" s="419">
        <f>Calculations!E69</f>
        <v>15</v>
      </c>
      <c r="F28" s="419">
        <f>Calculations!F69</f>
        <v>22</v>
      </c>
      <c r="G28" s="419">
        <f>Calculations!G69</f>
        <v>35</v>
      </c>
      <c r="H28" s="419">
        <f>Calculations!H69</f>
        <v>45</v>
      </c>
      <c r="I28" s="419">
        <f>Calculations!I69</f>
        <v>55</v>
      </c>
      <c r="L28" s="361"/>
    </row>
    <row r="29" spans="3:12">
      <c r="C29" s="416"/>
      <c r="D29" s="362" t="s">
        <v>292</v>
      </c>
      <c r="E29" s="419"/>
      <c r="F29" s="419"/>
      <c r="G29" s="419"/>
      <c r="H29" s="419"/>
      <c r="I29" s="419"/>
      <c r="L29" s="361"/>
    </row>
    <row r="30" spans="3:12">
      <c r="C30" s="416"/>
      <c r="D30" s="362" t="s">
        <v>293</v>
      </c>
      <c r="E30" s="419">
        <f>Calculations!G4</f>
        <v>250</v>
      </c>
      <c r="F30" s="419">
        <f>Calculations!H4</f>
        <v>550</v>
      </c>
      <c r="G30" s="419">
        <f>Calculations!I4</f>
        <v>710</v>
      </c>
      <c r="H30" s="419">
        <f>Calculations!J4</f>
        <v>920</v>
      </c>
      <c r="I30" s="419">
        <f>Calculations!K4</f>
        <v>1500</v>
      </c>
      <c r="L30" s="361"/>
    </row>
    <row r="31" spans="3:12">
      <c r="C31" s="416"/>
      <c r="D31" s="362" t="s">
        <v>93</v>
      </c>
      <c r="E31" s="420">
        <f>Calculations!E74</f>
        <v>120</v>
      </c>
      <c r="F31" s="420">
        <f>Calculations!F74</f>
        <v>243.6</v>
      </c>
      <c r="G31" s="420">
        <f>Calculations!G74</f>
        <v>244.32000000000002</v>
      </c>
      <c r="H31" s="420">
        <f>Calculations!H74</f>
        <v>244.8</v>
      </c>
      <c r="I31" s="420">
        <f>Calculations!I74</f>
        <v>246</v>
      </c>
      <c r="L31" s="361"/>
    </row>
    <row r="32" spans="3:12">
      <c r="C32" s="416"/>
      <c r="D32" s="362" t="s">
        <v>83</v>
      </c>
      <c r="E32" s="421">
        <f>E31*E28</f>
        <v>1800</v>
      </c>
      <c r="F32" s="421">
        <f t="shared" ref="F32:I32" si="4">F31*F28</f>
        <v>5359.2</v>
      </c>
      <c r="G32" s="421">
        <f t="shared" si="4"/>
        <v>8551.2000000000007</v>
      </c>
      <c r="H32" s="421">
        <f t="shared" si="4"/>
        <v>11016</v>
      </c>
      <c r="I32" s="421">
        <f t="shared" si="4"/>
        <v>13530</v>
      </c>
      <c r="L32" s="361"/>
    </row>
    <row r="33" spans="1:12">
      <c r="C33" s="416"/>
      <c r="E33" s="419"/>
      <c r="F33" s="419"/>
      <c r="G33" s="419"/>
      <c r="H33" s="419"/>
      <c r="I33" s="419"/>
      <c r="L33" s="361"/>
    </row>
    <row r="34" spans="1:12">
      <c r="E34" s="422"/>
      <c r="F34" s="422"/>
      <c r="G34" s="422"/>
      <c r="H34" s="422"/>
      <c r="I34" s="422"/>
      <c r="L34" s="361"/>
    </row>
    <row r="35" spans="1:12">
      <c r="D35" s="416" t="s">
        <v>3</v>
      </c>
      <c r="E35" s="423">
        <f>E32+E25+E18</f>
        <v>135584.75434965279</v>
      </c>
      <c r="F35" s="423">
        <f t="shared" ref="F35:I35" si="5">F32+F25+F18</f>
        <v>653816.31202154304</v>
      </c>
      <c r="G35" s="423">
        <f t="shared" si="5"/>
        <v>1075040.8361007893</v>
      </c>
      <c r="H35" s="423">
        <f t="shared" si="5"/>
        <v>1551476.1650304683</v>
      </c>
      <c r="I35" s="423">
        <f t="shared" si="5"/>
        <v>2911926.5454581291</v>
      </c>
      <c r="L35" s="361"/>
    </row>
    <row r="36" spans="1:12">
      <c r="D36" s="416"/>
      <c r="L36" s="361"/>
    </row>
    <row r="37" spans="1:12">
      <c r="L37" s="361"/>
    </row>
    <row r="38" spans="1:12">
      <c r="A38" s="361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</row>
    <row r="39" spans="1:12"/>
  </sheetData>
  <mergeCells count="2">
    <mergeCell ref="E9:I9"/>
    <mergeCell ref="E11:I11"/>
  </mergeCells>
  <pageMargins left="0.75" right="0.75" top="1" bottom="1" header="0.5" footer="0.5"/>
  <pageSetup scale="98" fitToHeight="0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55"/>
  <sheetViews>
    <sheetView showGridLines="0" zoomScale="80" zoomScaleNormal="80" workbookViewId="0">
      <selection activeCell="D8" sqref="D8"/>
    </sheetView>
  </sheetViews>
  <sheetFormatPr defaultColWidth="0" defaultRowHeight="13.8" zeroHeight="1"/>
  <cols>
    <col min="1" max="1" width="4.44140625" style="362" customWidth="1"/>
    <col min="2" max="2" width="7.21875" style="362" customWidth="1"/>
    <col min="3" max="3" width="28.44140625" style="362" bestFit="1" customWidth="1"/>
    <col min="4" max="5" width="12.88671875" style="362" bestFit="1" customWidth="1"/>
    <col min="6" max="8" width="15" style="362" bestFit="1" customWidth="1"/>
    <col min="9" max="10" width="11.44140625" style="362" customWidth="1"/>
    <col min="11" max="11" width="2.6640625" style="362" customWidth="1"/>
    <col min="12" max="16384" width="11.44140625" style="362" hidden="1"/>
  </cols>
  <sheetData>
    <row r="1" spans="1:11">
      <c r="A1" s="360"/>
      <c r="B1" s="360"/>
      <c r="C1" s="360"/>
      <c r="D1" s="360"/>
      <c r="E1" s="360"/>
      <c r="F1" s="360"/>
      <c r="G1" s="360"/>
      <c r="H1" s="360"/>
      <c r="I1" s="360"/>
      <c r="J1" s="360"/>
      <c r="K1" s="361"/>
    </row>
    <row r="2" spans="1:11">
      <c r="A2" s="360"/>
      <c r="B2" s="360"/>
      <c r="C2" s="360"/>
      <c r="D2" s="360"/>
      <c r="E2" s="360"/>
      <c r="F2" s="360"/>
      <c r="G2" s="360"/>
      <c r="H2" s="360"/>
      <c r="I2" s="360"/>
      <c r="J2" s="360"/>
      <c r="K2" s="361"/>
    </row>
    <row r="3" spans="1:11">
      <c r="K3" s="361"/>
    </row>
    <row r="4" spans="1:11">
      <c r="A4" s="363"/>
      <c r="B4" s="363"/>
      <c r="C4" s="363"/>
      <c r="D4" s="363"/>
      <c r="E4" s="363"/>
      <c r="F4" s="363"/>
      <c r="G4" s="363"/>
      <c r="H4" s="363"/>
      <c r="I4" s="363"/>
      <c r="J4" s="363"/>
      <c r="K4" s="361"/>
    </row>
    <row r="5" spans="1:11" ht="14.4" thickBot="1">
      <c r="K5" s="361"/>
    </row>
    <row r="6" spans="1:11">
      <c r="C6" s="424" t="s">
        <v>56</v>
      </c>
      <c r="D6" s="426" t="s">
        <v>4</v>
      </c>
      <c r="E6" s="425" t="s">
        <v>5</v>
      </c>
      <c r="F6" s="425" t="s">
        <v>6</v>
      </c>
      <c r="G6" s="425" t="s">
        <v>8</v>
      </c>
      <c r="H6" s="427" t="s">
        <v>9</v>
      </c>
      <c r="K6" s="361"/>
    </row>
    <row r="7" spans="1:11">
      <c r="C7" s="374"/>
      <c r="D7" s="371"/>
      <c r="E7" s="372"/>
      <c r="F7" s="372"/>
      <c r="G7" s="372"/>
      <c r="H7" s="373"/>
      <c r="K7" s="361"/>
    </row>
    <row r="8" spans="1:11">
      <c r="C8" s="387" t="s">
        <v>57</v>
      </c>
      <c r="D8" s="432">
        <f>'Balance Sheet'!E9</f>
        <v>276000</v>
      </c>
      <c r="E8" s="431">
        <f>D19</f>
        <v>98232.617901240927</v>
      </c>
      <c r="F8" s="431">
        <f t="shared" ref="F8:H8" si="0">E19</f>
        <v>70186.609972724109</v>
      </c>
      <c r="G8" s="431">
        <f t="shared" si="0"/>
        <v>258618.18270123936</v>
      </c>
      <c r="H8" s="433">
        <f t="shared" si="0"/>
        <v>581758.61387701193</v>
      </c>
      <c r="K8" s="361"/>
    </row>
    <row r="9" spans="1:11">
      <c r="C9" s="374"/>
      <c r="D9" s="371"/>
      <c r="E9" s="372"/>
      <c r="F9" s="372"/>
      <c r="G9" s="372"/>
      <c r="H9" s="373"/>
      <c r="K9" s="361"/>
    </row>
    <row r="10" spans="1:11">
      <c r="C10" s="374" t="s">
        <v>58</v>
      </c>
      <c r="D10" s="371">
        <f>'Income Statement'!E41</f>
        <v>-195704.99493370485</v>
      </c>
      <c r="E10" s="372">
        <f>'Income Statement'!F41</f>
        <v>-2182.3343255624231</v>
      </c>
      <c r="F10" s="372">
        <f>'Income Statement'!G41</f>
        <v>216951.3964920459</v>
      </c>
      <c r="G10" s="372">
        <f>'Income Statement'!H41</f>
        <v>344271.30620027997</v>
      </c>
      <c r="H10" s="373">
        <f>'Income Statement'!I41</f>
        <v>950113.78547834558</v>
      </c>
      <c r="K10" s="361"/>
    </row>
    <row r="11" spans="1:11">
      <c r="C11" s="374"/>
      <c r="D11" s="371"/>
      <c r="E11" s="372"/>
      <c r="F11" s="372"/>
      <c r="G11" s="372"/>
      <c r="H11" s="373"/>
      <c r="K11" s="361"/>
    </row>
    <row r="12" spans="1:11">
      <c r="C12" s="374" t="s">
        <v>24</v>
      </c>
      <c r="D12" s="371">
        <f>'Income Statement'!E34</f>
        <v>1400</v>
      </c>
      <c r="E12" s="372">
        <f>'Income Statement'!F34</f>
        <v>1620</v>
      </c>
      <c r="F12" s="372">
        <f>'Income Statement'!G34</f>
        <v>1620</v>
      </c>
      <c r="G12" s="372">
        <f>'Income Statement'!H34</f>
        <v>2140</v>
      </c>
      <c r="H12" s="373">
        <f>'Income Statement'!I34</f>
        <v>2140</v>
      </c>
      <c r="K12" s="361"/>
    </row>
    <row r="13" spans="1:11">
      <c r="C13" s="374" t="s">
        <v>59</v>
      </c>
      <c r="D13" s="371">
        <f>'Balance Sheet'!F28</f>
        <v>16537.612834945772</v>
      </c>
      <c r="E13" s="372">
        <f>'Balance Sheet'!G28</f>
        <v>-13133.67360295439</v>
      </c>
      <c r="F13" s="372">
        <f>'Balance Sheet'!H28</f>
        <v>-16889.823763530672</v>
      </c>
      <c r="G13" s="372">
        <f>'Balance Sheet'!I28</f>
        <v>-8720.8750245073534</v>
      </c>
      <c r="H13" s="373">
        <f>'Balance Sheet'!J28</f>
        <v>-48410.161128962092</v>
      </c>
      <c r="K13" s="361"/>
    </row>
    <row r="14" spans="1:11">
      <c r="C14" s="374"/>
      <c r="D14" s="371"/>
      <c r="E14" s="372"/>
      <c r="F14" s="372"/>
      <c r="G14" s="372"/>
      <c r="H14" s="373"/>
      <c r="K14" s="361"/>
    </row>
    <row r="15" spans="1:11">
      <c r="C15" s="374" t="s">
        <v>60</v>
      </c>
      <c r="D15" s="371">
        <f>'Debt Schedule'!E16</f>
        <v>0</v>
      </c>
      <c r="E15" s="372">
        <f>'Debt Schedule'!F16</f>
        <v>13250</v>
      </c>
      <c r="F15" s="372">
        <f>'Debt Schedule'!G16</f>
        <v>13250</v>
      </c>
      <c r="G15" s="372">
        <f>'Debt Schedule'!H16</f>
        <v>13250</v>
      </c>
      <c r="H15" s="373">
        <f>'Debt Schedule'!I16</f>
        <v>13250</v>
      </c>
      <c r="K15" s="361"/>
    </row>
    <row r="16" spans="1:11">
      <c r="C16" s="374"/>
      <c r="D16" s="371"/>
      <c r="E16" s="372"/>
      <c r="F16" s="372"/>
      <c r="G16" s="372"/>
      <c r="H16" s="373"/>
      <c r="K16" s="361"/>
    </row>
    <row r="17" spans="3:11">
      <c r="C17" s="374" t="s">
        <v>61</v>
      </c>
      <c r="D17" s="371">
        <f>'Capital Schedule'!E22</f>
        <v>0</v>
      </c>
      <c r="E17" s="372">
        <f>'Capital Schedule'!F22</f>
        <v>1100</v>
      </c>
      <c r="F17" s="372">
        <f>'Capital Schedule'!G22</f>
        <v>0</v>
      </c>
      <c r="G17" s="372">
        <f>'Capital Schedule'!H22</f>
        <v>1300</v>
      </c>
      <c r="H17" s="373">
        <f>'Capital Schedule'!I22</f>
        <v>0</v>
      </c>
      <c r="K17" s="361"/>
    </row>
    <row r="18" spans="3:11">
      <c r="C18" s="374"/>
      <c r="D18" s="371"/>
      <c r="E18" s="372"/>
      <c r="F18" s="372"/>
      <c r="G18" s="372"/>
      <c r="H18" s="373"/>
      <c r="K18" s="361"/>
    </row>
    <row r="19" spans="3:11" ht="14.4" thickBot="1">
      <c r="C19" s="398" t="s">
        <v>28</v>
      </c>
      <c r="D19" s="435">
        <f t="shared" ref="D19:H19" si="1">D8+D10+D12+D13-D15-D17</f>
        <v>98232.617901240927</v>
      </c>
      <c r="E19" s="436">
        <f t="shared" si="1"/>
        <v>70186.609972724109</v>
      </c>
      <c r="F19" s="436">
        <f t="shared" si="1"/>
        <v>258618.18270123936</v>
      </c>
      <c r="G19" s="436">
        <f t="shared" si="1"/>
        <v>581758.61387701193</v>
      </c>
      <c r="H19" s="437">
        <f t="shared" si="1"/>
        <v>1472352.2382263953</v>
      </c>
      <c r="K19" s="361"/>
    </row>
    <row r="20" spans="3:11">
      <c r="D20" s="438"/>
      <c r="E20" s="364"/>
      <c r="F20" s="364"/>
      <c r="G20" s="364"/>
      <c r="H20" s="364"/>
      <c r="K20" s="361"/>
    </row>
    <row r="21" spans="3:11">
      <c r="D21" s="364"/>
      <c r="E21" s="364"/>
      <c r="F21" s="364"/>
      <c r="G21" s="364"/>
      <c r="H21" s="364"/>
      <c r="K21" s="361"/>
    </row>
    <row r="22" spans="3:11">
      <c r="C22" s="416" t="s">
        <v>63</v>
      </c>
      <c r="D22" s="364"/>
      <c r="E22" s="364"/>
      <c r="F22" s="364"/>
      <c r="G22" s="364"/>
      <c r="H22" s="364"/>
      <c r="K22" s="361"/>
    </row>
    <row r="23" spans="3:11">
      <c r="C23" s="362" t="s">
        <v>64</v>
      </c>
      <c r="D23" s="364">
        <f>-'Balance Sheet'!E22</f>
        <v>-200000</v>
      </c>
      <c r="E23" s="364"/>
      <c r="F23" s="364"/>
      <c r="G23" s="364"/>
      <c r="H23" s="364"/>
      <c r="K23" s="361"/>
    </row>
    <row r="24" spans="3:11">
      <c r="C24" s="362" t="s">
        <v>65</v>
      </c>
      <c r="D24" s="364">
        <f t="shared" ref="D24:H24" si="2">D10+D12+D13-D17</f>
        <v>-177767.38209875906</v>
      </c>
      <c r="E24" s="364">
        <f t="shared" si="2"/>
        <v>-14796.007928516814</v>
      </c>
      <c r="F24" s="364">
        <f t="shared" si="2"/>
        <v>201681.57272851522</v>
      </c>
      <c r="G24" s="364">
        <f t="shared" si="2"/>
        <v>336390.43117577262</v>
      </c>
      <c r="H24" s="364">
        <f t="shared" si="2"/>
        <v>903843.62434938352</v>
      </c>
      <c r="K24" s="361"/>
    </row>
    <row r="25" spans="3:11">
      <c r="D25" s="364"/>
      <c r="E25" s="364"/>
      <c r="F25" s="364"/>
      <c r="G25" s="364"/>
      <c r="H25" s="364"/>
      <c r="K25" s="361"/>
    </row>
    <row r="26" spans="3:11">
      <c r="C26" s="439"/>
      <c r="D26" s="364">
        <f>D23</f>
        <v>-200000</v>
      </c>
      <c r="E26" s="364">
        <f>D24</f>
        <v>-177767.38209875906</v>
      </c>
      <c r="F26" s="364">
        <f t="shared" ref="F26:H26" si="3">E24</f>
        <v>-14796.007928516814</v>
      </c>
      <c r="G26" s="364">
        <f t="shared" si="3"/>
        <v>201681.57272851522</v>
      </c>
      <c r="H26" s="364">
        <f t="shared" si="3"/>
        <v>336390.43117577262</v>
      </c>
      <c r="J26" s="439"/>
      <c r="K26" s="361"/>
    </row>
    <row r="27" spans="3:11">
      <c r="C27" s="439"/>
      <c r="D27" s="364"/>
      <c r="E27" s="364"/>
      <c r="F27" s="364"/>
      <c r="G27" s="364"/>
      <c r="H27" s="364"/>
      <c r="K27" s="361"/>
    </row>
    <row r="28" spans="3:11">
      <c r="C28" s="440" t="s">
        <v>74</v>
      </c>
      <c r="D28" s="441">
        <f>IRR(D26:H26)</f>
        <v>0.10701329261660497</v>
      </c>
      <c r="K28" s="361"/>
    </row>
    <row r="29" spans="3:11">
      <c r="K29" s="361"/>
    </row>
    <row r="30" spans="3:11">
      <c r="K30" s="361"/>
    </row>
    <row r="31" spans="3:11">
      <c r="C31" s="439" t="s">
        <v>75</v>
      </c>
      <c r="D31" s="442">
        <f>SUM(D23:D24)</f>
        <v>-377767.38209875906</v>
      </c>
      <c r="E31" s="442">
        <f>D31+E24</f>
        <v>-392563.39002727589</v>
      </c>
      <c r="F31" s="442">
        <f>E31+F24</f>
        <v>-190881.81729876067</v>
      </c>
      <c r="G31" s="442">
        <f>F31+G24</f>
        <v>145508.61387701196</v>
      </c>
      <c r="H31" s="442">
        <f>G31+H24</f>
        <v>1049352.2382263956</v>
      </c>
      <c r="K31" s="361"/>
    </row>
    <row r="32" spans="3:11">
      <c r="K32" s="361"/>
    </row>
    <row r="33" spans="11:11">
      <c r="K33" s="361"/>
    </row>
    <row r="34" spans="11:11">
      <c r="K34" s="361"/>
    </row>
    <row r="35" spans="11:11">
      <c r="K35" s="361"/>
    </row>
    <row r="36" spans="11:11">
      <c r="K36" s="361"/>
    </row>
    <row r="37" spans="11:11">
      <c r="K37" s="361"/>
    </row>
    <row r="38" spans="11:11">
      <c r="K38" s="361"/>
    </row>
    <row r="39" spans="11:11">
      <c r="K39" s="361"/>
    </row>
    <row r="40" spans="11:11">
      <c r="K40" s="361"/>
    </row>
    <row r="41" spans="11:11">
      <c r="K41" s="361"/>
    </row>
    <row r="42" spans="11:11">
      <c r="K42" s="361"/>
    </row>
    <row r="43" spans="11:11">
      <c r="K43" s="361"/>
    </row>
    <row r="44" spans="11:11">
      <c r="K44" s="361"/>
    </row>
    <row r="45" spans="11:11">
      <c r="K45" s="361"/>
    </row>
    <row r="46" spans="11:11">
      <c r="K46" s="361"/>
    </row>
    <row r="47" spans="11:11">
      <c r="K47" s="361"/>
    </row>
    <row r="48" spans="11:11">
      <c r="K48" s="361"/>
    </row>
    <row r="49" spans="1:11">
      <c r="K49" s="361"/>
    </row>
    <row r="50" spans="1:11">
      <c r="K50" s="361"/>
    </row>
    <row r="51" spans="1:11">
      <c r="K51" s="361"/>
    </row>
    <row r="52" spans="1:11">
      <c r="K52" s="361"/>
    </row>
    <row r="53" spans="1:11">
      <c r="K53" s="361"/>
    </row>
    <row r="54" spans="1:11">
      <c r="K54" s="361"/>
    </row>
    <row r="55" spans="1:11">
      <c r="A55" s="361"/>
      <c r="B55" s="361"/>
      <c r="C55" s="361"/>
      <c r="D55" s="361"/>
      <c r="E55" s="361"/>
      <c r="F55" s="361"/>
      <c r="G55" s="361"/>
      <c r="H55" s="361"/>
      <c r="I55" s="361"/>
      <c r="J55" s="361"/>
      <c r="K55" s="361"/>
    </row>
  </sheetData>
  <pageMargins left="0.75" right="0.75" top="1" bottom="1" header="0.5" footer="0.5"/>
  <pageSetup scale="74" fitToHeight="0" orientation="landscape" vertic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3B5C-20EE-4979-A5DD-3CE3FF735391}">
  <dimension ref="A1"/>
  <sheetViews>
    <sheetView showGridLines="0" workbookViewId="0">
      <selection activeCell="I26" sqref="I26"/>
    </sheetView>
  </sheetViews>
  <sheetFormatPr defaultRowHeight="14.4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1CE74-BA8E-48A1-A319-6DF7D34E9B19}">
  <dimension ref="B1:AM74"/>
  <sheetViews>
    <sheetView showGridLines="0" zoomScale="90" zoomScaleNormal="90" workbookViewId="0">
      <selection activeCell="G63" sqref="G63"/>
    </sheetView>
  </sheetViews>
  <sheetFormatPr defaultRowHeight="13.2"/>
  <cols>
    <col min="1" max="1" width="8.88671875" style="138"/>
    <col min="2" max="3" width="9" style="138" bestFit="1" customWidth="1"/>
    <col min="4" max="4" width="26.21875" style="139" customWidth="1"/>
    <col min="5" max="5" width="30.77734375" style="139" customWidth="1"/>
    <col min="6" max="6" width="28.44140625" style="139" customWidth="1"/>
    <col min="7" max="7" width="19.109375" style="138" customWidth="1"/>
    <col min="8" max="8" width="18.5546875" style="138" customWidth="1"/>
    <col min="9" max="9" width="15.44140625" style="138" customWidth="1"/>
    <col min="10" max="10" width="17.88671875" style="138" customWidth="1"/>
    <col min="11" max="11" width="20.88671875" style="138" customWidth="1"/>
    <col min="12" max="12" width="12.109375" style="139" bestFit="1" customWidth="1"/>
    <col min="13" max="13" width="16.21875" style="139" customWidth="1"/>
    <col min="14" max="14" width="13.109375" style="139" customWidth="1"/>
    <col min="15" max="15" width="13.44140625" style="139" customWidth="1"/>
    <col min="16" max="16" width="13.21875" style="138" customWidth="1"/>
    <col min="17" max="17" width="9.6640625" style="138" bestFit="1" customWidth="1"/>
    <col min="18" max="18" width="9.6640625" style="138" customWidth="1"/>
    <col min="19" max="19" width="26.33203125" style="138" bestFit="1" customWidth="1"/>
    <col min="20" max="20" width="10.5546875" style="138" bestFit="1" customWidth="1"/>
    <col min="21" max="23" width="12.109375" style="138" bestFit="1" customWidth="1"/>
    <col min="24" max="25" width="8.88671875" style="138"/>
    <col min="26" max="26" width="9.6640625" style="138" bestFit="1" customWidth="1"/>
    <col min="27" max="38" width="8.88671875" style="138"/>
    <col min="39" max="39" width="9.6640625" style="138" bestFit="1" customWidth="1"/>
    <col min="40" max="16384" width="8.88671875" style="138"/>
  </cols>
  <sheetData>
    <row r="1" spans="2:26">
      <c r="X1" s="146">
        <v>0.05</v>
      </c>
      <c r="Y1" s="146">
        <v>7.0000000000000007E-2</v>
      </c>
      <c r="Z1" s="146">
        <v>0.09</v>
      </c>
    </row>
    <row r="2" spans="2:26">
      <c r="B2" s="195"/>
      <c r="C2" s="196"/>
      <c r="D2" s="260"/>
      <c r="E2" s="261"/>
      <c r="F2" s="261"/>
      <c r="G2" s="196"/>
      <c r="H2" s="196"/>
      <c r="I2" s="196"/>
      <c r="J2" s="196"/>
      <c r="K2" s="196">
        <f>7/12</f>
        <v>0.58333333333333337</v>
      </c>
      <c r="L2" s="261"/>
      <c r="M2" s="262">
        <v>0.02</v>
      </c>
      <c r="N2" s="262">
        <v>0.04</v>
      </c>
      <c r="O2" s="262">
        <v>0.05</v>
      </c>
      <c r="P2" s="262">
        <v>7.0000000000000007E-2</v>
      </c>
      <c r="Q2" s="197"/>
      <c r="S2" s="145" t="s">
        <v>87</v>
      </c>
      <c r="T2" s="470" t="s">
        <v>259</v>
      </c>
      <c r="U2" s="470"/>
      <c r="V2" s="470"/>
      <c r="W2" s="470"/>
    </row>
    <row r="3" spans="2:26">
      <c r="B3" s="270"/>
      <c r="C3" s="271"/>
      <c r="D3" s="272" t="s">
        <v>165</v>
      </c>
      <c r="E3" s="273" t="s">
        <v>168</v>
      </c>
      <c r="F3" s="274" t="s">
        <v>250</v>
      </c>
      <c r="G3" s="274" t="s">
        <v>244</v>
      </c>
      <c r="H3" s="274" t="s">
        <v>244</v>
      </c>
      <c r="I3" s="274" t="s">
        <v>244</v>
      </c>
      <c r="J3" s="274" t="s">
        <v>244</v>
      </c>
      <c r="K3" s="274" t="s">
        <v>244</v>
      </c>
      <c r="L3" s="275" t="s">
        <v>159</v>
      </c>
      <c r="M3" s="275" t="s">
        <v>160</v>
      </c>
      <c r="N3" s="275" t="s">
        <v>161</v>
      </c>
      <c r="O3" s="275" t="s">
        <v>163</v>
      </c>
      <c r="P3" s="275" t="s">
        <v>164</v>
      </c>
      <c r="Q3" s="276"/>
      <c r="S3" s="283" t="s">
        <v>159</v>
      </c>
      <c r="T3" s="275" t="s">
        <v>160</v>
      </c>
      <c r="U3" s="275" t="s">
        <v>161</v>
      </c>
      <c r="V3" s="275" t="s">
        <v>163</v>
      </c>
      <c r="W3" s="275" t="s">
        <v>164</v>
      </c>
      <c r="X3" s="275" t="s">
        <v>260</v>
      </c>
      <c r="Y3" s="275" t="s">
        <v>261</v>
      </c>
      <c r="Z3" s="275" t="s">
        <v>262</v>
      </c>
    </row>
    <row r="4" spans="2:26" ht="19.8" customHeight="1">
      <c r="B4" s="198"/>
      <c r="D4" s="263" t="s">
        <v>212</v>
      </c>
      <c r="E4" s="141" t="s">
        <v>213</v>
      </c>
      <c r="F4" s="264" t="s">
        <v>231</v>
      </c>
      <c r="G4" s="138">
        <v>250</v>
      </c>
      <c r="H4" s="138">
        <v>550</v>
      </c>
      <c r="I4" s="138">
        <v>710</v>
      </c>
      <c r="J4" s="138">
        <v>920</v>
      </c>
      <c r="K4" s="138">
        <v>1500</v>
      </c>
      <c r="L4" s="188">
        <v>0</v>
      </c>
      <c r="Q4" s="176"/>
      <c r="S4" s="278">
        <f>($B6*G$6)</f>
        <v>10.125</v>
      </c>
      <c r="T4" s="149">
        <f>($B6*(1+$M$2)*$H6)</f>
        <v>22.720500000000001</v>
      </c>
      <c r="U4" s="149">
        <f>($B6*(1+$N$2)*$I6)</f>
        <v>29.905200000000004</v>
      </c>
      <c r="V4" s="149">
        <f>($B6*(1+$O$2)*$J6)</f>
        <v>39.123000000000005</v>
      </c>
      <c r="W4" s="149">
        <f>($B6*(1+$P$2)*$K6)</f>
        <v>65.002499999999998</v>
      </c>
      <c r="X4" s="149">
        <f>W4*(1+$X$1)</f>
        <v>68.252624999999995</v>
      </c>
      <c r="Y4" s="149">
        <f>X4*(1+$Y$1)</f>
        <v>73.030308750000003</v>
      </c>
      <c r="Z4" s="149">
        <f>Y4*(1+$Z$1)</f>
        <v>79.603036537500003</v>
      </c>
    </row>
    <row r="5" spans="2:26" ht="16.8" customHeight="1">
      <c r="B5" s="265" t="s">
        <v>232</v>
      </c>
      <c r="D5" s="141"/>
      <c r="H5" s="139"/>
      <c r="L5" s="145" t="s">
        <v>246</v>
      </c>
      <c r="M5" s="145" t="s">
        <v>245</v>
      </c>
      <c r="N5" s="145" t="s">
        <v>245</v>
      </c>
      <c r="O5" s="145" t="s">
        <v>245</v>
      </c>
      <c r="P5" s="145" t="s">
        <v>245</v>
      </c>
      <c r="Q5" s="176"/>
      <c r="S5" s="278">
        <f>($B7*$G7)</f>
        <v>5.5</v>
      </c>
      <c r="T5" s="149">
        <f>($B7*(1+$M$2)*$H7)</f>
        <v>12.342000000000001</v>
      </c>
      <c r="U5" s="149">
        <f t="shared" ref="U5:U8" si="0">($B7*(1+$N$2)*$I7)</f>
        <v>16.244800000000001</v>
      </c>
      <c r="V5" s="149">
        <f t="shared" ref="V5:V8" si="1">($B7*(1+$O$2)*$J7)</f>
        <v>21.252000000000002</v>
      </c>
      <c r="W5" s="149">
        <f t="shared" ref="W5:W8" si="2">($B7*(1+$P$2)*$K7)</f>
        <v>35.31</v>
      </c>
      <c r="X5" s="149">
        <f t="shared" ref="X5:X8" si="3">W5*(1+$X$1)</f>
        <v>37.075500000000005</v>
      </c>
      <c r="Y5" s="149">
        <f t="shared" ref="Y5:Y8" si="4">X5*(1+$Y$1)</f>
        <v>39.670785000000009</v>
      </c>
      <c r="Z5" s="149">
        <f t="shared" ref="Z5:Z8" si="5">Y5*(1+$Z$1)</f>
        <v>43.24115565000001</v>
      </c>
    </row>
    <row r="6" spans="2:26" ht="18.600000000000001" customHeight="1">
      <c r="B6" s="266">
        <v>0.15</v>
      </c>
      <c r="C6" s="146">
        <v>0.27</v>
      </c>
      <c r="D6" s="147" t="s">
        <v>211</v>
      </c>
      <c r="E6" s="466" t="s">
        <v>247</v>
      </c>
      <c r="F6" s="148" t="s">
        <v>162</v>
      </c>
      <c r="G6" s="149">
        <f>$C6*G$4</f>
        <v>67.5</v>
      </c>
      <c r="H6" s="149">
        <f t="shared" ref="H6:K10" si="6">$C6*H$4</f>
        <v>148.5</v>
      </c>
      <c r="I6" s="149">
        <f t="shared" si="6"/>
        <v>191.70000000000002</v>
      </c>
      <c r="J6" s="149">
        <f t="shared" si="6"/>
        <v>248.4</v>
      </c>
      <c r="K6" s="149">
        <f t="shared" si="6"/>
        <v>405</v>
      </c>
      <c r="L6" s="150">
        <f>((($B6*G$6*0.7)*$P$27)+(($B6*G$6*0.3)*$Q$27))*K2</f>
        <v>35558.898735937502</v>
      </c>
      <c r="M6" s="150">
        <f>((($B6*(1+M$2)*H$6*0.7)*$T$20)+((($B6*(1+M$2)*H$6*0.3)*$U$20)))</f>
        <v>140893.70370230926</v>
      </c>
      <c r="N6" s="150">
        <f>((($B6*(1+N$2)*I$6*0.7)*$W$20)+((($B6*(1+N$2)*I$6*0.3)*$X$20)))</f>
        <v>194719.61917018611</v>
      </c>
      <c r="O6" s="150">
        <f>((($B6*(1+O$2)*J$6*0.7)*$Z$20)+((($B6*(1+O$2)*J$6*0.3)*$AA$20)))</f>
        <v>272570.54816723696</v>
      </c>
      <c r="P6" s="150">
        <f>((($B6*(1+P$2)*K$6*0.7)*$AC$20)+((($B6*(1+P$2)*K$6*0.3)*$AD$20)))</f>
        <v>493632.03466995107</v>
      </c>
      <c r="Q6" s="176"/>
      <c r="S6" s="278">
        <f t="shared" ref="S6:S8" si="7">($B8*$G8)</f>
        <v>3.8249999999999997</v>
      </c>
      <c r="T6" s="149">
        <f t="shared" ref="T6:T8" si="8">($B8*(1+$M$2)*$H8)</f>
        <v>8.5832999999999995</v>
      </c>
      <c r="U6" s="149">
        <f t="shared" si="0"/>
        <v>11.29752</v>
      </c>
      <c r="V6" s="149">
        <f t="shared" si="1"/>
        <v>14.7798</v>
      </c>
      <c r="W6" s="149">
        <f t="shared" si="2"/>
        <v>24.556500000000003</v>
      </c>
      <c r="X6" s="149">
        <f t="shared" si="3"/>
        <v>25.784325000000006</v>
      </c>
      <c r="Y6" s="149">
        <f t="shared" si="4"/>
        <v>27.58922775000001</v>
      </c>
      <c r="Z6" s="149">
        <f t="shared" si="5"/>
        <v>30.072258247500013</v>
      </c>
    </row>
    <row r="7" spans="2:26">
      <c r="B7" s="266">
        <v>0.1</v>
      </c>
      <c r="C7" s="146">
        <v>0.22</v>
      </c>
      <c r="D7" s="147" t="s">
        <v>221</v>
      </c>
      <c r="E7" s="466"/>
      <c r="F7" s="148" t="s">
        <v>162</v>
      </c>
      <c r="G7" s="149">
        <f t="shared" ref="G7:G10" si="9">$C7*G$4</f>
        <v>55</v>
      </c>
      <c r="H7" s="149">
        <f t="shared" si="6"/>
        <v>121</v>
      </c>
      <c r="I7" s="149">
        <f t="shared" si="6"/>
        <v>156.19999999999999</v>
      </c>
      <c r="J7" s="149">
        <f t="shared" si="6"/>
        <v>202.4</v>
      </c>
      <c r="K7" s="149">
        <f t="shared" si="6"/>
        <v>330</v>
      </c>
      <c r="L7" s="150">
        <f>((($B7*$G7*0.7)*$P$27)+(($B7*$G7*0.3)*$Q$27))*K2</f>
        <v>19315.94499236111</v>
      </c>
      <c r="M7" s="150">
        <f>((($B7*(1+M$2)*H$7*0.7)*$T$20)+((($B7*(1+M$2)*H$7*0.3)*$U$20)))</f>
        <v>76534.851393846999</v>
      </c>
      <c r="N7" s="150">
        <f>((($B7*(1+N$2)*I$7*0.7)*$W$20)+((($B7*(1+N$2)*I$7*0.3)*$X$20)))</f>
        <v>105773.62028997765</v>
      </c>
      <c r="O7" s="150">
        <f>((($B7*(1+O$2)*J$7*0.7)*$Z$20)+((($B7*(1+O$2)*J$7*0.3)*$AA$20)))</f>
        <v>148063.01381923983</v>
      </c>
      <c r="P7" s="150">
        <f>((($B7*(1+P$2)*K$7*0.7)*$AC$20)+((($B7*(1+P$2)*K$7*0.3)*$AD$20)))</f>
        <v>268145.79661083763</v>
      </c>
      <c r="Q7" s="176"/>
      <c r="S7" s="278">
        <f t="shared" si="7"/>
        <v>9.75</v>
      </c>
      <c r="T7" s="149">
        <f t="shared" si="8"/>
        <v>21.878999999999998</v>
      </c>
      <c r="U7" s="149">
        <f t="shared" si="0"/>
        <v>28.797600000000003</v>
      </c>
      <c r="V7" s="149">
        <f t="shared" si="1"/>
        <v>37.673999999999999</v>
      </c>
      <c r="W7" s="149">
        <f t="shared" si="2"/>
        <v>62.594999999999999</v>
      </c>
      <c r="X7" s="149">
        <f t="shared" si="3"/>
        <v>65.72475</v>
      </c>
      <c r="Y7" s="149">
        <f t="shared" si="4"/>
        <v>70.325482500000007</v>
      </c>
      <c r="Z7" s="149">
        <f t="shared" si="5"/>
        <v>76.65477592500001</v>
      </c>
    </row>
    <row r="8" spans="2:26">
      <c r="B8" s="266">
        <v>0.09</v>
      </c>
      <c r="C8" s="146">
        <v>0.17</v>
      </c>
      <c r="D8" s="147" t="s">
        <v>192</v>
      </c>
      <c r="E8" s="466"/>
      <c r="F8" s="148" t="s">
        <v>162</v>
      </c>
      <c r="G8" s="149">
        <f t="shared" si="9"/>
        <v>42.5</v>
      </c>
      <c r="H8" s="149">
        <f t="shared" si="6"/>
        <v>93.5</v>
      </c>
      <c r="I8" s="149">
        <f t="shared" si="6"/>
        <v>120.7</v>
      </c>
      <c r="J8" s="149">
        <f t="shared" si="6"/>
        <v>156.4</v>
      </c>
      <c r="K8" s="149">
        <f t="shared" si="6"/>
        <v>255.00000000000003</v>
      </c>
      <c r="L8" s="150">
        <f>((($B8*G8*0.7)*$P$27)+(($B8*G8*0.3*$Q$27))*K2)</f>
        <v>19954.411135312501</v>
      </c>
      <c r="M8" s="150">
        <f>((($B8*(1+M$2)*H$8*0.7)*$T$20)+((($B8*(1+M$2)*H$8*0.3)*$U$20)))</f>
        <v>53226.510287539044</v>
      </c>
      <c r="N8" s="150">
        <f>((($B8*(1+N$2)*I$8*0.7)*$W$20)+((($B8*(1+N$2)*I$8*0.3)*$X$20)))</f>
        <v>73560.74501984808</v>
      </c>
      <c r="O8" s="150">
        <f>((($B8*(1+O$2)*J$8*0.7)*$Z$20)+((($B8*(1+O$2)*J$8*0.3)*$AA$20)))</f>
        <v>102971.09597428952</v>
      </c>
      <c r="P8" s="150">
        <f>((($B8*(1+P$2)*K$8*0.7)*$AC$20)+((($B8*(1+P$2)*K$8*0.3)*$AD$20)))</f>
        <v>186483.21309753708</v>
      </c>
      <c r="Q8" s="176"/>
      <c r="S8" s="279">
        <f t="shared" si="7"/>
        <v>0.3</v>
      </c>
      <c r="T8" s="280">
        <f t="shared" si="8"/>
        <v>0.67320000000000002</v>
      </c>
      <c r="U8" s="149">
        <f t="shared" si="0"/>
        <v>0.88607999999999998</v>
      </c>
      <c r="V8" s="149">
        <f t="shared" si="1"/>
        <v>1.1592000000000002</v>
      </c>
      <c r="W8" s="149">
        <f t="shared" si="2"/>
        <v>1.9260000000000002</v>
      </c>
      <c r="X8" s="149">
        <f t="shared" si="3"/>
        <v>2.0223000000000004</v>
      </c>
      <c r="Y8" s="149">
        <f t="shared" si="4"/>
        <v>2.1638610000000007</v>
      </c>
      <c r="Z8" s="149">
        <f t="shared" si="5"/>
        <v>2.3586084900000008</v>
      </c>
    </row>
    <row r="9" spans="2:26">
      <c r="B9" s="266">
        <v>0.13</v>
      </c>
      <c r="C9" s="146">
        <v>0.3</v>
      </c>
      <c r="D9" s="147" t="s">
        <v>193</v>
      </c>
      <c r="E9" s="466"/>
      <c r="F9" s="148" t="s">
        <v>162</v>
      </c>
      <c r="G9" s="149">
        <f t="shared" si="9"/>
        <v>75</v>
      </c>
      <c r="H9" s="149">
        <f t="shared" si="6"/>
        <v>165</v>
      </c>
      <c r="I9" s="149">
        <f t="shared" si="6"/>
        <v>213</v>
      </c>
      <c r="J9" s="149">
        <f t="shared" si="6"/>
        <v>276</v>
      </c>
      <c r="K9" s="149">
        <f t="shared" si="6"/>
        <v>450</v>
      </c>
      <c r="L9" s="150">
        <f>((($B9*G9*0.7)*$P$27)+(($B9*G9*0.3)*$Q$27))*K2</f>
        <v>34241.902486458333</v>
      </c>
      <c r="M9" s="150">
        <f>((($B9*(1+M$2)*H$9*0.7)*$T$20)+((($B9*(1+M$2)*H$9*0.3)*$U$20)))</f>
        <v>135675.41838000147</v>
      </c>
      <c r="N9" s="150">
        <f>((($B9*(1+N$2)*I$9*0.7)*$W$20)+((($B9*(1+N$2)*I$9*0.3)*$X$20)))</f>
        <v>187507.78142314218</v>
      </c>
      <c r="O9" s="150">
        <f>((($B9*(1+O$2)*J$9*0.7)*$Z$20)+((($B9*(1+O$2)*J$9*0.3)*$AA$20)))</f>
        <v>262475.34267956147</v>
      </c>
      <c r="P9" s="150">
        <f>((($B9*(1+P$2)*K$9*0.7)*$AC$20)+((($B9*(1+P$2)*K$9*0.3)*$AD$20)))</f>
        <v>475349.36671921209</v>
      </c>
      <c r="Q9" s="176"/>
      <c r="S9" s="281">
        <f>SUM(S4:S8)</f>
        <v>29.5</v>
      </c>
      <c r="T9" s="282">
        <f t="shared" ref="T9:Z9" si="10">SUM(T4:T8)</f>
        <v>66.197999999999993</v>
      </c>
      <c r="U9" s="282">
        <f t="shared" si="10"/>
        <v>87.131200000000021</v>
      </c>
      <c r="V9" s="282">
        <f t="shared" si="10"/>
        <v>113.988</v>
      </c>
      <c r="W9" s="282">
        <f t="shared" si="10"/>
        <v>189.39</v>
      </c>
      <c r="X9" s="282">
        <f t="shared" si="10"/>
        <v>198.8595</v>
      </c>
      <c r="Y9" s="282">
        <f t="shared" si="10"/>
        <v>212.77966500000002</v>
      </c>
      <c r="Z9" s="282">
        <f t="shared" si="10"/>
        <v>231.92983485000002</v>
      </c>
    </row>
    <row r="10" spans="2:26">
      <c r="B10" s="266">
        <v>0.03</v>
      </c>
      <c r="C10" s="146">
        <v>0.04</v>
      </c>
      <c r="D10" s="151" t="s">
        <v>194</v>
      </c>
      <c r="E10" s="466"/>
      <c r="F10" s="148" t="s">
        <v>162</v>
      </c>
      <c r="G10" s="149">
        <f t="shared" si="9"/>
        <v>10</v>
      </c>
      <c r="H10" s="149">
        <f t="shared" si="6"/>
        <v>22</v>
      </c>
      <c r="I10" s="149">
        <f t="shared" si="6"/>
        <v>28.400000000000002</v>
      </c>
      <c r="J10" s="149">
        <f t="shared" si="6"/>
        <v>36.800000000000004</v>
      </c>
      <c r="K10" s="149">
        <f t="shared" si="6"/>
        <v>60</v>
      </c>
      <c r="L10" s="150">
        <f>((($B10*G10*0.7)*$P$27)+(($B10*G10*0.3)*$Q$27))*K2</f>
        <v>1053.5969995833332</v>
      </c>
      <c r="M10" s="150">
        <f>((($B10*(1+M$2)*H$10*0.7)*$T$20)+((($B10*(1+M$2)*H$10*0.3)*$U$20)))</f>
        <v>4174.6282578461996</v>
      </c>
      <c r="N10" s="150">
        <f>((($B10*(1+N$2)*I$10*0.7)*$W$20)+((($B10*(1+N$2)*I$10*0.3)*$X$20)))</f>
        <v>5769.4701976351434</v>
      </c>
      <c r="O10" s="150">
        <f>((($B10*(1+O$2)*J$10*0.7)*$Z$20)+((($B10*(1+O$2)*J$10*0.3)*$AA$20)))</f>
        <v>8076.1643901403568</v>
      </c>
      <c r="P10" s="150">
        <f>((($B10*(1+P$2)*K$10*0.7)*$AC$20)+((($B10*(1+P$2)*K$10*0.3)*$AD$20)))</f>
        <v>14626.134360591142</v>
      </c>
      <c r="Q10" s="176"/>
      <c r="S10" s="210">
        <f>SUM(L6:L10)</f>
        <v>110124.75434965278</v>
      </c>
      <c r="T10" s="210">
        <f>SUM(M6:M10)</f>
        <v>410505.11202154297</v>
      </c>
      <c r="U10" s="210">
        <f>SUM(N6:N10)</f>
        <v>567331.23610078916</v>
      </c>
      <c r="V10" s="210">
        <f>SUM(O6:O10)</f>
        <v>794156.16503046814</v>
      </c>
      <c r="W10" s="210">
        <f>SUM(P6:P10)</f>
        <v>1438236.5454581289</v>
      </c>
    </row>
    <row r="11" spans="2:26">
      <c r="B11" s="198"/>
      <c r="D11" s="151"/>
      <c r="E11" s="141"/>
      <c r="G11" s="210"/>
      <c r="H11" s="139"/>
      <c r="L11" s="150"/>
      <c r="Q11" s="176"/>
      <c r="S11" s="210">
        <f>S10/S9</f>
        <v>3733.042520327213</v>
      </c>
      <c r="T11" s="210">
        <f t="shared" ref="T11:W11" si="11">T10/T9</f>
        <v>6201.1709118333338</v>
      </c>
      <c r="U11" s="210">
        <f t="shared" si="11"/>
        <v>6511.2294574249981</v>
      </c>
      <c r="V11" s="210">
        <f t="shared" si="11"/>
        <v>6967.0155194447498</v>
      </c>
      <c r="W11" s="210">
        <f t="shared" si="11"/>
        <v>7594.0469161947776</v>
      </c>
      <c r="X11" s="210">
        <f>W11*(1+11%)</f>
        <v>8429.3920769762044</v>
      </c>
      <c r="Y11" s="210">
        <f>X11*(1+13%)</f>
        <v>9525.21304698311</v>
      </c>
      <c r="Z11" s="210">
        <f>Y11*(1+15%)</f>
        <v>10953.995004030576</v>
      </c>
    </row>
    <row r="12" spans="2:26" ht="39.6">
      <c r="B12" s="198"/>
      <c r="D12" s="151" t="s">
        <v>167</v>
      </c>
      <c r="E12" s="152" t="s">
        <v>248</v>
      </c>
      <c r="F12" s="148" t="s">
        <v>162</v>
      </c>
      <c r="G12" s="138">
        <v>6</v>
      </c>
      <c r="H12" s="148"/>
      <c r="L12" s="150">
        <f>E63</f>
        <v>23660.000000000004</v>
      </c>
      <c r="M12" s="150">
        <f t="shared" ref="M12:P12" si="12">F63</f>
        <v>237952.00000000006</v>
      </c>
      <c r="N12" s="150">
        <f t="shared" si="12"/>
        <v>499158.40000000008</v>
      </c>
      <c r="O12" s="150">
        <f t="shared" si="12"/>
        <v>746304.00000000012</v>
      </c>
      <c r="P12" s="150">
        <f t="shared" si="12"/>
        <v>1460160.0000000002</v>
      </c>
      <c r="Q12" s="267"/>
      <c r="R12" s="150"/>
      <c r="T12" s="284">
        <f>(T11-S11)/(S11)</f>
        <v>0.6611573208894983</v>
      </c>
      <c r="U12" s="284">
        <f t="shared" ref="U12:W12" si="13">(U11-T11)/(T11)</f>
        <v>4.9999999999999628E-2</v>
      </c>
      <c r="V12" s="284">
        <f t="shared" si="13"/>
        <v>7.000000000000027E-2</v>
      </c>
      <c r="W12" s="284">
        <f t="shared" si="13"/>
        <v>9.0000000000000052E-2</v>
      </c>
      <c r="X12" s="284">
        <f t="shared" ref="X12" si="14">(X11-W11)/(W11)</f>
        <v>0.11000000000000017</v>
      </c>
      <c r="Y12" s="284">
        <f t="shared" ref="Y12" si="15">(Y11-X11)/(X11)</f>
        <v>0.12999999999999987</v>
      </c>
      <c r="Z12" s="284">
        <f t="shared" ref="Z12" si="16">(Z11-Y11)/(Y11)</f>
        <v>0.14999999999999991</v>
      </c>
    </row>
    <row r="13" spans="2:26">
      <c r="B13" s="198"/>
      <c r="D13" s="151"/>
      <c r="E13" s="152"/>
      <c r="F13" s="148"/>
      <c r="H13" s="148"/>
      <c r="Q13" s="176"/>
    </row>
    <row r="14" spans="2:26" ht="52.8">
      <c r="B14" s="198"/>
      <c r="D14" s="151" t="s">
        <v>166</v>
      </c>
      <c r="E14" s="152" t="s">
        <v>249</v>
      </c>
      <c r="F14" s="148" t="s">
        <v>162</v>
      </c>
      <c r="G14" s="138">
        <v>7</v>
      </c>
      <c r="H14" s="148"/>
      <c r="L14" s="150">
        <f>E72</f>
        <v>1800</v>
      </c>
      <c r="M14" s="150">
        <f>F73</f>
        <v>5359.2</v>
      </c>
      <c r="N14" s="150">
        <f t="shared" ref="N14:P14" si="17">G73</f>
        <v>8551.2000000000007</v>
      </c>
      <c r="O14" s="150">
        <f t="shared" si="17"/>
        <v>11016</v>
      </c>
      <c r="P14" s="150">
        <f t="shared" si="17"/>
        <v>13530</v>
      </c>
      <c r="Q14" s="176"/>
    </row>
    <row r="15" spans="2:26">
      <c r="B15" s="203"/>
      <c r="C15" s="167"/>
      <c r="D15" s="268"/>
      <c r="E15" s="269"/>
      <c r="F15" s="166"/>
      <c r="G15" s="167"/>
      <c r="H15" s="166"/>
      <c r="I15" s="167"/>
      <c r="J15" s="167"/>
      <c r="K15" s="167"/>
      <c r="L15" s="166"/>
      <c r="M15" s="166"/>
      <c r="N15" s="166"/>
      <c r="O15" s="166"/>
      <c r="P15" s="167"/>
      <c r="Q15" s="168"/>
    </row>
    <row r="16" spans="2:26">
      <c r="D16" s="151"/>
      <c r="E16" s="152"/>
      <c r="F16" s="148"/>
      <c r="G16" s="149"/>
      <c r="H16" s="148"/>
    </row>
    <row r="17" spans="4:39">
      <c r="D17" s="151"/>
      <c r="E17" s="152"/>
      <c r="F17" s="148"/>
      <c r="G17" s="149"/>
      <c r="H17" s="148"/>
      <c r="T17" s="471" t="s">
        <v>160</v>
      </c>
      <c r="U17" s="471"/>
      <c r="W17" s="471" t="s">
        <v>161</v>
      </c>
      <c r="X17" s="471"/>
      <c r="Z17" s="471" t="s">
        <v>163</v>
      </c>
      <c r="AA17" s="471"/>
      <c r="AC17" s="471" t="s">
        <v>164</v>
      </c>
      <c r="AD17" s="471"/>
      <c r="AF17" s="471" t="s">
        <v>260</v>
      </c>
      <c r="AG17" s="471"/>
      <c r="AI17" s="471" t="s">
        <v>261</v>
      </c>
      <c r="AJ17" s="471"/>
      <c r="AL17" s="471" t="s">
        <v>261</v>
      </c>
      <c r="AM17" s="471"/>
    </row>
    <row r="18" spans="4:39" ht="14.4" customHeight="1">
      <c r="F18" s="138"/>
      <c r="L18" s="470" t="s">
        <v>214</v>
      </c>
      <c r="M18" s="470"/>
      <c r="N18" s="470" t="s">
        <v>251</v>
      </c>
      <c r="O18" s="470"/>
      <c r="P18" s="470" t="s">
        <v>252</v>
      </c>
      <c r="Q18" s="470"/>
      <c r="R18" s="142"/>
      <c r="T18" s="472">
        <v>0.03</v>
      </c>
      <c r="U18" s="472"/>
      <c r="W18" s="472">
        <v>0.05</v>
      </c>
      <c r="X18" s="472"/>
      <c r="Z18" s="472">
        <v>7.0000000000000007E-2</v>
      </c>
      <c r="AA18" s="472"/>
      <c r="AC18" s="472">
        <v>0.09</v>
      </c>
      <c r="AD18" s="472"/>
      <c r="AF18" s="472">
        <v>0.11</v>
      </c>
      <c r="AG18" s="472"/>
      <c r="AI18" s="472">
        <v>0.14000000000000001</v>
      </c>
      <c r="AJ18" s="472"/>
      <c r="AL18" s="472">
        <v>0.14000000000000001</v>
      </c>
      <c r="AM18" s="472"/>
    </row>
    <row r="19" spans="4:39">
      <c r="M19" s="140">
        <v>0.1</v>
      </c>
      <c r="N19" s="140">
        <f>LTV!F8</f>
        <v>0.59</v>
      </c>
      <c r="O19" s="140">
        <f>N19</f>
        <v>0.59</v>
      </c>
      <c r="T19" s="158" t="s">
        <v>219</v>
      </c>
      <c r="U19" s="159" t="s">
        <v>220</v>
      </c>
      <c r="W19" s="158" t="s">
        <v>219</v>
      </c>
      <c r="X19" s="159" t="s">
        <v>220</v>
      </c>
      <c r="Z19" s="158" t="s">
        <v>219</v>
      </c>
      <c r="AA19" s="159" t="s">
        <v>220</v>
      </c>
      <c r="AC19" s="158" t="s">
        <v>219</v>
      </c>
      <c r="AD19" s="159" t="s">
        <v>220</v>
      </c>
      <c r="AF19" s="158" t="s">
        <v>219</v>
      </c>
      <c r="AG19" s="159" t="s">
        <v>220</v>
      </c>
      <c r="AI19" s="158" t="s">
        <v>219</v>
      </c>
      <c r="AJ19" s="159" t="s">
        <v>220</v>
      </c>
      <c r="AL19" s="158" t="s">
        <v>219</v>
      </c>
      <c r="AM19" s="159" t="s">
        <v>220</v>
      </c>
    </row>
    <row r="20" spans="4:39" ht="13.8" thickBot="1">
      <c r="D20" s="153" t="s">
        <v>173</v>
      </c>
      <c r="E20" s="154" t="s">
        <v>198</v>
      </c>
      <c r="F20" s="154" t="s">
        <v>199</v>
      </c>
      <c r="G20" s="154" t="s">
        <v>200</v>
      </c>
      <c r="H20" s="154" t="s">
        <v>176</v>
      </c>
      <c r="I20" s="154" t="s">
        <v>177</v>
      </c>
      <c r="J20" s="154" t="s">
        <v>178</v>
      </c>
      <c r="K20" s="155" t="s">
        <v>179</v>
      </c>
      <c r="L20" s="156" t="s">
        <v>217</v>
      </c>
      <c r="M20" s="156" t="s">
        <v>218</v>
      </c>
      <c r="N20" s="157" t="s">
        <v>215</v>
      </c>
      <c r="O20" s="157" t="s">
        <v>216</v>
      </c>
      <c r="P20" s="158" t="s">
        <v>219</v>
      </c>
      <c r="Q20" s="159" t="s">
        <v>220</v>
      </c>
      <c r="R20" s="159"/>
      <c r="T20" s="210">
        <f>P27*(1+T18)</f>
        <v>6020.5542833333338</v>
      </c>
      <c r="U20" s="210">
        <f>Q27*(1+T18)</f>
        <v>6622.609711666666</v>
      </c>
      <c r="W20" s="210">
        <f>T20*(1+W18)</f>
        <v>6321.5819975000004</v>
      </c>
      <c r="X20" s="210">
        <f>U20*(1+W18)</f>
        <v>6953.7401972499993</v>
      </c>
      <c r="Z20" s="210">
        <f>W20*(1+Z18)</f>
        <v>6764.0927373250006</v>
      </c>
      <c r="AA20" s="210">
        <f>X20*(1+Z18)</f>
        <v>7440.5020110574997</v>
      </c>
      <c r="AC20" s="210">
        <f>Z20*(1+AC18)</f>
        <v>7372.8610836842508</v>
      </c>
      <c r="AD20" s="210">
        <f>AA20*(1+AC18)</f>
        <v>8110.1471920526756</v>
      </c>
      <c r="AF20" s="210">
        <f>AC20*(1+AF18)</f>
        <v>8183.875802889519</v>
      </c>
      <c r="AG20" s="210">
        <f>AD20*(1+AF18)</f>
        <v>9002.2633831784715</v>
      </c>
      <c r="AI20" s="210">
        <f>AF20*(1+AI18)</f>
        <v>9329.6184152940532</v>
      </c>
      <c r="AJ20" s="210">
        <f>AG20*(1+AI18)</f>
        <v>10262.580256823459</v>
      </c>
      <c r="AL20" s="210">
        <f>AI20*(1+AL18)</f>
        <v>10635.764993435221</v>
      </c>
      <c r="AM20" s="210">
        <f>AJ20*(1+AL18)</f>
        <v>11699.341492778745</v>
      </c>
    </row>
    <row r="21" spans="4:39">
      <c r="D21" s="160" t="s">
        <v>169</v>
      </c>
      <c r="E21" s="139">
        <v>1200</v>
      </c>
      <c r="F21" s="139">
        <v>100</v>
      </c>
      <c r="G21" s="139">
        <v>20</v>
      </c>
      <c r="H21" s="139">
        <v>210</v>
      </c>
      <c r="I21" s="139">
        <v>500</v>
      </c>
      <c r="J21" s="139">
        <v>200</v>
      </c>
      <c r="K21" s="161">
        <v>300</v>
      </c>
      <c r="L21" s="162">
        <f>SUM(E21:K21)</f>
        <v>2530</v>
      </c>
      <c r="M21" s="162">
        <f>(L21*$M$19)+L21</f>
        <v>2783</v>
      </c>
      <c r="N21" s="163">
        <f>(L21*$N$19)+L21</f>
        <v>4022.7</v>
      </c>
      <c r="O21" s="163">
        <f>(M21*$O$19)+M21</f>
        <v>4424.9699999999993</v>
      </c>
      <c r="P21" s="164">
        <f>N21+L21</f>
        <v>6552.7</v>
      </c>
      <c r="Q21" s="164">
        <f>O21+M21</f>
        <v>7207.9699999999993</v>
      </c>
      <c r="R21" s="164"/>
    </row>
    <row r="22" spans="4:39">
      <c r="D22" s="160" t="s">
        <v>170</v>
      </c>
      <c r="E22" s="139">
        <v>1500</v>
      </c>
      <c r="F22" s="139">
        <v>160</v>
      </c>
      <c r="G22" s="139">
        <v>16</v>
      </c>
      <c r="H22" s="139">
        <v>350</v>
      </c>
      <c r="I22" s="139">
        <v>250</v>
      </c>
      <c r="J22" s="139">
        <v>150</v>
      </c>
      <c r="K22" s="161">
        <v>150</v>
      </c>
      <c r="L22" s="162">
        <f t="shared" ref="L22:L26" si="18">SUM(E22:K22)</f>
        <v>2576</v>
      </c>
      <c r="M22" s="162">
        <f t="shared" ref="M22:M26" si="19">(L22*$M$19)+L22</f>
        <v>2833.6</v>
      </c>
      <c r="N22" s="163">
        <f t="shared" ref="N22:N26" si="20">(L22*$N$19)+L22</f>
        <v>4095.84</v>
      </c>
      <c r="O22" s="163">
        <f t="shared" ref="O22:O26" si="21">(M22*$O$19)+M22</f>
        <v>4505.424</v>
      </c>
      <c r="P22" s="164">
        <f t="shared" ref="P22:P26" si="22">N22+L22</f>
        <v>6671.84</v>
      </c>
      <c r="Q22" s="164">
        <f t="shared" ref="Q22:Q26" si="23">O22+M22</f>
        <v>7339.0239999999994</v>
      </c>
      <c r="R22" s="164"/>
    </row>
    <row r="23" spans="4:39">
      <c r="D23" s="160" t="s">
        <v>171</v>
      </c>
      <c r="E23" s="139">
        <v>1800</v>
      </c>
      <c r="F23" s="139">
        <v>200</v>
      </c>
      <c r="G23" s="139">
        <v>15</v>
      </c>
      <c r="H23" s="139">
        <v>525</v>
      </c>
      <c r="I23" s="139">
        <v>350</v>
      </c>
      <c r="J23" s="139">
        <v>160</v>
      </c>
      <c r="K23" s="161">
        <v>500</v>
      </c>
      <c r="L23" s="162">
        <f t="shared" si="18"/>
        <v>3550</v>
      </c>
      <c r="M23" s="162">
        <f t="shared" si="19"/>
        <v>3905</v>
      </c>
      <c r="N23" s="163">
        <f t="shared" si="20"/>
        <v>5644.5</v>
      </c>
      <c r="O23" s="163">
        <f t="shared" si="21"/>
        <v>6208.95</v>
      </c>
      <c r="P23" s="164">
        <f t="shared" si="22"/>
        <v>9194.5</v>
      </c>
      <c r="Q23" s="164">
        <f t="shared" si="23"/>
        <v>10113.950000000001</v>
      </c>
      <c r="R23" s="164"/>
    </row>
    <row r="24" spans="4:39">
      <c r="D24" s="160" t="s">
        <v>174</v>
      </c>
      <c r="E24" s="139">
        <v>400</v>
      </c>
      <c r="F24" s="139">
        <v>150</v>
      </c>
      <c r="G24" s="139">
        <v>20</v>
      </c>
      <c r="H24" s="139">
        <v>210</v>
      </c>
      <c r="I24" s="139">
        <v>180</v>
      </c>
      <c r="J24" s="139">
        <v>250</v>
      </c>
      <c r="K24" s="161">
        <v>400</v>
      </c>
      <c r="L24" s="162">
        <f t="shared" si="18"/>
        <v>1610</v>
      </c>
      <c r="M24" s="162">
        <f t="shared" si="19"/>
        <v>1771</v>
      </c>
      <c r="N24" s="163">
        <f t="shared" si="20"/>
        <v>2559.9</v>
      </c>
      <c r="O24" s="163">
        <f t="shared" si="21"/>
        <v>2815.89</v>
      </c>
      <c r="P24" s="164">
        <f t="shared" si="22"/>
        <v>4169.8999999999996</v>
      </c>
      <c r="Q24" s="164">
        <f t="shared" si="23"/>
        <v>4586.8899999999994</v>
      </c>
      <c r="R24" s="164"/>
    </row>
    <row r="25" spans="4:39">
      <c r="D25" s="160" t="s">
        <v>172</v>
      </c>
      <c r="E25" s="139">
        <v>550</v>
      </c>
      <c r="F25" s="139">
        <v>70</v>
      </c>
      <c r="G25" s="139">
        <v>20</v>
      </c>
      <c r="H25" s="139">
        <v>245</v>
      </c>
      <c r="I25" s="139">
        <v>240</v>
      </c>
      <c r="J25" s="139">
        <v>300</v>
      </c>
      <c r="K25" s="161">
        <v>300</v>
      </c>
      <c r="L25" s="162">
        <f t="shared" si="18"/>
        <v>1725</v>
      </c>
      <c r="M25" s="162">
        <f t="shared" si="19"/>
        <v>1897.5</v>
      </c>
      <c r="N25" s="163">
        <f t="shared" si="20"/>
        <v>2742.75</v>
      </c>
      <c r="O25" s="163">
        <f t="shared" si="21"/>
        <v>3017.0249999999996</v>
      </c>
      <c r="P25" s="164">
        <f t="shared" si="22"/>
        <v>4467.75</v>
      </c>
      <c r="Q25" s="164">
        <f t="shared" si="23"/>
        <v>4914.5249999999996</v>
      </c>
      <c r="R25" s="164"/>
    </row>
    <row r="26" spans="4:39">
      <c r="D26" s="160" t="s">
        <v>175</v>
      </c>
      <c r="E26" s="139">
        <v>600</v>
      </c>
      <c r="F26" s="139">
        <v>300</v>
      </c>
      <c r="G26" s="139">
        <v>20</v>
      </c>
      <c r="H26" s="139">
        <v>350</v>
      </c>
      <c r="I26" s="139">
        <v>140</v>
      </c>
      <c r="J26" s="139">
        <v>60</v>
      </c>
      <c r="K26" s="161">
        <v>80</v>
      </c>
      <c r="L26" s="162">
        <f t="shared" si="18"/>
        <v>1550</v>
      </c>
      <c r="M26" s="162">
        <f t="shared" si="19"/>
        <v>1705</v>
      </c>
      <c r="N26" s="163">
        <f t="shared" si="20"/>
        <v>2464.5</v>
      </c>
      <c r="O26" s="163">
        <f t="shared" si="21"/>
        <v>2710.95</v>
      </c>
      <c r="P26" s="164">
        <f t="shared" si="22"/>
        <v>4014.5</v>
      </c>
      <c r="Q26" s="164">
        <f t="shared" si="23"/>
        <v>4415.95</v>
      </c>
      <c r="R26" s="164"/>
    </row>
    <row r="27" spans="4:39" ht="13.8" thickBot="1">
      <c r="D27" s="165"/>
      <c r="E27" s="166"/>
      <c r="F27" s="166"/>
      <c r="G27" s="166"/>
      <c r="H27" s="167"/>
      <c r="I27" s="167"/>
      <c r="J27" s="167"/>
      <c r="K27" s="168"/>
      <c r="L27" s="169">
        <f t="shared" ref="L27:Q27" si="24">AVERAGE(L21:L26)</f>
        <v>2256.8333333333335</v>
      </c>
      <c r="M27" s="169">
        <f t="shared" si="24"/>
        <v>2482.5166666666669</v>
      </c>
      <c r="N27" s="170">
        <f t="shared" si="24"/>
        <v>3588.3650000000002</v>
      </c>
      <c r="O27" s="170">
        <f t="shared" si="24"/>
        <v>3947.2014999999997</v>
      </c>
      <c r="P27" s="171">
        <f t="shared" si="24"/>
        <v>5845.1983333333337</v>
      </c>
      <c r="Q27" s="171">
        <f t="shared" si="24"/>
        <v>6429.7181666666656</v>
      </c>
      <c r="R27" s="277"/>
    </row>
    <row r="28" spans="4:39" ht="13.8" thickTop="1">
      <c r="L28" s="172">
        <f>L27/P27</f>
        <v>0.38610038610038611</v>
      </c>
      <c r="N28" s="172">
        <f>N27/P27</f>
        <v>0.61389961389961389</v>
      </c>
      <c r="S28" s="146"/>
      <c r="T28" s="146"/>
    </row>
    <row r="29" spans="4:39">
      <c r="D29" s="173"/>
      <c r="E29" s="174" t="s">
        <v>197</v>
      </c>
      <c r="F29" s="174" t="s">
        <v>195</v>
      </c>
      <c r="G29" s="175" t="s">
        <v>196</v>
      </c>
    </row>
    <row r="30" spans="4:39">
      <c r="D30" s="160" t="s">
        <v>167</v>
      </c>
      <c r="E30" s="139">
        <v>1.1000000000000001</v>
      </c>
      <c r="F30" s="139">
        <v>10</v>
      </c>
      <c r="G30" s="176"/>
    </row>
    <row r="31" spans="4:39">
      <c r="D31" s="177" t="s">
        <v>166</v>
      </c>
      <c r="E31" s="166"/>
      <c r="F31" s="166"/>
      <c r="G31" s="178">
        <v>0.1</v>
      </c>
    </row>
    <row r="32" spans="4:39">
      <c r="D32" s="141"/>
    </row>
    <row r="33" spans="4:14">
      <c r="N33" s="150"/>
    </row>
    <row r="35" spans="4:14">
      <c r="D35" s="179" t="s">
        <v>204</v>
      </c>
    </row>
    <row r="36" spans="4:14">
      <c r="D36" s="192" t="s">
        <v>233</v>
      </c>
    </row>
    <row r="37" spans="4:14">
      <c r="D37" s="192" t="s">
        <v>201</v>
      </c>
    </row>
    <row r="38" spans="4:14">
      <c r="D38" s="192" t="s">
        <v>202</v>
      </c>
    </row>
    <row r="39" spans="4:14">
      <c r="D39" s="193" t="s">
        <v>203</v>
      </c>
    </row>
    <row r="41" spans="4:14">
      <c r="D41" s="180" t="s">
        <v>210</v>
      </c>
      <c r="E41" s="181" t="s">
        <v>209</v>
      </c>
    </row>
    <row r="42" spans="4:14">
      <c r="D42" s="194" t="s">
        <v>205</v>
      </c>
      <c r="E42" s="182">
        <v>0.7</v>
      </c>
    </row>
    <row r="43" spans="4:14">
      <c r="D43" s="194" t="s">
        <v>206</v>
      </c>
      <c r="E43" s="182">
        <v>0.55000000000000004</v>
      </c>
    </row>
    <row r="44" spans="4:14">
      <c r="D44" s="194" t="s">
        <v>207</v>
      </c>
      <c r="E44" s="182">
        <v>0.4</v>
      </c>
    </row>
    <row r="45" spans="4:14">
      <c r="D45" s="194" t="s">
        <v>208</v>
      </c>
      <c r="E45" s="182">
        <v>0.35</v>
      </c>
    </row>
    <row r="46" spans="4:14">
      <c r="D46" s="183"/>
      <c r="E46" s="161"/>
    </row>
    <row r="47" spans="4:14" ht="13.8" thickBot="1">
      <c r="D47" s="184" t="s">
        <v>230</v>
      </c>
      <c r="E47" s="185">
        <f>AVERAGE(E42:E45)</f>
        <v>0.5</v>
      </c>
      <c r="G47" s="236"/>
      <c r="H47" s="210"/>
    </row>
    <row r="48" spans="4:14" ht="13.8" thickTop="1"/>
    <row r="51" spans="4:9" ht="14.4">
      <c r="E51" s="467" t="s">
        <v>227</v>
      </c>
      <c r="F51" s="468"/>
      <c r="G51" s="469"/>
      <c r="H51" s="144"/>
      <c r="I51" s="144"/>
    </row>
    <row r="52" spans="4:9">
      <c r="D52" s="195"/>
      <c r="E52" s="196">
        <f>Calculations!G4*50%</f>
        <v>125</v>
      </c>
      <c r="F52" s="196">
        <f>Calculations!H4*50%</f>
        <v>275</v>
      </c>
      <c r="G52" s="196">
        <f>Calculations!I4*50%</f>
        <v>355</v>
      </c>
      <c r="H52" s="196">
        <f>Calculations!J4*50%</f>
        <v>460</v>
      </c>
      <c r="I52" s="197">
        <f>Calculations!K4*50%</f>
        <v>750</v>
      </c>
    </row>
    <row r="53" spans="4:9">
      <c r="D53" s="198"/>
      <c r="E53" s="138"/>
      <c r="F53" s="138"/>
      <c r="I53" s="176"/>
    </row>
    <row r="54" spans="4:9">
      <c r="D54" s="198" t="s">
        <v>222</v>
      </c>
      <c r="E54" s="138">
        <f>52/2</f>
        <v>26</v>
      </c>
      <c r="F54" s="138">
        <v>52</v>
      </c>
      <c r="G54" s="138">
        <v>52</v>
      </c>
      <c r="H54" s="138">
        <v>52</v>
      </c>
      <c r="I54" s="176">
        <v>52</v>
      </c>
    </row>
    <row r="55" spans="4:9">
      <c r="D55" s="198" t="s">
        <v>223</v>
      </c>
      <c r="E55" s="138">
        <v>2</v>
      </c>
      <c r="F55" s="138">
        <v>2</v>
      </c>
      <c r="G55" s="138">
        <v>2</v>
      </c>
      <c r="H55" s="138">
        <v>2</v>
      </c>
      <c r="I55" s="176">
        <v>2</v>
      </c>
    </row>
    <row r="56" spans="4:9">
      <c r="D56" s="198" t="s">
        <v>224</v>
      </c>
      <c r="E56" s="138">
        <v>10</v>
      </c>
      <c r="F56" s="138">
        <v>10</v>
      </c>
      <c r="G56" s="138">
        <v>10</v>
      </c>
      <c r="H56" s="138">
        <v>10</v>
      </c>
      <c r="I56" s="176">
        <v>10</v>
      </c>
    </row>
    <row r="57" spans="4:9">
      <c r="D57" s="198" t="s">
        <v>225</v>
      </c>
      <c r="E57" s="138">
        <f>E55*E54</f>
        <v>52</v>
      </c>
      <c r="F57" s="138">
        <f>F55*F54</f>
        <v>104</v>
      </c>
      <c r="G57" s="138">
        <f>G55*G54</f>
        <v>104</v>
      </c>
      <c r="H57" s="138">
        <f>H55*H54</f>
        <v>104</v>
      </c>
      <c r="I57" s="176">
        <f>I55*I54</f>
        <v>104</v>
      </c>
    </row>
    <row r="58" spans="4:9">
      <c r="D58" s="198" t="str">
        <f>D56</f>
        <v>Clicks/session</v>
      </c>
      <c r="E58" s="149">
        <f>E57/E56</f>
        <v>5.2</v>
      </c>
      <c r="F58" s="149">
        <f>F57/F56</f>
        <v>10.4</v>
      </c>
      <c r="G58" s="149">
        <f>G57/G56</f>
        <v>10.4</v>
      </c>
      <c r="H58" s="149">
        <f>H57/H56</f>
        <v>10.4</v>
      </c>
      <c r="I58" s="199">
        <f>I57/I56</f>
        <v>10.4</v>
      </c>
    </row>
    <row r="59" spans="4:9">
      <c r="D59" s="198"/>
      <c r="E59" s="138"/>
      <c r="F59" s="138"/>
      <c r="I59" s="176"/>
    </row>
    <row r="60" spans="4:9">
      <c r="D60" s="198" t="s">
        <v>226</v>
      </c>
      <c r="E60" s="138">
        <f>E57*E58</f>
        <v>270.40000000000003</v>
      </c>
      <c r="F60" s="138">
        <f>F57*F58</f>
        <v>1081.6000000000001</v>
      </c>
      <c r="G60" s="138">
        <f>G57*G58</f>
        <v>1081.6000000000001</v>
      </c>
      <c r="H60" s="138">
        <f>H57*H58</f>
        <v>1081.6000000000001</v>
      </c>
      <c r="I60" s="176">
        <f>I57*I58</f>
        <v>1081.6000000000001</v>
      </c>
    </row>
    <row r="61" spans="4:9">
      <c r="D61" s="200" t="s">
        <v>228</v>
      </c>
      <c r="E61" s="201">
        <f>(E60*E$52)</f>
        <v>33800.000000000007</v>
      </c>
      <c r="F61" s="201">
        <f>F60*F$52</f>
        <v>297440.00000000006</v>
      </c>
      <c r="G61" s="201">
        <f>G60*G$52</f>
        <v>383968.00000000006</v>
      </c>
      <c r="H61" s="201">
        <f>H60*H$52</f>
        <v>497536.00000000006</v>
      </c>
      <c r="I61" s="202">
        <f>I60*I$52</f>
        <v>811200.00000000012</v>
      </c>
    </row>
    <row r="62" spans="4:9">
      <c r="D62" s="203" t="s">
        <v>229</v>
      </c>
      <c r="E62" s="167">
        <v>0.7</v>
      </c>
      <c r="F62" s="167">
        <v>0.8</v>
      </c>
      <c r="G62" s="167">
        <v>1.3</v>
      </c>
      <c r="H62" s="167">
        <v>1.5</v>
      </c>
      <c r="I62" s="168">
        <v>1.8</v>
      </c>
    </row>
    <row r="63" spans="4:9" ht="13.8" thickBot="1">
      <c r="D63" s="186" t="s">
        <v>1</v>
      </c>
      <c r="E63" s="303">
        <f>E62*E61</f>
        <v>23660.000000000004</v>
      </c>
      <c r="F63" s="303">
        <f>F62*F61</f>
        <v>237952.00000000006</v>
      </c>
      <c r="G63" s="303">
        <f t="shared" ref="G63:I63" si="25">G62*G61</f>
        <v>499158.40000000008</v>
      </c>
      <c r="H63" s="303">
        <f t="shared" si="25"/>
        <v>746304.00000000012</v>
      </c>
      <c r="I63" s="304">
        <f t="shared" si="25"/>
        <v>1460160.0000000002</v>
      </c>
    </row>
    <row r="64" spans="4:9" ht="13.8" thickTop="1">
      <c r="E64" s="150">
        <f>E63/E52</f>
        <v>189.28000000000003</v>
      </c>
      <c r="F64" s="150">
        <f t="shared" ref="F64:I64" si="26">F63/F52</f>
        <v>865.2800000000002</v>
      </c>
      <c r="G64" s="150">
        <f t="shared" si="26"/>
        <v>1406.0800000000002</v>
      </c>
      <c r="H64" s="150">
        <f t="shared" si="26"/>
        <v>1622.4000000000003</v>
      </c>
      <c r="I64" s="150">
        <f t="shared" si="26"/>
        <v>1946.8800000000003</v>
      </c>
    </row>
    <row r="67" spans="3:9">
      <c r="F67" s="211">
        <v>1.4999999999999999E-2</v>
      </c>
      <c r="G67" s="211">
        <v>1.7999999999999999E-2</v>
      </c>
      <c r="H67" s="211">
        <v>0.02</v>
      </c>
      <c r="I67" s="211">
        <v>2.5000000000000001E-2</v>
      </c>
    </row>
    <row r="68" spans="3:9">
      <c r="E68" s="209" t="s">
        <v>159</v>
      </c>
      <c r="F68" s="209" t="s">
        <v>160</v>
      </c>
      <c r="G68" s="209" t="s">
        <v>161</v>
      </c>
      <c r="H68" s="209" t="s">
        <v>163</v>
      </c>
      <c r="I68" s="209" t="s">
        <v>164</v>
      </c>
    </row>
    <row r="69" spans="3:9">
      <c r="C69" s="147">
        <v>200</v>
      </c>
      <c r="D69" s="187" t="s">
        <v>240</v>
      </c>
      <c r="E69" s="205">
        <v>15</v>
      </c>
      <c r="F69" s="205">
        <v>22</v>
      </c>
      <c r="G69" s="205">
        <v>35</v>
      </c>
      <c r="H69" s="205">
        <v>45</v>
      </c>
      <c r="I69" s="206">
        <v>55</v>
      </c>
    </row>
    <row r="70" spans="3:9">
      <c r="C70" s="147"/>
      <c r="D70" s="204" t="s">
        <v>238</v>
      </c>
      <c r="E70" s="207"/>
      <c r="F70" s="207"/>
      <c r="G70" s="207"/>
      <c r="H70" s="207"/>
      <c r="I70" s="208"/>
    </row>
    <row r="71" spans="3:9">
      <c r="C71" s="147"/>
      <c r="D71" s="200" t="s">
        <v>239</v>
      </c>
      <c r="E71" s="207">
        <f>E69*$C$69*$G$31</f>
        <v>300</v>
      </c>
      <c r="F71" s="207">
        <f>(F69*$C$69*$G$31)*(1+F67)</f>
        <v>446.59999999999997</v>
      </c>
      <c r="G71" s="207">
        <f>(G69*$C$69*$G$31)*(1+G67)</f>
        <v>712.6</v>
      </c>
      <c r="H71" s="207">
        <f>(H69*$C$69*$G$31)*(1+H67)</f>
        <v>918</v>
      </c>
      <c r="I71" s="208">
        <f>(I69*$C$69*$G$31)*(1+I67)</f>
        <v>1127.5</v>
      </c>
    </row>
    <row r="72" spans="3:9">
      <c r="C72" s="147">
        <v>6</v>
      </c>
      <c r="D72" s="160" t="s">
        <v>241</v>
      </c>
      <c r="E72" s="188">
        <f>E71*$C$72</f>
        <v>1800</v>
      </c>
      <c r="F72" s="188">
        <f t="shared" ref="F72:I72" si="27">F71*$C$72</f>
        <v>2679.6</v>
      </c>
      <c r="G72" s="188">
        <f t="shared" si="27"/>
        <v>4275.6000000000004</v>
      </c>
      <c r="H72" s="188">
        <f t="shared" si="27"/>
        <v>5508</v>
      </c>
      <c r="I72" s="189">
        <f t="shared" si="27"/>
        <v>6765</v>
      </c>
    </row>
    <row r="73" spans="3:9">
      <c r="C73" s="147">
        <v>12</v>
      </c>
      <c r="D73" s="177" t="s">
        <v>242</v>
      </c>
      <c r="E73" s="190">
        <f>E71*$C$73</f>
        <v>3600</v>
      </c>
      <c r="F73" s="190">
        <f t="shared" ref="F73:H73" si="28">F71*$C$73</f>
        <v>5359.2</v>
      </c>
      <c r="G73" s="190">
        <f t="shared" si="28"/>
        <v>8551.2000000000007</v>
      </c>
      <c r="H73" s="190">
        <f t="shared" si="28"/>
        <v>11016</v>
      </c>
      <c r="I73" s="191">
        <f t="shared" ref="I73" si="29">I71*$C$73</f>
        <v>13530</v>
      </c>
    </row>
    <row r="74" spans="3:9">
      <c r="D74" s="139" t="s">
        <v>253</v>
      </c>
      <c r="E74" s="150">
        <f>E72/E69</f>
        <v>120</v>
      </c>
      <c r="F74" s="143">
        <f>F73/F69</f>
        <v>243.6</v>
      </c>
      <c r="G74" s="143">
        <f t="shared" ref="G74:I74" si="30">G73/G69</f>
        <v>244.32000000000002</v>
      </c>
      <c r="H74" s="143">
        <f t="shared" si="30"/>
        <v>244.8</v>
      </c>
      <c r="I74" s="143">
        <f t="shared" si="30"/>
        <v>246</v>
      </c>
    </row>
  </sheetData>
  <mergeCells count="20">
    <mergeCell ref="AL17:AM17"/>
    <mergeCell ref="AL18:AM18"/>
    <mergeCell ref="T2:W2"/>
    <mergeCell ref="AF17:AG17"/>
    <mergeCell ref="AF18:AG18"/>
    <mergeCell ref="AI17:AJ17"/>
    <mergeCell ref="AI18:AJ18"/>
    <mergeCell ref="W18:X18"/>
    <mergeCell ref="T18:U18"/>
    <mergeCell ref="Z18:AA18"/>
    <mergeCell ref="AC18:AD18"/>
    <mergeCell ref="T17:U17"/>
    <mergeCell ref="W17:X17"/>
    <mergeCell ref="Z17:AA17"/>
    <mergeCell ref="AC17:AD17"/>
    <mergeCell ref="E6:E10"/>
    <mergeCell ref="E51:G51"/>
    <mergeCell ref="L18:M18"/>
    <mergeCell ref="N18:O18"/>
    <mergeCell ref="P18:Q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Cover Page </vt:lpstr>
      <vt:lpstr>Presentation</vt:lpstr>
      <vt:lpstr>Dashboard&gt;&gt;&gt;</vt:lpstr>
      <vt:lpstr>Income Statement</vt:lpstr>
      <vt:lpstr>Balance Sheet</vt:lpstr>
      <vt:lpstr>Revenue Forecast</vt:lpstr>
      <vt:lpstr>Cash Flow</vt:lpstr>
      <vt:lpstr>Input&gt;&gt;&gt;</vt:lpstr>
      <vt:lpstr>Calculations</vt:lpstr>
      <vt:lpstr>Cost Assumptions</vt:lpstr>
      <vt:lpstr>Assumptions</vt:lpstr>
      <vt:lpstr>Sheet1</vt:lpstr>
      <vt:lpstr>LTV</vt:lpstr>
      <vt:lpstr>Startup Costs</vt:lpstr>
      <vt:lpstr>COCA</vt:lpstr>
      <vt:lpstr>Debt Schedule</vt:lpstr>
      <vt:lpstr>Capital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Ayomide Abel Adeboyejo</cp:lastModifiedBy>
  <cp:lastPrinted>2016-03-14T19:40:38Z</cp:lastPrinted>
  <dcterms:created xsi:type="dcterms:W3CDTF">2013-10-09T21:38:54Z</dcterms:created>
  <dcterms:modified xsi:type="dcterms:W3CDTF">2024-07-14T05:36:34Z</dcterms:modified>
</cp:coreProperties>
</file>