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trlProps/ctrlProp1.xml" ContentType="application/vnd.ms-excel.controlproperties+xml"/>
  <Override PartName="/xl/drawings/drawing4.xml" ContentType="application/vnd.openxmlformats-officedocument.drawing+xml"/>
  <Override PartName="/xl/ctrlProps/ctrlProp2.xml" ContentType="application/vnd.ms-excel.controlproperti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bo\Desktop\School DOC\Module_3\Accounting\Enghouse\"/>
    </mc:Choice>
  </mc:AlternateContent>
  <xr:revisionPtr revIDLastSave="0" documentId="13_ncr:1_{E1AAADC7-6421-4668-B23A-137ED8DCA379}" xr6:coauthVersionLast="47" xr6:coauthVersionMax="47" xr10:uidLastSave="{00000000-0000-0000-0000-000000000000}"/>
  <bookViews>
    <workbookView xWindow="-108" yWindow="-108" windowWidth="23256" windowHeight="13896" tabRatio="677" activeTab="2" xr2:uid="{35B9AD02-333C-7B41-BB99-7514CBE486F2}"/>
  </bookViews>
  <sheets>
    <sheet name="Cover Page " sheetId="10" r:id="rId1"/>
    <sheet name="Graphs" sheetId="7" r:id="rId2"/>
    <sheet name="FY 2023 &amp; Projections'000" sheetId="6" r:id="rId3"/>
    <sheet name="Inputs&gt;&gt;&gt;" sheetId="11" r:id="rId4"/>
    <sheet name="Yrly Projections&amp;Cal" sheetId="5" r:id="rId5"/>
    <sheet name="Ratios" sheetId="12" r:id="rId6"/>
    <sheet name="Assumptions" sheetId="8" r:id="rId7"/>
    <sheet name="Capital schedule" sheetId="13" r:id="rId8"/>
    <sheet name="Lease " sheetId="14" r:id="rId9"/>
  </sheets>
  <externalReferences>
    <externalReference r:id="rId10"/>
  </externalReferences>
  <definedNames>
    <definedName name="ColumnTitle1">#REF!</definedName>
    <definedName name="currency" localSheetId="2">'[1]Cover Page '!$D$8</definedName>
    <definedName name="currency" localSheetId="4">'[1]Cover Page '!$D$8</definedName>
    <definedName name="currency">#REF!</definedName>
    <definedName name="EndingBalance">-FV(InterestRate/12,PaymentNumber,-MonthlyPayment,LoanAmount)</definedName>
    <definedName name="HeaderRow">ROW(#REF!)</definedName>
    <definedName name="InterestAmt">-IPMT(InterestRate/12,PaymentNumber,NumberOfPayments,LoanAmount)</definedName>
    <definedName name="InterestRate">#REF!</definedName>
    <definedName name="LastCol">COUNTA(#REF!)</definedName>
    <definedName name="LastRow">MATCH(9.99E+307,#REF!)</definedName>
    <definedName name="LoanAmount">#REF!</definedName>
    <definedName name="LoanIsGood">IF(LoanAmount*InterestRate*LoanYears*LoanStartDate&gt;0,1,0)</definedName>
    <definedName name="LoanIsNotPaid">IF(PaymentNumber&lt;=NumberOfPayments,1,0)</definedName>
    <definedName name="LoanStartDate">#REF!</definedName>
    <definedName name="LoanValue">-FV(InterestRate/12,PaymentNumber-1,-MonthlyPayment,LoanAmount)</definedName>
    <definedName name="LoanYears">#REF!</definedName>
    <definedName name="MonthlyPayment">-PMT(InterestRate/12,NumberOfPayments,LoanAmount)</definedName>
    <definedName name="NumberOfPayments">#REF!</definedName>
    <definedName name="PaymentDate">DATE(YEAR(LoanStartDate),MONTH(LoanStartDate)+PaymentNumber,DAY(LoanStartDate))</definedName>
    <definedName name="PaymentNumber">ROW()-HeaderRow</definedName>
    <definedName name="Principal">-PPMT(InterestRate/12,PaymentNumber,NumberOfPayments,LoanAmount)</definedName>
    <definedName name="PrintArea_SET">OFFSET(#REF!,,,LastRow,LastCol)</definedName>
    <definedName name="thousand">#REF!</definedName>
    <definedName name="TotalLoanCo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8" i="5" l="1"/>
  <c r="I38" i="5"/>
  <c r="D42" i="5"/>
  <c r="I3" i="5"/>
  <c r="J2" i="5" s="1"/>
  <c r="J3" i="5" s="1"/>
  <c r="H3" i="5"/>
  <c r="H2" i="5" s="1"/>
  <c r="C11" i="12"/>
  <c r="D29" i="12"/>
  <c r="E29" i="12" s="1"/>
  <c r="D22" i="12"/>
  <c r="E22" i="12" s="1"/>
  <c r="D13" i="12"/>
  <c r="E13" i="12" s="1"/>
  <c r="J17" i="5"/>
  <c r="I17" i="5"/>
  <c r="O51" i="7"/>
  <c r="N28" i="7"/>
  <c r="O28" i="7"/>
  <c r="M28" i="7"/>
  <c r="P7" i="7"/>
  <c r="E24" i="5"/>
  <c r="E23" i="5"/>
  <c r="E22" i="5"/>
  <c r="E21" i="5"/>
  <c r="D60" i="6"/>
  <c r="F7" i="7"/>
  <c r="H105" i="5"/>
  <c r="H26" i="5"/>
  <c r="I150" i="5"/>
  <c r="F57" i="6"/>
  <c r="I84" i="5"/>
  <c r="J84" i="5" s="1"/>
  <c r="G57" i="6" s="1"/>
  <c r="I94" i="5"/>
  <c r="F66" i="6" s="1"/>
  <c r="I34" i="5"/>
  <c r="J34" i="5" s="1"/>
  <c r="F23" i="6"/>
  <c r="J14" i="14"/>
  <c r="J10" i="14"/>
  <c r="G15" i="14"/>
  <c r="F15" i="14"/>
  <c r="E15" i="14"/>
  <c r="D7" i="14" s="1"/>
  <c r="B94" i="6"/>
  <c r="H54" i="5"/>
  <c r="H129" i="13"/>
  <c r="H127" i="13"/>
  <c r="D122" i="13"/>
  <c r="G121" i="13"/>
  <c r="F121" i="13"/>
  <c r="G120" i="13"/>
  <c r="F120" i="13"/>
  <c r="G117" i="13"/>
  <c r="F117" i="13"/>
  <c r="H116" i="13"/>
  <c r="H114" i="13"/>
  <c r="H113" i="13"/>
  <c r="G109" i="13"/>
  <c r="F109" i="13"/>
  <c r="E109" i="13"/>
  <c r="E112" i="13" s="1"/>
  <c r="H112" i="13" s="1"/>
  <c r="H93" i="13"/>
  <c r="H91" i="13"/>
  <c r="D86" i="13"/>
  <c r="G84" i="13"/>
  <c r="G97" i="13" s="1"/>
  <c r="H80" i="13"/>
  <c r="H78" i="13"/>
  <c r="F84" i="13"/>
  <c r="H77" i="13"/>
  <c r="G85" i="13"/>
  <c r="F85" i="13"/>
  <c r="G73" i="13"/>
  <c r="F73" i="13"/>
  <c r="E73" i="13"/>
  <c r="E76" i="13" s="1"/>
  <c r="I57" i="5"/>
  <c r="J57" i="5"/>
  <c r="G55" i="6"/>
  <c r="F55" i="6"/>
  <c r="G41" i="6"/>
  <c r="I44" i="5"/>
  <c r="I101" i="5" s="1"/>
  <c r="E84" i="13" l="1"/>
  <c r="E97" i="13" s="1"/>
  <c r="E120" i="13"/>
  <c r="E133" i="13" s="1"/>
  <c r="J94" i="5"/>
  <c r="G66" i="6" s="1"/>
  <c r="J17" i="14"/>
  <c r="J16" i="14"/>
  <c r="D15" i="14"/>
  <c r="G122" i="13"/>
  <c r="G125" i="13" s="1"/>
  <c r="G128" i="13" s="1"/>
  <c r="G130" i="13" s="1"/>
  <c r="F122" i="13"/>
  <c r="F125" i="13" s="1"/>
  <c r="F126" i="13" s="1"/>
  <c r="G133" i="13"/>
  <c r="G86" i="13"/>
  <c r="G89" i="13" s="1"/>
  <c r="F86" i="13"/>
  <c r="F89" i="13" s="1"/>
  <c r="G81" i="13"/>
  <c r="H76" i="13"/>
  <c r="F81" i="13"/>
  <c r="B87" i="6"/>
  <c r="B86" i="6"/>
  <c r="H56" i="5"/>
  <c r="H57" i="5"/>
  <c r="H55" i="5"/>
  <c r="E18" i="6"/>
  <c r="E17" i="6"/>
  <c r="F43" i="13"/>
  <c r="H58" i="13"/>
  <c r="G36" i="13"/>
  <c r="G49" i="13" s="1"/>
  <c r="G62" i="13" s="1"/>
  <c r="F36" i="13"/>
  <c r="E36" i="13"/>
  <c r="E49" i="13" s="1"/>
  <c r="E62" i="13" s="1"/>
  <c r="H84" i="13" l="1"/>
  <c r="H120" i="13"/>
  <c r="D17" i="14"/>
  <c r="D18" i="14"/>
  <c r="J9" i="14" s="1"/>
  <c r="C7" i="14"/>
  <c r="C15" i="14" s="1"/>
  <c r="G134" i="13"/>
  <c r="G135" i="13" s="1"/>
  <c r="H126" i="13"/>
  <c r="F128" i="13"/>
  <c r="F133" i="13"/>
  <c r="F49" i="13"/>
  <c r="H49" i="13" s="1"/>
  <c r="F56" i="13"/>
  <c r="H56" i="13" s="1"/>
  <c r="F90" i="13"/>
  <c r="G92" i="13"/>
  <c r="G98" i="13" s="1"/>
  <c r="G99" i="13" s="1"/>
  <c r="C18" i="14" l="1"/>
  <c r="J13" i="14" s="1"/>
  <c r="C17" i="14"/>
  <c r="H133" i="13"/>
  <c r="F130" i="13"/>
  <c r="F134" i="13"/>
  <c r="F135" i="13" s="1"/>
  <c r="G94" i="13"/>
  <c r="H90" i="13"/>
  <c r="F92" i="13"/>
  <c r="F97" i="13"/>
  <c r="D51" i="13"/>
  <c r="H45" i="13"/>
  <c r="H43" i="13"/>
  <c r="H42" i="13"/>
  <c r="Q33" i="13"/>
  <c r="Q32" i="13"/>
  <c r="R32" i="13"/>
  <c r="P32" i="13"/>
  <c r="L19" i="13"/>
  <c r="M19" i="13"/>
  <c r="K19" i="13"/>
  <c r="Q31" i="13"/>
  <c r="R31" i="13"/>
  <c r="P31" i="13"/>
  <c r="L18" i="13"/>
  <c r="M18" i="13"/>
  <c r="K18" i="13"/>
  <c r="G38" i="13"/>
  <c r="G41" i="13" s="1"/>
  <c r="F38" i="13"/>
  <c r="F41" i="13" s="1"/>
  <c r="Q42" i="13" s="1"/>
  <c r="E38" i="13"/>
  <c r="E41" i="13" s="1"/>
  <c r="P42" i="13" s="1"/>
  <c r="D38" i="13"/>
  <c r="D33" i="13"/>
  <c r="D25" i="13"/>
  <c r="G33" i="13"/>
  <c r="F33" i="13"/>
  <c r="E33" i="13"/>
  <c r="G25" i="13"/>
  <c r="F25" i="13"/>
  <c r="E25" i="13"/>
  <c r="H37" i="13"/>
  <c r="H36" i="13"/>
  <c r="H32" i="13"/>
  <c r="H31" i="13"/>
  <c r="H30" i="13"/>
  <c r="H29" i="13"/>
  <c r="H28" i="13"/>
  <c r="H24" i="13"/>
  <c r="H23" i="13"/>
  <c r="H19" i="13"/>
  <c r="H18" i="13"/>
  <c r="H17" i="13"/>
  <c r="H16" i="13"/>
  <c r="H15" i="13"/>
  <c r="H14" i="13"/>
  <c r="H10" i="13"/>
  <c r="H9" i="13"/>
  <c r="G20" i="13"/>
  <c r="F20" i="13"/>
  <c r="E20" i="13"/>
  <c r="D20" i="13"/>
  <c r="G11" i="13"/>
  <c r="F11" i="13"/>
  <c r="E11" i="13"/>
  <c r="D11" i="13"/>
  <c r="B56" i="5"/>
  <c r="B55" i="5"/>
  <c r="B54" i="5"/>
  <c r="B84" i="6"/>
  <c r="B85" i="6"/>
  <c r="B83" i="6"/>
  <c r="H11" i="13" l="1"/>
  <c r="P36" i="13"/>
  <c r="E44" i="13" s="1"/>
  <c r="P41" i="13" s="1"/>
  <c r="P55" i="13" s="1"/>
  <c r="Q36" i="13"/>
  <c r="F44" i="13" s="1"/>
  <c r="Q41" i="13" s="1"/>
  <c r="Q55" i="13" s="1"/>
  <c r="K43" i="13"/>
  <c r="F92" i="6" s="1"/>
  <c r="Q35" i="13"/>
  <c r="P35" i="13"/>
  <c r="R35" i="13"/>
  <c r="G44" i="13"/>
  <c r="G46" i="13" s="1"/>
  <c r="R42" i="13"/>
  <c r="H20" i="13"/>
  <c r="F98" i="13"/>
  <c r="F99" i="13" s="1"/>
  <c r="F94" i="13"/>
  <c r="H97" i="13"/>
  <c r="H41" i="13"/>
  <c r="E46" i="13"/>
  <c r="H38" i="13"/>
  <c r="H33" i="13"/>
  <c r="H25" i="13"/>
  <c r="D6" i="12"/>
  <c r="E6" i="12" s="1"/>
  <c r="R54" i="13" l="1"/>
  <c r="F50" i="13"/>
  <c r="F51" i="13" s="1"/>
  <c r="F54" i="13" s="1"/>
  <c r="F55" i="13" s="1"/>
  <c r="R41" i="13"/>
  <c r="R55" i="13" s="1"/>
  <c r="G50" i="13"/>
  <c r="G51" i="13" s="1"/>
  <c r="G54" i="13" s="1"/>
  <c r="F46" i="13"/>
  <c r="H46" i="13" s="1"/>
  <c r="H44" i="13"/>
  <c r="K44" i="13" s="1"/>
  <c r="E50" i="13"/>
  <c r="H116" i="5"/>
  <c r="H115" i="5"/>
  <c r="H114" i="5"/>
  <c r="H113" i="5"/>
  <c r="H143" i="5"/>
  <c r="H137" i="5"/>
  <c r="H130" i="5"/>
  <c r="D17" i="5"/>
  <c r="C17" i="5"/>
  <c r="H141" i="5" l="1"/>
  <c r="F103" i="6"/>
  <c r="I23" i="5"/>
  <c r="F17" i="6"/>
  <c r="G57" i="13"/>
  <c r="G63" i="13" s="1"/>
  <c r="G64" i="13" s="1"/>
  <c r="K42" i="13"/>
  <c r="I72" i="5" s="1"/>
  <c r="F45" i="6" s="1"/>
  <c r="F62" i="13"/>
  <c r="F57" i="13"/>
  <c r="F63" i="13" s="1"/>
  <c r="E51" i="13"/>
  <c r="H50" i="13"/>
  <c r="E3" i="6"/>
  <c r="F3" i="6"/>
  <c r="E19" i="6"/>
  <c r="E29" i="6"/>
  <c r="E73" i="6"/>
  <c r="E72" i="6"/>
  <c r="E71" i="6"/>
  <c r="E70" i="6"/>
  <c r="E66" i="6"/>
  <c r="E65" i="6"/>
  <c r="E64" i="6"/>
  <c r="E63" i="6"/>
  <c r="E62" i="6"/>
  <c r="F62" i="6" s="1"/>
  <c r="E59" i="6"/>
  <c r="E58" i="6"/>
  <c r="E57" i="6"/>
  <c r="E56" i="6"/>
  <c r="F112" i="6" s="1"/>
  <c r="E55" i="6"/>
  <c r="E49" i="6"/>
  <c r="E48" i="6"/>
  <c r="E47" i="6"/>
  <c r="E46" i="6"/>
  <c r="E45" i="6"/>
  <c r="E41" i="6"/>
  <c r="E40" i="6"/>
  <c r="E39" i="6"/>
  <c r="E38" i="6"/>
  <c r="E37" i="6"/>
  <c r="I99" i="5"/>
  <c r="J99" i="5" s="1"/>
  <c r="G71" i="6" s="1"/>
  <c r="I98" i="5"/>
  <c r="J98" i="5" s="1"/>
  <c r="G70" i="6" s="1"/>
  <c r="I93" i="5"/>
  <c r="J93" i="5" s="1"/>
  <c r="G65" i="6" s="1"/>
  <c r="I92" i="5"/>
  <c r="J92" i="5" s="1"/>
  <c r="G64" i="6" s="1"/>
  <c r="I91" i="5"/>
  <c r="I86" i="5"/>
  <c r="I85" i="5"/>
  <c r="J85" i="5" s="1"/>
  <c r="G58" i="6" s="1"/>
  <c r="I76" i="5"/>
  <c r="F49" i="6" s="1"/>
  <c r="H102" i="5"/>
  <c r="H95" i="5"/>
  <c r="H87" i="5"/>
  <c r="D57" i="5" s="1"/>
  <c r="H77" i="5"/>
  <c r="H69" i="5"/>
  <c r="I8" i="5"/>
  <c r="J8" i="5" s="1"/>
  <c r="I9" i="5"/>
  <c r="J9" i="5" s="1"/>
  <c r="I10" i="5"/>
  <c r="J10" i="5" s="1"/>
  <c r="I7" i="5"/>
  <c r="J7" i="5" s="1"/>
  <c r="E26" i="6"/>
  <c r="E14" i="6"/>
  <c r="E13" i="6"/>
  <c r="E12" i="6"/>
  <c r="E23" i="6"/>
  <c r="E22" i="6"/>
  <c r="E24" i="6"/>
  <c r="E21" i="6"/>
  <c r="H44" i="5"/>
  <c r="E31" i="6" s="1"/>
  <c r="F73" i="6"/>
  <c r="F22" i="6"/>
  <c r="H11" i="5"/>
  <c r="H18" i="5" s="1"/>
  <c r="H28" i="5" s="1"/>
  <c r="H17" i="5"/>
  <c r="E8" i="6" s="1"/>
  <c r="J1" i="5"/>
  <c r="J91" i="5" l="1"/>
  <c r="G63" i="6" s="1"/>
  <c r="F63" i="6"/>
  <c r="J86" i="5"/>
  <c r="G59" i="6" s="1"/>
  <c r="F59" i="6"/>
  <c r="D76" i="5"/>
  <c r="D75" i="5"/>
  <c r="D72" i="5"/>
  <c r="D73" i="5"/>
  <c r="D74" i="5"/>
  <c r="E7" i="6"/>
  <c r="C24" i="12" s="1"/>
  <c r="E25" i="5"/>
  <c r="D54" i="5"/>
  <c r="D55" i="5"/>
  <c r="E34" i="5"/>
  <c r="E30" i="5"/>
  <c r="E35" i="5"/>
  <c r="E32" i="5"/>
  <c r="D56" i="5"/>
  <c r="G59" i="13"/>
  <c r="H62" i="13"/>
  <c r="F64" i="13"/>
  <c r="H51" i="13"/>
  <c r="E54" i="13"/>
  <c r="E57" i="13" s="1"/>
  <c r="E63" i="13" s="1"/>
  <c r="E64" i="13" s="1"/>
  <c r="F59" i="13"/>
  <c r="J76" i="5"/>
  <c r="G49" i="6" s="1"/>
  <c r="H78" i="5"/>
  <c r="F58" i="6"/>
  <c r="F65" i="6"/>
  <c r="F71" i="6"/>
  <c r="F64" i="6"/>
  <c r="F70" i="6"/>
  <c r="F41" i="6"/>
  <c r="F85" i="6" s="1"/>
  <c r="F31" i="6"/>
  <c r="E60" i="6"/>
  <c r="C9" i="12" s="1"/>
  <c r="E74" i="6"/>
  <c r="E42" i="6"/>
  <c r="E50" i="6"/>
  <c r="E67" i="6"/>
  <c r="H96" i="5"/>
  <c r="H103" i="5" s="1"/>
  <c r="H104" i="5" s="1"/>
  <c r="H19" i="5"/>
  <c r="G23" i="6"/>
  <c r="G99" i="6" s="1"/>
  <c r="J42" i="5"/>
  <c r="G22" i="6"/>
  <c r="I11" i="5"/>
  <c r="I33" i="5" s="1"/>
  <c r="E15" i="6"/>
  <c r="J11" i="5"/>
  <c r="J33" i="5" s="1"/>
  <c r="E9" i="6" l="1"/>
  <c r="E16" i="6" s="1"/>
  <c r="E81" i="6" s="1"/>
  <c r="E79" i="13"/>
  <c r="I55" i="5"/>
  <c r="I25" i="5"/>
  <c r="I32" i="5"/>
  <c r="F21" i="6" s="1"/>
  <c r="F93" i="6" s="1"/>
  <c r="I54" i="5"/>
  <c r="I56" i="5"/>
  <c r="E115" i="13"/>
  <c r="I22" i="5"/>
  <c r="F13" i="6" s="1"/>
  <c r="I21" i="5"/>
  <c r="F12" i="6" s="1"/>
  <c r="J25" i="5"/>
  <c r="J55" i="5"/>
  <c r="G24" i="6"/>
  <c r="J32" i="5"/>
  <c r="G21" i="6" s="1"/>
  <c r="G93" i="6" s="1"/>
  <c r="J54" i="5"/>
  <c r="J65" i="5" s="1"/>
  <c r="G38" i="6" s="1"/>
  <c r="J56" i="5"/>
  <c r="G7" i="6"/>
  <c r="H7" i="7" s="1"/>
  <c r="E128" i="13"/>
  <c r="H128" i="13" s="1"/>
  <c r="K126" i="13" s="1"/>
  <c r="J30" i="5" s="1"/>
  <c r="G18" i="6" s="1"/>
  <c r="J22" i="5"/>
  <c r="G13" i="6" s="1"/>
  <c r="J21" i="5"/>
  <c r="G12" i="6" s="1"/>
  <c r="E92" i="13"/>
  <c r="H92" i="13" s="1"/>
  <c r="K89" i="13" s="1"/>
  <c r="J24" i="5" s="1"/>
  <c r="G19" i="6" s="1"/>
  <c r="C26" i="12"/>
  <c r="H64" i="13"/>
  <c r="H63" i="13"/>
  <c r="H54" i="13"/>
  <c r="H36" i="5"/>
  <c r="H40" i="5" s="1"/>
  <c r="H111" i="5" s="1"/>
  <c r="H20" i="5"/>
  <c r="G85" i="6"/>
  <c r="C25" i="12"/>
  <c r="C8" i="12"/>
  <c r="C10" i="12"/>
  <c r="J44" i="5"/>
  <c r="E68" i="6"/>
  <c r="E51" i="6"/>
  <c r="C18" i="12" s="1"/>
  <c r="I19" i="5"/>
  <c r="C42" i="5"/>
  <c r="F7" i="6"/>
  <c r="G7" i="7" s="1"/>
  <c r="C31" i="5"/>
  <c r="D31" i="5"/>
  <c r="F40" i="6" l="1"/>
  <c r="F84" i="6" s="1"/>
  <c r="I67" i="5"/>
  <c r="G40" i="6"/>
  <c r="J67" i="5"/>
  <c r="F39" i="6"/>
  <c r="F83" i="6" s="1"/>
  <c r="I66" i="5"/>
  <c r="G39" i="6"/>
  <c r="E24" i="12" s="1"/>
  <c r="J66" i="5"/>
  <c r="E121" i="13"/>
  <c r="H115" i="13"/>
  <c r="K113" i="13" s="1"/>
  <c r="I30" i="5" s="1"/>
  <c r="F18" i="6" s="1"/>
  <c r="E117" i="13"/>
  <c r="H117" i="13" s="1"/>
  <c r="K114" i="13" s="1"/>
  <c r="I74" i="5" s="1"/>
  <c r="F47" i="6" s="1"/>
  <c r="F38" i="6"/>
  <c r="F94" i="6" s="1"/>
  <c r="F95" i="6" s="1"/>
  <c r="I65" i="5"/>
  <c r="I75" i="5"/>
  <c r="F24" i="6"/>
  <c r="K41" i="13"/>
  <c r="F14" i="6"/>
  <c r="F15" i="6" s="1"/>
  <c r="G14" i="6"/>
  <c r="G15" i="6" s="1"/>
  <c r="K54" i="13"/>
  <c r="H79" i="13"/>
  <c r="K77" i="13" s="1"/>
  <c r="I24" i="5" s="1"/>
  <c r="F19" i="6" s="1"/>
  <c r="E85" i="13"/>
  <c r="E81" i="13"/>
  <c r="H81" i="13" s="1"/>
  <c r="K78" i="13" s="1"/>
  <c r="I73" i="5" s="1"/>
  <c r="E20" i="6"/>
  <c r="E25" i="6" s="1"/>
  <c r="E27" i="6" s="1"/>
  <c r="H57" i="13"/>
  <c r="K57" i="13" s="1"/>
  <c r="J23" i="5" s="1"/>
  <c r="G17" i="6" s="1"/>
  <c r="H55" i="13"/>
  <c r="E59" i="13"/>
  <c r="H59" i="13" s="1"/>
  <c r="H149" i="5"/>
  <c r="H152" i="5" s="1"/>
  <c r="H153" i="5" s="1"/>
  <c r="I148" i="5" s="1"/>
  <c r="H46" i="5"/>
  <c r="E33" i="6" s="1"/>
  <c r="H120" i="5"/>
  <c r="H123" i="5" s="1"/>
  <c r="C19" i="12"/>
  <c r="C17" i="12"/>
  <c r="C27" i="12"/>
  <c r="E75" i="6"/>
  <c r="C16" i="12"/>
  <c r="C15" i="12"/>
  <c r="F8" i="6"/>
  <c r="F9" i="6" s="1"/>
  <c r="J101" i="5"/>
  <c r="G73" i="6" s="1"/>
  <c r="G31" i="6"/>
  <c r="I18" i="5"/>
  <c r="I15" i="5"/>
  <c r="I16" i="5"/>
  <c r="G83" i="6" l="1"/>
  <c r="D24" i="12"/>
  <c r="G84" i="6"/>
  <c r="E76" i="6"/>
  <c r="E77" i="6"/>
  <c r="G94" i="6"/>
  <c r="I77" i="5"/>
  <c r="F46" i="6"/>
  <c r="H85" i="13"/>
  <c r="E86" i="13"/>
  <c r="E98" i="13"/>
  <c r="J75" i="5"/>
  <c r="G48" i="6" s="1"/>
  <c r="F48" i="6"/>
  <c r="H121" i="13"/>
  <c r="E122" i="13"/>
  <c r="E134" i="13"/>
  <c r="J19" i="5"/>
  <c r="G8" i="6"/>
  <c r="G9" i="6" s="1"/>
  <c r="G16" i="6" s="1"/>
  <c r="I26" i="5"/>
  <c r="I28" i="5" s="1"/>
  <c r="I36" i="5" s="1"/>
  <c r="F26" i="6" s="1"/>
  <c r="F16" i="6"/>
  <c r="K56" i="13"/>
  <c r="G92" i="6" s="1"/>
  <c r="K55" i="13"/>
  <c r="J72" i="5" s="1"/>
  <c r="J26" i="5"/>
  <c r="I20" i="5"/>
  <c r="C33" i="12"/>
  <c r="C32" i="12"/>
  <c r="C31" i="12"/>
  <c r="E111" i="6"/>
  <c r="E114" i="6" s="1"/>
  <c r="J14" i="5"/>
  <c r="J15" i="5"/>
  <c r="J16" i="5"/>
  <c r="J18" i="5"/>
  <c r="G20" i="6" l="1"/>
  <c r="G25" i="6" s="1"/>
  <c r="H28" i="7"/>
  <c r="F81" i="6"/>
  <c r="G28" i="7"/>
  <c r="G95" i="6"/>
  <c r="F20" i="6"/>
  <c r="F25" i="6" s="1"/>
  <c r="F27" i="6" s="1"/>
  <c r="D19" i="12"/>
  <c r="E135" i="13"/>
  <c r="H135" i="13" s="1"/>
  <c r="H134" i="13"/>
  <c r="E89" i="13"/>
  <c r="H86" i="13"/>
  <c r="F50" i="6"/>
  <c r="D26" i="12" s="1"/>
  <c r="H98" i="13"/>
  <c r="E99" i="13"/>
  <c r="H99" i="13" s="1"/>
  <c r="E125" i="13"/>
  <c r="H122" i="13"/>
  <c r="E115" i="6"/>
  <c r="F110" i="6" s="1"/>
  <c r="G45" i="6"/>
  <c r="G81" i="6"/>
  <c r="J28" i="5"/>
  <c r="J36" i="5" s="1"/>
  <c r="G26" i="6" s="1"/>
  <c r="J20" i="5"/>
  <c r="E19" i="12"/>
  <c r="P51" i="7" l="1"/>
  <c r="G50" i="7"/>
  <c r="Q29" i="7"/>
  <c r="Q28" i="7"/>
  <c r="P28" i="7"/>
  <c r="P29" i="7"/>
  <c r="G27" i="6"/>
  <c r="H89" i="13"/>
  <c r="E94" i="13"/>
  <c r="H94" i="13" s="1"/>
  <c r="K90" i="13" s="1"/>
  <c r="J73" i="5" s="1"/>
  <c r="H125" i="13"/>
  <c r="E130" i="13"/>
  <c r="H130" i="13" s="1"/>
  <c r="K127" i="13" s="1"/>
  <c r="J74" i="5" s="1"/>
  <c r="G47" i="6" s="1"/>
  <c r="J40" i="5"/>
  <c r="J83" i="5" s="1"/>
  <c r="G56" i="6" s="1"/>
  <c r="J95" i="5"/>
  <c r="G62" i="6"/>
  <c r="Q51" i="7" l="1"/>
  <c r="H50" i="7"/>
  <c r="G46" i="6"/>
  <c r="G50" i="6" s="1"/>
  <c r="E26" i="12" s="1"/>
  <c r="J77" i="5"/>
  <c r="G67" i="6"/>
  <c r="E31" i="12"/>
  <c r="J149" i="5"/>
  <c r="J46" i="5"/>
  <c r="G33" i="6" s="1"/>
  <c r="G111" i="6"/>
  <c r="G2" i="6" l="1"/>
  <c r="G3" i="6" s="1"/>
  <c r="F1" i="6"/>
  <c r="E2" i="6"/>
  <c r="E1" i="6" s="1"/>
  <c r="G1" i="6" l="1"/>
  <c r="I14" i="5"/>
  <c r="I95" i="5" l="1"/>
  <c r="I40" i="5"/>
  <c r="I100" i="5" s="1"/>
  <c r="J100" i="5" s="1"/>
  <c r="F111" i="6" l="1"/>
  <c r="F114" i="6" s="1"/>
  <c r="I83" i="5"/>
  <c r="I46" i="5"/>
  <c r="F33" i="6" s="1"/>
  <c r="I149" i="5"/>
  <c r="F56" i="6" l="1"/>
  <c r="J150" i="5"/>
  <c r="D31" i="12"/>
  <c r="F72" i="6"/>
  <c r="F69" i="6" s="1"/>
  <c r="G100" i="6"/>
  <c r="F100" i="6"/>
  <c r="I152" i="5"/>
  <c r="I153" i="5" s="1"/>
  <c r="J148" i="5" s="1"/>
  <c r="J152" i="5" l="1"/>
  <c r="J153" i="5" s="1"/>
  <c r="F87" i="6"/>
  <c r="G112" i="6"/>
  <c r="F74" i="6"/>
  <c r="D33" i="12" s="1"/>
  <c r="G72" i="6"/>
  <c r="I102" i="5"/>
  <c r="G87" i="6"/>
  <c r="F115" i="6" l="1"/>
  <c r="G110" i="6" s="1"/>
  <c r="G114" i="6" s="1"/>
  <c r="G74" i="6"/>
  <c r="E33" i="12" s="1"/>
  <c r="G69" i="6"/>
  <c r="J102" i="5"/>
  <c r="G115" i="6" l="1"/>
  <c r="J87" i="5"/>
  <c r="G60" i="6" l="1"/>
  <c r="G68" i="6" s="1"/>
  <c r="J96" i="5"/>
  <c r="J103" i="5" s="1"/>
  <c r="E16" i="12" l="1"/>
  <c r="G75" i="6"/>
  <c r="I87" i="5" l="1"/>
  <c r="F86" i="6" l="1"/>
  <c r="I96" i="5"/>
  <c r="I103" i="5" s="1"/>
  <c r="F60" i="6"/>
  <c r="G86" i="6"/>
  <c r="F88" i="6" l="1"/>
  <c r="F89" i="6" s="1"/>
  <c r="F102" i="6" s="1"/>
  <c r="F105" i="6" s="1"/>
  <c r="G88" i="6"/>
  <c r="G89" i="6" s="1"/>
  <c r="G102" i="6" s="1"/>
  <c r="F67" i="6"/>
  <c r="F68" i="6" s="1"/>
  <c r="G103" i="6" l="1"/>
  <c r="G105" i="6" s="1"/>
  <c r="F37" i="6"/>
  <c r="F75" i="6"/>
  <c r="D16" i="12"/>
  <c r="I64" i="5"/>
  <c r="I69" i="5" s="1"/>
  <c r="I78" i="5" s="1"/>
  <c r="I104" i="5" l="1"/>
  <c r="I105" i="5"/>
  <c r="F106" i="6"/>
  <c r="Q7" i="7"/>
  <c r="G37" i="6"/>
  <c r="D10" i="12"/>
  <c r="D9" i="12"/>
  <c r="F42" i="6"/>
  <c r="D11" i="12" s="1"/>
  <c r="G106" i="6" l="1"/>
  <c r="R7" i="7"/>
  <c r="G42" i="6"/>
  <c r="E11" i="12" s="1"/>
  <c r="E10" i="12"/>
  <c r="J64" i="5"/>
  <c r="J69" i="5" s="1"/>
  <c r="J78" i="5" s="1"/>
  <c r="E9" i="12"/>
  <c r="D8" i="12"/>
  <c r="D25" i="12"/>
  <c r="F51" i="6"/>
  <c r="J104" i="5" l="1"/>
  <c r="J105" i="5"/>
  <c r="E25" i="12"/>
  <c r="G51" i="6"/>
  <c r="G76" i="6" s="1"/>
  <c r="E8" i="12"/>
  <c r="D18" i="12"/>
  <c r="F77" i="6"/>
  <c r="D32" i="12"/>
  <c r="D17" i="12"/>
  <c r="D27" i="12"/>
  <c r="D15" i="12"/>
  <c r="F76" i="6"/>
  <c r="E15" i="12" l="1"/>
  <c r="E27" i="12"/>
  <c r="E32" i="12"/>
  <c r="E18" i="12"/>
  <c r="E17" i="12"/>
  <c r="G7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1387B4-5138-4179-9E3F-2FBC6576E911}" keepAlive="1" name="Query - Table017 (Page 28)" description="Connection to the 'Table017 (Page 28)' query in the workbook." type="5" refreshedVersion="8" background="1" saveData="1">
    <dbPr connection="Provider=Microsoft.Mashup.OleDb.1;Data Source=$Workbook$;Location=&quot;Table017 (Page 28)&quot;;Extended Properties=&quot;&quot;" command="SELECT * FROM [Table017 (Page 28)]"/>
  </connection>
</connections>
</file>

<file path=xl/sharedStrings.xml><?xml version="1.0" encoding="utf-8"?>
<sst xmlns="http://schemas.openxmlformats.org/spreadsheetml/2006/main" count="547" uniqueCount="262">
  <si>
    <t>Revenue</t>
  </si>
  <si>
    <t>Income Statement</t>
  </si>
  <si>
    <t>Software Licenses</t>
  </si>
  <si>
    <t>SaaS and maintenance services</t>
  </si>
  <si>
    <t>Professional services</t>
  </si>
  <si>
    <t>Hardware</t>
  </si>
  <si>
    <t>Direct costs</t>
  </si>
  <si>
    <t>Software licenses</t>
  </si>
  <si>
    <t>Services</t>
  </si>
  <si>
    <t>Revenue, net of direct costs</t>
  </si>
  <si>
    <t>Operating expenses</t>
  </si>
  <si>
    <t>Selling, general and administrative</t>
  </si>
  <si>
    <t>Research and development</t>
  </si>
  <si>
    <t>Depreciation</t>
  </si>
  <si>
    <t>Depreciation of right-of-use assets</t>
  </si>
  <si>
    <t>Special charges</t>
  </si>
  <si>
    <t>Results from operating activities</t>
  </si>
  <si>
    <t>Amortization of acquired software and customer relationships</t>
  </si>
  <si>
    <t>Foreign exchange gains (losses)</t>
  </si>
  <si>
    <t>Interest expense - lease obligations</t>
  </si>
  <si>
    <t>Finance Income</t>
  </si>
  <si>
    <t>Finance expenses</t>
  </si>
  <si>
    <t>Other Income (expense)</t>
  </si>
  <si>
    <t>Income before Income taxes</t>
  </si>
  <si>
    <t>Provision for income taxes</t>
  </si>
  <si>
    <t>Net income for the year</t>
  </si>
  <si>
    <t>Other comprehensive income (loss)</t>
  </si>
  <si>
    <t>Comprehensive income</t>
  </si>
  <si>
    <t>Basic</t>
  </si>
  <si>
    <t>Diluted</t>
  </si>
  <si>
    <t>COGS</t>
  </si>
  <si>
    <t>Cash and cash equivalents</t>
  </si>
  <si>
    <t>Short-term investments</t>
  </si>
  <si>
    <t>Accounts receivable</t>
  </si>
  <si>
    <t>Prepaid expenses and other assets</t>
  </si>
  <si>
    <t>Income taxes recoverable</t>
  </si>
  <si>
    <t>Property and equipment</t>
  </si>
  <si>
    <t>Right-of-use assets</t>
  </si>
  <si>
    <t>Intangible assets</t>
  </si>
  <si>
    <t>Goodwill</t>
  </si>
  <si>
    <t>Deferred income tax assets</t>
  </si>
  <si>
    <t>Accounts payable and accrued liabilities</t>
  </si>
  <si>
    <t>Dividends payable</t>
  </si>
  <si>
    <t>Provisions</t>
  </si>
  <si>
    <t>Deferred revenue</t>
  </si>
  <si>
    <t>Lease obligations</t>
  </si>
  <si>
    <t>Income taxes payable</t>
  </si>
  <si>
    <t>Deferred income tax liabilities</t>
  </si>
  <si>
    <t>Net employee defined benefit obligation</t>
  </si>
  <si>
    <t>Share capital</t>
  </si>
  <si>
    <t>Contributed surplus</t>
  </si>
  <si>
    <t>Retained earnings</t>
  </si>
  <si>
    <t>10% of net income</t>
  </si>
  <si>
    <t>Accumulated other comprehensive income/ (loss)</t>
  </si>
  <si>
    <t xml:space="preserve">Income statement item (if applicable) </t>
  </si>
  <si>
    <t xml:space="preserve">Year 1 assumptions </t>
  </si>
  <si>
    <t xml:space="preserve">Year 2 assumptions </t>
  </si>
  <si>
    <t xml:space="preserve">Sales estimate </t>
  </si>
  <si>
    <t xml:space="preserve">Cost of good sold </t>
  </si>
  <si>
    <t xml:space="preserve">1% increase as a % of sales </t>
  </si>
  <si>
    <t xml:space="preserve">Selling, general, administration expense </t>
  </si>
  <si>
    <t xml:space="preserve">Income taxes on continuing operations </t>
  </si>
  <si>
    <t xml:space="preserve">No change in income tax rate </t>
  </si>
  <si>
    <t xml:space="preserve">Multiple year forecast income statement </t>
  </si>
  <si>
    <t xml:space="preserve">Multiple year forecast balance sheet </t>
  </si>
  <si>
    <t xml:space="preserve">Balance sheet item (if applicable) </t>
  </si>
  <si>
    <t xml:space="preserve">Capital expenditures </t>
  </si>
  <si>
    <t xml:space="preserve">10% increase </t>
  </si>
  <si>
    <t xml:space="preserve">Current maturing debt </t>
  </si>
  <si>
    <t xml:space="preserve">Dividend </t>
  </si>
  <si>
    <t xml:space="preserve">10% of net income (if applicable) </t>
  </si>
  <si>
    <t>BOP</t>
  </si>
  <si>
    <t>EOP</t>
  </si>
  <si>
    <t>Cost of Sales</t>
  </si>
  <si>
    <t>Gross Profit</t>
  </si>
  <si>
    <t>Operating Expenses</t>
  </si>
  <si>
    <t>Total OPEX</t>
  </si>
  <si>
    <t>EBITDA</t>
  </si>
  <si>
    <t>EBIT</t>
  </si>
  <si>
    <t>Interest Expenses</t>
  </si>
  <si>
    <t>Other Income</t>
  </si>
  <si>
    <t>Profit Before Tax</t>
  </si>
  <si>
    <t>Provision for Tax</t>
  </si>
  <si>
    <t>Profit After Tax</t>
  </si>
  <si>
    <t>Balance Sheet</t>
  </si>
  <si>
    <t>Non-Current Assets</t>
  </si>
  <si>
    <t>Total Non-Current Assets</t>
  </si>
  <si>
    <t>Current Assets</t>
  </si>
  <si>
    <t>Total Current Assets</t>
  </si>
  <si>
    <t>Total  Assets</t>
  </si>
  <si>
    <t>Retained Earnings</t>
  </si>
  <si>
    <t>LIABILITIES</t>
  </si>
  <si>
    <t>Non-current Liabilities</t>
  </si>
  <si>
    <t>Total Non-current Liabilities</t>
  </si>
  <si>
    <t>Current Liabilities</t>
  </si>
  <si>
    <t>Total Liabilities</t>
  </si>
  <si>
    <t>Total Equity &amp; Liabilities</t>
  </si>
  <si>
    <t>Check</t>
  </si>
  <si>
    <t>Cash Flow Forecast</t>
  </si>
  <si>
    <t>Operating Activities</t>
  </si>
  <si>
    <t>Investing Activities</t>
  </si>
  <si>
    <t>Financing Activities</t>
  </si>
  <si>
    <t>Dividend</t>
  </si>
  <si>
    <t>Other Schedules</t>
  </si>
  <si>
    <t>Retained Earnings Schedule</t>
  </si>
  <si>
    <t>Retained Earnings BF</t>
  </si>
  <si>
    <t>Retained Earnings CF</t>
  </si>
  <si>
    <t xml:space="preserve">Earnings per share </t>
  </si>
  <si>
    <t>Total Revenue</t>
  </si>
  <si>
    <t>7.5% growth</t>
  </si>
  <si>
    <t>9% growth</t>
  </si>
  <si>
    <t>Shareholders equity</t>
  </si>
  <si>
    <t>Total  Current Liabilities</t>
  </si>
  <si>
    <t>% on sales- 2024</t>
  </si>
  <si>
    <t>% on sales- 2025</t>
  </si>
  <si>
    <t xml:space="preserve">Total Equity    </t>
  </si>
  <si>
    <t xml:space="preserve">2% increase </t>
  </si>
  <si>
    <t>GR-2025</t>
  </si>
  <si>
    <t>GR-2024</t>
  </si>
  <si>
    <t xml:space="preserve">Total Equity   </t>
  </si>
  <si>
    <t>Revenue from Services</t>
  </si>
  <si>
    <t>Items that may be subsequently reclassified to income: cumulative translation adjustment</t>
  </si>
  <si>
    <t xml:space="preserve">Normal course issuer bid share repurchases </t>
  </si>
  <si>
    <t>Profit after tax</t>
  </si>
  <si>
    <t xml:space="preserve"> Adjustments for non-cash item</t>
  </si>
  <si>
    <t>Interest expense – lease obligation</t>
  </si>
  <si>
    <t>Amortization of acquired software and customer relationship</t>
  </si>
  <si>
    <t>Stock-based compensation expense</t>
  </si>
  <si>
    <t>Finance expenses and other expense (income)</t>
  </si>
  <si>
    <t>Changes in non-cash operating working capital</t>
  </si>
  <si>
    <t>Income taxes paid</t>
  </si>
  <si>
    <t>Net cash provided by operating activities</t>
  </si>
  <si>
    <t>Purchase of property and equipment, net</t>
  </si>
  <si>
    <t>Acquisitions, net of cash acquired*</t>
  </si>
  <si>
    <t>(Payment) recovery of purchase consideration for prior-year acquisition</t>
  </si>
  <si>
    <t>Purchase of short-term investments, net</t>
  </si>
  <si>
    <t>Net cash used in investing activities</t>
  </si>
  <si>
    <t>Normal course issuer bid share repurchases</t>
  </si>
  <si>
    <t>Repayment of lease obligations</t>
  </si>
  <si>
    <t>Dividends paid</t>
  </si>
  <si>
    <t>Net cash used in financing activities</t>
  </si>
  <si>
    <t>Impact of foreign exchange on cash and cash equivalents</t>
  </si>
  <si>
    <t>Increase in cash and cash equivalents</t>
  </si>
  <si>
    <t>Cash and cash equivalents - end of year</t>
  </si>
  <si>
    <t>Cash and cash equivalents - beginning of year</t>
  </si>
  <si>
    <t>Mwanga Business Support</t>
  </si>
  <si>
    <t>`</t>
  </si>
  <si>
    <t xml:space="preserve">Depreciation    </t>
  </si>
  <si>
    <t>Issuance of share capital</t>
  </si>
  <si>
    <t>R&amp;D</t>
  </si>
  <si>
    <t>Prov.tax</t>
  </si>
  <si>
    <t>0.5% of sales</t>
  </si>
  <si>
    <t>Liquidity Ratios</t>
  </si>
  <si>
    <t>Current Ratio</t>
  </si>
  <si>
    <t>Quick Ratio</t>
  </si>
  <si>
    <t>Cash Ratio</t>
  </si>
  <si>
    <t>Net Working Capital</t>
  </si>
  <si>
    <t>Leverage Ratios</t>
  </si>
  <si>
    <t>Total Debt Ratio</t>
  </si>
  <si>
    <t>Debt to Equity Ratio</t>
  </si>
  <si>
    <t>Equity Multiplier</t>
  </si>
  <si>
    <t>Long Term Debt Ratio</t>
  </si>
  <si>
    <t>Times Interest Earned</t>
  </si>
  <si>
    <t>Asset Utilization Turnover Ratios</t>
  </si>
  <si>
    <t>Days sale in Receivables</t>
  </si>
  <si>
    <t>NWC turnover</t>
  </si>
  <si>
    <t>Fixed Assets Turnover</t>
  </si>
  <si>
    <t>Total Assets Turnover</t>
  </si>
  <si>
    <t>Profitability Ratios</t>
  </si>
  <si>
    <t>Profit Margin</t>
  </si>
  <si>
    <t>Return on Assets</t>
  </si>
  <si>
    <t>Return on Equity</t>
  </si>
  <si>
    <t>US$'000</t>
  </si>
  <si>
    <t>FY21</t>
  </si>
  <si>
    <t>FY22</t>
  </si>
  <si>
    <t>FY23</t>
  </si>
  <si>
    <t>FY24</t>
  </si>
  <si>
    <t>FY25</t>
  </si>
  <si>
    <t>Adjusted EBITDA</t>
  </si>
  <si>
    <t>Addition to PPE</t>
  </si>
  <si>
    <t>Amortisation</t>
  </si>
  <si>
    <t>Working capitals</t>
  </si>
  <si>
    <t>Payable</t>
  </si>
  <si>
    <t>Cost</t>
  </si>
  <si>
    <t>As at October 31, 2022</t>
  </si>
  <si>
    <t>Property</t>
  </si>
  <si>
    <t>fixtures</t>
  </si>
  <si>
    <t>Furniture and</t>
  </si>
  <si>
    <t>Computer</t>
  </si>
  <si>
    <t>hardware</t>
  </si>
  <si>
    <t>Leasehold</t>
  </si>
  <si>
    <t>improvements</t>
  </si>
  <si>
    <t>YTD</t>
  </si>
  <si>
    <t>Opening net book value</t>
  </si>
  <si>
    <t>Additions</t>
  </si>
  <si>
    <t>Net book value</t>
  </si>
  <si>
    <t>Accunm dep</t>
  </si>
  <si>
    <t>As at October 31, 2021</t>
  </si>
  <si>
    <t>Yr ended oct 2022</t>
  </si>
  <si>
    <t>acqisition</t>
  </si>
  <si>
    <t>Disposal</t>
  </si>
  <si>
    <t>Exchange diff</t>
  </si>
  <si>
    <t>As at October 31, 2023</t>
  </si>
  <si>
    <t>Yr ended oct 2023</t>
  </si>
  <si>
    <t>Dep</t>
  </si>
  <si>
    <t>Add</t>
  </si>
  <si>
    <t>Acq</t>
  </si>
  <si>
    <t>Average Add</t>
  </si>
  <si>
    <t>Average Dep</t>
  </si>
  <si>
    <t>Closing Net Book Value</t>
  </si>
  <si>
    <t>As at October 31, 2024</t>
  </si>
  <si>
    <t>As at October 31, 2025</t>
  </si>
  <si>
    <t xml:space="preserve">Depreciation </t>
  </si>
  <si>
    <t>Net cash generated from operating  activities</t>
  </si>
  <si>
    <t>Year ended oct 2024</t>
  </si>
  <si>
    <t>Year ended oct 2025</t>
  </si>
  <si>
    <t>Finance Interest</t>
  </si>
  <si>
    <t>Income tax payable</t>
  </si>
  <si>
    <t>CR- Cash</t>
  </si>
  <si>
    <t>Acqisition</t>
  </si>
  <si>
    <t>DR-PPE</t>
  </si>
  <si>
    <t>DR-EXP</t>
  </si>
  <si>
    <t>CR-PPE</t>
  </si>
  <si>
    <t>PPE</t>
  </si>
  <si>
    <t>DEP</t>
  </si>
  <si>
    <t>Cash</t>
  </si>
  <si>
    <t>DR-DEP</t>
  </si>
  <si>
    <t>CR-Asset</t>
  </si>
  <si>
    <t>Amortization</t>
  </si>
  <si>
    <t>DR-Amortization</t>
  </si>
  <si>
    <t>DR-Amortion</t>
  </si>
  <si>
    <t>Lease liabilities</t>
  </si>
  <si>
    <t>Acquisitions</t>
  </si>
  <si>
    <t>Lease modifications</t>
  </si>
  <si>
    <t>Lease terminations</t>
  </si>
  <si>
    <t>Interest expense</t>
  </si>
  <si>
    <t>Payments, including repayments of interest</t>
  </si>
  <si>
    <t xml:space="preserve"> Foreign exchange</t>
  </si>
  <si>
    <t>End of year</t>
  </si>
  <si>
    <t>Current portion of lease liabilities</t>
  </si>
  <si>
    <t>Long-term portion of lease liabilities</t>
  </si>
  <si>
    <t>Beginning of year for long term</t>
  </si>
  <si>
    <t>CR-Liability</t>
  </si>
  <si>
    <t>DR- Interest exp</t>
  </si>
  <si>
    <t xml:space="preserve"> Interest expense- long term lease liabilities</t>
  </si>
  <si>
    <t>Base</t>
  </si>
  <si>
    <t>Movement in working capital:</t>
  </si>
  <si>
    <t>Adjusted EBITDA Margin</t>
  </si>
  <si>
    <t>Cash and Short-term Investment</t>
  </si>
  <si>
    <t>Dividend Per Share</t>
  </si>
  <si>
    <t>Net Income</t>
  </si>
  <si>
    <t>Comments</t>
  </si>
  <si>
    <t>Earnings Per Share</t>
  </si>
  <si>
    <t xml:space="preserve">1.5% increase as a % of sales </t>
  </si>
  <si>
    <t xml:space="preserve">1% increase </t>
  </si>
  <si>
    <t>27% on net income</t>
  </si>
  <si>
    <t>9.5% of net PPE (Average additions in the last 5years)</t>
  </si>
  <si>
    <t>7.5% of net PPE (Average additions in the last 5 years)</t>
  </si>
  <si>
    <t>CAPITAL SCHEDULE</t>
  </si>
  <si>
    <t>ASSUMPTIONS</t>
  </si>
  <si>
    <t>LEASE SCHEDULE</t>
  </si>
  <si>
    <t>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</si>
</sst>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dd\-mmm\-yyyy"/>
    <numFmt numFmtId="166" formatCode="_(* #,##0.0_);_(* \(#,##0.0\);_(* &quot;-&quot;??_);_(@_)"/>
    <numFmt numFmtId="167" formatCode="0.0"/>
    <numFmt numFmtId="168" formatCode="_(* #,##0.0_);_(* \(#,##0.0\);_(* &quot;-&quot;?_);_(@_)"/>
    <numFmt numFmtId="169" formatCode="0&quot;A&quot;"/>
    <numFmt numFmtId="170" formatCode="0&quot;E&quot;"/>
    <numFmt numFmtId="171" formatCode="0.0%"/>
  </numFmts>
  <fonts count="3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Trebuchet MS"/>
      <family val="2"/>
    </font>
    <font>
      <b/>
      <sz val="9"/>
      <color theme="0"/>
      <name val="Trebuchet MS"/>
      <family val="2"/>
    </font>
    <font>
      <b/>
      <i/>
      <sz val="9"/>
      <color theme="0"/>
      <name val="Trebuchet MS"/>
      <family val="2"/>
    </font>
    <font>
      <i/>
      <sz val="9"/>
      <color theme="1"/>
      <name val="Trebuchet MS"/>
      <family val="2"/>
    </font>
    <font>
      <sz val="9"/>
      <color theme="0"/>
      <name val="Trebuchet MS"/>
      <family val="2"/>
    </font>
    <font>
      <b/>
      <sz val="9"/>
      <color theme="1"/>
      <name val="Century Gothic"/>
      <family val="2"/>
    </font>
    <font>
      <b/>
      <sz val="9"/>
      <color theme="1"/>
      <name val="Trebuchet MS"/>
      <family val="2"/>
    </font>
    <font>
      <b/>
      <i/>
      <sz val="9"/>
      <color theme="1"/>
      <name val="Trebuchet MS"/>
      <family val="2"/>
    </font>
    <font>
      <i/>
      <sz val="9"/>
      <color theme="0"/>
      <name val="Trebuchet MS"/>
      <family val="2"/>
    </font>
    <font>
      <b/>
      <i/>
      <sz val="9"/>
      <color rgb="FFFF0000"/>
      <name val="Trebuchet MS"/>
      <family val="2"/>
    </font>
    <font>
      <sz val="9"/>
      <color theme="1"/>
      <name val="Century Gothic"/>
      <family val="2"/>
    </font>
    <font>
      <sz val="9"/>
      <color rgb="FFFF0000"/>
      <name val="Century Gothic"/>
      <family val="2"/>
    </font>
    <font>
      <sz val="9"/>
      <color theme="0"/>
      <name val="Century Gothic"/>
      <family val="2"/>
    </font>
    <font>
      <b/>
      <sz val="9"/>
      <color rgb="FFFF0000"/>
      <name val="Century Gothic"/>
      <family val="2"/>
    </font>
    <font>
      <sz val="9"/>
      <color rgb="FF00A6C1"/>
      <name val="Century Gothic"/>
      <family val="2"/>
    </font>
    <font>
      <b/>
      <sz val="9"/>
      <color rgb="FF18216E"/>
      <name val="Century Gothic"/>
      <family val="2"/>
    </font>
    <font>
      <b/>
      <sz val="9"/>
      <color rgb="FF00A6C1"/>
      <name val="Century Gothic"/>
      <family val="2"/>
    </font>
    <font>
      <sz val="8"/>
      <color theme="0"/>
      <name val="Open Sans"/>
      <family val="2"/>
    </font>
    <font>
      <sz val="11"/>
      <color theme="1"/>
      <name val="Arial Narrow"/>
      <family val="2"/>
    </font>
    <font>
      <b/>
      <sz val="9"/>
      <color theme="0"/>
      <name val="Century Gothic"/>
      <family val="2"/>
    </font>
    <font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sz val="14"/>
      <color theme="1"/>
      <name val="Trebuchet MS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1"/>
      <color theme="0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sz val="8"/>
      <color theme="0"/>
      <name val="Open Sans"/>
    </font>
  </fonts>
  <fills count="17">
    <fill>
      <patternFill patternType="none"/>
    </fill>
    <fill>
      <patternFill patternType="gray125"/>
    </fill>
    <fill>
      <patternFill patternType="darkDown">
        <fgColor theme="2" tint="-0.499984740745262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24" fillId="0" borderId="0" applyFont="0" applyFill="0" applyBorder="0" applyAlignment="0" applyProtection="0"/>
  </cellStyleXfs>
  <cellXfs count="322">
    <xf numFmtId="0" fontId="0" fillId="0" borderId="0" xfId="0"/>
    <xf numFmtId="0" fontId="0" fillId="0" borderId="1" xfId="0" applyBorder="1"/>
    <xf numFmtId="43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Protection="1">
      <protection hidden="1"/>
    </xf>
    <xf numFmtId="164" fontId="7" fillId="0" borderId="0" xfId="0" applyNumberFormat="1" applyFont="1" applyAlignment="1" applyProtection="1">
      <alignment horizontal="center"/>
      <protection hidden="1"/>
    </xf>
    <xf numFmtId="164" fontId="4" fillId="0" borderId="0" xfId="0" applyNumberFormat="1" applyFont="1" applyProtection="1">
      <protection hidden="1"/>
    </xf>
    <xf numFmtId="0" fontId="9" fillId="2" borderId="0" xfId="0" applyFont="1" applyFill="1" applyProtection="1">
      <protection hidden="1"/>
    </xf>
    <xf numFmtId="0" fontId="4" fillId="0" borderId="0" xfId="0" applyFont="1"/>
    <xf numFmtId="164" fontId="7" fillId="0" borderId="0" xfId="0" applyNumberFormat="1" applyFont="1" applyAlignment="1">
      <alignment horizontal="center"/>
    </xf>
    <xf numFmtId="164" fontId="4" fillId="0" borderId="0" xfId="0" applyNumberFormat="1" applyFont="1"/>
    <xf numFmtId="0" fontId="10" fillId="0" borderId="0" xfId="0" applyFont="1"/>
    <xf numFmtId="166" fontId="10" fillId="0" borderId="0" xfId="0" applyNumberFormat="1" applyFont="1"/>
    <xf numFmtId="0" fontId="4" fillId="0" borderId="0" xfId="0" applyFont="1" applyAlignment="1">
      <alignment horizontal="left" indent="1"/>
    </xf>
    <xf numFmtId="43" fontId="4" fillId="0" borderId="0" xfId="1" applyFont="1"/>
    <xf numFmtId="166" fontId="4" fillId="0" borderId="0" xfId="1" applyNumberFormat="1" applyFont="1"/>
    <xf numFmtId="166" fontId="4" fillId="0" borderId="0" xfId="0" applyNumberFormat="1" applyFont="1"/>
    <xf numFmtId="0" fontId="10" fillId="0" borderId="1" xfId="0" applyFont="1" applyBorder="1"/>
    <xf numFmtId="164" fontId="11" fillId="0" borderId="1" xfId="0" applyNumberFormat="1" applyFont="1" applyBorder="1" applyAlignment="1">
      <alignment horizontal="center"/>
    </xf>
    <xf numFmtId="164" fontId="10" fillId="0" borderId="0" xfId="0" applyNumberFormat="1" applyFont="1"/>
    <xf numFmtId="0" fontId="10" fillId="0" borderId="4" xfId="0" applyFont="1" applyBorder="1"/>
    <xf numFmtId="164" fontId="11" fillId="0" borderId="4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66" fontId="4" fillId="0" borderId="0" xfId="1" applyNumberFormat="1" applyFont="1" applyBorder="1"/>
    <xf numFmtId="0" fontId="11" fillId="0" borderId="1" xfId="0" applyFont="1" applyBorder="1" applyAlignment="1">
      <alignment horizontal="center"/>
    </xf>
    <xf numFmtId="166" fontId="4" fillId="0" borderId="1" xfId="1" applyNumberFormat="1" applyFont="1" applyBorder="1"/>
    <xf numFmtId="0" fontId="11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166" fontId="10" fillId="0" borderId="1" xfId="0" applyNumberFormat="1" applyFont="1" applyBorder="1"/>
    <xf numFmtId="0" fontId="11" fillId="0" borderId="2" xfId="0" applyFont="1" applyBorder="1" applyAlignment="1">
      <alignment horizontal="center"/>
    </xf>
    <xf numFmtId="166" fontId="4" fillId="3" borderId="0" xfId="1" applyNumberFormat="1" applyFont="1" applyFill="1"/>
    <xf numFmtId="166" fontId="11" fillId="0" borderId="0" xfId="1" applyNumberFormat="1" applyFont="1" applyAlignment="1">
      <alignment horizontal="right"/>
    </xf>
    <xf numFmtId="166" fontId="7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6" fontId="11" fillId="0" borderId="1" xfId="0" applyNumberFormat="1" applyFont="1" applyBorder="1" applyAlignment="1">
      <alignment horizontal="center"/>
    </xf>
    <xf numFmtId="0" fontId="4" fillId="0" borderId="1" xfId="0" applyFont="1" applyBorder="1"/>
    <xf numFmtId="166" fontId="7" fillId="0" borderId="1" xfId="0" applyNumberFormat="1" applyFont="1" applyBorder="1" applyAlignment="1">
      <alignment horizontal="center"/>
    </xf>
    <xf numFmtId="166" fontId="4" fillId="0" borderId="1" xfId="0" applyNumberFormat="1" applyFont="1" applyBorder="1"/>
    <xf numFmtId="166" fontId="11" fillId="0" borderId="2" xfId="0" applyNumberFormat="1" applyFont="1" applyBorder="1" applyAlignment="1">
      <alignment horizontal="center"/>
    </xf>
    <xf numFmtId="166" fontId="11" fillId="0" borderId="0" xfId="0" applyNumberFormat="1" applyFont="1" applyAlignment="1">
      <alignment horizontal="center"/>
    </xf>
    <xf numFmtId="166" fontId="11" fillId="0" borderId="4" xfId="0" applyNumberFormat="1" applyFont="1" applyBorder="1" applyAlignment="1">
      <alignment horizontal="center"/>
    </xf>
    <xf numFmtId="166" fontId="10" fillId="0" borderId="4" xfId="0" applyNumberFormat="1" applyFont="1" applyBorder="1"/>
    <xf numFmtId="166" fontId="4" fillId="3" borderId="0" xfId="0" applyNumberFormat="1" applyFont="1" applyFill="1"/>
    <xf numFmtId="0" fontId="10" fillId="4" borderId="0" xfId="0" applyFont="1" applyFill="1"/>
    <xf numFmtId="166" fontId="10" fillId="4" borderId="0" xfId="0" applyNumberFormat="1" applyFont="1" applyFill="1"/>
    <xf numFmtId="10" fontId="4" fillId="0" borderId="5" xfId="0" applyNumberFormat="1" applyFont="1" applyBorder="1"/>
    <xf numFmtId="9" fontId="4" fillId="0" borderId="5" xfId="0" applyNumberFormat="1" applyFont="1" applyBorder="1"/>
    <xf numFmtId="10" fontId="4" fillId="0" borderId="6" xfId="0" applyNumberFormat="1" applyFont="1" applyBorder="1"/>
    <xf numFmtId="9" fontId="4" fillId="0" borderId="5" xfId="2" applyFont="1" applyBorder="1"/>
    <xf numFmtId="9" fontId="4" fillId="0" borderId="5" xfId="2" applyFont="1" applyBorder="1" applyAlignment="1">
      <alignment horizontal="right"/>
    </xf>
    <xf numFmtId="10" fontId="4" fillId="0" borderId="5" xfId="2" applyNumberFormat="1" applyFont="1" applyBorder="1"/>
    <xf numFmtId="43" fontId="4" fillId="0" borderId="0" xfId="0" applyNumberFormat="1" applyFont="1"/>
    <xf numFmtId="0" fontId="10" fillId="0" borderId="2" xfId="0" applyFont="1" applyBorder="1"/>
    <xf numFmtId="0" fontId="10" fillId="0" borderId="8" xfId="0" applyFont="1" applyBorder="1"/>
    <xf numFmtId="3" fontId="10" fillId="0" borderId="1" xfId="0" applyNumberFormat="1" applyFont="1" applyBorder="1"/>
    <xf numFmtId="0" fontId="0" fillId="0" borderId="4" xfId="0" applyBorder="1"/>
    <xf numFmtId="43" fontId="10" fillId="0" borderId="1" xfId="1" applyFont="1" applyBorder="1"/>
    <xf numFmtId="0" fontId="4" fillId="0" borderId="0" xfId="0" applyFont="1" applyAlignment="1">
      <alignment wrapText="1"/>
    </xf>
    <xf numFmtId="0" fontId="10" fillId="2" borderId="0" xfId="0" applyFont="1" applyFill="1" applyProtection="1">
      <protection hidden="1"/>
    </xf>
    <xf numFmtId="3" fontId="4" fillId="0" borderId="0" xfId="0" applyNumberFormat="1" applyFont="1"/>
    <xf numFmtId="164" fontId="4" fillId="0" borderId="0" xfId="1" applyNumberFormat="1" applyFont="1"/>
    <xf numFmtId="9" fontId="4" fillId="0" borderId="0" xfId="2" applyFont="1"/>
    <xf numFmtId="37" fontId="4" fillId="0" borderId="0" xfId="0" applyNumberFormat="1" applyFont="1"/>
    <xf numFmtId="3" fontId="4" fillId="0" borderId="1" xfId="0" applyNumberFormat="1" applyFont="1" applyBorder="1"/>
    <xf numFmtId="43" fontId="4" fillId="0" borderId="1" xfId="1" applyFont="1" applyBorder="1"/>
    <xf numFmtId="168" fontId="0" fillId="0" borderId="0" xfId="0" applyNumberFormat="1"/>
    <xf numFmtId="0" fontId="4" fillId="0" borderId="4" xfId="0" applyFont="1" applyBorder="1"/>
    <xf numFmtId="166" fontId="4" fillId="0" borderId="4" xfId="0" applyNumberFormat="1" applyFont="1" applyBorder="1"/>
    <xf numFmtId="43" fontId="4" fillId="0" borderId="1" xfId="0" applyNumberFormat="1" applyFont="1" applyBorder="1"/>
    <xf numFmtId="43" fontId="4" fillId="0" borderId="4" xfId="0" applyNumberFormat="1" applyFont="1" applyBorder="1"/>
    <xf numFmtId="164" fontId="10" fillId="0" borderId="1" xfId="1" applyNumberFormat="1" applyFont="1" applyBorder="1"/>
    <xf numFmtId="164" fontId="4" fillId="0" borderId="0" xfId="1" applyNumberFormat="1" applyFont="1" applyFill="1"/>
    <xf numFmtId="164" fontId="4" fillId="0" borderId="1" xfId="1" applyNumberFormat="1" applyFont="1" applyBorder="1"/>
    <xf numFmtId="164" fontId="4" fillId="0" borderId="0" xfId="1" applyNumberFormat="1" applyFont="1" applyBorder="1"/>
    <xf numFmtId="164" fontId="10" fillId="0" borderId="4" xfId="1" applyNumberFormat="1" applyFont="1" applyBorder="1"/>
    <xf numFmtId="164" fontId="4" fillId="0" borderId="1" xfId="0" applyNumberFormat="1" applyFont="1" applyBorder="1"/>
    <xf numFmtId="0" fontId="4" fillId="0" borderId="1" xfId="0" applyFont="1" applyBorder="1" applyAlignment="1">
      <alignment horizontal="left" indent="1"/>
    </xf>
    <xf numFmtId="43" fontId="4" fillId="0" borderId="0" xfId="1" applyFont="1" applyBorder="1"/>
    <xf numFmtId="0" fontId="14" fillId="5" borderId="0" xfId="3" applyFont="1" applyFill="1"/>
    <xf numFmtId="0" fontId="14" fillId="6" borderId="0" xfId="3" applyFont="1" applyFill="1"/>
    <xf numFmtId="0" fontId="1" fillId="0" borderId="0" xfId="3"/>
    <xf numFmtId="0" fontId="14" fillId="7" borderId="0" xfId="3" applyFont="1" applyFill="1"/>
    <xf numFmtId="0" fontId="14" fillId="0" borderId="0" xfId="3" applyFont="1"/>
    <xf numFmtId="0" fontId="15" fillId="7" borderId="0" xfId="3" applyFont="1" applyFill="1"/>
    <xf numFmtId="0" fontId="16" fillId="7" borderId="0" xfId="3" applyFont="1" applyFill="1"/>
    <xf numFmtId="0" fontId="17" fillId="7" borderId="0" xfId="3" applyFont="1" applyFill="1"/>
    <xf numFmtId="0" fontId="9" fillId="7" borderId="0" xfId="3" quotePrefix="1" applyFont="1" applyFill="1"/>
    <xf numFmtId="0" fontId="18" fillId="7" borderId="0" xfId="3" applyFont="1" applyFill="1"/>
    <xf numFmtId="0" fontId="9" fillId="7" borderId="0" xfId="3" applyFont="1" applyFill="1" applyAlignment="1">
      <alignment horizontal="left" indent="1"/>
    </xf>
    <xf numFmtId="0" fontId="19" fillId="7" borderId="0" xfId="3" applyFont="1" applyFill="1" applyAlignment="1">
      <alignment horizontal="left" indent="1"/>
    </xf>
    <xf numFmtId="0" fontId="20" fillId="7" borderId="0" xfId="3" applyFont="1" applyFill="1"/>
    <xf numFmtId="0" fontId="14" fillId="8" borderId="0" xfId="3" applyFont="1" applyFill="1"/>
    <xf numFmtId="0" fontId="1" fillId="0" borderId="9" xfId="3" applyBorder="1"/>
    <xf numFmtId="0" fontId="7" fillId="0" borderId="3" xfId="0" applyFont="1" applyBorder="1"/>
    <xf numFmtId="0" fontId="4" fillId="0" borderId="3" xfId="0" applyFont="1" applyBorder="1"/>
    <xf numFmtId="0" fontId="21" fillId="9" borderId="0" xfId="0" applyFont="1" applyFill="1"/>
    <xf numFmtId="0" fontId="22" fillId="9" borderId="0" xfId="0" applyFont="1" applyFill="1"/>
    <xf numFmtId="0" fontId="5" fillId="6" borderId="0" xfId="0" applyFont="1" applyFill="1"/>
    <xf numFmtId="0" fontId="6" fillId="6" borderId="0" xfId="0" applyFont="1" applyFill="1" applyAlignment="1">
      <alignment horizontal="center"/>
    </xf>
    <xf numFmtId="165" fontId="5" fillId="6" borderId="0" xfId="0" applyNumberFormat="1" applyFont="1" applyFill="1"/>
    <xf numFmtId="0" fontId="8" fillId="6" borderId="0" xfId="0" applyFont="1" applyFill="1"/>
    <xf numFmtId="0" fontId="12" fillId="6" borderId="0" xfId="0" applyFont="1" applyFill="1" applyAlignment="1">
      <alignment horizontal="center"/>
    </xf>
    <xf numFmtId="0" fontId="14" fillId="10" borderId="0" xfId="0" applyFont="1" applyFill="1"/>
    <xf numFmtId="0" fontId="5" fillId="10" borderId="0" xfId="0" applyFont="1" applyFill="1"/>
    <xf numFmtId="0" fontId="10" fillId="11" borderId="0" xfId="0" applyFont="1" applyFill="1"/>
    <xf numFmtId="0" fontId="4" fillId="11" borderId="0" xfId="0" applyFont="1" applyFill="1"/>
    <xf numFmtId="0" fontId="10" fillId="11" borderId="7" xfId="0" applyFont="1" applyFill="1" applyBorder="1"/>
    <xf numFmtId="0" fontId="4" fillId="11" borderId="7" xfId="0" applyFont="1" applyFill="1" applyBorder="1"/>
    <xf numFmtId="164" fontId="7" fillId="11" borderId="7" xfId="0" applyNumberFormat="1" applyFont="1" applyFill="1" applyBorder="1" applyAlignment="1">
      <alignment horizontal="center"/>
    </xf>
    <xf numFmtId="0" fontId="9" fillId="11" borderId="7" xfId="0" applyFont="1" applyFill="1" applyBorder="1" applyAlignment="1">
      <alignment horizontal="center"/>
    </xf>
    <xf numFmtId="164" fontId="4" fillId="11" borderId="0" xfId="1" applyNumberFormat="1" applyFont="1" applyFill="1"/>
    <xf numFmtId="164" fontId="4" fillId="11" borderId="0" xfId="0" applyNumberFormat="1" applyFont="1" applyFill="1"/>
    <xf numFmtId="0" fontId="5" fillId="5" borderId="0" xfId="0" applyFont="1" applyFill="1"/>
    <xf numFmtId="0" fontId="7" fillId="11" borderId="0" xfId="0" applyFont="1" applyFill="1" applyAlignment="1">
      <alignment horizontal="center"/>
    </xf>
    <xf numFmtId="0" fontId="8" fillId="5" borderId="0" xfId="0" applyFont="1" applyFill="1"/>
    <xf numFmtId="0" fontId="12" fillId="5" borderId="0" xfId="0" applyFont="1" applyFill="1" applyAlignment="1">
      <alignment horizontal="center"/>
    </xf>
    <xf numFmtId="166" fontId="7" fillId="11" borderId="7" xfId="0" applyNumberFormat="1" applyFont="1" applyFill="1" applyBorder="1" applyAlignment="1">
      <alignment horizontal="center"/>
    </xf>
    <xf numFmtId="166" fontId="4" fillId="11" borderId="7" xfId="0" applyNumberFormat="1" applyFont="1" applyFill="1" applyBorder="1"/>
    <xf numFmtId="0" fontId="0" fillId="0" borderId="7" xfId="0" applyBorder="1"/>
    <xf numFmtId="0" fontId="4" fillId="0" borderId="7" xfId="0" applyFont="1" applyBorder="1"/>
    <xf numFmtId="164" fontId="10" fillId="0" borderId="2" xfId="1" applyNumberFormat="1" applyFont="1" applyBorder="1"/>
    <xf numFmtId="166" fontId="10" fillId="0" borderId="2" xfId="0" applyNumberFormat="1" applyFont="1" applyBorder="1"/>
    <xf numFmtId="166" fontId="4" fillId="3" borderId="4" xfId="0" applyNumberFormat="1" applyFont="1" applyFill="1" applyBorder="1"/>
    <xf numFmtId="0" fontId="0" fillId="11" borderId="7" xfId="0" applyFill="1" applyBorder="1"/>
    <xf numFmtId="0" fontId="0" fillId="11" borderId="0" xfId="0" applyFill="1"/>
    <xf numFmtId="169" fontId="5" fillId="6" borderId="0" xfId="0" applyNumberFormat="1" applyFont="1" applyFill="1"/>
    <xf numFmtId="170" fontId="5" fillId="6" borderId="0" xfId="0" applyNumberFormat="1" applyFont="1" applyFill="1"/>
    <xf numFmtId="0" fontId="5" fillId="6" borderId="0" xfId="0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169" fontId="5" fillId="6" borderId="0" xfId="0" applyNumberFormat="1" applyFont="1" applyFill="1" applyProtection="1">
      <protection hidden="1"/>
    </xf>
    <xf numFmtId="170" fontId="5" fillId="6" borderId="0" xfId="0" applyNumberFormat="1" applyFont="1" applyFill="1" applyProtection="1">
      <protection hidden="1"/>
    </xf>
    <xf numFmtId="0" fontId="5" fillId="5" borderId="0" xfId="0" applyFont="1" applyFill="1" applyProtection="1">
      <protection hidden="1"/>
    </xf>
    <xf numFmtId="0" fontId="5" fillId="5" borderId="0" xfId="0" applyFont="1" applyFill="1" applyAlignment="1" applyProtection="1">
      <alignment horizontal="center"/>
      <protection hidden="1"/>
    </xf>
    <xf numFmtId="0" fontId="8" fillId="5" borderId="0" xfId="0" applyFont="1" applyFill="1" applyProtection="1">
      <protection hidden="1"/>
    </xf>
    <xf numFmtId="10" fontId="4" fillId="0" borderId="10" xfId="0" applyNumberFormat="1" applyFont="1" applyBorder="1"/>
    <xf numFmtId="9" fontId="4" fillId="0" borderId="10" xfId="0" applyNumberFormat="1" applyFont="1" applyBorder="1"/>
    <xf numFmtId="0" fontId="7" fillId="11" borderId="7" xfId="0" applyFont="1" applyFill="1" applyBorder="1" applyAlignment="1">
      <alignment horizontal="center"/>
    </xf>
    <xf numFmtId="43" fontId="10" fillId="0" borderId="4" xfId="1" applyFont="1" applyBorder="1"/>
    <xf numFmtId="3" fontId="10" fillId="0" borderId="4" xfId="0" applyNumberFormat="1" applyFont="1" applyBorder="1"/>
    <xf numFmtId="3" fontId="13" fillId="0" borderId="1" xfId="0" applyNumberFormat="1" applyFont="1" applyBorder="1"/>
    <xf numFmtId="0" fontId="4" fillId="0" borderId="2" xfId="0" applyFont="1" applyBorder="1"/>
    <xf numFmtId="43" fontId="4" fillId="0" borderId="2" xfId="1" applyFont="1" applyBorder="1"/>
    <xf numFmtId="0" fontId="4" fillId="6" borderId="0" xfId="0" applyFont="1" applyFill="1"/>
    <xf numFmtId="0" fontId="8" fillId="6" borderId="0" xfId="0" applyFont="1" applyFill="1" applyProtection="1">
      <protection hidden="1"/>
    </xf>
    <xf numFmtId="0" fontId="10" fillId="4" borderId="7" xfId="0" applyFont="1" applyFill="1" applyBorder="1"/>
    <xf numFmtId="166" fontId="10" fillId="4" borderId="7" xfId="0" applyNumberFormat="1" applyFont="1" applyFill="1" applyBorder="1"/>
    <xf numFmtId="0" fontId="4" fillId="5" borderId="0" xfId="0" applyFont="1" applyFill="1"/>
    <xf numFmtId="167" fontId="23" fillId="10" borderId="0" xfId="0" applyNumberFormat="1" applyFont="1" applyFill="1" applyAlignment="1">
      <alignment horizontal="center"/>
    </xf>
    <xf numFmtId="164" fontId="4" fillId="11" borderId="7" xfId="1" applyNumberFormat="1" applyFont="1" applyFill="1" applyBorder="1"/>
    <xf numFmtId="164" fontId="4" fillId="11" borderId="7" xfId="0" applyNumberFormat="1" applyFont="1" applyFill="1" applyBorder="1"/>
    <xf numFmtId="0" fontId="9" fillId="2" borderId="7" xfId="0" applyFont="1" applyFill="1" applyBorder="1" applyProtection="1">
      <protection hidden="1"/>
    </xf>
    <xf numFmtId="10" fontId="10" fillId="0" borderId="1" xfId="1" applyNumberFormat="1" applyFont="1" applyBorder="1"/>
    <xf numFmtId="9" fontId="4" fillId="0" borderId="0" xfId="0" applyNumberFormat="1" applyFont="1"/>
    <xf numFmtId="0" fontId="4" fillId="3" borderId="0" xfId="0" applyFont="1" applyFill="1"/>
    <xf numFmtId="10" fontId="4" fillId="0" borderId="0" xfId="0" applyNumberFormat="1" applyFont="1"/>
    <xf numFmtId="171" fontId="4" fillId="0" borderId="5" xfId="2" applyNumberFormat="1" applyFont="1" applyFill="1" applyBorder="1" applyAlignment="1">
      <alignment horizontal="right"/>
    </xf>
    <xf numFmtId="171" fontId="4" fillId="0" borderId="5" xfId="2" applyNumberFormat="1" applyFont="1" applyFill="1" applyBorder="1"/>
    <xf numFmtId="9" fontId="4" fillId="0" borderId="0" xfId="2" applyFont="1" applyFill="1"/>
    <xf numFmtId="171" fontId="4" fillId="0" borderId="0" xfId="2" applyNumberFormat="1" applyFont="1"/>
    <xf numFmtId="164" fontId="0" fillId="0" borderId="0" xfId="0" applyNumberFormat="1"/>
    <xf numFmtId="0" fontId="4" fillId="0" borderId="0" xfId="2" applyNumberFormat="1" applyFont="1" applyBorder="1" applyAlignment="1">
      <alignment horizontal="right"/>
    </xf>
    <xf numFmtId="171" fontId="4" fillId="0" borderId="5" xfId="2" applyNumberFormat="1" applyFont="1" applyBorder="1"/>
    <xf numFmtId="9" fontId="0" fillId="0" borderId="0" xfId="0" applyNumberFormat="1"/>
    <xf numFmtId="9" fontId="0" fillId="0" borderId="0" xfId="2" applyFont="1"/>
    <xf numFmtId="0" fontId="3" fillId="0" borderId="1" xfId="0" applyFont="1" applyBorder="1"/>
    <xf numFmtId="166" fontId="3" fillId="0" borderId="1" xfId="1" applyNumberFormat="1" applyFont="1" applyBorder="1"/>
    <xf numFmtId="164" fontId="3" fillId="0" borderId="1" xfId="1" applyNumberFormat="1" applyFont="1" applyBorder="1"/>
    <xf numFmtId="164" fontId="3" fillId="0" borderId="1" xfId="0" applyNumberFormat="1" applyFont="1" applyBorder="1"/>
    <xf numFmtId="164" fontId="10" fillId="0" borderId="1" xfId="1" applyNumberFormat="1" applyFont="1" applyFill="1" applyBorder="1"/>
    <xf numFmtId="164" fontId="10" fillId="0" borderId="4" xfId="1" applyNumberFormat="1" applyFont="1" applyFill="1" applyBorder="1"/>
    <xf numFmtId="164" fontId="4" fillId="0" borderId="1" xfId="1" applyNumberFormat="1" applyFont="1" applyFill="1" applyBorder="1"/>
    <xf numFmtId="164" fontId="4" fillId="0" borderId="0" xfId="1" applyNumberFormat="1" applyFont="1" applyFill="1" applyBorder="1"/>
    <xf numFmtId="0" fontId="3" fillId="0" borderId="11" xfId="0" applyFont="1" applyBorder="1"/>
    <xf numFmtId="0" fontId="0" fillId="0" borderId="2" xfId="0" applyBorder="1"/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/>
    <xf numFmtId="164" fontId="0" fillId="0" borderId="13" xfId="0" applyNumberFormat="1" applyBorder="1"/>
    <xf numFmtId="0" fontId="3" fillId="0" borderId="14" xfId="0" applyFont="1" applyBorder="1"/>
    <xf numFmtId="0" fontId="3" fillId="0" borderId="13" xfId="0" applyFont="1" applyBorder="1"/>
    <xf numFmtId="0" fontId="0" fillId="12" borderId="9" xfId="0" applyFill="1" applyBorder="1" applyAlignment="1">
      <alignment horizontal="center"/>
    </xf>
    <xf numFmtId="164" fontId="0" fillId="0" borderId="0" xfId="1" applyNumberFormat="1" applyFont="1" applyBorder="1"/>
    <xf numFmtId="164" fontId="0" fillId="12" borderId="9" xfId="1" applyNumberFormat="1" applyFont="1" applyFill="1" applyBorder="1" applyAlignment="1">
      <alignment horizontal="center"/>
    </xf>
    <xf numFmtId="164" fontId="0" fillId="13" borderId="9" xfId="1" applyNumberFormat="1" applyFont="1" applyFill="1" applyBorder="1" applyAlignment="1">
      <alignment horizontal="center"/>
    </xf>
    <xf numFmtId="164" fontId="3" fillId="12" borderId="9" xfId="1" applyNumberFormat="1" applyFont="1" applyFill="1" applyBorder="1" applyAlignment="1">
      <alignment horizontal="center"/>
    </xf>
    <xf numFmtId="0" fontId="25" fillId="0" borderId="13" xfId="0" applyFont="1" applyBorder="1"/>
    <xf numFmtId="43" fontId="3" fillId="12" borderId="9" xfId="0" applyNumberFormat="1" applyFont="1" applyFill="1" applyBorder="1" applyAlignment="1">
      <alignment horizontal="center"/>
    </xf>
    <xf numFmtId="43" fontId="3" fillId="12" borderId="15" xfId="0" applyNumberFormat="1" applyFont="1" applyFill="1" applyBorder="1" applyAlignment="1">
      <alignment horizontal="center"/>
    </xf>
    <xf numFmtId="0" fontId="0" fillId="0" borderId="11" xfId="0" applyBorder="1"/>
    <xf numFmtId="0" fontId="3" fillId="0" borderId="2" xfId="0" applyFont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43" fontId="3" fillId="0" borderId="0" xfId="1" applyFont="1" applyBorder="1" applyAlignment="1">
      <alignment horizontal="center"/>
    </xf>
    <xf numFmtId="0" fontId="25" fillId="0" borderId="13" xfId="0" applyFont="1" applyBorder="1" applyAlignment="1">
      <alignment horizontal="left"/>
    </xf>
    <xf numFmtId="166" fontId="0" fillId="0" borderId="0" xfId="1" applyNumberFormat="1" applyFont="1" applyBorder="1"/>
    <xf numFmtId="43" fontId="0" fillId="12" borderId="9" xfId="0" applyNumberFormat="1" applyFill="1" applyBorder="1" applyAlignment="1">
      <alignment horizontal="center"/>
    </xf>
    <xf numFmtId="43" fontId="3" fillId="13" borderId="9" xfId="0" applyNumberFormat="1" applyFont="1" applyFill="1" applyBorder="1" applyAlignment="1">
      <alignment horizontal="center"/>
    </xf>
    <xf numFmtId="0" fontId="10" fillId="0" borderId="13" xfId="0" applyFont="1" applyBorder="1"/>
    <xf numFmtId="0" fontId="26" fillId="0" borderId="13" xfId="0" applyFont="1" applyBorder="1"/>
    <xf numFmtId="171" fontId="4" fillId="0" borderId="6" xfId="2" applyNumberFormat="1" applyFont="1" applyBorder="1" applyAlignment="1">
      <alignment horizontal="right"/>
    </xf>
    <xf numFmtId="9" fontId="4" fillId="0" borderId="5" xfId="2" applyFont="1" applyFill="1" applyBorder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164" fontId="10" fillId="0" borderId="8" xfId="1" applyNumberFormat="1" applyFont="1" applyBorder="1"/>
    <xf numFmtId="0" fontId="7" fillId="0" borderId="4" xfId="0" applyFont="1" applyBorder="1" applyAlignment="1">
      <alignment horizontal="center"/>
    </xf>
    <xf numFmtId="164" fontId="4" fillId="3" borderId="0" xfId="0" applyNumberFormat="1" applyFont="1" applyFill="1"/>
    <xf numFmtId="166" fontId="4" fillId="15" borderId="0" xfId="1" applyNumberFormat="1" applyFont="1" applyFill="1" applyBorder="1"/>
    <xf numFmtId="0" fontId="0" fillId="15" borderId="0" xfId="0" applyFill="1"/>
    <xf numFmtId="166" fontId="4" fillId="15" borderId="1" xfId="1" applyNumberFormat="1" applyFont="1" applyFill="1" applyBorder="1"/>
    <xf numFmtId="166" fontId="10" fillId="15" borderId="1" xfId="0" applyNumberFormat="1" applyFont="1" applyFill="1" applyBorder="1"/>
    <xf numFmtId="0" fontId="4" fillId="15" borderId="0" xfId="0" applyFont="1" applyFill="1"/>
    <xf numFmtId="0" fontId="4" fillId="15" borderId="7" xfId="0" applyFont="1" applyFill="1" applyBorder="1"/>
    <xf numFmtId="166" fontId="4" fillId="15" borderId="1" xfId="0" applyNumberFormat="1" applyFont="1" applyFill="1" applyBorder="1"/>
    <xf numFmtId="166" fontId="4" fillId="15" borderId="0" xfId="0" applyNumberFormat="1" applyFont="1" applyFill="1"/>
    <xf numFmtId="164" fontId="4" fillId="15" borderId="1" xfId="0" applyNumberFormat="1" applyFont="1" applyFill="1" applyBorder="1"/>
    <xf numFmtId="166" fontId="10" fillId="15" borderId="0" xfId="0" applyNumberFormat="1" applyFont="1" applyFill="1"/>
    <xf numFmtId="166" fontId="10" fillId="15" borderId="4" xfId="0" applyNumberFormat="1" applyFont="1" applyFill="1" applyBorder="1"/>
    <xf numFmtId="0" fontId="27" fillId="2" borderId="0" xfId="0" applyFont="1" applyFill="1" applyProtection="1">
      <protection hidden="1"/>
    </xf>
    <xf numFmtId="0" fontId="29" fillId="0" borderId="0" xfId="0" applyFont="1"/>
    <xf numFmtId="0" fontId="29" fillId="11" borderId="7" xfId="0" applyFont="1" applyFill="1" applyBorder="1"/>
    <xf numFmtId="0" fontId="27" fillId="0" borderId="0" xfId="0" applyFont="1"/>
    <xf numFmtId="164" fontId="29" fillId="0" borderId="0" xfId="1" applyNumberFormat="1" applyFont="1"/>
    <xf numFmtId="43" fontId="4" fillId="0" borderId="8" xfId="0" applyNumberFormat="1" applyFont="1" applyBorder="1"/>
    <xf numFmtId="0" fontId="7" fillId="0" borderId="1" xfId="0" applyFont="1" applyBorder="1" applyAlignment="1">
      <alignment horizontal="center"/>
    </xf>
    <xf numFmtId="0" fontId="21" fillId="6" borderId="0" xfId="0" applyFont="1" applyFill="1"/>
    <xf numFmtId="0" fontId="22" fillId="6" borderId="0" xfId="0" applyFont="1" applyFill="1"/>
    <xf numFmtId="0" fontId="30" fillId="6" borderId="0" xfId="0" applyFont="1" applyFill="1" applyProtection="1">
      <protection hidden="1"/>
    </xf>
    <xf numFmtId="0" fontId="31" fillId="2" borderId="0" xfId="0" applyFont="1" applyFill="1" applyProtection="1">
      <protection hidden="1"/>
    </xf>
    <xf numFmtId="0" fontId="32" fillId="0" borderId="0" xfId="0" applyFont="1"/>
    <xf numFmtId="167" fontId="30" fillId="10" borderId="0" xfId="0" applyNumberFormat="1" applyFont="1" applyFill="1" applyAlignment="1">
      <alignment horizontal="center"/>
    </xf>
    <xf numFmtId="0" fontId="32" fillId="11" borderId="7" xfId="0" applyFont="1" applyFill="1" applyBorder="1"/>
    <xf numFmtId="0" fontId="31" fillId="0" borderId="0" xfId="0" applyFont="1" applyAlignment="1">
      <alignment horizontal="center"/>
    </xf>
    <xf numFmtId="43" fontId="32" fillId="0" borderId="0" xfId="0" applyNumberFormat="1" applyFont="1"/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left"/>
    </xf>
    <xf numFmtId="43" fontId="32" fillId="0" borderId="0" xfId="0" applyNumberFormat="1" applyFont="1" applyAlignment="1">
      <alignment horizontal="left"/>
    </xf>
    <xf numFmtId="0" fontId="32" fillId="0" borderId="0" xfId="0" applyFont="1" applyAlignment="1">
      <alignment horizontal="left"/>
    </xf>
    <xf numFmtId="43" fontId="32" fillId="0" borderId="0" xfId="0" applyNumberFormat="1" applyFont="1" applyAlignment="1">
      <alignment horizontal="center"/>
    </xf>
    <xf numFmtId="0" fontId="32" fillId="0" borderId="24" xfId="0" applyFont="1" applyBorder="1"/>
    <xf numFmtId="0" fontId="33" fillId="0" borderId="24" xfId="0" applyFont="1" applyBorder="1"/>
    <xf numFmtId="0" fontId="30" fillId="0" borderId="25" xfId="0" applyFont="1" applyBorder="1" applyAlignment="1">
      <alignment horizontal="center"/>
    </xf>
    <xf numFmtId="0" fontId="30" fillId="0" borderId="26" xfId="0" applyFont="1" applyBorder="1" applyAlignment="1">
      <alignment horizontal="center"/>
    </xf>
    <xf numFmtId="0" fontId="30" fillId="0" borderId="27" xfId="0" applyFont="1" applyBorder="1" applyAlignment="1">
      <alignment horizontal="left"/>
    </xf>
    <xf numFmtId="164" fontId="33" fillId="0" borderId="28" xfId="1" applyNumberFormat="1" applyFont="1" applyBorder="1"/>
    <xf numFmtId="164" fontId="33" fillId="0" borderId="29" xfId="1" applyNumberFormat="1" applyFont="1" applyBorder="1"/>
    <xf numFmtId="0" fontId="33" fillId="0" borderId="0" xfId="0" applyFont="1"/>
    <xf numFmtId="0" fontId="30" fillId="0" borderId="0" xfId="0" applyFont="1" applyAlignment="1">
      <alignment horizontal="center"/>
    </xf>
    <xf numFmtId="0" fontId="30" fillId="0" borderId="0" xfId="0" applyFont="1"/>
    <xf numFmtId="164" fontId="33" fillId="0" borderId="0" xfId="1" applyNumberFormat="1" applyFont="1"/>
    <xf numFmtId="164" fontId="33" fillId="0" borderId="0" xfId="1" applyNumberFormat="1" applyFont="1" applyAlignment="1">
      <alignment horizontal="center"/>
    </xf>
    <xf numFmtId="164" fontId="33" fillId="0" borderId="0" xfId="0" applyNumberFormat="1" applyFont="1"/>
    <xf numFmtId="0" fontId="30" fillId="0" borderId="0" xfId="0" applyFont="1" applyAlignment="1">
      <alignment horizontal="left"/>
    </xf>
    <xf numFmtId="171" fontId="33" fillId="0" borderId="0" xfId="0" applyNumberFormat="1" applyFont="1"/>
    <xf numFmtId="171" fontId="33" fillId="0" borderId="0" xfId="2" applyNumberFormat="1" applyFont="1"/>
    <xf numFmtId="164" fontId="30" fillId="0" borderId="0" xfId="1" applyNumberFormat="1" applyFont="1" applyAlignment="1">
      <alignment horizontal="center"/>
    </xf>
    <xf numFmtId="0" fontId="32" fillId="0" borderId="26" xfId="0" applyFont="1" applyBorder="1"/>
    <xf numFmtId="0" fontId="30" fillId="0" borderId="27" xfId="0" applyFont="1" applyBorder="1"/>
    <xf numFmtId="164" fontId="33" fillId="0" borderId="28" xfId="0" applyNumberFormat="1" applyFont="1" applyBorder="1"/>
    <xf numFmtId="0" fontId="32" fillId="0" borderId="29" xfId="0" applyFont="1" applyBorder="1"/>
    <xf numFmtId="0" fontId="32" fillId="0" borderId="25" xfId="0" applyFont="1" applyBorder="1"/>
    <xf numFmtId="0" fontId="33" fillId="0" borderId="27" xfId="0" applyFont="1" applyBorder="1"/>
    <xf numFmtId="0" fontId="30" fillId="0" borderId="28" xfId="0" applyFont="1" applyBorder="1" applyAlignment="1">
      <alignment horizontal="center"/>
    </xf>
    <xf numFmtId="0" fontId="32" fillId="0" borderId="28" xfId="0" applyFont="1" applyBorder="1"/>
    <xf numFmtId="0" fontId="4" fillId="5" borderId="0" xfId="0" applyFont="1" applyFill="1" applyProtection="1">
      <protection hidden="1"/>
    </xf>
    <xf numFmtId="0" fontId="4" fillId="6" borderId="0" xfId="0" applyFont="1" applyFill="1" applyProtection="1">
      <protection hidden="1"/>
    </xf>
    <xf numFmtId="0" fontId="29" fillId="6" borderId="0" xfId="0" applyFont="1" applyFill="1" applyProtection="1">
      <protection hidden="1"/>
    </xf>
    <xf numFmtId="0" fontId="29" fillId="0" borderId="0" xfId="0" applyFont="1" applyProtection="1">
      <protection hidden="1"/>
    </xf>
    <xf numFmtId="0" fontId="29" fillId="5" borderId="0" xfId="0" applyFont="1" applyFill="1" applyProtection="1">
      <protection hidden="1"/>
    </xf>
    <xf numFmtId="0" fontId="27" fillId="11" borderId="7" xfId="0" applyFont="1" applyFill="1" applyBorder="1"/>
    <xf numFmtId="167" fontId="29" fillId="0" borderId="0" xfId="0" applyNumberFormat="1" applyFont="1"/>
    <xf numFmtId="167" fontId="29" fillId="0" borderId="0" xfId="2" applyNumberFormat="1" applyFont="1"/>
    <xf numFmtId="8" fontId="32" fillId="0" borderId="0" xfId="0" applyNumberFormat="1" applyFont="1"/>
    <xf numFmtId="0" fontId="30" fillId="0" borderId="27" xfId="0" applyFont="1" applyBorder="1" applyAlignment="1">
      <alignment horizontal="center"/>
    </xf>
    <xf numFmtId="8" fontId="33" fillId="0" borderId="28" xfId="0" applyNumberFormat="1" applyFont="1" applyBorder="1"/>
    <xf numFmtId="8" fontId="33" fillId="0" borderId="29" xfId="0" applyNumberFormat="1" applyFont="1" applyBorder="1"/>
    <xf numFmtId="3" fontId="33" fillId="0" borderId="0" xfId="0" applyNumberFormat="1" applyFont="1"/>
    <xf numFmtId="0" fontId="10" fillId="0" borderId="0" xfId="0" applyFont="1" applyProtection="1">
      <protection hidden="1"/>
    </xf>
    <xf numFmtId="0" fontId="21" fillId="0" borderId="0" xfId="0" applyFont="1"/>
    <xf numFmtId="0" fontId="4" fillId="16" borderId="0" xfId="0" applyFont="1" applyFill="1"/>
    <xf numFmtId="0" fontId="34" fillId="9" borderId="0" xfId="0" applyFont="1" applyFill="1"/>
    <xf numFmtId="0" fontId="14" fillId="0" borderId="0" xfId="0" applyFont="1"/>
    <xf numFmtId="0" fontId="14" fillId="16" borderId="0" xfId="0" applyFont="1" applyFill="1"/>
    <xf numFmtId="0" fontId="9" fillId="14" borderId="16" xfId="0" applyFont="1" applyFill="1" applyBorder="1"/>
    <xf numFmtId="0" fontId="9" fillId="14" borderId="17" xfId="0" applyFont="1" applyFill="1" applyBorder="1" applyAlignment="1">
      <alignment horizontal="right"/>
    </xf>
    <xf numFmtId="0" fontId="9" fillId="14" borderId="18" xfId="0" applyFont="1" applyFill="1" applyBorder="1" applyAlignment="1">
      <alignment horizontal="right"/>
    </xf>
    <xf numFmtId="0" fontId="14" fillId="0" borderId="19" xfId="0" applyFont="1" applyBorder="1"/>
    <xf numFmtId="164" fontId="14" fillId="0" borderId="0" xfId="1" applyNumberFormat="1" applyFont="1" applyBorder="1"/>
    <xf numFmtId="164" fontId="14" fillId="0" borderId="21" xfId="1" applyNumberFormat="1" applyFont="1" applyBorder="1"/>
    <xf numFmtId="164" fontId="14" fillId="0" borderId="0" xfId="0" applyNumberFormat="1" applyFont="1"/>
    <xf numFmtId="3" fontId="14" fillId="0" borderId="0" xfId="0" applyNumberFormat="1" applyFont="1"/>
    <xf numFmtId="1" fontId="14" fillId="0" borderId="0" xfId="0" applyNumberFormat="1" applyFont="1"/>
    <xf numFmtId="9" fontId="14" fillId="0" borderId="0" xfId="2" applyFont="1"/>
    <xf numFmtId="166" fontId="14" fillId="0" borderId="0" xfId="0" applyNumberFormat="1" applyFont="1"/>
    <xf numFmtId="0" fontId="9" fillId="0" borderId="20" xfId="0" applyFont="1" applyBorder="1"/>
    <xf numFmtId="3" fontId="9" fillId="0" borderId="22" xfId="0" applyNumberFormat="1" applyFont="1" applyBorder="1"/>
    <xf numFmtId="3" fontId="9" fillId="0" borderId="23" xfId="0" applyNumberFormat="1" applyFont="1" applyBorder="1"/>
    <xf numFmtId="164" fontId="14" fillId="0" borderId="0" xfId="1" applyNumberFormat="1" applyFont="1"/>
    <xf numFmtId="164" fontId="14" fillId="0" borderId="0" xfId="1" applyNumberFormat="1" applyFont="1" applyFill="1" applyBorder="1"/>
    <xf numFmtId="43" fontId="14" fillId="0" borderId="0" xfId="0" applyNumberFormat="1" applyFont="1"/>
    <xf numFmtId="0" fontId="16" fillId="9" borderId="0" xfId="0" applyFont="1" applyFill="1"/>
    <xf numFmtId="0" fontId="16" fillId="0" borderId="0" xfId="0" applyFont="1"/>
    <xf numFmtId="0" fontId="14" fillId="9" borderId="0" xfId="0" applyFont="1" applyFill="1"/>
    <xf numFmtId="0" fontId="21" fillId="9" borderId="0" xfId="0" applyFont="1" applyFill="1" applyAlignment="1">
      <alignment horizontal="center"/>
    </xf>
    <xf numFmtId="0" fontId="22" fillId="9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10" fillId="2" borderId="0" xfId="0" applyFont="1" applyFill="1" applyAlignment="1" applyProtection="1">
      <alignment horizontal="center"/>
      <protection hidden="1"/>
    </xf>
    <xf numFmtId="0" fontId="21" fillId="9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2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0" fillId="2" borderId="0" xfId="0" applyFont="1" applyFill="1" applyAlignment="1" applyProtection="1">
      <alignment horizontal="center" vertical="center"/>
      <protection hidden="1"/>
    </xf>
    <xf numFmtId="168" fontId="0" fillId="0" borderId="0" xfId="0" applyNumberFormat="1" applyAlignment="1">
      <alignment horizontal="center"/>
    </xf>
    <xf numFmtId="0" fontId="23" fillId="9" borderId="0" xfId="0" applyFont="1" applyFill="1"/>
    <xf numFmtId="0" fontId="28" fillId="9" borderId="0" xfId="0" applyFont="1" applyFill="1"/>
    <xf numFmtId="0" fontId="3" fillId="0" borderId="3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</cellXfs>
  <cellStyles count="5">
    <cellStyle name="Comma" xfId="1" builtinId="3"/>
    <cellStyle name="Comma 2" xfId="4" xr:uid="{3121B3CE-6D38-4711-BE82-6D28968A4AF0}"/>
    <cellStyle name="Normal" xfId="0" builtinId="0"/>
    <cellStyle name="Normal 2" xfId="3" xr:uid="{4ED91DD7-8991-473C-9D54-AAAF1E32CA48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Century Gothic" panose="020B0502020202020204" pitchFamily="34" charset="0"/>
              </a:rPr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00531541135446"/>
          <c:y val="0.18114774114774118"/>
          <c:w val="0.84175339871981014"/>
          <c:h val="0.70555180602424694"/>
        </c:manualLayout>
      </c:layout>
      <c:lineChart>
        <c:grouping val="standard"/>
        <c:varyColors val="0"/>
        <c:ser>
          <c:idx val="0"/>
          <c:order val="0"/>
          <c:tx>
            <c:strRef>
              <c:f>Graphs!$C$7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Graphs!$D$6:$H$6</c:f>
              <c:strCache>
                <c:ptCount val="5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  <c:pt idx="4">
                  <c:v>FY25</c:v>
                </c:pt>
              </c:strCache>
            </c:strRef>
          </c:cat>
          <c:val>
            <c:numRef>
              <c:f>Graphs!$D$7:$H$7</c:f>
              <c:numCache>
                <c:formatCode>_(* #,##0_);_(* \(#,##0\);_(* "-"??_);_(@_)</c:formatCode>
                <c:ptCount val="5"/>
                <c:pt idx="0">
                  <c:v>467177</c:v>
                </c:pt>
                <c:pt idx="1">
                  <c:v>427585</c:v>
                </c:pt>
                <c:pt idx="2">
                  <c:v>454022</c:v>
                </c:pt>
                <c:pt idx="3">
                  <c:v>488073.64999999997</c:v>
                </c:pt>
                <c:pt idx="4">
                  <c:v>532000.27850000001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E-4DBC-9598-BF1AB0EAA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291344"/>
        <c:axId val="1083276944"/>
      </c:lineChart>
      <c:catAx>
        <c:axId val="108329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276944"/>
        <c:crosses val="autoZero"/>
        <c:auto val="1"/>
        <c:lblAlgn val="ctr"/>
        <c:lblOffset val="100"/>
        <c:noMultiLvlLbl val="0"/>
      </c:catAx>
      <c:valAx>
        <c:axId val="1083276944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29134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and Short-term 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Graphs!$L$7</c:f>
              <c:strCache>
                <c:ptCount val="1"/>
                <c:pt idx="0">
                  <c:v>Cash and Short-term Investment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Graphs!$M$6:$R$6</c:f>
              <c:strCache>
                <c:ptCount val="6"/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Graphs!$M$7:$R$7</c:f>
              <c:numCache>
                <c:formatCode>_(* #,##0_);_(* \(#,##0\);_(* "-"??_);_(@_)</c:formatCode>
                <c:ptCount val="6"/>
                <c:pt idx="1">
                  <c:v>198834</c:v>
                </c:pt>
                <c:pt idx="2">
                  <c:v>228054</c:v>
                </c:pt>
                <c:pt idx="3">
                  <c:v>240359</c:v>
                </c:pt>
                <c:pt idx="4">
                  <c:v>360375.46871699241</c:v>
                </c:pt>
                <c:pt idx="5">
                  <c:v>483034.48446393962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A-4034-934F-590C273B0F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083302864"/>
        <c:axId val="1083304784"/>
      </c:barChart>
      <c:catAx>
        <c:axId val="108330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04784"/>
        <c:crosses val="autoZero"/>
        <c:auto val="1"/>
        <c:lblAlgn val="ctr"/>
        <c:lblOffset val="100"/>
        <c:noMultiLvlLbl val="0"/>
      </c:catAx>
      <c:valAx>
        <c:axId val="1083304784"/>
        <c:scaling>
          <c:orientation val="minMax"/>
          <c:max val="4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02864"/>
        <c:crosses val="autoZero"/>
        <c:crossBetween val="between"/>
        <c:majorUnit val="50000"/>
        <c:minorUnit val="1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Adjusted EBITDA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Graphs!$C$28</c:f>
              <c:strCache>
                <c:ptCount val="1"/>
                <c:pt idx="0">
                  <c:v>Adjusted EBITDA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Graphs!$D$27:$H$27</c:f>
              <c:strCache>
                <c:ptCount val="5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  <c:pt idx="4">
                  <c:v>FY25</c:v>
                </c:pt>
              </c:strCache>
            </c:strRef>
          </c:cat>
          <c:val>
            <c:numRef>
              <c:f>Graphs!$D$28:$H$28</c:f>
              <c:numCache>
                <c:formatCode>_(* #,##0_);_(* \(#,##0\);_(* "-"??_);_(@_)</c:formatCode>
                <c:ptCount val="5"/>
                <c:pt idx="0">
                  <c:v>168509</c:v>
                </c:pt>
                <c:pt idx="1">
                  <c:v>140623</c:v>
                </c:pt>
                <c:pt idx="2">
                  <c:v>133800</c:v>
                </c:pt>
                <c:pt idx="3">
                  <c:v>150937.29560009486</c:v>
                </c:pt>
                <c:pt idx="4">
                  <c:v>157514.00258165889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BD-8EF9-17B60B00CE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58305103"/>
        <c:axId val="115828926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Graphs!$C$29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Graphs!$D$27:$H$27</c15:sqref>
                        </c15:formulaRef>
                      </c:ext>
                    </c:extLst>
                    <c:strCache>
                      <c:ptCount val="5"/>
                      <c:pt idx="0">
                        <c:v>FY21</c:v>
                      </c:pt>
                      <c:pt idx="1">
                        <c:v>FY22</c:v>
                      </c:pt>
                      <c:pt idx="2">
                        <c:v>FY23</c:v>
                      </c:pt>
                      <c:pt idx="3">
                        <c:v>FY24</c:v>
                      </c:pt>
                      <c:pt idx="4">
                        <c:v>FY25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Graphs!$D$29:$H$29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17E-47BD-8EF9-17B60B00CE0C}"/>
                  </c:ext>
                </c:extLst>
              </c15:ser>
            </c15:filteredBarSeries>
          </c:ext>
        </c:extLst>
      </c:barChart>
      <c:catAx>
        <c:axId val="115830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89263"/>
        <c:crosses val="autoZero"/>
        <c:auto val="1"/>
        <c:lblAlgn val="ctr"/>
        <c:lblOffset val="100"/>
        <c:noMultiLvlLbl val="0"/>
      </c:catAx>
      <c:valAx>
        <c:axId val="1158289263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0510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Adjsuted EBITDA &amp; Adjusted EBITDA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Graphs!$L$28</c:f>
              <c:strCache>
                <c:ptCount val="1"/>
                <c:pt idx="0">
                  <c:v>Adjusted EBITDA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Graphs!$M$27:$Q$27</c:f>
              <c:strCache>
                <c:ptCount val="5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  <c:pt idx="4">
                  <c:v>FY25</c:v>
                </c:pt>
              </c:strCache>
            </c:strRef>
          </c:cat>
          <c:val>
            <c:numRef>
              <c:f>Graphs!$M$28:$Q$28</c:f>
              <c:numCache>
                <c:formatCode>_(* #,##0_);_(* \(#,##0\);_(* "-"??_);_(@_)</c:formatCode>
                <c:ptCount val="5"/>
                <c:pt idx="0">
                  <c:v>168509</c:v>
                </c:pt>
                <c:pt idx="1">
                  <c:v>140623</c:v>
                </c:pt>
                <c:pt idx="2">
                  <c:v>133800</c:v>
                </c:pt>
                <c:pt idx="3">
                  <c:v>150937.29560009486</c:v>
                </c:pt>
                <c:pt idx="4">
                  <c:v>157514.00258165889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4-4459-888C-D1A0F99273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8340623"/>
        <c:axId val="1158342063"/>
      </c:barChart>
      <c:lineChart>
        <c:grouping val="standard"/>
        <c:varyColors val="0"/>
        <c:ser>
          <c:idx val="1"/>
          <c:order val="1"/>
          <c:tx>
            <c:strRef>
              <c:f>Graphs!$L$29</c:f>
              <c:strCache>
                <c:ptCount val="1"/>
                <c:pt idx="0">
                  <c:v>Adjusted EBITDA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Graphs!$M$27:$Q$27</c:f>
              <c:strCache>
                <c:ptCount val="5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  <c:pt idx="4">
                  <c:v>FY25</c:v>
                </c:pt>
              </c:strCache>
            </c:strRef>
          </c:cat>
          <c:val>
            <c:numRef>
              <c:f>Graphs!$M$29:$Q$29</c:f>
              <c:numCache>
                <c:formatCode>0.0%</c:formatCode>
                <c:ptCount val="5"/>
                <c:pt idx="0">
                  <c:v>0.36099999999999999</c:v>
                </c:pt>
                <c:pt idx="1">
                  <c:v>0.32900000000000001</c:v>
                </c:pt>
                <c:pt idx="2">
                  <c:v>0.29499999999999998</c:v>
                </c:pt>
                <c:pt idx="3">
                  <c:v>0.30925106405579339</c:v>
                </c:pt>
                <c:pt idx="4">
                  <c:v>0.29607879722502606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4-4459-888C-D1A0F99273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8280623"/>
        <c:axId val="1158277743"/>
      </c:lineChart>
      <c:catAx>
        <c:axId val="115834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42063"/>
        <c:crosses val="autoZero"/>
        <c:auto val="1"/>
        <c:lblAlgn val="ctr"/>
        <c:lblOffset val="100"/>
        <c:noMultiLvlLbl val="0"/>
      </c:catAx>
      <c:valAx>
        <c:axId val="1158342063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4062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158277743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80623"/>
        <c:crosses val="max"/>
        <c:crossBetween val="between"/>
      </c:valAx>
      <c:catAx>
        <c:axId val="1158280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82777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Century Gothic" panose="020B0502020202020204" pitchFamily="34" charset="0"/>
              </a:rPr>
              <a:t>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Graphs!$L$51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Graphs!$M$50:$Q$50</c:f>
              <c:strCache>
                <c:ptCount val="5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  <c:pt idx="4">
                  <c:v>FY25</c:v>
                </c:pt>
              </c:strCache>
            </c:strRef>
          </c:cat>
          <c:val>
            <c:numRef>
              <c:f>Graphs!$M$51:$Q$51</c:f>
              <c:numCache>
                <c:formatCode>_(* #,##0_);_(* \(#,##0\);_(* "-"??_);_(@_)</c:formatCode>
                <c:ptCount val="5"/>
                <c:pt idx="0">
                  <c:v>92794</c:v>
                </c:pt>
                <c:pt idx="1">
                  <c:v>94498</c:v>
                </c:pt>
                <c:pt idx="2">
                  <c:v>72248</c:v>
                </c:pt>
                <c:pt idx="3">
                  <c:v>80353.485669924936</c:v>
                </c:pt>
                <c:pt idx="4">
                  <c:v>82495.936674899553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B-4F4D-8150-C859CA121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5072287"/>
        <c:axId val="1235093407"/>
      </c:barChart>
      <c:catAx>
        <c:axId val="1235072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93407"/>
        <c:crosses val="autoZero"/>
        <c:auto val="1"/>
        <c:lblAlgn val="ctr"/>
        <c:lblOffset val="100"/>
        <c:noMultiLvlLbl val="0"/>
      </c:catAx>
      <c:valAx>
        <c:axId val="1235093407"/>
        <c:scaling>
          <c:orientation val="minMax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7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Century Gothic" panose="020B0502020202020204" pitchFamily="34" charset="0"/>
              </a:rPr>
              <a:t>Earnings Per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Graphs!$C$50</c:f>
              <c:strCache>
                <c:ptCount val="1"/>
                <c:pt idx="0">
                  <c:v>Earnings Per 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Graphs!$D$49:$H$49</c:f>
              <c:strCache>
                <c:ptCount val="5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  <c:pt idx="4">
                  <c:v>FY25</c:v>
                </c:pt>
              </c:strCache>
            </c:strRef>
          </c:cat>
          <c:val>
            <c:numRef>
              <c:f>Graphs!$D$50:$H$50</c:f>
              <c:numCache>
                <c:formatCode>"$"#,##0.00_);[Red]\("$"#,##0.00\)</c:formatCode>
                <c:ptCount val="5"/>
                <c:pt idx="0">
                  <c:v>1.67</c:v>
                </c:pt>
                <c:pt idx="1">
                  <c:v>1.7</c:v>
                </c:pt>
                <c:pt idx="2">
                  <c:v>1.31</c:v>
                </c:pt>
                <c:pt idx="3">
                  <c:v>1.454187571235585</c:v>
                </c:pt>
                <c:pt idx="4">
                  <c:v>1.4929603213837639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F-44AC-AC06-F443D0D70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102527"/>
        <c:axId val="1235097727"/>
      </c:barChart>
      <c:catAx>
        <c:axId val="123510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97727"/>
        <c:crosses val="autoZero"/>
        <c:auto val="1"/>
        <c:lblAlgn val="ctr"/>
        <c:lblOffset val="100"/>
        <c:noMultiLvlLbl val="0"/>
      </c:catAx>
      <c:valAx>
        <c:axId val="1235097727"/>
        <c:scaling>
          <c:orientation val="minMax"/>
        </c:scaling>
        <c:delete val="0"/>
        <c:axPos val="l"/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0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31" fmlaRange="[1]Inputs!$C$9:$C$10" sel="0" val="0"/>
</file>

<file path=xl/ctrlProps/ctrlProp2.xml><?xml version="1.0" encoding="utf-8"?>
<formControlPr xmlns="http://schemas.microsoft.com/office/spreadsheetml/2009/9/main" objectType="Drop" dropStyle="combo" dx="31" fmlaRange="[1]Inputs!$C$9:$C$10" sel="0" val="0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9</xdr:row>
      <xdr:rowOff>121920</xdr:rowOff>
    </xdr:from>
    <xdr:to>
      <xdr:col>11</xdr:col>
      <xdr:colOff>472440</xdr:colOff>
      <xdr:row>24</xdr:row>
      <xdr:rowOff>76200</xdr:rowOff>
    </xdr:to>
    <xdr:sp macro="" textlink="">
      <xdr:nvSpPr>
        <xdr:cNvPr id="2" name="TextBox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41960" y="1767840"/>
          <a:ext cx="6766560" cy="269748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  <a:effectLst/>
      </xdr:spPr>
      <xdr:txBody>
        <a:bodyPr wrap="square" lIns="54610" tIns="54610" rIns="54610" bIns="5461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ts val="32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kumimoji="0" lang="en-US" sz="3400" b="1" i="0" u="none" strike="noStrike" kern="1200" cap="none" spc="0" normalizeH="0" baseline="0" noProof="0">
              <a:ln>
                <a:noFill/>
              </a:ln>
              <a:solidFill>
                <a:srgbClr val="E7E6E6"/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Arial" panose="020B0604020202020204" pitchFamily="34" charset="0"/>
            </a:rPr>
            <a:t> Two year Financial Projections</a:t>
          </a:r>
        </a:p>
        <a:p>
          <a:pPr marL="0" marR="0" lvl="0" indent="0" algn="l" defTabSz="914400" rtl="0" eaLnBrk="1" fontAlgn="auto" latinLnBrk="0" hangingPunct="1">
            <a:lnSpc>
              <a:spcPts val="17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E7E6E6"/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Arial" panose="020B0604020202020204" pitchFamily="34" charset="0"/>
            </a:rPr>
            <a:t>- </a:t>
          </a:r>
        </a:p>
        <a:p>
          <a:pPr marL="0" marR="0" lvl="0" indent="0" algn="l" defTabSz="914400" rtl="0" eaLnBrk="1" fontAlgn="auto" latinLnBrk="0" hangingPunct="1">
            <a:lnSpc>
              <a:spcPts val="17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1200" cap="none" spc="0" normalizeH="0" baseline="0" noProof="0">
            <a:ln>
              <a:noFill/>
            </a:ln>
            <a:solidFill>
              <a:srgbClr val="E7E6E6"/>
            </a:solidFill>
            <a:effectLst/>
            <a:uLnTx/>
            <a:uFillTx/>
            <a:latin typeface="Century Gothic" panose="020B0502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l" defTabSz="914400" rtl="0" eaLnBrk="1" fontAlgn="auto" latinLnBrk="0" hangingPunct="1">
            <a:lnSpc>
              <a:spcPts val="17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Arial" panose="020B0604020202020204" pitchFamily="34" charset="0"/>
            </a:rPr>
            <a:t>November,2023 -October 2025</a:t>
          </a:r>
        </a:p>
        <a:p>
          <a:pPr marL="0" marR="0" lvl="0" indent="0" algn="l" defTabSz="914400" rtl="0" eaLnBrk="1" fontAlgn="auto" latinLnBrk="0" hangingPunct="1">
            <a:lnSpc>
              <a:spcPts val="16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1200" cap="none" spc="0" normalizeH="0" baseline="0" noProof="0">
            <a:ln>
              <a:noFill/>
            </a:ln>
            <a:solidFill>
              <a:srgbClr val="E7E6E6"/>
            </a:solidFill>
            <a:effectLst/>
            <a:uLnTx/>
            <a:uFillTx/>
            <a:latin typeface="Century Gothic" panose="020B0502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1200" cap="none" spc="0" normalizeH="0" baseline="0" noProof="0">
            <a:ln>
              <a:noFill/>
            </a:ln>
            <a:solidFill>
              <a:srgbClr val="E7E6E6"/>
            </a:solidFill>
            <a:effectLst/>
            <a:uLnTx/>
            <a:uFillTx/>
            <a:latin typeface="Century Gothic" panose="020B0502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120650</xdr:rowOff>
    </xdr:to>
    <xdr:sp macro="" textlink="">
      <xdr:nvSpPr>
        <xdr:cNvPr id="3" name="AutoShape 1" descr="Image result for kobo care 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280160"/>
          <a:ext cx="304800" cy="303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7</xdr:row>
      <xdr:rowOff>120650</xdr:rowOff>
    </xdr:to>
    <xdr:sp macro="" textlink="">
      <xdr:nvSpPr>
        <xdr:cNvPr id="4" name="AutoShape 2" descr="Image result for kobo care log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615440" y="1097280"/>
          <a:ext cx="304800" cy="303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19051</xdr:colOff>
      <xdr:row>7</xdr:row>
      <xdr:rowOff>133349</xdr:rowOff>
    </xdr:from>
    <xdr:to>
      <xdr:col>7</xdr:col>
      <xdr:colOff>809626</xdr:colOff>
      <xdr:row>23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233363</xdr:colOff>
      <xdr:row>7</xdr:row>
      <xdr:rowOff>47625</xdr:rowOff>
    </xdr:from>
    <xdr:to>
      <xdr:col>18</xdr:col>
      <xdr:colOff>38100</xdr:colOff>
      <xdr:row>23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33337</xdr:colOff>
      <xdr:row>29</xdr:row>
      <xdr:rowOff>161925</xdr:rowOff>
    </xdr:from>
    <xdr:to>
      <xdr:col>8</xdr:col>
      <xdr:colOff>66674</xdr:colOff>
      <xdr:row>45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652463</xdr:colOff>
      <xdr:row>29</xdr:row>
      <xdr:rowOff>152400</xdr:rowOff>
    </xdr:from>
    <xdr:to>
      <xdr:col>18</xdr:col>
      <xdr:colOff>238125</xdr:colOff>
      <xdr:row>45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619125</xdr:colOff>
      <xdr:row>51</xdr:row>
      <xdr:rowOff>142875</xdr:rowOff>
    </xdr:from>
    <xdr:to>
      <xdr:col>18</xdr:col>
      <xdr:colOff>352425</xdr:colOff>
      <xdr:row>67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814387</xdr:colOff>
      <xdr:row>51</xdr:row>
      <xdr:rowOff>19050</xdr:rowOff>
    </xdr:from>
    <xdr:to>
      <xdr:col>8</xdr:col>
      <xdr:colOff>85724</xdr:colOff>
      <xdr:row>67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1089660</xdr:colOff>
          <xdr:row>0</xdr:row>
          <xdr:rowOff>7620</xdr:rowOff>
        </xdr:from>
        <xdr:to>
          <xdr:col>1</xdr:col>
          <xdr:colOff>2636520</xdr:colOff>
          <xdr:row>1</xdr:row>
          <xdr:rowOff>60960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1089660</xdr:colOff>
          <xdr:row>0</xdr:row>
          <xdr:rowOff>7620</xdr:rowOff>
        </xdr:from>
        <xdr:to>
          <xdr:col>1</xdr:col>
          <xdr:colOff>2636520</xdr:colOff>
          <xdr:row>1</xdr:row>
          <xdr:rowOff>99060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17</xdr:row>
      <xdr:rowOff>0</xdr:rowOff>
    </xdr:from>
    <xdr:ext cx="1968500" cy="0"/>
    <xdr:pic>
      <xdr:nvPicPr>
        <xdr:cNvPr id="2" name="Picture 1" descr="page2image542208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2780" y="2179320"/>
          <a:ext cx="1968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685800</xdr:colOff>
      <xdr:row>17</xdr:row>
      <xdr:rowOff>0</xdr:rowOff>
    </xdr:from>
    <xdr:ext cx="1968500" cy="0"/>
    <xdr:pic>
      <xdr:nvPicPr>
        <xdr:cNvPr id="3" name="Picture 2" descr="page2image5419584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2640" y="2179320"/>
          <a:ext cx="19685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ghouse%20Systems%20Foreca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 "/>
      <sheetName val="Graphs"/>
      <sheetName val="FY 2023 &amp; Projections'000"/>
      <sheetName val="Ratios"/>
      <sheetName val="Inputs&gt;&gt;&gt;"/>
      <sheetName val="Yrly Projections&amp;Cal"/>
      <sheetName val="Assumptions"/>
      <sheetName val="Inputs"/>
    </sheetNames>
    <sheetDataSet>
      <sheetData sheetId="0">
        <row r="8">
          <cell r="D8"/>
        </row>
      </sheetData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EE9E7-F3C5-42C8-97CC-230040B17B90}">
  <sheetPr>
    <tabColor rgb="FF002060"/>
  </sheetPr>
  <dimension ref="A1:M30"/>
  <sheetViews>
    <sheetView showGridLines="0" zoomScale="60" zoomScaleNormal="60" workbookViewId="0">
      <selection activeCell="M26" sqref="M26"/>
    </sheetView>
  </sheetViews>
  <sheetFormatPr defaultColWidth="0" defaultRowHeight="14.7" customHeight="1" zeroHeight="1"/>
  <cols>
    <col min="1" max="1" width="4.3984375" style="81" customWidth="1"/>
    <col min="2" max="4" width="8.3984375" style="81" customWidth="1"/>
    <col min="5" max="5" width="8.3984375" style="93" customWidth="1"/>
    <col min="6" max="12" width="8.3984375" style="81" customWidth="1"/>
    <col min="13" max="13" width="2.59765625" style="81" customWidth="1"/>
    <col min="14" max="25" width="8" style="81" hidden="1" customWidth="1"/>
    <col min="26" max="16384" width="8" style="81" hidden="1"/>
  </cols>
  <sheetData>
    <row r="1" spans="1:13" ht="14.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79"/>
    </row>
    <row r="2" spans="1:13" ht="14.4">
      <c r="A2" s="79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79"/>
    </row>
    <row r="3" spans="1:13" ht="14.4">
      <c r="A3" s="79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79"/>
    </row>
    <row r="4" spans="1:13" ht="14.4">
      <c r="A4" s="79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79"/>
    </row>
    <row r="5" spans="1:13" ht="14.4">
      <c r="A5" s="79"/>
      <c r="B5" s="82"/>
      <c r="C5" s="83"/>
      <c r="D5" s="83"/>
      <c r="E5" s="81"/>
      <c r="F5" s="83"/>
      <c r="G5" s="83"/>
      <c r="H5" s="83"/>
      <c r="I5" s="83"/>
      <c r="J5" s="83"/>
      <c r="K5" s="83"/>
      <c r="L5" s="83"/>
      <c r="M5" s="79"/>
    </row>
    <row r="6" spans="1:13" ht="14.4">
      <c r="A6" s="79"/>
      <c r="B6" s="82"/>
      <c r="C6" s="83"/>
      <c r="D6" s="83"/>
      <c r="E6" s="83"/>
      <c r="F6" s="83"/>
      <c r="G6" s="83"/>
      <c r="H6" s="83"/>
      <c r="I6" s="83"/>
      <c r="J6" s="83"/>
      <c r="K6" s="83"/>
      <c r="L6" s="83"/>
      <c r="M6" s="79"/>
    </row>
    <row r="7" spans="1:13" ht="14.4">
      <c r="A7" s="79"/>
      <c r="B7" s="82"/>
      <c r="C7" s="82"/>
      <c r="E7" s="82"/>
      <c r="F7" s="82"/>
      <c r="G7" s="82"/>
      <c r="H7" s="82"/>
      <c r="I7" s="82"/>
      <c r="J7" s="82"/>
      <c r="K7" s="82"/>
      <c r="L7" s="82"/>
      <c r="M7" s="79"/>
    </row>
    <row r="8" spans="1:13" ht="14.4">
      <c r="A8" s="79"/>
      <c r="B8" s="82"/>
      <c r="C8" s="82"/>
      <c r="D8" s="82"/>
      <c r="E8" s="82"/>
      <c r="F8" s="82"/>
      <c r="G8" s="82"/>
      <c r="H8" s="82"/>
      <c r="I8" s="82"/>
      <c r="J8" s="82"/>
      <c r="L8" s="82"/>
      <c r="M8" s="79"/>
    </row>
    <row r="9" spans="1:13" ht="14.4">
      <c r="A9" s="79"/>
      <c r="B9" s="82"/>
      <c r="C9" s="84"/>
      <c r="D9" s="84"/>
      <c r="E9" s="84"/>
      <c r="F9" s="84"/>
      <c r="G9" s="84"/>
      <c r="H9" s="84"/>
      <c r="I9" s="84"/>
      <c r="J9" s="84"/>
      <c r="K9" s="84"/>
      <c r="L9" s="82"/>
      <c r="M9" s="79"/>
    </row>
    <row r="10" spans="1:13" ht="14.4">
      <c r="A10" s="79"/>
      <c r="B10" s="82"/>
      <c r="C10" s="85" t="s">
        <v>145</v>
      </c>
      <c r="D10" s="84"/>
      <c r="E10" s="83"/>
      <c r="F10" s="84"/>
      <c r="G10" s="84"/>
      <c r="H10" s="84"/>
      <c r="I10" s="84"/>
      <c r="J10" s="84"/>
      <c r="K10" s="84"/>
      <c r="L10" s="82"/>
      <c r="M10" s="79"/>
    </row>
    <row r="11" spans="1:13" ht="14.4">
      <c r="A11" s="79"/>
      <c r="B11" s="82"/>
      <c r="C11" s="84"/>
      <c r="D11" s="84"/>
      <c r="E11" s="84"/>
      <c r="F11" s="84"/>
      <c r="G11" s="84"/>
      <c r="H11" s="84"/>
      <c r="I11" s="84"/>
      <c r="J11" s="84"/>
      <c r="K11" s="84"/>
      <c r="L11" s="82"/>
      <c r="M11" s="79"/>
    </row>
    <row r="12" spans="1:13" ht="14.4">
      <c r="A12" s="79"/>
      <c r="B12" s="82"/>
      <c r="C12" s="84"/>
      <c r="D12" s="84"/>
      <c r="E12" s="84"/>
      <c r="F12" s="84"/>
      <c r="G12" s="84"/>
      <c r="H12" s="84"/>
      <c r="I12" s="84"/>
      <c r="J12" s="84"/>
      <c r="K12" s="84"/>
      <c r="L12" s="82"/>
      <c r="M12" s="79"/>
    </row>
    <row r="13" spans="1:13" ht="14.4">
      <c r="A13" s="79"/>
      <c r="B13" s="82"/>
      <c r="C13" s="84"/>
      <c r="D13" s="84"/>
      <c r="E13" s="84"/>
      <c r="F13" s="83"/>
      <c r="G13" s="84"/>
      <c r="H13" s="84"/>
      <c r="I13" s="84"/>
      <c r="J13" s="84"/>
      <c r="K13" s="84"/>
      <c r="L13" s="82"/>
      <c r="M13" s="79"/>
    </row>
    <row r="14" spans="1:13" ht="14.4">
      <c r="A14" s="79"/>
      <c r="B14" s="82"/>
      <c r="C14" s="84"/>
      <c r="D14" s="84"/>
      <c r="E14" s="84"/>
      <c r="F14" s="84"/>
      <c r="G14" s="84"/>
      <c r="H14" s="84"/>
      <c r="I14" s="84"/>
      <c r="J14" s="84"/>
      <c r="K14" s="84"/>
      <c r="L14" s="82"/>
      <c r="M14" s="79"/>
    </row>
    <row r="15" spans="1:13" ht="14.4">
      <c r="A15" s="79"/>
      <c r="B15" s="82"/>
      <c r="C15" s="84"/>
      <c r="D15" s="84"/>
      <c r="E15" s="84"/>
      <c r="F15" s="84"/>
      <c r="G15" s="84"/>
      <c r="H15" s="84"/>
      <c r="I15" s="84"/>
      <c r="J15" s="84"/>
      <c r="K15" s="84"/>
      <c r="L15" s="82"/>
      <c r="M15" s="79"/>
    </row>
    <row r="16" spans="1:13" ht="14.4">
      <c r="A16" s="79"/>
      <c r="B16" s="86"/>
      <c r="C16" s="84"/>
      <c r="D16" s="83"/>
      <c r="E16" s="84"/>
      <c r="F16" s="84"/>
      <c r="G16" s="84"/>
      <c r="H16" s="84"/>
      <c r="I16" s="84"/>
      <c r="J16" s="84"/>
      <c r="K16" s="84"/>
      <c r="L16" s="87"/>
      <c r="M16" s="79"/>
    </row>
    <row r="17" spans="1:13" ht="14.4">
      <c r="A17" s="79"/>
      <c r="B17" s="82"/>
      <c r="C17" s="84"/>
      <c r="D17" s="84"/>
      <c r="E17" s="83"/>
      <c r="F17" s="83"/>
      <c r="G17" s="88" t="s">
        <v>146</v>
      </c>
      <c r="H17" s="88"/>
      <c r="I17" s="84"/>
      <c r="J17" s="84"/>
      <c r="K17" s="84"/>
      <c r="L17" s="82"/>
      <c r="M17" s="79"/>
    </row>
    <row r="18" spans="1:13" ht="14.4">
      <c r="A18" s="79"/>
      <c r="B18" s="82"/>
      <c r="C18" s="84"/>
      <c r="D18" s="84"/>
      <c r="E18" s="83"/>
      <c r="F18" s="83"/>
      <c r="G18" s="88"/>
      <c r="H18" s="88"/>
      <c r="I18" s="84"/>
      <c r="J18" s="84"/>
      <c r="K18" s="84"/>
      <c r="L18" s="82"/>
      <c r="M18" s="79"/>
    </row>
    <row r="19" spans="1:13" ht="14.4">
      <c r="A19" s="79"/>
      <c r="B19" s="89"/>
      <c r="C19" s="84"/>
      <c r="D19" s="84"/>
      <c r="E19" s="84"/>
      <c r="F19" s="83"/>
      <c r="G19" s="84"/>
      <c r="H19" s="84"/>
      <c r="I19" s="84"/>
      <c r="J19" s="84"/>
      <c r="K19" s="84"/>
      <c r="L19" s="82"/>
      <c r="M19" s="79"/>
    </row>
    <row r="20" spans="1:13" ht="14.4">
      <c r="A20" s="79"/>
      <c r="B20" s="90"/>
      <c r="C20" s="83"/>
      <c r="D20" s="82"/>
      <c r="E20" s="82"/>
      <c r="F20" s="83"/>
      <c r="G20" s="82"/>
      <c r="H20" s="82"/>
      <c r="I20" s="82"/>
      <c r="J20" s="91"/>
      <c r="K20" s="82"/>
      <c r="L20" s="82"/>
      <c r="M20" s="79"/>
    </row>
    <row r="21" spans="1:13" ht="14.4">
      <c r="A21" s="79"/>
      <c r="B21" s="90"/>
      <c r="C21" s="83"/>
      <c r="D21" s="82"/>
      <c r="E21" s="82"/>
      <c r="F21" s="83"/>
      <c r="G21" s="82"/>
      <c r="H21" s="82"/>
      <c r="I21" s="82"/>
      <c r="J21" s="91"/>
      <c r="K21" s="82"/>
      <c r="L21" s="82"/>
      <c r="M21" s="79"/>
    </row>
    <row r="22" spans="1:13" ht="14.4">
      <c r="A22" s="79"/>
      <c r="B22" s="90"/>
      <c r="C22" s="83"/>
      <c r="D22" s="82"/>
      <c r="E22" s="82"/>
      <c r="F22" s="83"/>
      <c r="G22" s="82"/>
      <c r="H22" s="82"/>
      <c r="I22" s="82"/>
      <c r="J22" s="91"/>
      <c r="K22" s="82"/>
      <c r="L22" s="82"/>
      <c r="M22" s="79"/>
    </row>
    <row r="23" spans="1:13" ht="14.4">
      <c r="A23" s="79"/>
      <c r="B23" s="90"/>
      <c r="C23" s="83"/>
      <c r="D23" s="82"/>
      <c r="E23" s="82"/>
      <c r="F23" s="83"/>
      <c r="G23" s="82"/>
      <c r="H23" s="82"/>
      <c r="I23" s="82"/>
      <c r="J23" s="91"/>
      <c r="K23" s="82"/>
      <c r="L23" s="82"/>
      <c r="M23" s="79"/>
    </row>
    <row r="24" spans="1:13" ht="14.4">
      <c r="A24" s="79"/>
      <c r="B24" s="90"/>
      <c r="C24" s="83"/>
      <c r="D24" s="82"/>
      <c r="E24" s="82"/>
      <c r="F24" s="83"/>
      <c r="G24" s="82"/>
      <c r="H24" s="82"/>
      <c r="I24" s="82"/>
      <c r="J24" s="91"/>
      <c r="K24" s="82"/>
      <c r="L24" s="82"/>
      <c r="M24" s="79"/>
    </row>
    <row r="25" spans="1:13" ht="14.4">
      <c r="A25" s="79"/>
      <c r="B25" s="90"/>
      <c r="C25" s="83"/>
      <c r="D25" s="82"/>
      <c r="E25" s="82"/>
      <c r="F25" s="83"/>
      <c r="G25" s="82"/>
      <c r="H25" s="82"/>
      <c r="I25" s="82"/>
      <c r="J25" s="91"/>
      <c r="K25" s="82"/>
      <c r="L25" s="82"/>
      <c r="M25" s="79"/>
    </row>
    <row r="26" spans="1:13" ht="14.4">
      <c r="A26" s="79"/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79"/>
    </row>
    <row r="27" spans="1:13" ht="14.4">
      <c r="A27" s="79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79"/>
    </row>
    <row r="28" spans="1:13" ht="14.4" hidden="1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</row>
    <row r="29" spans="1:13" ht="14.4" hidden="1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</row>
    <row r="30" spans="1:13" ht="14.4" hidden="1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5878-F38E-4003-BFBF-1CD21FDBFDC8}">
  <dimension ref="A1:W104"/>
  <sheetViews>
    <sheetView showGridLines="0" topLeftCell="A33" zoomScale="80" zoomScaleNormal="80" workbookViewId="0">
      <selection activeCell="A105" sqref="A105:XFD1048576"/>
    </sheetView>
  </sheetViews>
  <sheetFormatPr defaultColWidth="0" defaultRowHeight="13.8" zeroHeight="1"/>
  <cols>
    <col min="1" max="1" width="4.19921875" style="229" customWidth="1"/>
    <col min="2" max="2" width="11.09765625" style="229" bestFit="1" customWidth="1"/>
    <col min="3" max="3" width="28.8984375" style="229" bestFit="1" customWidth="1"/>
    <col min="4" max="6" width="11.09765625" style="229" bestFit="1" customWidth="1"/>
    <col min="7" max="7" width="13.5" style="229" bestFit="1" customWidth="1"/>
    <col min="8" max="8" width="11.09765625" style="229" bestFit="1" customWidth="1"/>
    <col min="9" max="11" width="8.796875" style="229" customWidth="1"/>
    <col min="12" max="12" width="31.8984375" style="229" bestFit="1" customWidth="1"/>
    <col min="13" max="13" width="10.3984375" style="229" bestFit="1" customWidth="1"/>
    <col min="14" max="14" width="10.5" style="229" bestFit="1" customWidth="1"/>
    <col min="15" max="15" width="10.59765625" style="229" bestFit="1" customWidth="1"/>
    <col min="16" max="17" width="10.5" style="229" bestFit="1" customWidth="1"/>
    <col min="18" max="18" width="9.3984375" style="229" bestFit="1" customWidth="1"/>
    <col min="19" max="22" width="8.796875" style="229" customWidth="1"/>
    <col min="23" max="23" width="3.8984375" style="229" customWidth="1"/>
    <col min="24" max="16384" width="8.796875" style="229" hidden="1"/>
  </cols>
  <sheetData>
    <row r="1" spans="1:23">
      <c r="A1" s="227"/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8"/>
    </row>
    <row r="2" spans="1:23">
      <c r="A2" s="230"/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28"/>
    </row>
    <row r="3" spans="1:23">
      <c r="W3" s="228"/>
    </row>
    <row r="4" spans="1:23">
      <c r="A4" s="231"/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28"/>
    </row>
    <row r="5" spans="1:23">
      <c r="L5" s="246"/>
      <c r="M5" s="246"/>
      <c r="N5" s="246"/>
      <c r="O5" s="246"/>
      <c r="P5" s="246"/>
      <c r="Q5" s="246"/>
      <c r="R5" s="246"/>
      <c r="W5" s="228"/>
    </row>
    <row r="6" spans="1:23">
      <c r="C6" s="246"/>
      <c r="D6" s="247" t="s">
        <v>173</v>
      </c>
      <c r="E6" s="247" t="s">
        <v>174</v>
      </c>
      <c r="F6" s="247" t="s">
        <v>175</v>
      </c>
      <c r="G6" s="247" t="s">
        <v>176</v>
      </c>
      <c r="H6" s="247" t="s">
        <v>177</v>
      </c>
      <c r="L6" s="246"/>
      <c r="M6" s="246"/>
      <c r="N6" s="247" t="s">
        <v>173</v>
      </c>
      <c r="O6" s="247" t="s">
        <v>174</v>
      </c>
      <c r="P6" s="247" t="s">
        <v>175</v>
      </c>
      <c r="Q6" s="247" t="s">
        <v>176</v>
      </c>
      <c r="R6" s="247" t="s">
        <v>177</v>
      </c>
      <c r="W6" s="228"/>
    </row>
    <row r="7" spans="1:23">
      <c r="C7" s="248" t="s">
        <v>0</v>
      </c>
      <c r="D7" s="249">
        <v>467177</v>
      </c>
      <c r="E7" s="249">
        <v>427585</v>
      </c>
      <c r="F7" s="250">
        <f>'FY 2023 &amp; Projections''000'!E7</f>
        <v>454022</v>
      </c>
      <c r="G7" s="250">
        <f>'FY 2023 &amp; Projections''000'!F7</f>
        <v>488073.64999999997</v>
      </c>
      <c r="H7" s="250">
        <f>'FY 2023 &amp; Projections''000'!G7</f>
        <v>532000.27850000001</v>
      </c>
      <c r="L7" s="248" t="s">
        <v>248</v>
      </c>
      <c r="M7" s="246"/>
      <c r="N7" s="249">
        <v>198834</v>
      </c>
      <c r="O7" s="249">
        <v>228054</v>
      </c>
      <c r="P7" s="251">
        <f>'FY 2023 &amp; Projections''000'!E37+'FY 2023 &amp; Projections''000'!E38</f>
        <v>240359</v>
      </c>
      <c r="Q7" s="251">
        <f>'FY 2023 &amp; Projections''000'!F37+'FY 2023 &amp; Projections''000'!F38</f>
        <v>360375.46871699241</v>
      </c>
      <c r="R7" s="251">
        <f>'FY 2023 &amp; Projections''000'!G37+'FY 2023 &amp; Projections''000'!G38</f>
        <v>483034.48446393962</v>
      </c>
      <c r="W7" s="228"/>
    </row>
    <row r="8" spans="1:23">
      <c r="C8" s="233"/>
      <c r="D8" s="233"/>
      <c r="E8" s="233"/>
      <c r="W8" s="228"/>
    </row>
    <row r="9" spans="1:23">
      <c r="W9" s="228"/>
    </row>
    <row r="10" spans="1:23">
      <c r="B10" s="232"/>
      <c r="C10" s="232"/>
      <c r="W10" s="228"/>
    </row>
    <row r="11" spans="1:23">
      <c r="B11" s="234"/>
      <c r="W11" s="228"/>
    </row>
    <row r="12" spans="1:23">
      <c r="B12" s="234"/>
      <c r="W12" s="228"/>
    </row>
    <row r="13" spans="1:23">
      <c r="B13" s="234"/>
      <c r="W13" s="228"/>
    </row>
    <row r="14" spans="1:23">
      <c r="B14" s="234"/>
      <c r="W14" s="228"/>
    </row>
    <row r="15" spans="1:23">
      <c r="B15" s="234"/>
      <c r="W15" s="228"/>
    </row>
    <row r="16" spans="1:23">
      <c r="W16" s="228"/>
    </row>
    <row r="17" spans="2:23">
      <c r="W17" s="228"/>
    </row>
    <row r="18" spans="2:23">
      <c r="W18" s="228"/>
    </row>
    <row r="19" spans="2:23">
      <c r="W19" s="228"/>
    </row>
    <row r="20" spans="2:23">
      <c r="W20" s="228"/>
    </row>
    <row r="21" spans="2:23">
      <c r="W21" s="228"/>
    </row>
    <row r="22" spans="2:23">
      <c r="W22" s="228"/>
    </row>
    <row r="23" spans="2:23">
      <c r="W23" s="228"/>
    </row>
    <row r="24" spans="2:23">
      <c r="B24" s="232"/>
      <c r="C24" s="232"/>
      <c r="W24" s="228"/>
    </row>
    <row r="25" spans="2:23">
      <c r="B25" s="234"/>
      <c r="W25" s="228"/>
    </row>
    <row r="26" spans="2:23" ht="14.4" thickBot="1">
      <c r="B26" s="234"/>
      <c r="W26" s="228"/>
    </row>
    <row r="27" spans="2:23">
      <c r="B27" s="234"/>
      <c r="C27" s="240"/>
      <c r="D27" s="241" t="s">
        <v>173</v>
      </c>
      <c r="E27" s="241" t="s">
        <v>174</v>
      </c>
      <c r="F27" s="241" t="s">
        <v>175</v>
      </c>
      <c r="G27" s="241" t="s">
        <v>176</v>
      </c>
      <c r="H27" s="242" t="s">
        <v>177</v>
      </c>
      <c r="L27" s="240"/>
      <c r="M27" s="241" t="s">
        <v>173</v>
      </c>
      <c r="N27" s="241" t="s">
        <v>174</v>
      </c>
      <c r="O27" s="241" t="s">
        <v>175</v>
      </c>
      <c r="P27" s="241" t="s">
        <v>176</v>
      </c>
      <c r="Q27" s="241" t="s">
        <v>177</v>
      </c>
      <c r="R27" s="256"/>
      <c r="W27" s="228"/>
    </row>
    <row r="28" spans="2:23" ht="14.4" thickBot="1">
      <c r="B28" s="234"/>
      <c r="C28" s="243" t="s">
        <v>178</v>
      </c>
      <c r="D28" s="244">
        <v>168509</v>
      </c>
      <c r="E28" s="244">
        <v>140623</v>
      </c>
      <c r="F28" s="244">
        <v>133800</v>
      </c>
      <c r="G28" s="244">
        <f>'FY 2023 &amp; Projections''000'!F16+(-'FY 2023 &amp; Projections''000'!F17-'FY 2023 &amp; Projections''000'!F19+'FY 2023 &amp; Projections''000'!F14)</f>
        <v>150937.29560009486</v>
      </c>
      <c r="H28" s="245">
        <f>'FY 2023 &amp; Projections''000'!G16+(-'FY 2023 &amp; Projections''000'!G17-'FY 2023 &amp; Projections''000'!G19+'FY 2023 &amp; Projections''000'!G14)</f>
        <v>157514.00258165889</v>
      </c>
      <c r="L28" s="257" t="s">
        <v>178</v>
      </c>
      <c r="M28" s="258">
        <f>D28</f>
        <v>168509</v>
      </c>
      <c r="N28" s="258">
        <f t="shared" ref="N28:Q28" si="0">E28</f>
        <v>140623</v>
      </c>
      <c r="O28" s="258">
        <f t="shared" si="0"/>
        <v>133800</v>
      </c>
      <c r="P28" s="258">
        <f t="shared" si="0"/>
        <v>150937.29560009486</v>
      </c>
      <c r="Q28" s="258">
        <f t="shared" si="0"/>
        <v>157514.00258165889</v>
      </c>
      <c r="R28" s="259"/>
      <c r="W28" s="228"/>
    </row>
    <row r="29" spans="2:23">
      <c r="B29" s="234"/>
      <c r="C29" s="236"/>
      <c r="L29" s="252" t="s">
        <v>247</v>
      </c>
      <c r="M29" s="253">
        <v>0.36099999999999999</v>
      </c>
      <c r="N29" s="253">
        <v>0.32900000000000001</v>
      </c>
      <c r="O29" s="253">
        <v>0.29499999999999998</v>
      </c>
      <c r="P29" s="254">
        <f>G28/G7</f>
        <v>0.30925106405579339</v>
      </c>
      <c r="Q29" s="254">
        <f>H28/H7</f>
        <v>0.29607879722502606</v>
      </c>
      <c r="W29" s="228"/>
    </row>
    <row r="30" spans="2:23">
      <c r="C30" s="237"/>
      <c r="W30" s="228"/>
    </row>
    <row r="31" spans="2:23">
      <c r="B31" s="232"/>
      <c r="W31" s="228"/>
    </row>
    <row r="32" spans="2:23">
      <c r="B32" s="234"/>
      <c r="O32" s="237"/>
      <c r="W32" s="228"/>
    </row>
    <row r="33" spans="2:23">
      <c r="B33" s="234"/>
      <c r="W33" s="228"/>
    </row>
    <row r="34" spans="2:23">
      <c r="B34" s="234"/>
      <c r="W34" s="228"/>
    </row>
    <row r="35" spans="2:23">
      <c r="B35" s="234"/>
      <c r="O35" s="238"/>
      <c r="W35" s="228"/>
    </row>
    <row r="36" spans="2:23">
      <c r="B36" s="234"/>
      <c r="O36" s="238"/>
      <c r="W36" s="228"/>
    </row>
    <row r="37" spans="2:23">
      <c r="W37" s="228"/>
    </row>
    <row r="38" spans="2:23">
      <c r="W38" s="228"/>
    </row>
    <row r="39" spans="2:23">
      <c r="W39" s="228"/>
    </row>
    <row r="40" spans="2:23">
      <c r="B40" s="232"/>
      <c r="W40" s="228"/>
    </row>
    <row r="41" spans="2:23">
      <c r="B41" s="234"/>
      <c r="W41" s="228"/>
    </row>
    <row r="42" spans="2:23">
      <c r="B42" s="234"/>
      <c r="W42" s="228"/>
    </row>
    <row r="43" spans="2:23">
      <c r="B43" s="234"/>
      <c r="C43" s="238"/>
      <c r="W43" s="228"/>
    </row>
    <row r="44" spans="2:23">
      <c r="B44" s="234"/>
      <c r="W44" s="228"/>
    </row>
    <row r="45" spans="2:23">
      <c r="B45" s="234"/>
      <c r="W45" s="228"/>
    </row>
    <row r="46" spans="2:23">
      <c r="W46" s="228"/>
    </row>
    <row r="47" spans="2:23">
      <c r="W47" s="228"/>
    </row>
    <row r="48" spans="2:23" ht="14.4" thickBot="1">
      <c r="W48" s="228"/>
    </row>
    <row r="49" spans="2:23">
      <c r="C49" s="240"/>
      <c r="D49" s="241" t="s">
        <v>173</v>
      </c>
      <c r="E49" s="241" t="s">
        <v>174</v>
      </c>
      <c r="F49" s="241" t="s">
        <v>175</v>
      </c>
      <c r="G49" s="241" t="s">
        <v>176</v>
      </c>
      <c r="H49" s="242" t="s">
        <v>177</v>
      </c>
      <c r="L49" s="239"/>
      <c r="M49" s="260"/>
      <c r="N49" s="260"/>
      <c r="O49" s="260"/>
      <c r="P49" s="260"/>
      <c r="Q49" s="260"/>
      <c r="R49" s="260"/>
      <c r="S49" s="256"/>
      <c r="W49" s="228"/>
    </row>
    <row r="50" spans="2:23" ht="14.4" thickBot="1">
      <c r="B50" s="276">
        <v>55256617</v>
      </c>
      <c r="C50" s="273" t="s">
        <v>252</v>
      </c>
      <c r="D50" s="274">
        <v>1.67</v>
      </c>
      <c r="E50" s="274">
        <v>1.7</v>
      </c>
      <c r="F50" s="274">
        <v>1.31</v>
      </c>
      <c r="G50" s="274">
        <f>('FY 2023 &amp; Projections''000'!F27/Graphs!B50)*1000</f>
        <v>1.454187571235585</v>
      </c>
      <c r="H50" s="275">
        <f>('FY 2023 &amp; Projections''000'!G27/Graphs!B50)*1000</f>
        <v>1.4929603213837639</v>
      </c>
      <c r="L50" s="261"/>
      <c r="M50" s="262" t="s">
        <v>173</v>
      </c>
      <c r="N50" s="262" t="s">
        <v>174</v>
      </c>
      <c r="O50" s="262" t="s">
        <v>175</v>
      </c>
      <c r="P50" s="262" t="s">
        <v>176</v>
      </c>
      <c r="Q50" s="262" t="s">
        <v>177</v>
      </c>
      <c r="R50" s="263"/>
      <c r="S50" s="259"/>
      <c r="W50" s="228"/>
    </row>
    <row r="51" spans="2:23">
      <c r="L51" s="248" t="s">
        <v>250</v>
      </c>
      <c r="M51" s="255">
        <v>92794</v>
      </c>
      <c r="N51" s="255">
        <v>94498</v>
      </c>
      <c r="O51" s="255">
        <f>'FY 2023 &amp; Projections''000'!E27</f>
        <v>72248</v>
      </c>
      <c r="P51" s="255">
        <f>'FY 2023 &amp; Projections''000'!F27</f>
        <v>80353.485669924936</v>
      </c>
      <c r="Q51" s="255">
        <f>'FY 2023 &amp; Projections''000'!G27</f>
        <v>82495.936674899553</v>
      </c>
      <c r="W51" s="228"/>
    </row>
    <row r="52" spans="2:23">
      <c r="L52" s="235"/>
      <c r="W52" s="228"/>
    </row>
    <row r="53" spans="2:23">
      <c r="W53" s="228"/>
    </row>
    <row r="54" spans="2:23">
      <c r="W54" s="228"/>
    </row>
    <row r="55" spans="2:23">
      <c r="W55" s="228"/>
    </row>
    <row r="56" spans="2:23">
      <c r="W56" s="228"/>
    </row>
    <row r="57" spans="2:23">
      <c r="W57" s="228"/>
    </row>
    <row r="58" spans="2:23">
      <c r="F58" s="235"/>
      <c r="W58" s="228"/>
    </row>
    <row r="59" spans="2:23">
      <c r="W59" s="228"/>
    </row>
    <row r="60" spans="2:23">
      <c r="W60" s="228"/>
    </row>
    <row r="61" spans="2:23">
      <c r="W61" s="228"/>
    </row>
    <row r="62" spans="2:23">
      <c r="W62" s="228"/>
    </row>
    <row r="63" spans="2:23">
      <c r="W63" s="228"/>
    </row>
    <row r="64" spans="2:23">
      <c r="W64" s="228"/>
    </row>
    <row r="65" spans="3:23">
      <c r="W65" s="228"/>
    </row>
    <row r="66" spans="3:23">
      <c r="W66" s="228"/>
    </row>
    <row r="67" spans="3:23">
      <c r="W67" s="228"/>
    </row>
    <row r="68" spans="3:23">
      <c r="W68" s="228"/>
    </row>
    <row r="69" spans="3:23">
      <c r="W69" s="228"/>
    </row>
    <row r="70" spans="3:23">
      <c r="W70" s="228"/>
    </row>
    <row r="71" spans="3:23">
      <c r="W71" s="228"/>
    </row>
    <row r="72" spans="3:23">
      <c r="W72" s="228"/>
    </row>
    <row r="73" spans="3:23">
      <c r="D73" s="232" t="s">
        <v>173</v>
      </c>
      <c r="E73" s="232" t="s">
        <v>174</v>
      </c>
      <c r="F73" s="232" t="s">
        <v>175</v>
      </c>
      <c r="G73" s="232" t="s">
        <v>176</v>
      </c>
      <c r="H73" s="232" t="s">
        <v>177</v>
      </c>
      <c r="W73" s="228"/>
    </row>
    <row r="74" spans="3:23">
      <c r="C74" s="232" t="s">
        <v>249</v>
      </c>
      <c r="W74" s="228"/>
    </row>
    <row r="75" spans="3:23">
      <c r="D75" s="272">
        <v>0.59</v>
      </c>
      <c r="E75" s="272">
        <v>0.69</v>
      </c>
      <c r="W75" s="228"/>
    </row>
    <row r="76" spans="3:23">
      <c r="D76" s="229">
        <v>1.5</v>
      </c>
      <c r="W76" s="228"/>
    </row>
    <row r="77" spans="3:23">
      <c r="W77" s="228"/>
    </row>
    <row r="78" spans="3:23">
      <c r="W78" s="228"/>
    </row>
    <row r="79" spans="3:23">
      <c r="W79" s="228"/>
    </row>
    <row r="80" spans="3:23">
      <c r="W80" s="228"/>
    </row>
    <row r="81" spans="23:23">
      <c r="W81" s="228"/>
    </row>
    <row r="82" spans="23:23">
      <c r="W82" s="228"/>
    </row>
    <row r="83" spans="23:23">
      <c r="W83" s="228"/>
    </row>
    <row r="84" spans="23:23">
      <c r="W84" s="228"/>
    </row>
    <row r="85" spans="23:23">
      <c r="W85" s="228"/>
    </row>
    <row r="86" spans="23:23">
      <c r="W86" s="228"/>
    </row>
    <row r="87" spans="23:23">
      <c r="W87" s="228"/>
    </row>
    <row r="88" spans="23:23">
      <c r="W88" s="228"/>
    </row>
    <row r="89" spans="23:23">
      <c r="W89" s="228"/>
    </row>
    <row r="90" spans="23:23">
      <c r="W90" s="228"/>
    </row>
    <row r="91" spans="23:23">
      <c r="W91" s="228"/>
    </row>
    <row r="92" spans="23:23">
      <c r="W92" s="228"/>
    </row>
    <row r="93" spans="23:23">
      <c r="W93" s="228"/>
    </row>
    <row r="94" spans="23:23">
      <c r="W94" s="228"/>
    </row>
    <row r="95" spans="23:23">
      <c r="W95" s="228"/>
    </row>
    <row r="96" spans="23:23">
      <c r="W96" s="228"/>
    </row>
    <row r="97" spans="1:23">
      <c r="W97" s="228"/>
    </row>
    <row r="98" spans="1:23">
      <c r="W98" s="228"/>
    </row>
    <row r="99" spans="1:23">
      <c r="W99" s="228"/>
    </row>
    <row r="100" spans="1:23">
      <c r="W100" s="228"/>
    </row>
    <row r="101" spans="1:23">
      <c r="W101" s="228"/>
    </row>
    <row r="102" spans="1:23">
      <c r="W102" s="228"/>
    </row>
    <row r="103" spans="1:23">
      <c r="A103" s="228"/>
      <c r="B103" s="228"/>
      <c r="C103" s="228"/>
      <c r="D103" s="228"/>
      <c r="E103" s="228"/>
      <c r="F103" s="228"/>
      <c r="G103" s="228"/>
      <c r="H103" s="228"/>
      <c r="I103" s="228"/>
      <c r="J103" s="228"/>
      <c r="K103" s="228"/>
      <c r="L103" s="228"/>
      <c r="M103" s="228"/>
      <c r="N103" s="228"/>
      <c r="O103" s="228"/>
      <c r="P103" s="228"/>
      <c r="Q103" s="228"/>
      <c r="R103" s="228"/>
      <c r="S103" s="228"/>
      <c r="T103" s="228"/>
      <c r="U103" s="228"/>
      <c r="V103" s="228"/>
      <c r="W103" s="228"/>
    </row>
    <row r="104" spans="1:2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F690-F5CC-47B6-B99C-086CAC25D981}">
  <dimension ref="A1:H120"/>
  <sheetViews>
    <sheetView showGridLines="0" tabSelected="1" zoomScale="80" zoomScaleNormal="80" workbookViewId="0">
      <pane ySplit="3" topLeftCell="A25" activePane="bottomLeft" state="frozen"/>
      <selection pane="bottomLeft" activeCell="F105" sqref="F105"/>
    </sheetView>
  </sheetViews>
  <sheetFormatPr defaultColWidth="0" defaultRowHeight="15.6" zeroHeight="1"/>
  <cols>
    <col min="1" max="1" width="3.19921875" customWidth="1"/>
    <col min="2" max="2" width="54.796875" customWidth="1"/>
    <col min="3" max="3" width="5.19921875" customWidth="1"/>
    <col min="4" max="4" width="46.19921875" customWidth="1"/>
    <col min="5" max="5" width="11.09765625" bestFit="1" customWidth="1"/>
    <col min="6" max="6" width="10.69921875" bestFit="1" customWidth="1"/>
    <col min="7" max="7" width="12" bestFit="1" customWidth="1"/>
    <col min="8" max="8" width="1.69921875" customWidth="1"/>
    <col min="9" max="9" width="8.69921875" hidden="1" customWidth="1"/>
    <col min="10" max="16384" width="8.69921875" hidden="1"/>
  </cols>
  <sheetData>
    <row r="1" spans="1:8">
      <c r="A1" s="225"/>
      <c r="B1" s="225"/>
      <c r="C1" s="98"/>
      <c r="D1" s="99"/>
      <c r="E1" s="126">
        <f>YEAR(E2)</f>
        <v>2023</v>
      </c>
      <c r="F1" s="127">
        <f>YEAR(F2)</f>
        <v>2024</v>
      </c>
      <c r="G1" s="127">
        <f>YEAR(G2)</f>
        <v>2025</v>
      </c>
      <c r="H1" s="8"/>
    </row>
    <row r="2" spans="1:8">
      <c r="A2" s="225"/>
      <c r="B2" s="226"/>
      <c r="C2" s="98"/>
      <c r="D2" s="99" t="s">
        <v>71</v>
      </c>
      <c r="E2" s="100">
        <f>EDATE(E3,-12)+1</f>
        <v>45231</v>
      </c>
      <c r="F2" s="100">
        <v>45597</v>
      </c>
      <c r="G2" s="100">
        <f>F3+1</f>
        <v>45962</v>
      </c>
      <c r="H2" s="8"/>
    </row>
    <row r="3" spans="1:8">
      <c r="A3" s="225"/>
      <c r="B3" s="225"/>
      <c r="C3" s="98"/>
      <c r="D3" s="99" t="s">
        <v>72</v>
      </c>
      <c r="E3" s="100">
        <f>F2-1</f>
        <v>45596</v>
      </c>
      <c r="F3" s="100">
        <f>EDATE(F2,12)-1</f>
        <v>45961</v>
      </c>
      <c r="G3" s="100">
        <f>EDATE(G2,12)-1</f>
        <v>46326</v>
      </c>
      <c r="H3" s="8"/>
    </row>
    <row r="4" spans="1:8">
      <c r="A4" s="148">
        <v>1</v>
      </c>
      <c r="B4" s="104" t="s">
        <v>1</v>
      </c>
      <c r="C4" s="103"/>
      <c r="D4" s="103"/>
      <c r="E4" s="103"/>
      <c r="F4" s="103"/>
      <c r="G4" s="103"/>
      <c r="H4" s="8"/>
    </row>
    <row r="5" spans="1:8">
      <c r="B5" s="9"/>
      <c r="C5" s="9"/>
      <c r="D5" s="10"/>
      <c r="E5" s="11"/>
      <c r="F5" s="11"/>
      <c r="G5" s="11"/>
      <c r="H5" s="8"/>
    </row>
    <row r="6" spans="1:8">
      <c r="A6" s="124"/>
      <c r="B6" s="107"/>
      <c r="C6" s="108"/>
      <c r="D6" s="109"/>
      <c r="E6" s="110"/>
      <c r="F6" s="110"/>
      <c r="G6" s="110"/>
      <c r="H6" s="8"/>
    </row>
    <row r="7" spans="1:8">
      <c r="B7" s="12" t="s">
        <v>120</v>
      </c>
      <c r="C7" s="9"/>
      <c r="D7" s="10" t="s">
        <v>172</v>
      </c>
      <c r="E7" s="61">
        <f>'Yrly Projections&amp;Cal'!H11</f>
        <v>454022</v>
      </c>
      <c r="F7" s="61">
        <f>'Yrly Projections&amp;Cal'!I11</f>
        <v>488073.64999999997</v>
      </c>
      <c r="G7" s="61">
        <f>'Yrly Projections&amp;Cal'!J11</f>
        <v>532000.27850000001</v>
      </c>
      <c r="H7" s="8"/>
    </row>
    <row r="8" spans="1:8">
      <c r="B8" s="12" t="s">
        <v>73</v>
      </c>
      <c r="C8" s="9"/>
      <c r="D8" s="10" t="s">
        <v>172</v>
      </c>
      <c r="E8" s="11">
        <f>-'Yrly Projections&amp;Cal'!H17</f>
        <v>-149999</v>
      </c>
      <c r="F8" s="11">
        <f>-'Yrly Projections&amp;Cal'!I17</f>
        <v>-154879.7365</v>
      </c>
      <c r="G8" s="11">
        <f>-'Yrly Projections&amp;Cal'!J17</f>
        <v>-162859.7406775</v>
      </c>
      <c r="H8" s="8"/>
    </row>
    <row r="9" spans="1:8">
      <c r="A9" s="1"/>
      <c r="B9" s="18" t="s">
        <v>74</v>
      </c>
      <c r="C9" s="18"/>
      <c r="D9" s="19" t="s">
        <v>172</v>
      </c>
      <c r="E9" s="71">
        <f>E7+E8</f>
        <v>304023</v>
      </c>
      <c r="F9" s="71">
        <f>F7+F8</f>
        <v>333193.91349999997</v>
      </c>
      <c r="G9" s="71">
        <f>G7+G8</f>
        <v>369140.53782249999</v>
      </c>
      <c r="H9" s="8"/>
    </row>
    <row r="10" spans="1:8" ht="6" customHeight="1">
      <c r="B10" s="9"/>
      <c r="C10" s="9"/>
      <c r="D10" s="10"/>
      <c r="E10" s="61"/>
      <c r="F10" s="11"/>
      <c r="G10" s="11"/>
      <c r="H10" s="8"/>
    </row>
    <row r="11" spans="1:8" s="119" customFormat="1">
      <c r="A11" s="108"/>
      <c r="B11" s="108" t="s">
        <v>75</v>
      </c>
      <c r="C11" s="108"/>
      <c r="D11" s="109"/>
      <c r="E11" s="149"/>
      <c r="F11" s="150"/>
      <c r="G11" s="150"/>
      <c r="H11" s="151"/>
    </row>
    <row r="12" spans="1:8">
      <c r="B12" s="14" t="s">
        <v>11</v>
      </c>
      <c r="C12" s="9"/>
      <c r="D12" s="10" t="s">
        <v>172</v>
      </c>
      <c r="E12" s="11">
        <f>'Yrly Projections&amp;Cal'!H21</f>
        <v>90889</v>
      </c>
      <c r="F12" s="11">
        <f>'Yrly Projections&amp;Cal'!I21</f>
        <v>100314.18650000007</v>
      </c>
      <c r="G12" s="11">
        <f>'Yrly Projections&amp;Cal'!J21</f>
        <v>114662.46607000008</v>
      </c>
      <c r="H12" s="8"/>
    </row>
    <row r="13" spans="1:8">
      <c r="B13" s="14" t="s">
        <v>12</v>
      </c>
      <c r="C13" s="9"/>
      <c r="D13" s="10" t="s">
        <v>172</v>
      </c>
      <c r="E13" s="11">
        <f>'Yrly Projections&amp;Cal'!H22</f>
        <v>79334</v>
      </c>
      <c r="F13" s="11">
        <f>'Yrly Projections&amp;Cal'!I22</f>
        <v>86594.756499999989</v>
      </c>
      <c r="G13" s="11">
        <f>'Yrly Projections&amp;Cal'!J22</f>
        <v>101759.72935499984</v>
      </c>
      <c r="H13" s="8"/>
    </row>
    <row r="14" spans="1:8">
      <c r="B14" s="14" t="s">
        <v>15</v>
      </c>
      <c r="C14" s="9"/>
      <c r="D14" s="10" t="s">
        <v>172</v>
      </c>
      <c r="E14" s="11">
        <f>'Yrly Projections&amp;Cal'!H25</f>
        <v>2477</v>
      </c>
      <c r="F14" s="11">
        <f>'Yrly Projections&amp;Cal'!I25</f>
        <v>5103.1432499999828</v>
      </c>
      <c r="G14" s="11">
        <f>'Yrly Projections&amp;Cal'!J25</f>
        <v>6094.4264209999819</v>
      </c>
      <c r="H14" s="8"/>
    </row>
    <row r="15" spans="1:8">
      <c r="A15" s="1"/>
      <c r="B15" s="18" t="s">
        <v>76</v>
      </c>
      <c r="C15" s="18"/>
      <c r="D15" s="19" t="s">
        <v>172</v>
      </c>
      <c r="E15" s="71">
        <f>SUM(E12:E14)</f>
        <v>172700</v>
      </c>
      <c r="F15" s="71">
        <f>SUM(F12:F14)</f>
        <v>192012.08625000005</v>
      </c>
      <c r="G15" s="71">
        <f>SUM(G12:G14)</f>
        <v>222516.62184599991</v>
      </c>
      <c r="H15" s="8"/>
    </row>
    <row r="16" spans="1:8">
      <c r="A16" s="1"/>
      <c r="B16" s="18" t="s">
        <v>77</v>
      </c>
      <c r="C16" s="18"/>
      <c r="D16" s="19"/>
      <c r="E16" s="71">
        <f>+E9-E15</f>
        <v>131323</v>
      </c>
      <c r="F16" s="71">
        <f>+F9-F15</f>
        <v>141181.82724999991</v>
      </c>
      <c r="G16" s="71">
        <f>+G9-G15</f>
        <v>146623.91597650008</v>
      </c>
      <c r="H16" s="8"/>
    </row>
    <row r="17" spans="1:8">
      <c r="B17" s="14" t="s">
        <v>212</v>
      </c>
      <c r="C17" s="9"/>
      <c r="D17" s="10"/>
      <c r="E17" s="11">
        <f>-'Yrly Projections&amp;Cal'!H23</f>
        <v>-2451</v>
      </c>
      <c r="F17" s="11">
        <f>'Capital schedule'!K44</f>
        <v>-2200.0938840949611</v>
      </c>
      <c r="G17" s="11">
        <f>-'Yrly Projections&amp;Cal'!J23</f>
        <v>-2122.7281587188368</v>
      </c>
      <c r="H17" s="8"/>
    </row>
    <row r="18" spans="1:8">
      <c r="B18" s="14" t="s">
        <v>180</v>
      </c>
      <c r="C18" s="9"/>
      <c r="D18" s="10"/>
      <c r="E18" s="11">
        <f>'Yrly Projections&amp;Cal'!H30</f>
        <v>-39605</v>
      </c>
      <c r="F18" s="11">
        <f>'Yrly Projections&amp;Cal'!I30</f>
        <v>-42462.407549999996</v>
      </c>
      <c r="G18" s="11">
        <f>'Yrly Projections&amp;Cal'!J30</f>
        <v>-46284.024229499999</v>
      </c>
      <c r="H18" s="8"/>
    </row>
    <row r="19" spans="1:8">
      <c r="B19" s="14" t="s">
        <v>14</v>
      </c>
      <c r="C19" s="9"/>
      <c r="D19" s="10"/>
      <c r="E19" s="11">
        <f>-'Yrly Projections&amp;Cal'!H24</f>
        <v>-6764</v>
      </c>
      <c r="F19" s="11">
        <f>-'Yrly Projections&amp;Cal'!I24</f>
        <v>-2452.2312160000001</v>
      </c>
      <c r="G19" s="11">
        <f>-'Yrly Projections&amp;Cal'!J24</f>
        <v>-2672.9320254400004</v>
      </c>
      <c r="H19" s="8"/>
    </row>
    <row r="20" spans="1:8">
      <c r="A20" s="1"/>
      <c r="B20" s="18" t="s">
        <v>78</v>
      </c>
      <c r="C20" s="18"/>
      <c r="D20" s="19"/>
      <c r="E20" s="169">
        <f>+E16+E17+E19+E18</f>
        <v>82503</v>
      </c>
      <c r="F20" s="71">
        <f>+F16+F17+F19+F18</f>
        <v>94067.094599904958</v>
      </c>
      <c r="G20" s="71">
        <f>+G16+G17+G19+G18</f>
        <v>95544.231562841218</v>
      </c>
      <c r="H20" s="8"/>
    </row>
    <row r="21" spans="1:8">
      <c r="B21" s="14" t="s">
        <v>79</v>
      </c>
      <c r="C21" s="9"/>
      <c r="D21" s="10" t="s">
        <v>172</v>
      </c>
      <c r="E21" s="72">
        <f>'Yrly Projections&amp;Cal'!H32</f>
        <v>-695</v>
      </c>
      <c r="F21" s="72">
        <f>'Yrly Projections&amp;Cal'!I32</f>
        <v>-976.14729999999997</v>
      </c>
      <c r="G21" s="72">
        <f>'Yrly Projections&amp;Cal'!J32</f>
        <v>-1064.0005570000001</v>
      </c>
      <c r="H21" s="8"/>
    </row>
    <row r="22" spans="1:8">
      <c r="B22" s="14" t="s">
        <v>18</v>
      </c>
      <c r="C22" s="9"/>
      <c r="D22" s="10" t="s">
        <v>172</v>
      </c>
      <c r="E22" s="72">
        <f>'Yrly Projections&amp;Cal'!H31</f>
        <v>1266</v>
      </c>
      <c r="F22" s="72">
        <f>'Yrly Projections&amp;Cal'!I31</f>
        <v>0</v>
      </c>
      <c r="G22" s="72">
        <f>'Yrly Projections&amp;Cal'!J31</f>
        <v>0</v>
      </c>
      <c r="H22" s="8"/>
    </row>
    <row r="23" spans="1:8">
      <c r="B23" s="14" t="s">
        <v>21</v>
      </c>
      <c r="C23" s="9"/>
      <c r="D23" s="10" t="s">
        <v>172</v>
      </c>
      <c r="E23" s="72">
        <f>'Yrly Projections&amp;Cal'!H34</f>
        <v>-163</v>
      </c>
      <c r="F23" s="72">
        <f>'Yrly Projections&amp;Cal'!I34</f>
        <v>-163</v>
      </c>
      <c r="G23" s="72">
        <f>'Yrly Projections&amp;Cal'!J34</f>
        <v>-163</v>
      </c>
      <c r="H23" s="8"/>
    </row>
    <row r="24" spans="1:8">
      <c r="B24" s="14" t="s">
        <v>80</v>
      </c>
      <c r="C24" s="9"/>
      <c r="D24" s="10" t="s">
        <v>172</v>
      </c>
      <c r="E24" s="72">
        <f>'Yrly Projections&amp;Cal'!H33+'Yrly Projections&amp;Cal'!H35</f>
        <v>4314</v>
      </c>
      <c r="F24" s="72">
        <f>'Yrly Projections&amp;Cal'!I33+'Yrly Projections&amp;Cal'!I35</f>
        <v>8785.3256999999994</v>
      </c>
      <c r="G24" s="72">
        <f>'Yrly Projections&amp;Cal'!J33+'Yrly Projections&amp;Cal'!J35</f>
        <v>10108.0052915</v>
      </c>
      <c r="H24" s="8"/>
    </row>
    <row r="25" spans="1:8">
      <c r="A25" s="1"/>
      <c r="B25" s="18" t="s">
        <v>81</v>
      </c>
      <c r="C25" s="18"/>
      <c r="D25" s="19"/>
      <c r="E25" s="169">
        <f>+E20+E21+E22+E23+E24</f>
        <v>87225</v>
      </c>
      <c r="F25" s="71">
        <f>+F20+F21+F22+F23+F24</f>
        <v>101713.27299990496</v>
      </c>
      <c r="G25" s="71">
        <f>+G20+G21+G22+G23+G24</f>
        <v>104425.23629734121</v>
      </c>
      <c r="H25" s="8"/>
    </row>
    <row r="26" spans="1:8">
      <c r="A26" s="119"/>
      <c r="B26" s="120" t="s">
        <v>82</v>
      </c>
      <c r="C26" s="9"/>
      <c r="D26" s="10"/>
      <c r="E26" s="169">
        <f>'Yrly Projections&amp;Cal'!H38</f>
        <v>14977</v>
      </c>
      <c r="F26" s="71">
        <f>'Yrly Projections&amp;Cal'!I38</f>
        <v>21359.787329980034</v>
      </c>
      <c r="G26" s="71">
        <f>'Yrly Projections&amp;Cal'!J38</f>
        <v>21929.299622441653</v>
      </c>
      <c r="H26" s="8"/>
    </row>
    <row r="27" spans="1:8" ht="16.2" thickBot="1">
      <c r="A27" s="56"/>
      <c r="B27" s="21" t="s">
        <v>83</v>
      </c>
      <c r="C27" s="21"/>
      <c r="D27" s="22"/>
      <c r="E27" s="170">
        <f>E25-E26</f>
        <v>72248</v>
      </c>
      <c r="F27" s="75">
        <f>F25-F26</f>
        <v>80353.485669924936</v>
      </c>
      <c r="G27" s="75">
        <f>G25-G26</f>
        <v>82495.936674899553</v>
      </c>
      <c r="H27" s="8"/>
    </row>
    <row r="28" spans="1:8" ht="16.2" thickTop="1">
      <c r="B28" s="9"/>
      <c r="C28" s="9"/>
      <c r="D28" s="10"/>
      <c r="E28" s="72"/>
      <c r="F28" s="11"/>
      <c r="G28" s="11"/>
      <c r="H28" s="8"/>
    </row>
    <row r="29" spans="1:8" ht="26.4">
      <c r="B29" s="58" t="s">
        <v>121</v>
      </c>
      <c r="C29" s="9"/>
      <c r="D29" s="10" t="s">
        <v>172</v>
      </c>
      <c r="E29" s="72">
        <f>'Yrly Projections&amp;Cal'!H42</f>
        <v>19800</v>
      </c>
      <c r="F29" s="61">
        <v>0</v>
      </c>
      <c r="G29" s="61">
        <v>0</v>
      </c>
      <c r="H29" s="8"/>
    </row>
    <row r="30" spans="1:8">
      <c r="B30" s="58"/>
      <c r="C30" s="9"/>
      <c r="D30" s="10"/>
      <c r="E30" s="72"/>
      <c r="F30" s="11"/>
      <c r="G30" s="11"/>
      <c r="H30" s="8"/>
    </row>
    <row r="31" spans="1:8" ht="16.350000000000001" customHeight="1">
      <c r="A31" s="1"/>
      <c r="B31" s="1" t="s">
        <v>26</v>
      </c>
      <c r="C31" s="36"/>
      <c r="D31" s="19"/>
      <c r="E31" s="171">
        <f>'Yrly Projections&amp;Cal'!H44</f>
        <v>19800</v>
      </c>
      <c r="F31" s="73">
        <f>'Yrly Projections&amp;Cal'!I44</f>
        <v>0</v>
      </c>
      <c r="G31" s="73">
        <f>'Yrly Projections&amp;Cal'!J44</f>
        <v>0</v>
      </c>
      <c r="H31" s="8"/>
    </row>
    <row r="32" spans="1:8">
      <c r="B32" s="9"/>
      <c r="C32" s="9"/>
      <c r="D32" s="10"/>
      <c r="E32" s="72"/>
      <c r="F32" s="11"/>
      <c r="G32" s="11"/>
      <c r="H32" s="8"/>
    </row>
    <row r="33" spans="1:8" ht="16.2" thickBot="1">
      <c r="A33" s="56"/>
      <c r="B33" s="21" t="s">
        <v>27</v>
      </c>
      <c r="C33" s="67"/>
      <c r="D33" s="22"/>
      <c r="E33" s="170">
        <f>'Yrly Projections&amp;Cal'!H46</f>
        <v>92048</v>
      </c>
      <c r="F33" s="75">
        <f>'Yrly Projections&amp;Cal'!I46</f>
        <v>80353.485669924907</v>
      </c>
      <c r="G33" s="75">
        <f>'Yrly Projections&amp;Cal'!J46</f>
        <v>82495.936674899553</v>
      </c>
      <c r="H33" s="8"/>
    </row>
    <row r="34" spans="1:8" ht="16.2" thickTop="1">
      <c r="B34" s="9"/>
      <c r="C34" s="9"/>
      <c r="D34" s="10"/>
      <c r="E34" s="61"/>
      <c r="F34" s="11"/>
      <c r="G34" s="11"/>
      <c r="H34" s="8"/>
    </row>
    <row r="35" spans="1:8">
      <c r="A35" s="148">
        <v>2</v>
      </c>
      <c r="B35" s="113" t="s">
        <v>84</v>
      </c>
      <c r="C35" s="103"/>
      <c r="D35" s="103"/>
      <c r="E35" s="103"/>
      <c r="F35" s="103"/>
      <c r="G35" s="103"/>
      <c r="H35" s="8"/>
    </row>
    <row r="36" spans="1:8">
      <c r="A36" s="125"/>
      <c r="B36" s="105" t="s">
        <v>87</v>
      </c>
      <c r="C36" s="106"/>
      <c r="D36" s="114"/>
      <c r="E36" s="111"/>
      <c r="F36" s="112"/>
      <c r="G36" s="112"/>
      <c r="H36" s="8"/>
    </row>
    <row r="37" spans="1:8">
      <c r="B37" s="9" t="s">
        <v>31</v>
      </c>
      <c r="C37" s="9"/>
      <c r="D37" s="10" t="s">
        <v>172</v>
      </c>
      <c r="E37" s="74">
        <f>'Yrly Projections&amp;Cal'!H64</f>
        <v>239532</v>
      </c>
      <c r="F37" s="74">
        <f>F105</f>
        <v>358423.17411699239</v>
      </c>
      <c r="G37" s="74">
        <f>G105</f>
        <v>478778.48223593959</v>
      </c>
      <c r="H37" s="8"/>
    </row>
    <row r="38" spans="1:8">
      <c r="B38" s="9" t="s">
        <v>32</v>
      </c>
      <c r="C38" s="9"/>
      <c r="D38" s="10" t="s">
        <v>172</v>
      </c>
      <c r="E38" s="74">
        <f>'Yrly Projections&amp;Cal'!H65</f>
        <v>827</v>
      </c>
      <c r="F38" s="74">
        <f>'Yrly Projections&amp;Cal'!I54</f>
        <v>1952.2945999999999</v>
      </c>
      <c r="G38" s="74">
        <f>'Yrly Projections&amp;Cal'!J65</f>
        <v>4256.0022280000003</v>
      </c>
      <c r="H38" s="8"/>
    </row>
    <row r="39" spans="1:8">
      <c r="B39" s="9" t="s">
        <v>33</v>
      </c>
      <c r="C39" s="9"/>
      <c r="D39" s="10" t="s">
        <v>172</v>
      </c>
      <c r="E39" s="172">
        <f>'Yrly Projections&amp;Cal'!H66</f>
        <v>93383</v>
      </c>
      <c r="F39" s="172">
        <f>'Yrly Projections&amp;Cal'!I55</f>
        <v>104935.83474999999</v>
      </c>
      <c r="G39" s="172">
        <f>'Yrly Projections&amp;Cal'!J55</f>
        <v>125020.06544749999</v>
      </c>
      <c r="H39" s="8"/>
    </row>
    <row r="40" spans="1:8">
      <c r="B40" s="9" t="s">
        <v>34</v>
      </c>
      <c r="C40" s="9"/>
      <c r="D40" s="10" t="s">
        <v>172</v>
      </c>
      <c r="E40" s="172">
        <f>'Yrly Projections&amp;Cal'!H67</f>
        <v>15515</v>
      </c>
      <c r="F40" s="172">
        <f>'Yrly Projections&amp;Cal'!I56</f>
        <v>18058.725049999997</v>
      </c>
      <c r="G40" s="172">
        <f>'Yrly Projections&amp;Cal'!J56</f>
        <v>20748.010861499999</v>
      </c>
      <c r="H40" s="8"/>
    </row>
    <row r="41" spans="1:8">
      <c r="B41" s="9" t="s">
        <v>35</v>
      </c>
      <c r="C41" s="9"/>
      <c r="D41" s="10" t="s">
        <v>172</v>
      </c>
      <c r="E41" s="172">
        <f>'Yrly Projections&amp;Cal'!H68</f>
        <v>114</v>
      </c>
      <c r="F41" s="172">
        <f>'Yrly Projections&amp;Cal'!I68</f>
        <v>114</v>
      </c>
      <c r="G41" s="172">
        <f>'Yrly Projections&amp;Cal'!J68</f>
        <v>114</v>
      </c>
      <c r="H41" s="8"/>
    </row>
    <row r="42" spans="1:8">
      <c r="A42" s="1"/>
      <c r="B42" s="18" t="s">
        <v>88</v>
      </c>
      <c r="C42" s="18"/>
      <c r="D42" s="25"/>
      <c r="E42" s="169">
        <f>SUM(E37:E41)</f>
        <v>349371</v>
      </c>
      <c r="F42" s="169">
        <f t="shared" ref="F42:G42" si="0">SUM(F37:F41)</f>
        <v>483484.0285169924</v>
      </c>
      <c r="G42" s="169">
        <f t="shared" si="0"/>
        <v>628916.5607729397</v>
      </c>
      <c r="H42" s="8"/>
    </row>
    <row r="43" spans="1:8" ht="6" customHeight="1">
      <c r="B43" s="9"/>
      <c r="C43" s="9"/>
      <c r="D43" s="23"/>
      <c r="E43" s="72"/>
      <c r="F43" s="11"/>
      <c r="G43" s="11"/>
      <c r="H43" s="8"/>
    </row>
    <row r="44" spans="1:8">
      <c r="B44" s="12" t="s">
        <v>85</v>
      </c>
      <c r="C44" s="9"/>
      <c r="D44" s="23"/>
      <c r="E44" s="72"/>
      <c r="F44" s="11"/>
      <c r="G44" s="11"/>
      <c r="H44" s="8"/>
    </row>
    <row r="45" spans="1:8">
      <c r="B45" s="9" t="s">
        <v>36</v>
      </c>
      <c r="C45" s="9"/>
      <c r="D45" s="10" t="s">
        <v>172</v>
      </c>
      <c r="E45" s="72">
        <f>'Yrly Projections&amp;Cal'!H72</f>
        <v>3273</v>
      </c>
      <c r="F45" s="72">
        <f>'Yrly Projections&amp;Cal'!I72</f>
        <v>2881.9061159050389</v>
      </c>
      <c r="G45" s="72">
        <f>'Yrly Projections&amp;Cal'!J72</f>
        <v>2587.7249547345059</v>
      </c>
      <c r="H45" s="8"/>
    </row>
    <row r="46" spans="1:8">
      <c r="B46" s="9" t="s">
        <v>37</v>
      </c>
      <c r="C46" s="9"/>
      <c r="D46" s="10" t="s">
        <v>172</v>
      </c>
      <c r="E46" s="172">
        <f>'Yrly Projections&amp;Cal'!H73</f>
        <v>12242</v>
      </c>
      <c r="F46" s="172">
        <f>'Yrly Projections&amp;Cal'!I73</f>
        <v>9789.7687839999999</v>
      </c>
      <c r="G46" s="172">
        <f>'Yrly Projections&amp;Cal'!J73</f>
        <v>7116.836758559999</v>
      </c>
      <c r="H46" s="8"/>
    </row>
    <row r="47" spans="1:8">
      <c r="B47" s="9" t="s">
        <v>38</v>
      </c>
      <c r="C47" s="9"/>
      <c r="D47" s="10" t="s">
        <v>172</v>
      </c>
      <c r="E47" s="172">
        <f>'Yrly Projections&amp;Cal'!H74</f>
        <v>109659</v>
      </c>
      <c r="F47" s="172">
        <f>'Yrly Projections&amp;Cal'!I74</f>
        <v>67196.592449999996</v>
      </c>
      <c r="G47" s="172">
        <f>'Yrly Projections&amp;Cal'!J74</f>
        <v>20912.568220499998</v>
      </c>
      <c r="H47" s="8"/>
    </row>
    <row r="48" spans="1:8">
      <c r="B48" s="9" t="s">
        <v>39</v>
      </c>
      <c r="C48" s="9"/>
      <c r="D48" s="10" t="s">
        <v>172</v>
      </c>
      <c r="E48" s="172">
        <f>'Yrly Projections&amp;Cal'!H75</f>
        <v>280241</v>
      </c>
      <c r="F48" s="172">
        <f>'Yrly Projections&amp;Cal'!I75</f>
        <v>289026.32569999999</v>
      </c>
      <c r="G48" s="172">
        <f>'Yrly Projections&amp;Cal'!J75</f>
        <v>299134.3309915</v>
      </c>
      <c r="H48" s="8"/>
    </row>
    <row r="49" spans="1:8">
      <c r="B49" s="9" t="s">
        <v>40</v>
      </c>
      <c r="C49" s="9"/>
      <c r="D49" s="10" t="s">
        <v>172</v>
      </c>
      <c r="E49" s="172">
        <f>'Yrly Projections&amp;Cal'!H76</f>
        <v>28884</v>
      </c>
      <c r="F49" s="172">
        <f>'Yrly Projections&amp;Cal'!I76</f>
        <v>28884</v>
      </c>
      <c r="G49" s="172">
        <f>'Yrly Projections&amp;Cal'!J76</f>
        <v>28884</v>
      </c>
      <c r="H49" s="8"/>
    </row>
    <row r="50" spans="1:8">
      <c r="A50" s="1"/>
      <c r="B50" s="18" t="s">
        <v>86</v>
      </c>
      <c r="C50" s="18"/>
      <c r="D50" s="25"/>
      <c r="E50" s="73">
        <f>SUM(E45:E49)</f>
        <v>434299</v>
      </c>
      <c r="F50" s="73">
        <f t="shared" ref="F50:G50" si="1">SUM(F45:F49)</f>
        <v>397778.59304990503</v>
      </c>
      <c r="G50" s="73">
        <f t="shared" si="1"/>
        <v>358635.46092529449</v>
      </c>
      <c r="H50" s="8"/>
    </row>
    <row r="51" spans="1:8" ht="16.2" thickBot="1">
      <c r="A51" s="56"/>
      <c r="B51" s="21" t="s">
        <v>89</v>
      </c>
      <c r="C51" s="21"/>
      <c r="D51" s="27"/>
      <c r="E51" s="75">
        <f>E50+E42</f>
        <v>783670</v>
      </c>
      <c r="F51" s="75">
        <f>F50+F42</f>
        <v>881262.62156689749</v>
      </c>
      <c r="G51" s="75">
        <f>G50+G42</f>
        <v>987552.02169823414</v>
      </c>
      <c r="H51" s="8"/>
    </row>
    <row r="52" spans="1:8" ht="11.4" customHeight="1" thickTop="1">
      <c r="B52" s="12"/>
      <c r="C52" s="12"/>
      <c r="D52" s="28"/>
      <c r="E52" s="61"/>
      <c r="F52" s="11"/>
      <c r="G52" s="11"/>
      <c r="H52" s="8"/>
    </row>
    <row r="53" spans="1:8">
      <c r="B53" s="12" t="s">
        <v>91</v>
      </c>
      <c r="C53" s="9"/>
      <c r="D53" s="23"/>
      <c r="E53" s="61"/>
      <c r="F53" s="11"/>
      <c r="G53" s="11"/>
      <c r="H53" s="8"/>
    </row>
    <row r="54" spans="1:8">
      <c r="B54" s="12" t="s">
        <v>94</v>
      </c>
      <c r="C54" s="9"/>
      <c r="D54" s="23"/>
      <c r="E54" s="61"/>
      <c r="F54" s="61"/>
      <c r="G54" s="11"/>
      <c r="H54" s="8"/>
    </row>
    <row r="55" spans="1:8">
      <c r="B55" s="9" t="s">
        <v>41</v>
      </c>
      <c r="C55" s="9"/>
      <c r="D55" s="10" t="s">
        <v>172</v>
      </c>
      <c r="E55" s="61">
        <f>'Yrly Projections&amp;Cal'!H82</f>
        <v>67769</v>
      </c>
      <c r="F55" s="61">
        <f>'Yrly Projections&amp;Cal'!I82</f>
        <v>67769</v>
      </c>
      <c r="G55" s="61">
        <f>'Yrly Projections&amp;Cal'!J82</f>
        <v>67769</v>
      </c>
      <c r="H55" s="8"/>
    </row>
    <row r="56" spans="1:8">
      <c r="B56" s="9" t="s">
        <v>42</v>
      </c>
      <c r="C56" s="9"/>
      <c r="D56" s="10" t="s">
        <v>172</v>
      </c>
      <c r="E56" s="61">
        <f>'Yrly Projections&amp;Cal'!H83</f>
        <v>12156</v>
      </c>
      <c r="F56" s="61">
        <f>'Yrly Projections&amp;Cal'!I83</f>
        <v>8035.3485669924912</v>
      </c>
      <c r="G56" s="61">
        <f>'Yrly Projections&amp;Cal'!J83</f>
        <v>9899.5124009879455</v>
      </c>
      <c r="H56" s="8"/>
    </row>
    <row r="57" spans="1:8">
      <c r="B57" s="9" t="s">
        <v>43</v>
      </c>
      <c r="C57" s="9"/>
      <c r="D57" s="10" t="s">
        <v>172</v>
      </c>
      <c r="E57" s="61">
        <f>'Yrly Projections&amp;Cal'!H84</f>
        <v>2238</v>
      </c>
      <c r="F57" s="61">
        <f>'Yrly Projections&amp;Cal'!I84</f>
        <v>2238</v>
      </c>
      <c r="G57" s="61">
        <f>'Yrly Projections&amp;Cal'!J84</f>
        <v>2238</v>
      </c>
      <c r="H57" s="8"/>
    </row>
    <row r="58" spans="1:8">
      <c r="B58" s="9" t="s">
        <v>44</v>
      </c>
      <c r="C58" s="9"/>
      <c r="D58" s="10" t="s">
        <v>172</v>
      </c>
      <c r="E58" s="61">
        <f>'Yrly Projections&amp;Cal'!H85</f>
        <v>109019</v>
      </c>
      <c r="F58" s="61">
        <f>'Yrly Projections&amp;Cal'!I85</f>
        <v>109019</v>
      </c>
      <c r="G58" s="61">
        <f>'Yrly Projections&amp;Cal'!J85</f>
        <v>109019</v>
      </c>
      <c r="H58" s="8"/>
    </row>
    <row r="59" spans="1:8">
      <c r="B59" s="9" t="s">
        <v>45</v>
      </c>
      <c r="C59" s="9"/>
      <c r="D59" s="10" t="s">
        <v>172</v>
      </c>
      <c r="E59" s="61">
        <f>'Yrly Projections&amp;Cal'!H86</f>
        <v>6322</v>
      </c>
      <c r="F59" s="61">
        <f>'Yrly Projections&amp;Cal'!I86</f>
        <v>6322</v>
      </c>
      <c r="G59" s="61">
        <f>'Yrly Projections&amp;Cal'!J86</f>
        <v>6322</v>
      </c>
      <c r="H59" s="8"/>
    </row>
    <row r="60" spans="1:8">
      <c r="A60" s="1"/>
      <c r="B60" s="18" t="s">
        <v>112</v>
      </c>
      <c r="C60" s="18"/>
      <c r="D60" s="19" t="str">
        <f>D59</f>
        <v>US$'000</v>
      </c>
      <c r="E60" s="71">
        <f>SUM(E55:E59)</f>
        <v>197504</v>
      </c>
      <c r="F60" s="71">
        <f t="shared" ref="F60:G60" si="2">SUM(F55:F59)</f>
        <v>193383.3485669925</v>
      </c>
      <c r="G60" s="71">
        <f t="shared" si="2"/>
        <v>195247.51240098797</v>
      </c>
      <c r="H60" s="8"/>
    </row>
    <row r="61" spans="1:8">
      <c r="B61" s="12" t="s">
        <v>92</v>
      </c>
      <c r="C61" s="9"/>
      <c r="D61" s="23"/>
      <c r="E61" s="61"/>
      <c r="F61" s="11"/>
      <c r="G61" s="11"/>
      <c r="H61" s="8"/>
    </row>
    <row r="62" spans="1:8">
      <c r="B62" s="9" t="s">
        <v>46</v>
      </c>
      <c r="C62" s="9"/>
      <c r="D62" s="10" t="s">
        <v>172</v>
      </c>
      <c r="E62" s="61">
        <f>'Yrly Projections&amp;Cal'!H90</f>
        <v>1333</v>
      </c>
      <c r="F62" s="61">
        <f>E62</f>
        <v>1333</v>
      </c>
      <c r="G62" s="61">
        <f>'Yrly Projections&amp;Cal'!J90</f>
        <v>1333</v>
      </c>
      <c r="H62" s="8"/>
    </row>
    <row r="63" spans="1:8">
      <c r="B63" s="9" t="s">
        <v>47</v>
      </c>
      <c r="C63" s="9"/>
      <c r="D63" s="10" t="s">
        <v>172</v>
      </c>
      <c r="E63" s="74">
        <f>'Yrly Projections&amp;Cal'!H91</f>
        <v>13340</v>
      </c>
      <c r="F63" s="74">
        <f>'Yrly Projections&amp;Cal'!I91</f>
        <v>13340</v>
      </c>
      <c r="G63" s="74">
        <f>'Yrly Projections&amp;Cal'!J91</f>
        <v>13340</v>
      </c>
      <c r="H63" s="8"/>
    </row>
    <row r="64" spans="1:8">
      <c r="B64" s="9" t="s">
        <v>44</v>
      </c>
      <c r="C64" s="9"/>
      <c r="D64" s="10" t="s">
        <v>172</v>
      </c>
      <c r="E64" s="74">
        <f>'Yrly Projections&amp;Cal'!H92</f>
        <v>8170</v>
      </c>
      <c r="F64" s="74">
        <f>'Yrly Projections&amp;Cal'!I92</f>
        <v>8170</v>
      </c>
      <c r="G64" s="74">
        <f>'Yrly Projections&amp;Cal'!J92</f>
        <v>8170</v>
      </c>
      <c r="H64" s="8"/>
    </row>
    <row r="65" spans="1:8">
      <c r="B65" s="9" t="s">
        <v>48</v>
      </c>
      <c r="C65" s="9"/>
      <c r="D65" s="10" t="s">
        <v>172</v>
      </c>
      <c r="E65" s="74">
        <f>'Yrly Projections&amp;Cal'!H93</f>
        <v>1912</v>
      </c>
      <c r="F65" s="74">
        <f>'Yrly Projections&amp;Cal'!I93</f>
        <v>1912</v>
      </c>
      <c r="G65" s="74">
        <f>'Yrly Projections&amp;Cal'!J93</f>
        <v>1912</v>
      </c>
      <c r="H65" s="8"/>
    </row>
    <row r="66" spans="1:8">
      <c r="B66" s="9" t="s">
        <v>45</v>
      </c>
      <c r="C66" s="9"/>
      <c r="D66" s="10" t="s">
        <v>172</v>
      </c>
      <c r="E66" s="74">
        <f>'Yrly Projections&amp;Cal'!H94</f>
        <v>6080</v>
      </c>
      <c r="F66" s="74">
        <f>'Yrly Projections&amp;Cal'!I94</f>
        <v>6080</v>
      </c>
      <c r="G66" s="74">
        <f>'Yrly Projections&amp;Cal'!J94</f>
        <v>6080</v>
      </c>
      <c r="H66" s="8"/>
    </row>
    <row r="67" spans="1:8">
      <c r="A67" s="1"/>
      <c r="B67" s="18" t="s">
        <v>93</v>
      </c>
      <c r="C67" s="18"/>
      <c r="D67" s="25"/>
      <c r="E67" s="73">
        <f>SUM(E62:E66)</f>
        <v>30835</v>
      </c>
      <c r="F67" s="73">
        <f t="shared" ref="F67:G67" si="3">SUM(F62:F66)</f>
        <v>30835</v>
      </c>
      <c r="G67" s="73">
        <f t="shared" si="3"/>
        <v>30835</v>
      </c>
      <c r="H67" s="8"/>
    </row>
    <row r="68" spans="1:8" ht="16.2" thickBot="1">
      <c r="A68" s="56"/>
      <c r="B68" s="21" t="s">
        <v>95</v>
      </c>
      <c r="C68" s="21"/>
      <c r="D68" s="27"/>
      <c r="E68" s="75">
        <f>E67+E60</f>
        <v>228339</v>
      </c>
      <c r="F68" s="75">
        <f t="shared" ref="F68:G68" si="4">F67+F60</f>
        <v>224218.3485669925</v>
      </c>
      <c r="G68" s="75">
        <f t="shared" si="4"/>
        <v>226082.51240098797</v>
      </c>
      <c r="H68" s="8"/>
    </row>
    <row r="69" spans="1:8" ht="16.2" thickTop="1">
      <c r="B69" s="12" t="s">
        <v>111</v>
      </c>
      <c r="C69" s="12"/>
      <c r="D69" s="28"/>
      <c r="E69" s="61"/>
      <c r="F69" s="11">
        <f>F72-E72</f>
        <v>101713.27299990493</v>
      </c>
      <c r="G69" s="11">
        <f>G72-F72</f>
        <v>104425.23629734118</v>
      </c>
      <c r="H69" s="8"/>
    </row>
    <row r="70" spans="1:8">
      <c r="B70" s="12" t="s">
        <v>49</v>
      </c>
      <c r="C70" s="12"/>
      <c r="D70" s="28"/>
      <c r="E70" s="61">
        <f>'Yrly Projections&amp;Cal'!H98</f>
        <v>107701</v>
      </c>
      <c r="F70" s="61">
        <f>'Yrly Projections&amp;Cal'!I98</f>
        <v>107701</v>
      </c>
      <c r="G70" s="61">
        <f>'Yrly Projections&amp;Cal'!J98</f>
        <v>107701</v>
      </c>
      <c r="H70" s="8"/>
    </row>
    <row r="71" spans="1:8">
      <c r="B71" s="12" t="s">
        <v>50</v>
      </c>
      <c r="C71" s="12"/>
      <c r="D71" s="23" t="s">
        <v>172</v>
      </c>
      <c r="E71" s="61">
        <f>'Yrly Projections&amp;Cal'!H99</f>
        <v>10404</v>
      </c>
      <c r="F71" s="61">
        <f>'Yrly Projections&amp;Cal'!I99</f>
        <v>10404</v>
      </c>
      <c r="G71" s="61">
        <f>'Yrly Projections&amp;Cal'!J99</f>
        <v>10404</v>
      </c>
      <c r="H71" s="8"/>
    </row>
    <row r="72" spans="1:8">
      <c r="B72" s="12" t="s">
        <v>51</v>
      </c>
      <c r="C72" s="12"/>
      <c r="D72" s="23" t="s">
        <v>172</v>
      </c>
      <c r="E72" s="61">
        <f>'Yrly Projections&amp;Cal'!H100</f>
        <v>426397</v>
      </c>
      <c r="F72" s="61">
        <f>'Yrly Projections&amp;Cal'!I100</f>
        <v>528110.27299990493</v>
      </c>
      <c r="G72" s="61">
        <f>'Yrly Projections&amp;Cal'!J100</f>
        <v>632535.50929724611</v>
      </c>
      <c r="H72" s="8"/>
    </row>
    <row r="73" spans="1:8">
      <c r="B73" s="12" t="s">
        <v>53</v>
      </c>
      <c r="C73" s="12"/>
      <c r="D73" s="23" t="s">
        <v>172</v>
      </c>
      <c r="E73" s="61">
        <f>'Yrly Projections&amp;Cal'!H101</f>
        <v>10829</v>
      </c>
      <c r="F73" s="61">
        <f>'Yrly Projections&amp;Cal'!I101</f>
        <v>10829</v>
      </c>
      <c r="G73" s="61">
        <f>'Yrly Projections&amp;Cal'!J101</f>
        <v>10829</v>
      </c>
      <c r="H73" s="8"/>
    </row>
    <row r="74" spans="1:8">
      <c r="B74" s="53" t="s">
        <v>119</v>
      </c>
      <c r="C74" s="53"/>
      <c r="D74" s="30" t="s">
        <v>172</v>
      </c>
      <c r="E74" s="121">
        <f>SUM(E70:E73)</f>
        <v>555331</v>
      </c>
      <c r="F74" s="121">
        <f t="shared" ref="F74:G74" si="5">SUM(F70:F73)</f>
        <v>657044.27299990493</v>
      </c>
      <c r="G74" s="121">
        <f t="shared" si="5"/>
        <v>761469.50929724611</v>
      </c>
      <c r="H74" s="8"/>
    </row>
    <row r="75" spans="1:8" ht="16.2" thickBot="1">
      <c r="A75" s="56"/>
      <c r="B75" s="21" t="s">
        <v>96</v>
      </c>
      <c r="C75" s="21"/>
      <c r="D75" s="27" t="s">
        <v>172</v>
      </c>
      <c r="E75" s="75">
        <f>E74+E68</f>
        <v>783670</v>
      </c>
      <c r="F75" s="75">
        <f t="shared" ref="F75:G75" si="6">F74+F68</f>
        <v>881262.62156689749</v>
      </c>
      <c r="G75" s="75">
        <f t="shared" si="6"/>
        <v>987552.02169823414</v>
      </c>
      <c r="H75" s="8"/>
    </row>
    <row r="76" spans="1:8" ht="16.2" thickTop="1">
      <c r="B76" s="9"/>
      <c r="C76" s="9"/>
      <c r="D76" s="10"/>
      <c r="E76" s="31">
        <f>E75-E51</f>
        <v>0</v>
      </c>
      <c r="F76" s="31">
        <f>F75-F51</f>
        <v>0</v>
      </c>
      <c r="G76" s="31">
        <f>G75-G51</f>
        <v>0</v>
      </c>
      <c r="H76" s="8"/>
    </row>
    <row r="77" spans="1:8">
      <c r="B77" s="9" t="s">
        <v>97</v>
      </c>
      <c r="C77" s="9"/>
      <c r="D77" s="23"/>
      <c r="E77" s="32" t="str">
        <f>IF(ABS(E75-E51)&gt;1,"ERROR","OK")</f>
        <v>OK</v>
      </c>
      <c r="F77" s="32" t="str">
        <f>IF(ABS(F75-F51)&gt;1,"ERROR","OK")</f>
        <v>OK</v>
      </c>
      <c r="G77" s="32" t="str">
        <f>IF(ABS(G75-G51)&gt;1,"ERROR","OK")</f>
        <v>OK</v>
      </c>
      <c r="H77" s="8"/>
    </row>
    <row r="78" spans="1:8">
      <c r="B78" s="9"/>
      <c r="C78" s="9"/>
      <c r="D78" s="10"/>
      <c r="E78" s="16"/>
      <c r="F78" s="17"/>
      <c r="G78" s="17"/>
      <c r="H78" s="8"/>
    </row>
    <row r="79" spans="1:8">
      <c r="A79" s="148">
        <v>3</v>
      </c>
      <c r="B79" s="113" t="s">
        <v>98</v>
      </c>
      <c r="C79" s="115"/>
      <c r="D79" s="116"/>
      <c r="E79" s="115"/>
      <c r="F79" s="115"/>
      <c r="G79" s="115"/>
      <c r="H79" s="8"/>
    </row>
    <row r="80" spans="1:8">
      <c r="A80" s="124"/>
      <c r="B80" s="107" t="s">
        <v>99</v>
      </c>
      <c r="C80" s="108"/>
      <c r="D80" s="117"/>
      <c r="E80" s="118"/>
      <c r="F80" s="118"/>
      <c r="G80" s="118"/>
      <c r="H80" s="8"/>
    </row>
    <row r="81" spans="1:8">
      <c r="B81" s="12" t="s">
        <v>77</v>
      </c>
      <c r="C81" s="9"/>
      <c r="D81" s="23" t="s">
        <v>172</v>
      </c>
      <c r="E81" s="17">
        <f>E16</f>
        <v>131323</v>
      </c>
      <c r="F81" s="17">
        <f>F16</f>
        <v>141181.82724999991</v>
      </c>
      <c r="G81" s="17">
        <f>G16</f>
        <v>146623.91597650008</v>
      </c>
      <c r="H81" s="8"/>
    </row>
    <row r="82" spans="1:8">
      <c r="B82" s="12" t="s">
        <v>246</v>
      </c>
      <c r="C82" s="9"/>
      <c r="D82" s="33"/>
      <c r="E82" s="17"/>
      <c r="F82" s="17"/>
      <c r="G82" s="17"/>
      <c r="H82" s="8"/>
    </row>
    <row r="83" spans="1:8">
      <c r="B83" s="12" t="str">
        <f>B39</f>
        <v>Accounts receivable</v>
      </c>
      <c r="C83" s="9"/>
      <c r="D83" s="23" t="s">
        <v>172</v>
      </c>
      <c r="E83" s="17"/>
      <c r="F83" s="17">
        <f>-(F39-E39)</f>
        <v>-11552.834749999995</v>
      </c>
      <c r="G83" s="17">
        <f>-(G39-F39)</f>
        <v>-20084.230697499996</v>
      </c>
      <c r="H83" s="8"/>
    </row>
    <row r="84" spans="1:8">
      <c r="B84" s="12" t="str">
        <f t="shared" ref="B84:B85" si="7">B40</f>
        <v>Prepaid expenses and other assets</v>
      </c>
      <c r="C84" s="9"/>
      <c r="D84" s="23" t="s">
        <v>172</v>
      </c>
      <c r="E84" s="17"/>
      <c r="F84" s="17">
        <f>-(F40-E40)</f>
        <v>-2543.7250499999973</v>
      </c>
      <c r="G84" s="17">
        <f>-(G40-F40)</f>
        <v>-2689.2858115000017</v>
      </c>
      <c r="H84" s="8"/>
    </row>
    <row r="85" spans="1:8">
      <c r="B85" s="12" t="str">
        <f t="shared" si="7"/>
        <v>Income taxes recoverable</v>
      </c>
      <c r="C85" s="9"/>
      <c r="D85" s="23" t="s">
        <v>172</v>
      </c>
      <c r="E85" s="17"/>
      <c r="F85" s="17">
        <f t="shared" ref="F85:G85" si="8">-(F41-E41)</f>
        <v>0</v>
      </c>
      <c r="G85" s="17">
        <f t="shared" si="8"/>
        <v>0</v>
      </c>
      <c r="H85" s="8"/>
    </row>
    <row r="86" spans="1:8">
      <c r="B86" s="12" t="str">
        <f>B55</f>
        <v>Accounts payable and accrued liabilities</v>
      </c>
      <c r="C86" s="9"/>
      <c r="D86" s="23" t="s">
        <v>172</v>
      </c>
      <c r="E86" s="17"/>
      <c r="F86" s="17">
        <f t="shared" ref="F86:G87" si="9">(F55-E55)</f>
        <v>0</v>
      </c>
      <c r="G86" s="17">
        <f t="shared" si="9"/>
        <v>0</v>
      </c>
      <c r="H86" s="8"/>
    </row>
    <row r="87" spans="1:8">
      <c r="B87" s="12" t="str">
        <f>B56</f>
        <v>Dividends payable</v>
      </c>
      <c r="C87" s="9"/>
      <c r="D87" s="23" t="s">
        <v>172</v>
      </c>
      <c r="E87" s="17"/>
      <c r="F87" s="17">
        <f>(F56-E56)</f>
        <v>-4120.6514330075088</v>
      </c>
      <c r="G87" s="17">
        <f t="shared" si="9"/>
        <v>1864.1638339954543</v>
      </c>
      <c r="H87" s="8"/>
    </row>
    <row r="88" spans="1:8">
      <c r="B88" s="12" t="s">
        <v>217</v>
      </c>
      <c r="C88" s="9"/>
      <c r="D88" s="23" t="s">
        <v>172</v>
      </c>
      <c r="E88" s="17"/>
      <c r="F88" s="17">
        <f>(F62-E62)</f>
        <v>0</v>
      </c>
      <c r="G88" s="17">
        <f>(G62-F62)</f>
        <v>0</v>
      </c>
      <c r="H88" s="8"/>
    </row>
    <row r="89" spans="1:8">
      <c r="B89" s="18" t="s">
        <v>213</v>
      </c>
      <c r="C89" s="36"/>
      <c r="D89" s="37" t="s">
        <v>172</v>
      </c>
      <c r="E89" s="38"/>
      <c r="F89" s="38">
        <f>SUM(F81:F88)</f>
        <v>122964.61601699241</v>
      </c>
      <c r="G89" s="38">
        <f>SUM(G81:G88)</f>
        <v>125714.56330149554</v>
      </c>
      <c r="H89" s="8"/>
    </row>
    <row r="90" spans="1:8">
      <c r="B90" s="12"/>
      <c r="C90" s="9"/>
      <c r="D90" s="33"/>
      <c r="E90" s="17"/>
      <c r="F90" s="17"/>
      <c r="G90" s="17"/>
      <c r="H90" s="8"/>
    </row>
    <row r="91" spans="1:8">
      <c r="A91" s="124"/>
      <c r="B91" s="107" t="s">
        <v>100</v>
      </c>
      <c r="C91" s="108"/>
      <c r="D91" s="117"/>
      <c r="E91" s="118"/>
      <c r="F91" s="118"/>
      <c r="G91" s="118"/>
      <c r="H91" s="8"/>
    </row>
    <row r="92" spans="1:8">
      <c r="B92" s="12" t="s">
        <v>179</v>
      </c>
      <c r="C92" s="9"/>
      <c r="D92" s="23" t="s">
        <v>172</v>
      </c>
      <c r="E92" s="17"/>
      <c r="F92" s="17">
        <f>-'Capital schedule'!K43</f>
        <v>-1809</v>
      </c>
      <c r="G92" s="17">
        <f>-'Capital schedule'!K56</f>
        <v>-1828.5469975483061</v>
      </c>
      <c r="H92" s="8"/>
    </row>
    <row r="93" spans="1:8">
      <c r="B93" s="12" t="s">
        <v>244</v>
      </c>
      <c r="C93" s="9"/>
      <c r="D93" s="23" t="s">
        <v>172</v>
      </c>
      <c r="E93" s="17"/>
      <c r="F93" s="17">
        <f>F21</f>
        <v>-976.14729999999997</v>
      </c>
      <c r="G93" s="17">
        <f>G21</f>
        <v>-1064.0005570000001</v>
      </c>
      <c r="H93" s="8"/>
    </row>
    <row r="94" spans="1:8">
      <c r="B94" s="12" t="str">
        <f>B38</f>
        <v>Short-term investments</v>
      </c>
      <c r="C94" s="9"/>
      <c r="D94" s="23" t="s">
        <v>172</v>
      </c>
      <c r="E94" s="17"/>
      <c r="F94" s="17">
        <f>-(F38-E38)</f>
        <v>-1125.2945999999999</v>
      </c>
      <c r="G94" s="17">
        <f>-(G38-F38)</f>
        <v>-2303.7076280000001</v>
      </c>
      <c r="H94" s="8"/>
    </row>
    <row r="95" spans="1:8">
      <c r="A95" s="1"/>
      <c r="B95" s="18" t="s">
        <v>136</v>
      </c>
      <c r="C95" s="36"/>
      <c r="D95" s="37" t="s">
        <v>172</v>
      </c>
      <c r="E95" s="38"/>
      <c r="F95" s="38">
        <f>SUM(F92:F94)</f>
        <v>-3910.4418999999998</v>
      </c>
      <c r="G95" s="38">
        <f>SUM(G92:G94)</f>
        <v>-5196.255182548306</v>
      </c>
      <c r="H95" s="8"/>
    </row>
    <row r="96" spans="1:8">
      <c r="B96" s="9"/>
      <c r="C96" s="9"/>
      <c r="D96" s="33"/>
      <c r="E96" s="17"/>
      <c r="F96" s="17"/>
      <c r="G96" s="17"/>
      <c r="H96" s="8"/>
    </row>
    <row r="97" spans="1:8">
      <c r="A97" s="124"/>
      <c r="B97" s="107" t="s">
        <v>101</v>
      </c>
      <c r="C97" s="108"/>
      <c r="D97" s="117"/>
      <c r="E97" s="118"/>
      <c r="F97" s="118"/>
      <c r="G97" s="118"/>
      <c r="H97" s="8"/>
    </row>
    <row r="98" spans="1:8">
      <c r="B98" s="9" t="s">
        <v>148</v>
      </c>
      <c r="C98" s="9"/>
      <c r="D98" s="33"/>
      <c r="E98" s="24"/>
      <c r="F98" s="20"/>
      <c r="G98" s="20"/>
      <c r="H98" s="8"/>
    </row>
    <row r="99" spans="1:8">
      <c r="B99" s="12" t="s">
        <v>216</v>
      </c>
      <c r="C99" s="9"/>
      <c r="D99" s="23" t="s">
        <v>172</v>
      </c>
      <c r="E99" s="24"/>
      <c r="F99" s="24">
        <v>-163</v>
      </c>
      <c r="G99" s="24">
        <f>G23</f>
        <v>-163</v>
      </c>
      <c r="H99" s="8"/>
    </row>
    <row r="100" spans="1:8">
      <c r="A100" s="1"/>
      <c r="B100" s="36" t="s">
        <v>140</v>
      </c>
      <c r="C100" s="36"/>
      <c r="D100" s="37"/>
      <c r="E100" s="26"/>
      <c r="F100" s="26">
        <f>SUM(F98:F99)</f>
        <v>-163</v>
      </c>
      <c r="G100" s="26">
        <f>SUM(G98:G99)</f>
        <v>-163</v>
      </c>
      <c r="H100" s="8"/>
    </row>
    <row r="101" spans="1:8" ht="10.199999999999999" customHeight="1">
      <c r="B101" s="12"/>
      <c r="C101" s="9"/>
      <c r="D101" s="33"/>
      <c r="E101" s="17"/>
      <c r="F101" s="17"/>
      <c r="G101" s="17"/>
      <c r="H101" s="8"/>
    </row>
    <row r="102" spans="1:8">
      <c r="A102" s="1"/>
      <c r="B102" s="18" t="s">
        <v>142</v>
      </c>
      <c r="C102" s="18"/>
      <c r="D102" s="35" t="s">
        <v>172</v>
      </c>
      <c r="E102" s="29"/>
      <c r="F102" s="29">
        <f>F100+F95+F89</f>
        <v>118891.17411699241</v>
      </c>
      <c r="G102" s="29">
        <f>G100+G95+G89</f>
        <v>120355.30811894723</v>
      </c>
      <c r="H102" s="8"/>
    </row>
    <row r="103" spans="1:8">
      <c r="A103" s="1"/>
      <c r="B103" s="18" t="s">
        <v>144</v>
      </c>
      <c r="C103" s="18"/>
      <c r="D103" s="40" t="s">
        <v>172</v>
      </c>
      <c r="E103" s="24"/>
      <c r="F103" s="13">
        <f>'Yrly Projections&amp;Cal'!H143</f>
        <v>239532</v>
      </c>
      <c r="G103" s="13">
        <f>F105</f>
        <v>358423.17411699239</v>
      </c>
      <c r="H103" s="8"/>
    </row>
    <row r="104" spans="1:8">
      <c r="D104" s="39" t="s">
        <v>172</v>
      </c>
      <c r="E104" s="122"/>
      <c r="F104" s="122"/>
      <c r="G104" s="122"/>
      <c r="H104" s="8"/>
    </row>
    <row r="105" spans="1:8" ht="16.2" thickBot="1">
      <c r="A105" s="56"/>
      <c r="B105" s="21" t="s">
        <v>143</v>
      </c>
      <c r="C105" s="21"/>
      <c r="D105" s="41" t="s">
        <v>172</v>
      </c>
      <c r="E105" s="68"/>
      <c r="F105" s="68">
        <f>F103+F102</f>
        <v>358423.17411699239</v>
      </c>
      <c r="G105" s="68">
        <f>G103+G102</f>
        <v>478778.48223593959</v>
      </c>
      <c r="H105" s="8"/>
    </row>
    <row r="106" spans="1:8" ht="16.8" thickTop="1" thickBot="1">
      <c r="B106" s="9" t="s">
        <v>97</v>
      </c>
      <c r="C106" s="9"/>
      <c r="D106" s="10"/>
      <c r="E106" s="123"/>
      <c r="F106" s="123">
        <f>F105-F37</f>
        <v>0</v>
      </c>
      <c r="G106" s="123">
        <f>G105-G37</f>
        <v>0</v>
      </c>
      <c r="H106" s="8"/>
    </row>
    <row r="107" spans="1:8" ht="16.2" thickTop="1">
      <c r="B107" s="9"/>
      <c r="C107" s="9"/>
      <c r="D107" s="10"/>
      <c r="E107" s="17"/>
      <c r="F107" s="17"/>
      <c r="G107" s="17"/>
      <c r="H107" s="8"/>
    </row>
    <row r="108" spans="1:8">
      <c r="A108" s="148">
        <v>4</v>
      </c>
      <c r="B108" s="113" t="s">
        <v>103</v>
      </c>
      <c r="C108" s="115"/>
      <c r="D108" s="115"/>
      <c r="E108" s="115"/>
      <c r="F108" s="115"/>
      <c r="G108" s="115"/>
      <c r="H108" s="8"/>
    </row>
    <row r="109" spans="1:8">
      <c r="A109" s="125"/>
      <c r="B109" s="44" t="s">
        <v>104</v>
      </c>
      <c r="C109" s="44"/>
      <c r="D109" s="45"/>
      <c r="E109" s="45"/>
      <c r="F109" s="45"/>
      <c r="G109" s="45"/>
      <c r="H109" s="8"/>
    </row>
    <row r="110" spans="1:8">
      <c r="B110" s="12" t="s">
        <v>105</v>
      </c>
      <c r="C110" s="9"/>
      <c r="D110" s="23" t="s">
        <v>172</v>
      </c>
      <c r="E110" s="52">
        <v>401247</v>
      </c>
      <c r="F110" s="52">
        <f>E115</f>
        <v>426397</v>
      </c>
      <c r="G110" s="52">
        <f>F115</f>
        <v>494594.48566992494</v>
      </c>
      <c r="H110" s="8"/>
    </row>
    <row r="111" spans="1:8">
      <c r="B111" s="12" t="s">
        <v>123</v>
      </c>
      <c r="C111" s="9"/>
      <c r="D111" s="23" t="s">
        <v>172</v>
      </c>
      <c r="E111" s="52">
        <f>E27</f>
        <v>72248</v>
      </c>
      <c r="F111" s="52">
        <f>F27</f>
        <v>80353.485669924936</v>
      </c>
      <c r="G111" s="52">
        <f>G27</f>
        <v>82495.936674899553</v>
      </c>
      <c r="H111" s="8"/>
    </row>
    <row r="112" spans="1:8">
      <c r="B112" s="9" t="s">
        <v>102</v>
      </c>
      <c r="C112" s="9"/>
      <c r="D112" s="23" t="s">
        <v>172</v>
      </c>
      <c r="E112" s="52">
        <v>46700</v>
      </c>
      <c r="F112" s="52">
        <f>E56</f>
        <v>12156</v>
      </c>
      <c r="G112" s="52">
        <f>F56</f>
        <v>8035.3485669924912</v>
      </c>
      <c r="H112" s="8"/>
    </row>
    <row r="113" spans="1:8">
      <c r="B113" s="9" t="s">
        <v>122</v>
      </c>
      <c r="C113" s="9"/>
      <c r="D113" s="23" t="s">
        <v>172</v>
      </c>
      <c r="E113" s="52">
        <v>398</v>
      </c>
      <c r="F113" s="52"/>
      <c r="G113" s="52">
        <v>0</v>
      </c>
      <c r="H113" s="8"/>
    </row>
    <row r="114" spans="1:8">
      <c r="A114" s="1"/>
      <c r="B114" s="18" t="s">
        <v>90</v>
      </c>
      <c r="C114" s="36"/>
      <c r="D114" s="224" t="s">
        <v>172</v>
      </c>
      <c r="E114" s="69">
        <f>E110+E111-E112-E113</f>
        <v>426397</v>
      </c>
      <c r="F114" s="69">
        <f>F110+F111-F112-F113</f>
        <v>494594.48566992494</v>
      </c>
      <c r="G114" s="69">
        <f>G110+G111-G112-G113</f>
        <v>569055.07377783209</v>
      </c>
      <c r="H114" s="8"/>
    </row>
    <row r="115" spans="1:8" ht="16.2" thickBot="1">
      <c r="A115" s="56"/>
      <c r="B115" s="54" t="s">
        <v>106</v>
      </c>
      <c r="C115" s="67"/>
      <c r="D115" s="205" t="s">
        <v>172</v>
      </c>
      <c r="E115" s="223">
        <f>E114</f>
        <v>426397</v>
      </c>
      <c r="F115" s="70">
        <f>F114</f>
        <v>494594.48566992494</v>
      </c>
      <c r="G115" s="70">
        <f>G114</f>
        <v>569055.07377783209</v>
      </c>
      <c r="H115" s="8"/>
    </row>
    <row r="116" spans="1:8" ht="16.2" thickTop="1">
      <c r="H116" s="8"/>
    </row>
    <row r="117" spans="1:8">
      <c r="H117" s="8"/>
    </row>
    <row r="118" spans="1:8">
      <c r="A118" s="8"/>
      <c r="B118" s="8"/>
      <c r="C118" s="8"/>
      <c r="D118" s="8"/>
      <c r="E118" s="8"/>
      <c r="F118" s="8"/>
      <c r="G118" s="8"/>
      <c r="H118" s="8"/>
    </row>
    <row r="119" spans="1:8">
      <c r="E119" s="66"/>
    </row>
    <row r="120" spans="1:8" hidden="1">
      <c r="F120" s="2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Drop Down 1">
              <controlPr defaultSize="0" autoLine="0" autoPict="0">
                <anchor moveWithCells="1">
                  <from>
                    <xdr:col>1</xdr:col>
                    <xdr:colOff>1089660</xdr:colOff>
                    <xdr:row>0</xdr:row>
                    <xdr:rowOff>7620</xdr:rowOff>
                  </from>
                  <to>
                    <xdr:col>1</xdr:col>
                    <xdr:colOff>2636520</xdr:colOff>
                    <xdr:row>1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90499-943E-44B2-980F-ED825B4A1AF3}">
  <dimension ref="A1"/>
  <sheetViews>
    <sheetView showGridLines="0" workbookViewId="0">
      <selection activeCell="H27" sqref="H27"/>
    </sheetView>
  </sheetViews>
  <sheetFormatPr defaultRowHeight="15.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7D33-A8AD-4080-825A-61A228798DCB}">
  <dimension ref="A1:N155"/>
  <sheetViews>
    <sheetView showGridLines="0" zoomScale="90" zoomScaleNormal="90" workbookViewId="0">
      <pane ySplit="3" topLeftCell="A4" activePane="bottomLeft" state="frozen"/>
      <selection pane="bottomLeft" activeCell="D42" sqref="D42"/>
    </sheetView>
  </sheetViews>
  <sheetFormatPr defaultColWidth="0" defaultRowHeight="13.2" zeroHeight="1"/>
  <cols>
    <col min="1" max="1" width="3.19921875" style="9" customWidth="1"/>
    <col min="2" max="2" width="47.69921875" style="9" customWidth="1"/>
    <col min="3" max="3" width="15.59765625" style="9" customWidth="1"/>
    <col min="4" max="4" width="15" style="9" bestFit="1" customWidth="1"/>
    <col min="5" max="5" width="11.09765625" style="9" bestFit="1" customWidth="1"/>
    <col min="6" max="6" width="8.69921875" style="9" customWidth="1"/>
    <col min="7" max="7" width="7.19921875" style="9" customWidth="1"/>
    <col min="8" max="9" width="11.8984375" style="9" bestFit="1" customWidth="1"/>
    <col min="10" max="10" width="13.19921875" style="9" customWidth="1"/>
    <col min="11" max="11" width="2.09765625" style="9" customWidth="1"/>
    <col min="12" max="12" width="8.69921875" style="9" hidden="1" customWidth="1"/>
    <col min="13" max="13" width="11.69921875" style="9" hidden="1" customWidth="1"/>
    <col min="14" max="14" width="11.09765625" style="9" hidden="1" customWidth="1"/>
    <col min="15" max="16384" width="8.69921875" style="9" hidden="1"/>
  </cols>
  <sheetData>
    <row r="1" spans="1:11">
      <c r="A1" s="265"/>
      <c r="B1" s="128"/>
      <c r="C1" s="128"/>
      <c r="D1" s="128"/>
      <c r="E1" s="128"/>
      <c r="F1" s="129"/>
      <c r="G1" s="129"/>
      <c r="H1" s="130">
        <v>2023</v>
      </c>
      <c r="I1" s="131">
        <v>2024</v>
      </c>
      <c r="J1" s="131">
        <f>YEAR(J2)</f>
        <v>2025</v>
      </c>
      <c r="K1" s="59"/>
    </row>
    <row r="2" spans="1:11">
      <c r="A2" s="265"/>
      <c r="B2" s="128"/>
      <c r="C2" s="128"/>
      <c r="D2" s="128"/>
      <c r="E2" s="128"/>
      <c r="F2" s="129" t="s">
        <v>71</v>
      </c>
      <c r="G2" s="129"/>
      <c r="H2" s="100">
        <f>EDATE(H3,-12)+1</f>
        <v>45231</v>
      </c>
      <c r="I2" s="100">
        <v>45597</v>
      </c>
      <c r="J2" s="100">
        <f>I3+1</f>
        <v>45962</v>
      </c>
      <c r="K2" s="59"/>
    </row>
    <row r="3" spans="1:11">
      <c r="A3" s="265"/>
      <c r="B3" s="128"/>
      <c r="C3" s="128"/>
      <c r="D3" s="128"/>
      <c r="E3" s="128"/>
      <c r="F3" s="129" t="s">
        <v>72</v>
      </c>
      <c r="G3" s="129"/>
      <c r="H3" s="100">
        <f>I2-1</f>
        <v>45596</v>
      </c>
      <c r="I3" s="100">
        <f>EDATE(I2,12)-1</f>
        <v>45961</v>
      </c>
      <c r="J3" s="100">
        <f>EDATE(J2,12)-1</f>
        <v>46326</v>
      </c>
      <c r="K3" s="59"/>
    </row>
    <row r="4" spans="1:11">
      <c r="A4" s="5"/>
      <c r="B4" s="5"/>
      <c r="C4" s="5"/>
      <c r="D4" s="5"/>
      <c r="E4" s="5"/>
      <c r="F4" s="6"/>
      <c r="G4" s="6"/>
      <c r="H4" s="6"/>
      <c r="I4" s="7"/>
      <c r="J4" s="7"/>
      <c r="K4" s="59"/>
    </row>
    <row r="5" spans="1:11">
      <c r="A5" s="264"/>
      <c r="B5" s="132" t="s">
        <v>1</v>
      </c>
      <c r="C5" s="133" t="s">
        <v>113</v>
      </c>
      <c r="D5" s="133" t="s">
        <v>114</v>
      </c>
      <c r="E5" s="134"/>
      <c r="F5" s="134"/>
      <c r="G5" s="134"/>
      <c r="H5" s="134"/>
      <c r="I5" s="134"/>
      <c r="J5" s="134"/>
      <c r="K5" s="59"/>
    </row>
    <row r="6" spans="1:11">
      <c r="B6" s="107" t="s">
        <v>0</v>
      </c>
      <c r="C6" s="107"/>
      <c r="D6" s="107"/>
      <c r="E6" s="137" t="s">
        <v>118</v>
      </c>
      <c r="F6" s="137" t="s">
        <v>117</v>
      </c>
      <c r="G6" s="108"/>
      <c r="H6" s="108"/>
      <c r="I6" s="108"/>
      <c r="J6" s="108"/>
      <c r="K6" s="59"/>
    </row>
    <row r="7" spans="1:11">
      <c r="B7" s="9" t="s">
        <v>2</v>
      </c>
      <c r="C7" s="135">
        <v>1</v>
      </c>
      <c r="D7" s="135">
        <v>1</v>
      </c>
      <c r="E7" s="135">
        <v>7.4999999999999997E-2</v>
      </c>
      <c r="F7" s="136">
        <v>0.09</v>
      </c>
      <c r="H7" s="60">
        <v>80054</v>
      </c>
      <c r="I7" s="60">
        <f t="shared" ref="I7:J10" si="0">H7*(1+E7)</f>
        <v>86058.05</v>
      </c>
      <c r="J7" s="61">
        <f t="shared" si="0"/>
        <v>93803.274500000014</v>
      </c>
      <c r="K7" s="59"/>
    </row>
    <row r="8" spans="1:11">
      <c r="B8" s="9" t="s">
        <v>3</v>
      </c>
      <c r="C8" s="46">
        <v>1</v>
      </c>
      <c r="D8" s="46">
        <v>1</v>
      </c>
      <c r="E8" s="135">
        <v>7.4999999999999997E-2</v>
      </c>
      <c r="F8" s="136">
        <v>0.09</v>
      </c>
      <c r="H8" s="60">
        <v>297635</v>
      </c>
      <c r="I8" s="60">
        <f t="shared" si="0"/>
        <v>319957.625</v>
      </c>
      <c r="J8" s="61">
        <f t="shared" si="0"/>
        <v>348753.81125000003</v>
      </c>
      <c r="K8" s="59"/>
    </row>
    <row r="9" spans="1:11">
      <c r="B9" s="9" t="s">
        <v>4</v>
      </c>
      <c r="C9" s="46">
        <v>1</v>
      </c>
      <c r="D9" s="46">
        <v>1</v>
      </c>
      <c r="E9" s="135">
        <v>7.4999999999999997E-2</v>
      </c>
      <c r="F9" s="136">
        <v>0.09</v>
      </c>
      <c r="H9" s="60">
        <v>67273</v>
      </c>
      <c r="I9" s="60">
        <f t="shared" si="0"/>
        <v>72318.474999999991</v>
      </c>
      <c r="J9" s="61">
        <f t="shared" si="0"/>
        <v>78827.137749999994</v>
      </c>
      <c r="K9" s="59"/>
    </row>
    <row r="10" spans="1:11">
      <c r="B10" s="9" t="s">
        <v>5</v>
      </c>
      <c r="C10" s="48">
        <v>1</v>
      </c>
      <c r="D10" s="48">
        <v>1</v>
      </c>
      <c r="E10" s="135">
        <v>7.4999999999999997E-2</v>
      </c>
      <c r="F10" s="136">
        <v>0.09</v>
      </c>
      <c r="H10" s="60">
        <v>9060</v>
      </c>
      <c r="I10" s="60">
        <f t="shared" si="0"/>
        <v>9739.5</v>
      </c>
      <c r="J10" s="61">
        <f t="shared" si="0"/>
        <v>10616.055</v>
      </c>
      <c r="K10" s="59"/>
    </row>
    <row r="11" spans="1:11" ht="13.8" thickBot="1">
      <c r="A11" s="67"/>
      <c r="B11" s="21" t="s">
        <v>108</v>
      </c>
      <c r="C11" s="21"/>
      <c r="D11" s="21"/>
      <c r="E11" s="21"/>
      <c r="F11" s="21"/>
      <c r="G11" s="21"/>
      <c r="H11" s="139">
        <f>SUM(H7:H10)</f>
        <v>454022</v>
      </c>
      <c r="I11" s="139">
        <f t="shared" ref="I11:J11" si="1">SUM(I7:I10)</f>
        <v>488073.64999999997</v>
      </c>
      <c r="J11" s="139">
        <f t="shared" si="1"/>
        <v>532000.27850000001</v>
      </c>
      <c r="K11" s="59"/>
    </row>
    <row r="12" spans="1:11" ht="13.8" thickTop="1">
      <c r="K12" s="59"/>
    </row>
    <row r="13" spans="1:11">
      <c r="B13" s="12" t="s">
        <v>6</v>
      </c>
      <c r="K13" s="59"/>
    </row>
    <row r="14" spans="1:11">
      <c r="B14" s="9" t="s">
        <v>7</v>
      </c>
      <c r="C14" s="46">
        <v>3.3399999999999999E-2</v>
      </c>
      <c r="D14" s="46">
        <v>3.3399999999999999E-2</v>
      </c>
      <c r="H14" s="60">
        <v>2910</v>
      </c>
      <c r="I14" s="61">
        <f>C14*I17</f>
        <v>5172.9831991000001</v>
      </c>
      <c r="J14" s="61">
        <f>D14*J17</f>
        <v>5439.5153386285001</v>
      </c>
      <c r="K14" s="59"/>
    </row>
    <row r="15" spans="1:11">
      <c r="B15" s="9" t="s">
        <v>8</v>
      </c>
      <c r="C15" s="46">
        <v>0.92049999999999998</v>
      </c>
      <c r="D15" s="46">
        <v>0.92049999999999998</v>
      </c>
      <c r="H15" s="60">
        <v>141802</v>
      </c>
      <c r="I15" s="61">
        <f>C15*I17</f>
        <v>142566.79744825</v>
      </c>
      <c r="J15" s="61">
        <f>D15*J17</f>
        <v>149912.39129363874</v>
      </c>
      <c r="K15" s="59"/>
    </row>
    <row r="16" spans="1:11">
      <c r="B16" s="9" t="s">
        <v>5</v>
      </c>
      <c r="C16" s="48">
        <v>4.6100000000000002E-2</v>
      </c>
      <c r="D16" s="48">
        <v>4.6100000000000002E-2</v>
      </c>
      <c r="H16" s="60">
        <v>5287</v>
      </c>
      <c r="I16" s="61">
        <f>C16*I17</f>
        <v>7139.9558526500005</v>
      </c>
      <c r="J16" s="61">
        <f>D16*J17</f>
        <v>7507.8340452327502</v>
      </c>
      <c r="K16" s="59"/>
    </row>
    <row r="17" spans="1:11">
      <c r="A17" s="36"/>
      <c r="B17" s="36" t="s">
        <v>30</v>
      </c>
      <c r="C17" s="152">
        <f>SUM(C14:C16)</f>
        <v>1</v>
      </c>
      <c r="D17" s="152">
        <f>SUM(D14:D16)</f>
        <v>1</v>
      </c>
      <c r="E17" s="36"/>
      <c r="F17" s="36"/>
      <c r="G17" s="36"/>
      <c r="H17" s="140">
        <f>SUM(H14:H16)</f>
        <v>149999</v>
      </c>
      <c r="I17" s="140">
        <f>(I11*1%)+H17</f>
        <v>154879.7365</v>
      </c>
      <c r="J17" s="140">
        <f>(J11*1.5%)+I17</f>
        <v>162859.7406775</v>
      </c>
      <c r="K17" s="59"/>
    </row>
    <row r="18" spans="1:11" ht="13.8" thickBot="1">
      <c r="A18" s="67"/>
      <c r="B18" s="21" t="s">
        <v>9</v>
      </c>
      <c r="C18" s="138"/>
      <c r="D18" s="138"/>
      <c r="E18" s="67"/>
      <c r="F18" s="21"/>
      <c r="G18" s="21"/>
      <c r="H18" s="139">
        <f>H11-H17</f>
        <v>304023</v>
      </c>
      <c r="I18" s="139">
        <f t="shared" ref="I18:J18" si="2">I11-I17</f>
        <v>333193.91349999997</v>
      </c>
      <c r="J18" s="139">
        <f t="shared" si="2"/>
        <v>369140.53782249999</v>
      </c>
      <c r="K18" s="59"/>
    </row>
    <row r="19" spans="1:11" ht="13.8" thickTop="1">
      <c r="H19" s="62">
        <f>H17/H11</f>
        <v>0.33037826360837141</v>
      </c>
      <c r="I19" s="62">
        <f>I17/I11</f>
        <v>0.31732861731011297</v>
      </c>
      <c r="J19" s="62">
        <f>J17/J11</f>
        <v>0.30612717184414029</v>
      </c>
      <c r="K19" s="59"/>
    </row>
    <row r="20" spans="1:11">
      <c r="B20" s="9" t="s">
        <v>10</v>
      </c>
      <c r="C20" s="15"/>
      <c r="E20" s="202" t="s">
        <v>245</v>
      </c>
      <c r="H20" s="62">
        <f>H18/H11</f>
        <v>0.66962173639162859</v>
      </c>
      <c r="I20" s="62">
        <f>I18/I11</f>
        <v>0.68267138268988703</v>
      </c>
      <c r="J20" s="62">
        <f>J18/J11</f>
        <v>0.6938728281558596</v>
      </c>
      <c r="K20" s="59"/>
    </row>
    <row r="21" spans="1:11">
      <c r="B21" s="9" t="s">
        <v>11</v>
      </c>
      <c r="C21" s="50">
        <v>0.20553083842981501</v>
      </c>
      <c r="D21" s="49">
        <v>0.21553083842981499</v>
      </c>
      <c r="E21" s="49">
        <f>H21/$H$11</f>
        <v>0.20018633458290566</v>
      </c>
      <c r="H21" s="60">
        <v>90889</v>
      </c>
      <c r="I21" s="60">
        <f>C21*I11</f>
        <v>100314.18650000007</v>
      </c>
      <c r="J21" s="60">
        <f>D21*J11</f>
        <v>114662.46607000008</v>
      </c>
      <c r="K21" s="59"/>
    </row>
    <row r="22" spans="1:11">
      <c r="B22" s="9" t="s">
        <v>12</v>
      </c>
      <c r="C22" s="50">
        <v>0.177421494686304</v>
      </c>
      <c r="D22" s="49">
        <v>0.19127758662442099</v>
      </c>
      <c r="E22" s="49">
        <f>H22/$H$11</f>
        <v>0.17473602600755028</v>
      </c>
      <c r="H22" s="60">
        <v>79334</v>
      </c>
      <c r="I22" s="60">
        <f>C22*I11</f>
        <v>86594.756499999989</v>
      </c>
      <c r="J22" s="60">
        <f>D22*J11</f>
        <v>101759.72935499984</v>
      </c>
      <c r="K22" s="59"/>
    </row>
    <row r="23" spans="1:11" s="154" customFormat="1">
      <c r="A23" s="9"/>
      <c r="B23" s="9" t="s">
        <v>13</v>
      </c>
      <c r="C23" s="156">
        <v>5.0243056882911018E-3</v>
      </c>
      <c r="D23" s="157">
        <v>4.6119873309427226E-3</v>
      </c>
      <c r="E23" s="162">
        <f>H23/$H$11</f>
        <v>5.3984168168062343E-3</v>
      </c>
      <c r="F23" s="9"/>
      <c r="G23" s="158"/>
      <c r="H23" s="60">
        <v>2451</v>
      </c>
      <c r="I23" s="60">
        <f>-'Capital schedule'!K44</f>
        <v>2200.0938840949611</v>
      </c>
      <c r="J23" s="60">
        <f>-'Capital schedule'!K57</f>
        <v>2122.7281587188368</v>
      </c>
      <c r="K23" s="59"/>
    </row>
    <row r="24" spans="1:11">
      <c r="B24" s="9" t="s">
        <v>14</v>
      </c>
      <c r="C24" s="156">
        <v>5.0243056882911018E-3</v>
      </c>
      <c r="D24" s="156">
        <v>5.0243056882911018E-3</v>
      </c>
      <c r="E24" s="162">
        <f>H24/$H$11</f>
        <v>1.4897956486690072E-2</v>
      </c>
      <c r="G24" s="159"/>
      <c r="H24" s="60">
        <v>6764</v>
      </c>
      <c r="I24" s="60">
        <f>-'Capital schedule'!K77</f>
        <v>2452.2312160000001</v>
      </c>
      <c r="J24" s="60">
        <f>-'Capital schedule'!K89</f>
        <v>2672.9320254400004</v>
      </c>
      <c r="K24" s="59"/>
    </row>
    <row r="25" spans="1:11">
      <c r="B25" s="9" t="s">
        <v>15</v>
      </c>
      <c r="C25" s="200">
        <v>1.04556827642713E-2</v>
      </c>
      <c r="D25" s="200">
        <v>1.1455682764271301E-2</v>
      </c>
      <c r="E25" s="200">
        <f>H25/H11</f>
        <v>5.4556827642713345E-3</v>
      </c>
      <c r="H25" s="60">
        <v>2477</v>
      </c>
      <c r="I25" s="60">
        <f>C25*I11</f>
        <v>5103.1432499999828</v>
      </c>
      <c r="J25" s="60">
        <f>D25*J11</f>
        <v>6094.4264209999819</v>
      </c>
      <c r="K25" s="59"/>
    </row>
    <row r="26" spans="1:11">
      <c r="A26" s="36"/>
      <c r="B26" s="36"/>
      <c r="C26" s="57"/>
      <c r="D26" s="36"/>
      <c r="E26" s="36"/>
      <c r="F26" s="36"/>
      <c r="G26" s="36"/>
      <c r="H26" s="140">
        <f>SUM(H21:H25)</f>
        <v>181915</v>
      </c>
      <c r="I26" s="140">
        <f t="shared" ref="I26:J26" si="3">SUM(I21:I25)</f>
        <v>196664.41135009503</v>
      </c>
      <c r="J26" s="140">
        <f t="shared" si="3"/>
        <v>227312.28203015876</v>
      </c>
      <c r="K26" s="59"/>
    </row>
    <row r="27" spans="1:11">
      <c r="C27" s="78"/>
      <c r="K27" s="59"/>
    </row>
    <row r="28" spans="1:11" ht="13.8" thickBot="1">
      <c r="A28" s="67"/>
      <c r="B28" s="21" t="s">
        <v>16</v>
      </c>
      <c r="C28" s="138"/>
      <c r="D28" s="21"/>
      <c r="E28" s="67"/>
      <c r="F28" s="21"/>
      <c r="G28" s="21"/>
      <c r="H28" s="139">
        <f>H18-H26</f>
        <v>122108</v>
      </c>
      <c r="I28" s="139">
        <f t="shared" ref="I28:J28" si="4">I18-I26</f>
        <v>136529.50214990493</v>
      </c>
      <c r="J28" s="139">
        <f t="shared" si="4"/>
        <v>141828.25579234122</v>
      </c>
      <c r="K28" s="59"/>
    </row>
    <row r="29" spans="1:11" ht="13.8" thickTop="1">
      <c r="E29" s="202" t="s">
        <v>245</v>
      </c>
      <c r="K29" s="59"/>
    </row>
    <row r="30" spans="1:11">
      <c r="B30" s="9" t="s">
        <v>17</v>
      </c>
      <c r="C30" s="162">
        <v>8.6999999999999994E-2</v>
      </c>
      <c r="D30" s="162">
        <v>8.6999999999999994E-2</v>
      </c>
      <c r="E30" s="162">
        <f>H30/H11</f>
        <v>-8.7231455744435291E-2</v>
      </c>
      <c r="H30" s="63">
        <v>-39605</v>
      </c>
      <c r="I30" s="63">
        <f>'Capital schedule'!K113</f>
        <v>-42462.407549999996</v>
      </c>
      <c r="J30" s="63">
        <f>'Capital schedule'!K126</f>
        <v>-46284.024229499999</v>
      </c>
      <c r="K30" s="59"/>
    </row>
    <row r="31" spans="1:11">
      <c r="B31" s="9" t="s">
        <v>18</v>
      </c>
      <c r="C31" s="201">
        <f t="shared" ref="C31" si="5">I31/$I$11</f>
        <v>0</v>
      </c>
      <c r="D31" s="201">
        <f>J31/$I$11</f>
        <v>0</v>
      </c>
      <c r="E31" s="162"/>
      <c r="H31" s="60">
        <v>1266</v>
      </c>
      <c r="I31" s="63">
        <v>0</v>
      </c>
      <c r="J31" s="63">
        <v>0</v>
      </c>
      <c r="K31" s="59"/>
    </row>
    <row r="32" spans="1:11">
      <c r="B32" s="9" t="s">
        <v>19</v>
      </c>
      <c r="C32" s="162">
        <v>2E-3</v>
      </c>
      <c r="D32" s="162">
        <v>2E-3</v>
      </c>
      <c r="E32" s="162">
        <f>H32/H11</f>
        <v>-1.5307628264709639E-3</v>
      </c>
      <c r="H32" s="63">
        <v>-695</v>
      </c>
      <c r="I32" s="63">
        <f>-C32*I11</f>
        <v>-976.14729999999997</v>
      </c>
      <c r="J32" s="63">
        <f>-D32*J11</f>
        <v>-1064.0005570000001</v>
      </c>
      <c r="K32" s="59"/>
    </row>
    <row r="33" spans="2:11">
      <c r="B33" s="9" t="s">
        <v>20</v>
      </c>
      <c r="C33" s="162">
        <v>1.7999999999999999E-2</v>
      </c>
      <c r="D33" s="162">
        <v>1.9E-2</v>
      </c>
      <c r="E33" s="162">
        <v>1.0999999999999999E-2</v>
      </c>
      <c r="H33" s="60">
        <v>6264</v>
      </c>
      <c r="I33" s="63">
        <f>C33*I11</f>
        <v>8785.3256999999994</v>
      </c>
      <c r="J33" s="63">
        <f>D33*J11</f>
        <v>10108.0052915</v>
      </c>
      <c r="K33" s="59"/>
    </row>
    <row r="34" spans="2:11">
      <c r="B34" s="9" t="s">
        <v>21</v>
      </c>
      <c r="C34" s="51">
        <v>-3.5901343987736277E-4</v>
      </c>
      <c r="D34" s="51">
        <v>-3.5901343987736277E-4</v>
      </c>
      <c r="E34" s="162">
        <f>H34/H11</f>
        <v>-3.5901343987736277E-4</v>
      </c>
      <c r="H34" s="63">
        <v>-163</v>
      </c>
      <c r="I34" s="63">
        <f>H34</f>
        <v>-163</v>
      </c>
      <c r="J34" s="63">
        <f>I34</f>
        <v>-163</v>
      </c>
      <c r="K34" s="59"/>
    </row>
    <row r="35" spans="2:11">
      <c r="B35" s="9" t="s">
        <v>22</v>
      </c>
      <c r="C35" s="162">
        <v>4.0000000000000001E-3</v>
      </c>
      <c r="D35" s="162">
        <v>4.0000000000000001E-3</v>
      </c>
      <c r="E35" s="159">
        <f>H35/H11</f>
        <v>-4.2949460598825607E-3</v>
      </c>
      <c r="H35" s="63">
        <v>-1950</v>
      </c>
      <c r="I35" s="63">
        <v>0</v>
      </c>
      <c r="J35" s="63">
        <v>0</v>
      </c>
      <c r="K35" s="59"/>
    </row>
    <row r="36" spans="2:11" ht="13.8" thickBot="1">
      <c r="B36" s="21" t="s">
        <v>23</v>
      </c>
      <c r="C36" s="138"/>
      <c r="D36" s="21"/>
      <c r="E36" s="67"/>
      <c r="F36" s="21"/>
      <c r="G36" s="21"/>
      <c r="H36" s="139">
        <f>H28+H30+H31+H32+H33+H34+H35</f>
        <v>87225</v>
      </c>
      <c r="I36" s="139">
        <f t="shared" ref="I36:J36" si="6">I28+I30+I31+I32+I33+I34+I35</f>
        <v>101713.27299990493</v>
      </c>
      <c r="J36" s="139">
        <f t="shared" si="6"/>
        <v>104425.23629734121</v>
      </c>
      <c r="K36" s="59"/>
    </row>
    <row r="37" spans="2:11" ht="9.15" customHeight="1" thickTop="1">
      <c r="C37" s="15"/>
      <c r="K37" s="59"/>
    </row>
    <row r="38" spans="2:11">
      <c r="B38" s="9" t="s">
        <v>24</v>
      </c>
      <c r="C38" s="51">
        <v>0.27</v>
      </c>
      <c r="D38" s="51">
        <v>0.27</v>
      </c>
      <c r="E38" s="153"/>
      <c r="F38" s="155"/>
      <c r="G38" s="61"/>
      <c r="H38" s="60">
        <v>14977</v>
      </c>
      <c r="I38" s="61">
        <f>I36*21%</f>
        <v>21359.787329980034</v>
      </c>
      <c r="J38" s="61">
        <f>J36*21%</f>
        <v>21929.299622441653</v>
      </c>
      <c r="K38" s="59"/>
    </row>
    <row r="39" spans="2:11" ht="7.2" customHeight="1">
      <c r="H39" s="60"/>
      <c r="K39" s="59"/>
    </row>
    <row r="40" spans="2:11" ht="13.8" thickBot="1">
      <c r="B40" s="21" t="s">
        <v>25</v>
      </c>
      <c r="C40" s="138"/>
      <c r="D40" s="21"/>
      <c r="E40" s="67"/>
      <c r="F40" s="21"/>
      <c r="G40" s="21"/>
      <c r="H40" s="139">
        <f>H36-H38</f>
        <v>72248</v>
      </c>
      <c r="I40" s="139">
        <f t="shared" ref="I40:J40" si="7">I36-I38</f>
        <v>80353.485669924907</v>
      </c>
      <c r="J40" s="139">
        <f t="shared" si="7"/>
        <v>82495.936674899553</v>
      </c>
      <c r="K40" s="59"/>
    </row>
    <row r="41" spans="2:11" ht="9.15" customHeight="1" thickTop="1">
      <c r="C41" s="15"/>
      <c r="K41" s="59"/>
    </row>
    <row r="42" spans="2:11" ht="25.2" customHeight="1">
      <c r="B42" s="58" t="s">
        <v>121</v>
      </c>
      <c r="C42" s="49">
        <f>I42/I11</f>
        <v>0</v>
      </c>
      <c r="D42" s="49">
        <f>J42/J11</f>
        <v>0</v>
      </c>
      <c r="H42" s="60">
        <v>19800</v>
      </c>
      <c r="I42" s="60">
        <v>0</v>
      </c>
      <c r="J42" s="60">
        <f>I42</f>
        <v>0</v>
      </c>
      <c r="K42" s="59"/>
    </row>
    <row r="43" spans="2:11" ht="7.2" customHeight="1">
      <c r="B43" s="58"/>
      <c r="C43" s="15"/>
      <c r="D43" s="15"/>
      <c r="K43" s="59"/>
    </row>
    <row r="44" spans="2:11">
      <c r="B44" s="36" t="s">
        <v>26</v>
      </c>
      <c r="C44" s="57"/>
      <c r="D44" s="57"/>
      <c r="E44" s="36"/>
      <c r="F44" s="36"/>
      <c r="G44" s="36"/>
      <c r="H44" s="64">
        <f>'Yrly Projections&amp;Cal'!H42</f>
        <v>19800</v>
      </c>
      <c r="I44" s="64">
        <f>'Yrly Projections&amp;Cal'!I42</f>
        <v>0</v>
      </c>
      <c r="J44" s="64">
        <f>'Yrly Projections&amp;Cal'!J42</f>
        <v>0</v>
      </c>
      <c r="K44" s="59"/>
    </row>
    <row r="45" spans="2:11">
      <c r="B45" s="141"/>
      <c r="C45" s="142"/>
      <c r="D45" s="142"/>
      <c r="E45" s="141"/>
      <c r="F45" s="141"/>
      <c r="G45" s="141"/>
      <c r="H45" s="141"/>
      <c r="I45" s="141"/>
      <c r="K45" s="59"/>
    </row>
    <row r="46" spans="2:11" ht="13.8" thickBot="1">
      <c r="B46" s="21" t="s">
        <v>27</v>
      </c>
      <c r="C46" s="138"/>
      <c r="D46" s="138"/>
      <c r="E46" s="21"/>
      <c r="F46" s="21"/>
      <c r="G46" s="21"/>
      <c r="H46" s="139">
        <f>H44+H40</f>
        <v>92048</v>
      </c>
      <c r="I46" s="139">
        <f t="shared" ref="I46:J46" si="8">I44+I40</f>
        <v>80353.485669924907</v>
      </c>
      <c r="J46" s="55">
        <f t="shared" si="8"/>
        <v>82495.936674899553</v>
      </c>
      <c r="K46" s="59"/>
    </row>
    <row r="47" spans="2:11" ht="13.8" thickTop="1">
      <c r="I47" s="60"/>
      <c r="K47" s="59"/>
    </row>
    <row r="48" spans="2:11">
      <c r="B48" s="9" t="s">
        <v>107</v>
      </c>
      <c r="K48" s="59"/>
    </row>
    <row r="49" spans="1:14">
      <c r="B49" s="9" t="s">
        <v>28</v>
      </c>
      <c r="K49" s="59"/>
    </row>
    <row r="50" spans="1:14">
      <c r="B50" s="9" t="s">
        <v>29</v>
      </c>
      <c r="K50" s="59"/>
    </row>
    <row r="51" spans="1:14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</row>
    <row r="52" spans="1:14"/>
    <row r="53" spans="1:14">
      <c r="A53" s="143"/>
      <c r="B53" s="98" t="s">
        <v>181</v>
      </c>
      <c r="C53" s="101"/>
      <c r="D53" s="144"/>
      <c r="E53" s="144"/>
      <c r="F53" s="144"/>
      <c r="G53" s="144"/>
      <c r="H53" s="144"/>
      <c r="I53" s="144"/>
      <c r="J53" s="144"/>
      <c r="K53" s="59"/>
    </row>
    <row r="54" spans="1:14">
      <c r="B54" s="9" t="str">
        <f>'FY 2023 &amp; Projections''000'!B38</f>
        <v>Short-term investments</v>
      </c>
      <c r="D54" s="46">
        <f>H65/H11</f>
        <v>1.8214976366783989E-3</v>
      </c>
      <c r="E54" s="46">
        <v>4.0000000000000001E-3</v>
      </c>
      <c r="F54" s="46">
        <v>8.0000000000000002E-3</v>
      </c>
      <c r="H54" s="61">
        <f>H65</f>
        <v>827</v>
      </c>
      <c r="I54" s="61">
        <f>E54*I11</f>
        <v>1952.2945999999999</v>
      </c>
      <c r="J54" s="61">
        <f>F54*J11</f>
        <v>4256.0022280000003</v>
      </c>
      <c r="K54" s="59"/>
    </row>
    <row r="55" spans="1:14">
      <c r="B55" s="9" t="str">
        <f>'FY 2023 &amp; Projections''000'!B39</f>
        <v>Accounts receivable</v>
      </c>
      <c r="D55" s="46">
        <f>H66/H11</f>
        <v>0.20567946046667343</v>
      </c>
      <c r="E55" s="46">
        <v>0.215</v>
      </c>
      <c r="F55" s="46">
        <v>0.23499999999999999</v>
      </c>
      <c r="H55" s="61">
        <f>H66</f>
        <v>93383</v>
      </c>
      <c r="I55" s="61">
        <f>E55*I11</f>
        <v>104935.83474999999</v>
      </c>
      <c r="J55" s="61">
        <f>F55*J11</f>
        <v>125020.06544749999</v>
      </c>
      <c r="K55" s="59"/>
    </row>
    <row r="56" spans="1:14">
      <c r="B56" s="9" t="str">
        <f>'FY 2023 &amp; Projections''000'!B40</f>
        <v>Prepaid expenses and other assets</v>
      </c>
      <c r="D56" s="46">
        <f>H67/H11</f>
        <v>3.4172352881578424E-2</v>
      </c>
      <c r="E56" s="46">
        <v>3.6999999999999998E-2</v>
      </c>
      <c r="F56" s="46">
        <v>3.9E-2</v>
      </c>
      <c r="H56" s="61">
        <f>H67</f>
        <v>15515</v>
      </c>
      <c r="I56" s="61">
        <f>E56*I11</f>
        <v>18058.725049999997</v>
      </c>
      <c r="J56" s="61">
        <f>F56*J11</f>
        <v>20748.010861499999</v>
      </c>
      <c r="K56" s="59"/>
    </row>
    <row r="57" spans="1:14">
      <c r="B57" s="9" t="s">
        <v>182</v>
      </c>
      <c r="D57" s="46">
        <f>H82/H87</f>
        <v>0.34312722780298122</v>
      </c>
      <c r="E57" s="47">
        <v>0</v>
      </c>
      <c r="F57" s="47">
        <v>0</v>
      </c>
      <c r="H57" s="61">
        <f>H82</f>
        <v>67769</v>
      </c>
      <c r="I57" s="61">
        <f t="shared" ref="I57:J57" si="9">I82</f>
        <v>67769</v>
      </c>
      <c r="J57" s="61">
        <f t="shared" si="9"/>
        <v>67769</v>
      </c>
      <c r="K57" s="59"/>
    </row>
    <row r="58" spans="1:14">
      <c r="H58" s="62"/>
      <c r="I58" s="62"/>
      <c r="K58" s="59"/>
    </row>
    <row r="59" spans="1:14">
      <c r="A59" s="143"/>
      <c r="B59" s="98"/>
      <c r="C59" s="101"/>
      <c r="D59" s="144"/>
      <c r="E59" s="144"/>
      <c r="F59" s="144"/>
      <c r="G59" s="144"/>
      <c r="H59" s="144"/>
      <c r="I59" s="144"/>
      <c r="J59" s="144"/>
      <c r="K59" s="59"/>
    </row>
    <row r="60" spans="1:14"/>
    <row r="61" spans="1:14"/>
    <row r="62" spans="1:14">
      <c r="A62" s="143"/>
      <c r="B62" s="98" t="s">
        <v>84</v>
      </c>
      <c r="C62" s="101"/>
      <c r="D62" s="144"/>
      <c r="E62" s="144"/>
      <c r="F62" s="144"/>
      <c r="G62" s="144"/>
      <c r="H62" s="144"/>
      <c r="I62" s="144"/>
      <c r="J62" s="144"/>
      <c r="K62" s="59"/>
    </row>
    <row r="63" spans="1:14">
      <c r="B63" s="12" t="s">
        <v>87</v>
      </c>
      <c r="K63" s="59"/>
    </row>
    <row r="64" spans="1:14">
      <c r="B64" s="9" t="s">
        <v>31</v>
      </c>
      <c r="H64" s="60">
        <v>239532</v>
      </c>
      <c r="I64" s="60">
        <f>'FY 2023 &amp; Projections''000'!F37</f>
        <v>358423.17411699239</v>
      </c>
      <c r="J64" s="60">
        <f>'FY 2023 &amp; Projections''000'!G37</f>
        <v>478778.48223593959</v>
      </c>
      <c r="K64" s="59"/>
      <c r="M64" s="52"/>
      <c r="N64" s="52"/>
    </row>
    <row r="65" spans="1:13">
      <c r="B65" s="9" t="s">
        <v>32</v>
      </c>
      <c r="H65" s="60">
        <v>827</v>
      </c>
      <c r="I65" s="60">
        <f t="shared" ref="I65:J67" si="10">I54</f>
        <v>1952.2945999999999</v>
      </c>
      <c r="J65" s="60">
        <f t="shared" si="10"/>
        <v>4256.0022280000003</v>
      </c>
      <c r="K65" s="59"/>
    </row>
    <row r="66" spans="1:13">
      <c r="B66" s="9" t="s">
        <v>33</v>
      </c>
      <c r="H66" s="60">
        <v>93383</v>
      </c>
      <c r="I66" s="60">
        <f t="shared" si="10"/>
        <v>104935.83474999999</v>
      </c>
      <c r="J66" s="60">
        <f t="shared" si="10"/>
        <v>125020.06544749999</v>
      </c>
      <c r="K66" s="59"/>
    </row>
    <row r="67" spans="1:13">
      <c r="B67" s="9" t="s">
        <v>34</v>
      </c>
      <c r="H67" s="60">
        <v>15515</v>
      </c>
      <c r="I67" s="60">
        <f t="shared" si="10"/>
        <v>18058.725049999997</v>
      </c>
      <c r="J67" s="60">
        <f t="shared" si="10"/>
        <v>20748.010861499999</v>
      </c>
      <c r="K67" s="59"/>
    </row>
    <row r="68" spans="1:13">
      <c r="B68" s="9" t="s">
        <v>35</v>
      </c>
      <c r="H68" s="60">
        <v>114</v>
      </c>
      <c r="I68" s="60">
        <v>114</v>
      </c>
      <c r="J68" s="60">
        <v>114</v>
      </c>
      <c r="K68" s="59"/>
    </row>
    <row r="69" spans="1:13">
      <c r="A69" s="36"/>
      <c r="B69" s="18" t="s">
        <v>88</v>
      </c>
      <c r="C69" s="18"/>
      <c r="D69" s="36"/>
      <c r="E69" s="36"/>
      <c r="F69" s="36"/>
      <c r="G69" s="36"/>
      <c r="H69" s="71">
        <f>SUM(H64:H68)</f>
        <v>349371</v>
      </c>
      <c r="I69" s="71">
        <f t="shared" ref="I69:J69" si="11">SUM(I64:I68)</f>
        <v>483484.0285169924</v>
      </c>
      <c r="J69" s="71">
        <f t="shared" si="11"/>
        <v>628916.5607729397</v>
      </c>
      <c r="K69" s="59"/>
    </row>
    <row r="70" spans="1:13">
      <c r="H70" s="15"/>
      <c r="K70" s="59"/>
    </row>
    <row r="71" spans="1:13">
      <c r="B71" s="12" t="s">
        <v>85</v>
      </c>
      <c r="D71" s="203" t="s">
        <v>245</v>
      </c>
      <c r="H71" s="15"/>
      <c r="K71" s="59"/>
    </row>
    <row r="72" spans="1:13">
      <c r="B72" s="9" t="s">
        <v>36</v>
      </c>
      <c r="C72" s="161"/>
      <c r="D72" s="47">
        <f>H72/H77</f>
        <v>7.5362826071439263E-3</v>
      </c>
      <c r="E72" s="47"/>
      <c r="F72" s="47"/>
      <c r="H72" s="60">
        <v>3273</v>
      </c>
      <c r="I72" s="60">
        <f>'Capital schedule'!K42</f>
        <v>2881.9061159050389</v>
      </c>
      <c r="J72" s="60">
        <f>'Capital schedule'!K55</f>
        <v>2587.7249547345059</v>
      </c>
      <c r="K72" s="59"/>
    </row>
    <row r="73" spans="1:13">
      <c r="B73" s="9" t="s">
        <v>37</v>
      </c>
      <c r="D73" s="47">
        <f>H73/H77</f>
        <v>2.8187953460634265E-2</v>
      </c>
      <c r="E73" s="47"/>
      <c r="F73" s="47"/>
      <c r="H73" s="60">
        <v>12242</v>
      </c>
      <c r="I73" s="60">
        <f>'Capital schedule'!K78</f>
        <v>9789.7687839999999</v>
      </c>
      <c r="J73" s="60">
        <f>'Capital schedule'!K90</f>
        <v>7116.836758559999</v>
      </c>
      <c r="K73" s="59"/>
    </row>
    <row r="74" spans="1:13">
      <c r="B74" s="9" t="s">
        <v>38</v>
      </c>
      <c r="D74" s="47">
        <f>H74/H77</f>
        <v>0.25249655191469472</v>
      </c>
      <c r="E74" s="47"/>
      <c r="F74" s="47"/>
      <c r="H74" s="60">
        <v>109659</v>
      </c>
      <c r="I74" s="60">
        <f>'Capital schedule'!K114</f>
        <v>67196.592449999996</v>
      </c>
      <c r="J74" s="60">
        <f>'Capital schedule'!K127</f>
        <v>20912.568220499998</v>
      </c>
      <c r="K74" s="59"/>
    </row>
    <row r="75" spans="1:13">
      <c r="B75" s="9" t="s">
        <v>39</v>
      </c>
      <c r="D75" s="47">
        <f>H75/H77</f>
        <v>0.64527203608573813</v>
      </c>
      <c r="E75" s="47"/>
      <c r="F75" s="47"/>
      <c r="H75" s="60">
        <v>280241</v>
      </c>
      <c r="I75" s="60">
        <f>H75+I33</f>
        <v>289026.32569999999</v>
      </c>
      <c r="J75" s="60">
        <f>I75+J33</f>
        <v>299134.3309915</v>
      </c>
      <c r="K75" s="59"/>
    </row>
    <row r="76" spans="1:13">
      <c r="B76" s="9" t="s">
        <v>40</v>
      </c>
      <c r="D76" s="47">
        <f>H76/H77</f>
        <v>6.6507175931788926E-2</v>
      </c>
      <c r="E76" s="47"/>
      <c r="F76" s="47"/>
      <c r="H76" s="60">
        <v>28884</v>
      </c>
      <c r="I76" s="60">
        <f t="shared" ref="I76:J76" si="12">H76</f>
        <v>28884</v>
      </c>
      <c r="J76" s="60">
        <f t="shared" si="12"/>
        <v>28884</v>
      </c>
      <c r="K76" s="59"/>
      <c r="M76" s="52"/>
    </row>
    <row r="77" spans="1:13">
      <c r="A77" s="36"/>
      <c r="B77" s="18" t="s">
        <v>86</v>
      </c>
      <c r="C77" s="18"/>
      <c r="D77" s="36"/>
      <c r="E77" s="36"/>
      <c r="F77" s="36"/>
      <c r="G77" s="36"/>
      <c r="H77" s="65">
        <f>SUM(H72:H76)</f>
        <v>434299</v>
      </c>
      <c r="I77" s="65">
        <f t="shared" ref="I77:J77" si="13">SUM(I72:I76)</f>
        <v>397778.59304990503</v>
      </c>
      <c r="J77" s="65">
        <f t="shared" si="13"/>
        <v>358635.46092529449</v>
      </c>
      <c r="K77" s="59"/>
    </row>
    <row r="78" spans="1:13" ht="13.8" thickBot="1">
      <c r="A78" s="67"/>
      <c r="B78" s="21" t="s">
        <v>89</v>
      </c>
      <c r="C78" s="54"/>
      <c r="D78" s="54"/>
      <c r="E78" s="54"/>
      <c r="F78" s="54"/>
      <c r="G78" s="54"/>
      <c r="H78" s="204">
        <f>H77+H69</f>
        <v>783670</v>
      </c>
      <c r="I78" s="204">
        <f t="shared" ref="I78:J78" si="14">I77+I69</f>
        <v>881262.62156689749</v>
      </c>
      <c r="J78" s="204">
        <f t="shared" si="14"/>
        <v>987552.02169823414</v>
      </c>
      <c r="K78" s="59"/>
    </row>
    <row r="79" spans="1:13" ht="13.8" thickTop="1">
      <c r="B79" s="12"/>
      <c r="C79" s="12"/>
      <c r="H79" s="15"/>
      <c r="K79" s="59"/>
    </row>
    <row r="80" spans="1:13">
      <c r="B80" s="12" t="s">
        <v>91</v>
      </c>
      <c r="H80" s="15"/>
      <c r="K80" s="59"/>
    </row>
    <row r="81" spans="1:11">
      <c r="B81" s="12" t="s">
        <v>94</v>
      </c>
      <c r="H81" s="15"/>
      <c r="K81" s="59"/>
    </row>
    <row r="82" spans="1:11">
      <c r="B82" s="9" t="s">
        <v>41</v>
      </c>
      <c r="H82" s="60">
        <v>67769</v>
      </c>
      <c r="I82" s="60">
        <v>67769</v>
      </c>
      <c r="J82" s="60">
        <v>67769</v>
      </c>
      <c r="K82" s="59"/>
    </row>
    <row r="83" spans="1:11">
      <c r="B83" s="9" t="s">
        <v>42</v>
      </c>
      <c r="C83" s="9" t="s">
        <v>52</v>
      </c>
      <c r="E83" s="46">
        <v>0.1</v>
      </c>
      <c r="F83" s="46">
        <v>0.12</v>
      </c>
      <c r="H83" s="60">
        <v>12156</v>
      </c>
      <c r="I83" s="60">
        <f>E83*I40</f>
        <v>8035.3485669924912</v>
      </c>
      <c r="J83" s="60">
        <f>F83*J40</f>
        <v>9899.5124009879455</v>
      </c>
      <c r="K83" s="59"/>
    </row>
    <row r="84" spans="1:11">
      <c r="B84" s="9" t="s">
        <v>43</v>
      </c>
      <c r="H84" s="60">
        <v>2238</v>
      </c>
      <c r="I84" s="60">
        <f>H84</f>
        <v>2238</v>
      </c>
      <c r="J84" s="60">
        <f>I84</f>
        <v>2238</v>
      </c>
      <c r="K84" s="59"/>
    </row>
    <row r="85" spans="1:11">
      <c r="B85" s="9" t="s">
        <v>44</v>
      </c>
      <c r="H85" s="60">
        <v>109019</v>
      </c>
      <c r="I85" s="60">
        <f t="shared" ref="I85:J86" si="15">H85</f>
        <v>109019</v>
      </c>
      <c r="J85" s="60">
        <f t="shared" si="15"/>
        <v>109019</v>
      </c>
      <c r="K85" s="59"/>
    </row>
    <row r="86" spans="1:11">
      <c r="B86" s="9" t="s">
        <v>45</v>
      </c>
      <c r="H86" s="60">
        <v>6322</v>
      </c>
      <c r="I86" s="60">
        <f t="shared" si="15"/>
        <v>6322</v>
      </c>
      <c r="J86" s="60">
        <f t="shared" si="15"/>
        <v>6322</v>
      </c>
      <c r="K86" s="59"/>
    </row>
    <row r="87" spans="1:11">
      <c r="A87" s="36"/>
      <c r="B87" s="18" t="s">
        <v>112</v>
      </c>
      <c r="C87" s="18"/>
      <c r="D87" s="18"/>
      <c r="E87" s="18"/>
      <c r="F87" s="18"/>
      <c r="G87" s="18"/>
      <c r="H87" s="71">
        <f>SUM(H82:H86)</f>
        <v>197504</v>
      </c>
      <c r="I87" s="71">
        <f t="shared" ref="I87:J87" si="16">SUM(I82:I86)</f>
        <v>193383.3485669925</v>
      </c>
      <c r="J87" s="71">
        <f t="shared" si="16"/>
        <v>195247.51240098797</v>
      </c>
      <c r="K87" s="59"/>
    </row>
    <row r="88" spans="1:11">
      <c r="B88" s="12"/>
      <c r="C88" s="12"/>
      <c r="H88" s="15"/>
      <c r="K88" s="59"/>
    </row>
    <row r="89" spans="1:11">
      <c r="B89" s="12" t="s">
        <v>92</v>
      </c>
      <c r="H89" s="15"/>
      <c r="K89" s="59"/>
    </row>
    <row r="90" spans="1:11">
      <c r="B90" s="9" t="s">
        <v>46</v>
      </c>
      <c r="H90" s="60">
        <v>1333</v>
      </c>
      <c r="I90" s="60">
        <v>1333</v>
      </c>
      <c r="J90" s="60">
        <v>1333</v>
      </c>
      <c r="K90" s="59"/>
    </row>
    <row r="91" spans="1:11">
      <c r="B91" s="9" t="s">
        <v>47</v>
      </c>
      <c r="H91" s="60">
        <v>13340</v>
      </c>
      <c r="I91" s="60">
        <f t="shared" ref="I91:J93" si="17">H91</f>
        <v>13340</v>
      </c>
      <c r="J91" s="60">
        <f t="shared" si="17"/>
        <v>13340</v>
      </c>
      <c r="K91" s="59"/>
    </row>
    <row r="92" spans="1:11">
      <c r="B92" s="9" t="s">
        <v>44</v>
      </c>
      <c r="H92" s="60">
        <v>8170</v>
      </c>
      <c r="I92" s="60">
        <f t="shared" si="17"/>
        <v>8170</v>
      </c>
      <c r="J92" s="60">
        <f t="shared" si="17"/>
        <v>8170</v>
      </c>
      <c r="K92" s="59"/>
    </row>
    <row r="93" spans="1:11">
      <c r="B93" s="9" t="s">
        <v>48</v>
      </c>
      <c r="H93" s="60">
        <v>1912</v>
      </c>
      <c r="I93" s="60">
        <f t="shared" si="17"/>
        <v>1912</v>
      </c>
      <c r="J93" s="60">
        <f t="shared" si="17"/>
        <v>1912</v>
      </c>
      <c r="K93" s="59"/>
    </row>
    <row r="94" spans="1:11">
      <c r="B94" s="9" t="s">
        <v>45</v>
      </c>
      <c r="H94" s="60">
        <v>6080</v>
      </c>
      <c r="I94" s="60">
        <f>H94</f>
        <v>6080</v>
      </c>
      <c r="J94" s="60">
        <f>I94</f>
        <v>6080</v>
      </c>
      <c r="K94" s="59"/>
    </row>
    <row r="95" spans="1:11">
      <c r="A95" s="36"/>
      <c r="B95" s="18" t="s">
        <v>93</v>
      </c>
      <c r="C95" s="18"/>
      <c r="D95" s="18"/>
      <c r="E95" s="18"/>
      <c r="F95" s="18"/>
      <c r="G95" s="18"/>
      <c r="H95" s="71">
        <f>SUM(H90:H94)</f>
        <v>30835</v>
      </c>
      <c r="I95" s="71">
        <f>SUM(I90:I94)</f>
        <v>30835</v>
      </c>
      <c r="J95" s="71">
        <f t="shared" ref="J95" si="18">SUM(J90:J94)</f>
        <v>30835</v>
      </c>
      <c r="K95" s="59"/>
    </row>
    <row r="96" spans="1:11" ht="13.8" thickBot="1">
      <c r="A96" s="67"/>
      <c r="B96" s="21" t="s">
        <v>95</v>
      </c>
      <c r="C96" s="21"/>
      <c r="D96" s="67"/>
      <c r="E96" s="67"/>
      <c r="F96" s="67"/>
      <c r="G96" s="67"/>
      <c r="H96" s="75">
        <f>H95+H87</f>
        <v>228339</v>
      </c>
      <c r="I96" s="75">
        <f t="shared" ref="I96:J96" si="19">I95+I87</f>
        <v>224218.3485669925</v>
      </c>
      <c r="J96" s="75">
        <f t="shared" si="19"/>
        <v>226082.51240098797</v>
      </c>
      <c r="K96" s="59"/>
    </row>
    <row r="97" spans="1:11" ht="13.8" thickTop="1">
      <c r="B97" s="12" t="s">
        <v>111</v>
      </c>
      <c r="C97" s="12"/>
      <c r="H97" s="15"/>
      <c r="K97" s="59"/>
    </row>
    <row r="98" spans="1:11">
      <c r="B98" s="12" t="s">
        <v>49</v>
      </c>
      <c r="C98" s="12"/>
      <c r="H98" s="60">
        <v>107701</v>
      </c>
      <c r="I98" s="60">
        <f>H98</f>
        <v>107701</v>
      </c>
      <c r="J98" s="60">
        <f>I98</f>
        <v>107701</v>
      </c>
      <c r="K98" s="59"/>
    </row>
    <row r="99" spans="1:11">
      <c r="B99" s="12" t="s">
        <v>50</v>
      </c>
      <c r="C99" s="12"/>
      <c r="H99" s="60">
        <v>10404</v>
      </c>
      <c r="I99" s="60">
        <f>H99</f>
        <v>10404</v>
      </c>
      <c r="J99" s="60">
        <f>I99</f>
        <v>10404</v>
      </c>
      <c r="K99" s="59"/>
    </row>
    <row r="100" spans="1:11">
      <c r="B100" s="12" t="s">
        <v>51</v>
      </c>
      <c r="C100" s="12"/>
      <c r="H100" s="60">
        <v>426397</v>
      </c>
      <c r="I100" s="60">
        <f>(H100+I40+I38)</f>
        <v>528110.27299990493</v>
      </c>
      <c r="J100" s="60">
        <f>(I100+J40+J38)</f>
        <v>632535.50929724611</v>
      </c>
      <c r="K100" s="59"/>
    </row>
    <row r="101" spans="1:11">
      <c r="B101" s="12" t="s">
        <v>53</v>
      </c>
      <c r="C101" s="12"/>
      <c r="H101" s="60">
        <v>10829</v>
      </c>
      <c r="I101" s="60">
        <f>H101+I44</f>
        <v>10829</v>
      </c>
      <c r="J101" s="60">
        <f>I101+J44</f>
        <v>10829</v>
      </c>
      <c r="K101" s="59"/>
    </row>
    <row r="102" spans="1:11">
      <c r="A102" s="36"/>
      <c r="B102" s="18" t="s">
        <v>115</v>
      </c>
      <c r="C102" s="18"/>
      <c r="D102" s="18"/>
      <c r="E102" s="18"/>
      <c r="F102" s="18"/>
      <c r="G102" s="18"/>
      <c r="H102" s="71">
        <f>SUM(H98:H101)</f>
        <v>555331</v>
      </c>
      <c r="I102" s="71">
        <f t="shared" ref="I102:J102" si="20">SUM(I98:I101)</f>
        <v>657044.27299990493</v>
      </c>
      <c r="J102" s="71">
        <f t="shared" si="20"/>
        <v>761469.50929724611</v>
      </c>
      <c r="K102" s="59"/>
    </row>
    <row r="103" spans="1:11" ht="13.8" thickBot="1">
      <c r="A103" s="67"/>
      <c r="B103" s="21" t="s">
        <v>96</v>
      </c>
      <c r="C103" s="21"/>
      <c r="D103" s="67"/>
      <c r="E103" s="67"/>
      <c r="F103" s="67"/>
      <c r="G103" s="67"/>
      <c r="H103" s="75">
        <f>H102+H96</f>
        <v>783670</v>
      </c>
      <c r="I103" s="75">
        <f t="shared" ref="I103:J103" si="21">I102+I96</f>
        <v>881262.62156689749</v>
      </c>
      <c r="J103" s="75">
        <f t="shared" si="21"/>
        <v>987552.02169823414</v>
      </c>
      <c r="K103" s="59"/>
    </row>
    <row r="104" spans="1:11" ht="13.8" thickTop="1">
      <c r="H104" s="206">
        <f>H103-H78</f>
        <v>0</v>
      </c>
      <c r="I104" s="206">
        <f>I103-I78</f>
        <v>0</v>
      </c>
      <c r="J104" s="206">
        <f>J103-J78</f>
        <v>0</v>
      </c>
      <c r="K104" s="59"/>
    </row>
    <row r="105" spans="1:11">
      <c r="H105" s="32" t="str">
        <f>IF(ABS(H103-H78)&gt;1,"ERROR","OK")</f>
        <v>OK</v>
      </c>
      <c r="I105" s="32" t="str">
        <f>IF(ABS(I103-I78)&gt;1,"ERROR","OK")</f>
        <v>OK</v>
      </c>
      <c r="J105" s="32" t="str">
        <f>IF(ABS(J103-J78)&gt;1,"ERROR","OK")</f>
        <v>OK</v>
      </c>
      <c r="K105" s="59"/>
    </row>
    <row r="106" spans="1:11">
      <c r="H106" s="11"/>
      <c r="I106" s="11"/>
      <c r="J106" s="11"/>
      <c r="K106" s="59"/>
    </row>
    <row r="107" spans="1:1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</row>
    <row r="108" spans="1:11"/>
    <row r="109" spans="1:11">
      <c r="A109" s="143"/>
      <c r="B109" s="98" t="s">
        <v>98</v>
      </c>
      <c r="C109" s="101"/>
      <c r="D109" s="102"/>
      <c r="E109" s="101"/>
      <c r="F109" s="101"/>
      <c r="G109" s="101"/>
      <c r="H109" s="101"/>
      <c r="I109" s="101"/>
      <c r="J109" s="101"/>
      <c r="K109" s="59"/>
    </row>
    <row r="110" spans="1:11">
      <c r="A110" s="108"/>
      <c r="B110" s="107" t="s">
        <v>99</v>
      </c>
      <c r="C110" s="108"/>
      <c r="D110" s="117"/>
      <c r="E110" s="118"/>
      <c r="F110" s="118"/>
      <c r="G110" s="118"/>
      <c r="H110" s="108"/>
      <c r="I110" s="108"/>
      <c r="J110" s="108"/>
      <c r="K110" s="59"/>
    </row>
    <row r="111" spans="1:11">
      <c r="B111" s="9" t="s">
        <v>25</v>
      </c>
      <c r="D111" s="33"/>
      <c r="E111" s="24"/>
      <c r="F111" s="24"/>
      <c r="G111" s="24"/>
      <c r="H111" s="207">
        <f>H40</f>
        <v>72248</v>
      </c>
      <c r="I111" s="24"/>
      <c r="J111" s="24"/>
      <c r="K111" s="59"/>
    </row>
    <row r="112" spans="1:11" ht="15.6">
      <c r="B112" s="9" t="s">
        <v>124</v>
      </c>
      <c r="D112" s="33"/>
      <c r="E112" s="24"/>
      <c r="F112" s="24"/>
      <c r="G112" s="24"/>
      <c r="H112" s="208"/>
      <c r="K112" s="59"/>
    </row>
    <row r="113" spans="1:11">
      <c r="B113" s="9" t="s">
        <v>147</v>
      </c>
      <c r="D113" s="33"/>
      <c r="E113" s="24"/>
      <c r="F113" s="24"/>
      <c r="G113" s="24"/>
      <c r="H113" s="207">
        <f t="shared" ref="H113:H114" si="22">H23</f>
        <v>2451</v>
      </c>
      <c r="I113" s="24"/>
      <c r="J113" s="24"/>
      <c r="K113" s="59"/>
    </row>
    <row r="114" spans="1:11">
      <c r="B114" s="9" t="s">
        <v>14</v>
      </c>
      <c r="D114" s="33"/>
      <c r="E114" s="24"/>
      <c r="F114" s="24"/>
      <c r="G114" s="24"/>
      <c r="H114" s="207">
        <f t="shared" si="22"/>
        <v>6764</v>
      </c>
      <c r="I114" s="24"/>
      <c r="J114" s="24"/>
      <c r="K114" s="59"/>
    </row>
    <row r="115" spans="1:11">
      <c r="B115" s="14" t="s">
        <v>125</v>
      </c>
      <c r="D115" s="33"/>
      <c r="E115" s="24"/>
      <c r="F115" s="24"/>
      <c r="G115" s="24"/>
      <c r="H115" s="207">
        <f>-H32</f>
        <v>695</v>
      </c>
      <c r="I115" s="24"/>
      <c r="J115" s="24"/>
      <c r="K115" s="59"/>
    </row>
    <row r="116" spans="1:11">
      <c r="B116" s="14" t="s">
        <v>126</v>
      </c>
      <c r="D116" s="33"/>
      <c r="E116" s="24"/>
      <c r="F116" s="24"/>
      <c r="G116" s="24"/>
      <c r="H116" s="207">
        <f>-H30</f>
        <v>39605</v>
      </c>
      <c r="I116" s="24"/>
      <c r="J116" s="24"/>
      <c r="K116" s="59"/>
    </row>
    <row r="117" spans="1:11">
      <c r="B117" s="14" t="s">
        <v>127</v>
      </c>
      <c r="D117" s="33"/>
      <c r="E117" s="11"/>
      <c r="F117" s="11"/>
      <c r="G117" s="11"/>
      <c r="H117" s="207">
        <v>1639</v>
      </c>
      <c r="K117" s="59"/>
    </row>
    <row r="118" spans="1:11">
      <c r="B118" s="14" t="s">
        <v>24</v>
      </c>
      <c r="D118" s="33"/>
      <c r="E118" s="11"/>
      <c r="F118" s="11"/>
      <c r="G118" s="11"/>
      <c r="H118" s="207">
        <v>14977</v>
      </c>
      <c r="K118" s="59"/>
    </row>
    <row r="119" spans="1:11">
      <c r="B119" s="14" t="s">
        <v>128</v>
      </c>
      <c r="D119" s="33"/>
      <c r="E119" s="11"/>
      <c r="F119" s="11"/>
      <c r="G119" s="11"/>
      <c r="H119" s="207">
        <v>2113</v>
      </c>
      <c r="I119" s="63"/>
      <c r="J119" s="63"/>
      <c r="K119" s="59"/>
    </row>
    <row r="120" spans="1:11">
      <c r="A120" s="36"/>
      <c r="B120" s="77"/>
      <c r="C120" s="36"/>
      <c r="D120" s="37"/>
      <c r="E120" s="26"/>
      <c r="F120" s="26"/>
      <c r="G120" s="26"/>
      <c r="H120" s="209">
        <f>SUM(H111:H119)</f>
        <v>140492</v>
      </c>
      <c r="I120" s="26"/>
      <c r="J120" s="26"/>
      <c r="K120" s="59"/>
    </row>
    <row r="121" spans="1:11">
      <c r="B121" s="9" t="s">
        <v>129</v>
      </c>
      <c r="D121" s="33"/>
      <c r="E121" s="24"/>
      <c r="F121" s="24"/>
      <c r="G121" s="24"/>
      <c r="H121" s="207">
        <v>-11244</v>
      </c>
      <c r="I121" s="24"/>
      <c r="J121" s="24"/>
      <c r="K121" s="59"/>
    </row>
    <row r="122" spans="1:11">
      <c r="B122" s="34" t="s">
        <v>130</v>
      </c>
      <c r="D122" s="33"/>
      <c r="E122" s="24"/>
      <c r="F122" s="24"/>
      <c r="G122" s="24"/>
      <c r="H122" s="207">
        <v>-13950</v>
      </c>
      <c r="I122" s="24"/>
      <c r="J122" s="24"/>
      <c r="K122" s="59"/>
    </row>
    <row r="123" spans="1:11">
      <c r="A123" s="36"/>
      <c r="B123" s="18" t="s">
        <v>131</v>
      </c>
      <c r="C123" s="18"/>
      <c r="D123" s="35"/>
      <c r="E123" s="29"/>
      <c r="F123" s="29"/>
      <c r="G123" s="29"/>
      <c r="H123" s="210">
        <f>H120+H121+H122</f>
        <v>115298</v>
      </c>
      <c r="I123" s="29"/>
      <c r="J123" s="29"/>
      <c r="K123" s="59"/>
    </row>
    <row r="124" spans="1:11">
      <c r="D124" s="33"/>
      <c r="E124" s="17"/>
      <c r="F124" s="17"/>
      <c r="G124" s="17"/>
      <c r="H124" s="211"/>
      <c r="K124" s="59"/>
    </row>
    <row r="125" spans="1:11">
      <c r="A125" s="108"/>
      <c r="B125" s="107" t="s">
        <v>100</v>
      </c>
      <c r="C125" s="108"/>
      <c r="D125" s="117"/>
      <c r="E125" s="118"/>
      <c r="F125" s="118"/>
      <c r="G125" s="118"/>
      <c r="H125" s="212"/>
      <c r="I125" s="108"/>
      <c r="J125" s="108"/>
      <c r="K125" s="59"/>
    </row>
    <row r="126" spans="1:11">
      <c r="B126" s="9" t="s">
        <v>132</v>
      </c>
      <c r="D126" s="33"/>
      <c r="E126" s="11"/>
      <c r="F126" s="11"/>
      <c r="G126" s="11"/>
      <c r="H126" s="207">
        <v>-1060</v>
      </c>
      <c r="K126" s="59"/>
    </row>
    <row r="127" spans="1:11">
      <c r="B127" s="9" t="s">
        <v>133</v>
      </c>
      <c r="D127" s="33"/>
      <c r="E127" s="11"/>
      <c r="F127" s="11"/>
      <c r="G127" s="11"/>
      <c r="H127" s="207">
        <v>-55167</v>
      </c>
      <c r="K127" s="59"/>
    </row>
    <row r="128" spans="1:11">
      <c r="B128" s="9" t="s">
        <v>134</v>
      </c>
      <c r="D128" s="33"/>
      <c r="E128" s="11"/>
      <c r="F128" s="11"/>
      <c r="G128" s="11"/>
      <c r="H128" s="207">
        <v>-999</v>
      </c>
      <c r="K128" s="59"/>
    </row>
    <row r="129" spans="1:11">
      <c r="B129" s="9" t="s">
        <v>135</v>
      </c>
      <c r="D129" s="33"/>
      <c r="E129" s="11"/>
      <c r="F129" s="11"/>
      <c r="G129" s="11"/>
      <c r="H129" s="207">
        <v>-4</v>
      </c>
      <c r="K129" s="59"/>
    </row>
    <row r="130" spans="1:11">
      <c r="A130" s="36"/>
      <c r="B130" s="18" t="s">
        <v>136</v>
      </c>
      <c r="C130" s="36"/>
      <c r="D130" s="37"/>
      <c r="E130" s="38"/>
      <c r="F130" s="38"/>
      <c r="G130" s="38"/>
      <c r="H130" s="213">
        <f>SUM(H126:H129)</f>
        <v>-57230</v>
      </c>
      <c r="I130" s="38"/>
      <c r="J130" s="38"/>
      <c r="K130" s="59"/>
    </row>
    <row r="131" spans="1:11">
      <c r="D131" s="33"/>
      <c r="E131" s="17"/>
      <c r="F131" s="17"/>
      <c r="G131" s="17"/>
      <c r="H131" s="211"/>
      <c r="K131" s="59"/>
    </row>
    <row r="132" spans="1:11">
      <c r="A132" s="108"/>
      <c r="B132" s="107" t="s">
        <v>101</v>
      </c>
      <c r="C132" s="108"/>
      <c r="D132" s="117"/>
      <c r="E132" s="118"/>
      <c r="F132" s="118"/>
      <c r="G132" s="118"/>
      <c r="H132" s="212"/>
      <c r="I132" s="108"/>
      <c r="J132" s="108"/>
      <c r="K132" s="59"/>
    </row>
    <row r="133" spans="1:11">
      <c r="B133" s="9" t="s">
        <v>148</v>
      </c>
      <c r="D133" s="33"/>
      <c r="E133" s="17"/>
      <c r="F133" s="20"/>
      <c r="G133" s="20"/>
      <c r="H133" s="214">
        <v>604</v>
      </c>
      <c r="K133" s="59"/>
    </row>
    <row r="134" spans="1:11">
      <c r="B134" s="9" t="s">
        <v>137</v>
      </c>
      <c r="D134" s="33"/>
      <c r="E134" s="24"/>
      <c r="F134" s="24"/>
      <c r="G134" s="24"/>
      <c r="H134" s="207">
        <v>-425</v>
      </c>
      <c r="K134" s="59"/>
    </row>
    <row r="135" spans="1:11">
      <c r="B135" s="9" t="s">
        <v>138</v>
      </c>
      <c r="D135" s="33"/>
      <c r="E135" s="24"/>
      <c r="F135" s="24"/>
      <c r="G135" s="24"/>
      <c r="H135" s="207">
        <v>-7194</v>
      </c>
      <c r="K135" s="59"/>
    </row>
    <row r="136" spans="1:11">
      <c r="B136" s="9" t="s">
        <v>139</v>
      </c>
      <c r="D136" s="33"/>
      <c r="E136" s="24"/>
      <c r="F136" s="24"/>
      <c r="G136" s="24"/>
      <c r="H136" s="207">
        <v>-44765</v>
      </c>
      <c r="K136" s="59"/>
    </row>
    <row r="137" spans="1:11">
      <c r="A137" s="36"/>
      <c r="B137" s="36" t="s">
        <v>140</v>
      </c>
      <c r="C137" s="36"/>
      <c r="D137" s="37"/>
      <c r="E137" s="26"/>
      <c r="F137" s="26"/>
      <c r="G137" s="76"/>
      <c r="H137" s="215">
        <f>SUM(H133:H136)</f>
        <v>-51780</v>
      </c>
      <c r="I137" s="76"/>
      <c r="J137" s="76"/>
      <c r="K137" s="59"/>
    </row>
    <row r="138" spans="1:11" ht="10.95" customHeight="1">
      <c r="B138" s="12"/>
      <c r="D138" s="33"/>
      <c r="E138" s="17"/>
      <c r="F138" s="17"/>
      <c r="G138" s="17"/>
      <c r="H138" s="214"/>
      <c r="I138" s="17"/>
      <c r="J138" s="17"/>
      <c r="K138" s="59"/>
    </row>
    <row r="139" spans="1:11">
      <c r="B139" s="9" t="s">
        <v>141</v>
      </c>
      <c r="D139" s="33"/>
      <c r="E139" s="17"/>
      <c r="F139" s="17"/>
      <c r="G139" s="17"/>
      <c r="H139" s="214">
        <v>8140</v>
      </c>
      <c r="I139" s="17"/>
      <c r="J139" s="17"/>
      <c r="K139" s="59"/>
    </row>
    <row r="140" spans="1:11" ht="5.55" customHeight="1">
      <c r="D140" s="33"/>
      <c r="E140" s="17"/>
      <c r="F140" s="17"/>
      <c r="G140" s="17"/>
      <c r="H140" s="214"/>
      <c r="I140" s="17"/>
      <c r="J140" s="17"/>
      <c r="K140" s="59"/>
    </row>
    <row r="141" spans="1:11">
      <c r="A141" s="36"/>
      <c r="B141" s="18" t="s">
        <v>142</v>
      </c>
      <c r="C141" s="18"/>
      <c r="D141" s="35"/>
      <c r="E141" s="29"/>
      <c r="F141" s="29"/>
      <c r="G141" s="29"/>
      <c r="H141" s="210">
        <f>H143-H142</f>
        <v>14428</v>
      </c>
      <c r="I141" s="29"/>
      <c r="J141" s="29"/>
      <c r="K141" s="59"/>
    </row>
    <row r="142" spans="1:11">
      <c r="A142" s="36"/>
      <c r="B142" s="18" t="s">
        <v>144</v>
      </c>
      <c r="C142" s="12"/>
      <c r="D142" s="40"/>
      <c r="E142" s="13"/>
      <c r="F142" s="13"/>
      <c r="G142" s="13"/>
      <c r="H142" s="216">
        <v>225104</v>
      </c>
      <c r="I142" s="13"/>
      <c r="J142" s="13"/>
      <c r="K142" s="59"/>
    </row>
    <row r="143" spans="1:11" ht="13.8" thickBot="1">
      <c r="A143" s="67"/>
      <c r="B143" s="21" t="s">
        <v>143</v>
      </c>
      <c r="C143" s="21"/>
      <c r="D143" s="41"/>
      <c r="E143" s="42"/>
      <c r="F143" s="42"/>
      <c r="G143" s="42"/>
      <c r="H143" s="217">
        <f>H64</f>
        <v>239532</v>
      </c>
      <c r="I143" s="42"/>
      <c r="J143" s="42"/>
      <c r="K143" s="59"/>
    </row>
    <row r="144" spans="1:11" ht="13.8" thickTop="1">
      <c r="D144" s="10"/>
      <c r="H144" s="43"/>
      <c r="I144" s="43"/>
      <c r="J144" s="43"/>
      <c r="K144" s="59"/>
    </row>
    <row r="145" spans="1:11">
      <c r="D145" s="10"/>
      <c r="E145" s="17"/>
      <c r="F145" s="17"/>
      <c r="G145" s="17"/>
      <c r="K145" s="59"/>
    </row>
    <row r="146" spans="1:11">
      <c r="A146" s="147"/>
      <c r="B146" s="113" t="s">
        <v>103</v>
      </c>
      <c r="C146" s="115"/>
      <c r="D146" s="115"/>
      <c r="E146" s="115"/>
      <c r="F146" s="115"/>
      <c r="G146" s="115"/>
      <c r="H146" s="115"/>
      <c r="I146" s="115"/>
      <c r="J146" s="115"/>
      <c r="K146" s="59"/>
    </row>
    <row r="147" spans="1:11">
      <c r="A147" s="108"/>
      <c r="B147" s="145" t="s">
        <v>104</v>
      </c>
      <c r="C147" s="145"/>
      <c r="D147" s="146"/>
      <c r="E147" s="146"/>
      <c r="F147" s="146"/>
      <c r="G147" s="146"/>
      <c r="H147" s="146"/>
      <c r="I147" s="146"/>
      <c r="J147" s="146"/>
      <c r="K147" s="59"/>
    </row>
    <row r="148" spans="1:11">
      <c r="B148" s="12" t="s">
        <v>105</v>
      </c>
      <c r="D148" s="17"/>
      <c r="H148" s="52">
        <v>401247</v>
      </c>
      <c r="I148" s="52">
        <f>H153</f>
        <v>426397</v>
      </c>
      <c r="J148" s="52">
        <f>I153</f>
        <v>494594.48566992488</v>
      </c>
      <c r="K148" s="59"/>
    </row>
    <row r="149" spans="1:11">
      <c r="B149" s="12" t="s">
        <v>123</v>
      </c>
      <c r="D149" s="17"/>
      <c r="H149" s="52">
        <f>H40</f>
        <v>72248</v>
      </c>
      <c r="I149" s="52">
        <f>I40</f>
        <v>80353.485669924907</v>
      </c>
      <c r="J149" s="52">
        <f>J40</f>
        <v>82495.936674899553</v>
      </c>
      <c r="K149" s="59"/>
    </row>
    <row r="150" spans="1:11">
      <c r="B150" s="9" t="s">
        <v>102</v>
      </c>
      <c r="D150" s="17"/>
      <c r="H150" s="52">
        <v>46700</v>
      </c>
      <c r="I150" s="52">
        <f>H83</f>
        <v>12156</v>
      </c>
      <c r="J150" s="52">
        <f>I83</f>
        <v>8035.3485669924912</v>
      </c>
      <c r="K150" s="59"/>
    </row>
    <row r="151" spans="1:11">
      <c r="B151" s="9" t="s">
        <v>122</v>
      </c>
      <c r="D151" s="17"/>
      <c r="H151" s="52">
        <v>398</v>
      </c>
      <c r="I151" s="52">
        <v>0</v>
      </c>
      <c r="J151" s="52">
        <v>0</v>
      </c>
      <c r="K151" s="59"/>
    </row>
    <row r="152" spans="1:11">
      <c r="A152" s="36"/>
      <c r="B152" s="18" t="s">
        <v>90</v>
      </c>
      <c r="C152" s="36"/>
      <c r="D152" s="38"/>
      <c r="E152" s="36"/>
      <c r="F152" s="38"/>
      <c r="G152" s="36"/>
      <c r="H152" s="69">
        <f>H148+H149-H150-H151</f>
        <v>426397</v>
      </c>
      <c r="I152" s="69">
        <f>I148+I149-I150-I151</f>
        <v>494594.48566992488</v>
      </c>
      <c r="J152" s="69">
        <f>J148+J149-J150-J151</f>
        <v>569055.07377783197</v>
      </c>
      <c r="K152" s="59"/>
    </row>
    <row r="153" spans="1:11" ht="13.8" thickBot="1">
      <c r="A153" s="67"/>
      <c r="B153" s="21" t="s">
        <v>106</v>
      </c>
      <c r="C153" s="67"/>
      <c r="D153" s="68"/>
      <c r="E153" s="67"/>
      <c r="F153" s="68"/>
      <c r="G153" s="67"/>
      <c r="H153" s="70">
        <f>H152</f>
        <v>426397</v>
      </c>
      <c r="I153" s="70">
        <f>I152</f>
        <v>494594.48566992488</v>
      </c>
      <c r="J153" s="70">
        <f>J152</f>
        <v>569055.07377783197</v>
      </c>
      <c r="K153" s="59"/>
    </row>
    <row r="154" spans="1:11" ht="13.8" thickTop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</row>
    <row r="155" spans="1:11"/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rop Down 1">
              <controlPr defaultSize="0" autoLine="0" autoPict="0">
                <anchor moveWithCells="1">
                  <from>
                    <xdr:col>1</xdr:col>
                    <xdr:colOff>1089660</xdr:colOff>
                    <xdr:row>0</xdr:row>
                    <xdr:rowOff>7620</xdr:rowOff>
                  </from>
                  <to>
                    <xdr:col>1</xdr:col>
                    <xdr:colOff>2636520</xdr:colOff>
                    <xdr:row>1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947A-A81D-498D-96DD-0B9DB563E5B4}">
  <dimension ref="A1:I38"/>
  <sheetViews>
    <sheetView showGridLines="0" zoomScale="80" zoomScaleNormal="80" workbookViewId="0">
      <selection activeCell="A36" sqref="A36:XFD36"/>
    </sheetView>
  </sheetViews>
  <sheetFormatPr defaultColWidth="0" defaultRowHeight="13.2" zeroHeight="1"/>
  <cols>
    <col min="1" max="1" width="8.796875" style="219" customWidth="1"/>
    <col min="2" max="2" width="25.59765625" style="219" bestFit="1" customWidth="1"/>
    <col min="3" max="5" width="14.09765625" style="219" bestFit="1" customWidth="1"/>
    <col min="6" max="7" width="8.796875" style="219" customWidth="1"/>
    <col min="8" max="8" width="12.19921875" style="219" customWidth="1"/>
    <col min="9" max="9" width="2.19921875" style="219" customWidth="1"/>
    <col min="10" max="16384" width="8.796875" style="219" hidden="1"/>
  </cols>
  <sheetData>
    <row r="1" spans="1:9">
      <c r="A1" s="266"/>
      <c r="B1" s="266"/>
      <c r="C1" s="266"/>
      <c r="D1" s="266"/>
      <c r="E1" s="266"/>
      <c r="F1" s="266"/>
      <c r="G1" s="266"/>
      <c r="H1" s="266"/>
      <c r="I1" s="218"/>
    </row>
    <row r="2" spans="1:9">
      <c r="A2" s="266"/>
      <c r="B2" s="266"/>
      <c r="C2" s="266"/>
      <c r="D2" s="266"/>
      <c r="E2" s="266"/>
      <c r="F2" s="266"/>
      <c r="G2" s="266"/>
      <c r="H2" s="266"/>
      <c r="I2" s="218"/>
    </row>
    <row r="3" spans="1:9">
      <c r="A3" s="267"/>
      <c r="B3" s="267"/>
      <c r="C3" s="267"/>
      <c r="D3" s="267"/>
      <c r="E3" s="267"/>
      <c r="F3" s="267"/>
      <c r="G3" s="267"/>
      <c r="H3" s="267"/>
      <c r="I3" s="218"/>
    </row>
    <row r="4" spans="1:9">
      <c r="A4" s="268"/>
      <c r="B4" s="268"/>
      <c r="C4" s="268"/>
      <c r="D4" s="268"/>
      <c r="E4" s="268"/>
      <c r="F4" s="268"/>
      <c r="G4" s="268"/>
      <c r="H4" s="268"/>
      <c r="I4" s="218"/>
    </row>
    <row r="5" spans="1:9">
      <c r="A5" s="267"/>
      <c r="I5" s="218"/>
    </row>
    <row r="6" spans="1:9">
      <c r="A6" s="220"/>
      <c r="B6" s="220"/>
      <c r="C6" s="269">
        <v>2023</v>
      </c>
      <c r="D6" s="269">
        <f>C6+1</f>
        <v>2024</v>
      </c>
      <c r="E6" s="269">
        <f>D6+1</f>
        <v>2025</v>
      </c>
      <c r="F6" s="220"/>
      <c r="G6" s="220"/>
      <c r="H6" s="269" t="s">
        <v>251</v>
      </c>
      <c r="I6" s="218"/>
    </row>
    <row r="7" spans="1:9">
      <c r="B7" s="221" t="s">
        <v>152</v>
      </c>
      <c r="I7" s="218"/>
    </row>
    <row r="8" spans="1:9">
      <c r="B8" s="219" t="s">
        <v>153</v>
      </c>
      <c r="C8" s="270">
        <f>'FY 2023 &amp; Projections''000'!E42/'FY 2023 &amp; Projections''000'!E60</f>
        <v>1.7689312621516526</v>
      </c>
      <c r="D8" s="270">
        <f>'FY 2023 &amp; Projections''000'!F42/'FY 2023 &amp; Projections''000'!F60</f>
        <v>2.5001326748124968</v>
      </c>
      <c r="E8" s="270">
        <f>'FY 2023 &amp; Projections''000'!G42/'FY 2023 &amp; Projections''000'!G60</f>
        <v>3.221124576897592</v>
      </c>
      <c r="I8" s="218"/>
    </row>
    <row r="9" spans="1:9">
      <c r="B9" s="219" t="s">
        <v>154</v>
      </c>
      <c r="C9" s="270">
        <f>('FY 2023 &amp; Projections''000'!E37+'FY 2023 &amp; Projections''000'!E38+'FY 2023 &amp; Projections''000'!E39)/'FY 2023 &amp; Projections''000'!E60</f>
        <v>1.6897986876215165</v>
      </c>
      <c r="D9" s="270">
        <f>('FY 2023 &amp; Projections''000'!F37+'FY 2023 &amp; Projections''000'!F38+'FY 2023 &amp; Projections''000'!F39)/'FY 2023 &amp; Projections''000'!F60</f>
        <v>2.4061601317540413</v>
      </c>
      <c r="E9" s="270">
        <f>('FY 2023 &amp; Projections''000'!G37+'FY 2023 &amp; Projections''000'!G38+'FY 2023 &amp; Projections''000'!G39)/'FY 2023 &amp; Projections''000'!G60</f>
        <v>3.1142755287076471</v>
      </c>
      <c r="I9" s="218"/>
    </row>
    <row r="10" spans="1:9">
      <c r="B10" s="219" t="s">
        <v>155</v>
      </c>
      <c r="C10" s="270">
        <f>'FY 2023 &amp; Projections''000'!E37/'FY 2023 &amp; Projections''000'!E60</f>
        <v>1.212795690213869</v>
      </c>
      <c r="D10" s="270">
        <f>'FY 2023 &amp; Projections''000'!F37/'FY 2023 &amp; Projections''000'!F60</f>
        <v>1.8534334872830389</v>
      </c>
      <c r="E10" s="270">
        <f>'FY 2023 &amp; Projections''000'!G37/'FY 2023 &amp; Projections''000'!G60</f>
        <v>2.4521617527840878</v>
      </c>
      <c r="I10" s="218"/>
    </row>
    <row r="11" spans="1:9">
      <c r="B11" s="219" t="s">
        <v>156</v>
      </c>
      <c r="C11" s="222">
        <f>'FY 2023 &amp; Projections''000'!E42-'FY 2023 &amp; Projections''000'!E60</f>
        <v>151867</v>
      </c>
      <c r="D11" s="222">
        <f>'FY 2023 &amp; Projections''000'!F42-'FY 2023 &amp; Projections''000'!F60</f>
        <v>290100.6799499999</v>
      </c>
      <c r="E11" s="222">
        <f>'FY 2023 &amp; Projections''000'!G42-'FY 2023 &amp; Projections''000'!G60</f>
        <v>433669.04837195174</v>
      </c>
      <c r="I11" s="218"/>
    </row>
    <row r="12" spans="1:9">
      <c r="C12" s="270"/>
      <c r="D12" s="270"/>
      <c r="E12" s="270"/>
      <c r="I12" s="218"/>
    </row>
    <row r="13" spans="1:9">
      <c r="A13" s="220"/>
      <c r="B13" s="220"/>
      <c r="C13" s="269">
        <v>2023</v>
      </c>
      <c r="D13" s="269">
        <f>C13+1</f>
        <v>2024</v>
      </c>
      <c r="E13" s="269">
        <f>D13+1</f>
        <v>2025</v>
      </c>
      <c r="F13" s="220"/>
      <c r="G13" s="220"/>
      <c r="H13" s="220"/>
      <c r="I13" s="218"/>
    </row>
    <row r="14" spans="1:9">
      <c r="B14" s="221" t="s">
        <v>157</v>
      </c>
      <c r="C14" s="270"/>
      <c r="D14" s="270"/>
      <c r="E14" s="270"/>
      <c r="I14" s="218"/>
    </row>
    <row r="15" spans="1:9">
      <c r="B15" s="219" t="s">
        <v>158</v>
      </c>
      <c r="C15" s="270">
        <f>'FY 2023 &amp; Projections''000'!E68/'FY 2023 &amp; Projections''000'!E51</f>
        <v>0.29137136805032732</v>
      </c>
      <c r="D15" s="270">
        <f>'FY 2023 &amp; Projections''000'!F68/'FY 2023 &amp; Projections''000'!F51</f>
        <v>0.25442852457344561</v>
      </c>
      <c r="E15" s="270">
        <f>'FY 2023 &amp; Projections''000'!G68/'FY 2023 &amp; Projections''000'!G51</f>
        <v>0.2289322561582198</v>
      </c>
      <c r="I15" s="218"/>
    </row>
    <row r="16" spans="1:9">
      <c r="B16" s="219" t="s">
        <v>159</v>
      </c>
      <c r="C16" s="270">
        <f>'FY 2023 &amp; Projections''000'!E68/'FY 2023 &amp; Projections''000'!E74</f>
        <v>0.41117639749986945</v>
      </c>
      <c r="D16" s="270">
        <f>'FY 2023 &amp; Projections''000'!F68/'FY 2023 &amp; Projections''000'!F74</f>
        <v>0.34125302933281171</v>
      </c>
      <c r="E16" s="270">
        <f>'FY 2023 &amp; Projections''000'!G68/'FY 2023 &amp; Projections''000'!G74</f>
        <v>0.29690290896826277</v>
      </c>
      <c r="I16" s="218"/>
    </row>
    <row r="17" spans="1:9">
      <c r="B17" s="219" t="s">
        <v>160</v>
      </c>
      <c r="C17" s="270">
        <f>'FY 2023 &amp; Projections''000'!E51/'FY 2023 &amp; Projections''000'!E74</f>
        <v>1.4111763974998695</v>
      </c>
      <c r="D17" s="270">
        <f>'FY 2023 &amp; Projections''000'!F51/'FY 2023 &amp; Projections''000'!F74</f>
        <v>1.3412530293328118</v>
      </c>
      <c r="E17" s="270">
        <f>'FY 2023 &amp; Projections''000'!G51/'FY 2023 &amp; Projections''000'!G74</f>
        <v>1.2969029089682629</v>
      </c>
      <c r="I17" s="218"/>
    </row>
    <row r="18" spans="1:9">
      <c r="B18" s="219" t="s">
        <v>161</v>
      </c>
      <c r="C18" s="270">
        <f>'FY 2023 &amp; Projections''000'!E67/'FY 2023 &amp; Projections''000'!E51</f>
        <v>3.9346918983755919E-2</v>
      </c>
      <c r="D18" s="270">
        <f>'FY 2023 &amp; Projections''000'!F67/'FY 2023 &amp; Projections''000'!F51</f>
        <v>3.4989569789281354E-2</v>
      </c>
      <c r="E18" s="270">
        <f>'FY 2023 &amp; Projections''000'!G67/'FY 2023 &amp; Projections''000'!G51</f>
        <v>3.1223671586409082E-2</v>
      </c>
      <c r="I18" s="218"/>
    </row>
    <row r="19" spans="1:9">
      <c r="B19" s="219" t="s">
        <v>162</v>
      </c>
      <c r="C19" s="270">
        <f>'FY 2023 &amp; Projections''000'!E16/-'FY 2023 &amp; Projections''000'!E21</f>
        <v>188.95395683453236</v>
      </c>
      <c r="D19" s="270">
        <f>'FY 2023 &amp; Projections''000'!F16/-'FY 2023 &amp; Projections''000'!F21</f>
        <v>144.63168340474837</v>
      </c>
      <c r="E19" s="270">
        <f>'FY 2023 &amp; Projections''000'!G16/-'FY 2023 &amp; Projections''000'!G21</f>
        <v>137.80436016867617</v>
      </c>
      <c r="I19" s="218"/>
    </row>
    <row r="20" spans="1:9">
      <c r="C20" s="270"/>
      <c r="D20" s="270"/>
      <c r="E20" s="270"/>
      <c r="I20" s="218"/>
    </row>
    <row r="21" spans="1:9">
      <c r="C21" s="270"/>
      <c r="D21" s="270"/>
      <c r="E21" s="270"/>
      <c r="I21" s="218"/>
    </row>
    <row r="22" spans="1:9">
      <c r="A22" s="220"/>
      <c r="B22" s="220"/>
      <c r="C22" s="269">
        <v>2023</v>
      </c>
      <c r="D22" s="269">
        <f>C22+1</f>
        <v>2024</v>
      </c>
      <c r="E22" s="269">
        <f>D22+1</f>
        <v>2025</v>
      </c>
      <c r="F22" s="220"/>
      <c r="G22" s="220"/>
      <c r="H22" s="220"/>
      <c r="I22" s="218"/>
    </row>
    <row r="23" spans="1:9">
      <c r="B23" s="221" t="s">
        <v>163</v>
      </c>
      <c r="C23" s="270"/>
      <c r="D23" s="270"/>
      <c r="E23" s="270"/>
      <c r="I23" s="218"/>
    </row>
    <row r="24" spans="1:9">
      <c r="B24" s="219" t="s">
        <v>164</v>
      </c>
      <c r="C24" s="270">
        <f>'FY 2023 &amp; Projections''000'!E39/('FY 2023 &amp; Projections''000'!E7/365)</f>
        <v>75.073003070335801</v>
      </c>
      <c r="D24" s="270">
        <f>'FY 2023 &amp; Projections''000'!F39/('FY 2023 &amp; Projections''000'!F7/365)</f>
        <v>78.475000000000009</v>
      </c>
      <c r="E24" s="270">
        <f>'FY 2023 &amp; Projections''000'!G39/('FY 2023 &amp; Projections''000'!G7/365)</f>
        <v>85.774999999999991</v>
      </c>
      <c r="I24" s="218"/>
    </row>
    <row r="25" spans="1:9">
      <c r="B25" s="219" t="s">
        <v>165</v>
      </c>
      <c r="C25" s="270">
        <f>'FY 2023 &amp; Projections''000'!E7/Ratios!C11</f>
        <v>2.9896027445067066</v>
      </c>
      <c r="D25" s="270">
        <f>'FY 2023 &amp; Projections''000'!F7/Ratios!D11</f>
        <v>1.6824284937357663</v>
      </c>
      <c r="E25" s="270">
        <f>'FY 2023 &amp; Projections''000'!G7/Ratios!E11</f>
        <v>1.226742559786538</v>
      </c>
      <c r="I25" s="218"/>
    </row>
    <row r="26" spans="1:9">
      <c r="B26" s="219" t="s">
        <v>166</v>
      </c>
      <c r="C26" s="270">
        <f>'FY 2023 &amp; Projections''000'!E7/'FY 2023 &amp; Projections''000'!E50</f>
        <v>1.0454134133396578</v>
      </c>
      <c r="D26" s="270">
        <f>'FY 2023 &amp; Projections''000'!F7/'FY 2023 &amp; Projections''000'!F50</f>
        <v>1.226998281274444</v>
      </c>
      <c r="E26" s="270">
        <f>'FY 2023 &amp; Projections''000'!G7/'FY 2023 &amp; Projections''000'!G50</f>
        <v>1.4834012150594842</v>
      </c>
      <c r="I26" s="218"/>
    </row>
    <row r="27" spans="1:9">
      <c r="B27" s="219" t="s">
        <v>167</v>
      </c>
      <c r="C27" s="270">
        <f>'FY 2023 &amp; Projections''000'!E7/'FY 2023 &amp; Projections''000'!E51</f>
        <v>0.5793535544297983</v>
      </c>
      <c r="D27" s="270">
        <f>'FY 2023 &amp; Projections''000'!F7/'FY 2023 &amp; Projections''000'!F51</f>
        <v>0.55383450750719243</v>
      </c>
      <c r="E27" s="270">
        <f>'FY 2023 &amp; Projections''000'!G7/'FY 2023 &amp; Projections''000'!G51</f>
        <v>0.53870608009606513</v>
      </c>
      <c r="I27" s="218"/>
    </row>
    <row r="28" spans="1:9">
      <c r="C28" s="270"/>
      <c r="D28" s="270"/>
      <c r="E28" s="270"/>
      <c r="I28" s="218"/>
    </row>
    <row r="29" spans="1:9">
      <c r="A29" s="220"/>
      <c r="B29" s="220"/>
      <c r="C29" s="269">
        <v>2023</v>
      </c>
      <c r="D29" s="269">
        <f>C29+1</f>
        <v>2024</v>
      </c>
      <c r="E29" s="269">
        <f>D29+1</f>
        <v>2025</v>
      </c>
      <c r="F29" s="220"/>
      <c r="G29" s="220"/>
      <c r="H29" s="220"/>
      <c r="I29" s="218"/>
    </row>
    <row r="30" spans="1:9">
      <c r="B30" s="221" t="s">
        <v>168</v>
      </c>
      <c r="C30" s="270"/>
      <c r="D30" s="270"/>
      <c r="E30" s="270"/>
      <c r="I30" s="218"/>
    </row>
    <row r="31" spans="1:9">
      <c r="B31" s="219" t="s">
        <v>169</v>
      </c>
      <c r="C31" s="271">
        <f>'FY 2023 &amp; Projections''000'!E27/'FY 2023 &amp; Projections''000'!E7</f>
        <v>0.15912885278686936</v>
      </c>
      <c r="D31" s="271">
        <f>'FY 2023 &amp; Projections''000'!F27/'FY 2023 &amp; Projections''000'!F7</f>
        <v>0.16463393520614142</v>
      </c>
      <c r="E31" s="271">
        <f>'FY 2023 &amp; Projections''000'!G27/'FY 2023 &amp; Projections''000'!G7</f>
        <v>0.15506746896355159</v>
      </c>
      <c r="I31" s="218"/>
    </row>
    <row r="32" spans="1:9">
      <c r="B32" s="219" t="s">
        <v>170</v>
      </c>
      <c r="C32" s="271">
        <f>'FY 2023 &amp; Projections''000'!E27/'FY 2023 &amp; Projections''000'!E51</f>
        <v>9.2191866474408871E-2</v>
      </c>
      <c r="D32" s="271">
        <f>'FY 2023 &amp; Projections''000'!F27/'FY 2023 &amp; Projections''000'!F51</f>
        <v>9.1179954423864354E-2</v>
      </c>
      <c r="E32" s="271">
        <f>'FY 2023 &amp; Projections''000'!G27/'FY 2023 &amp; Projections''000'!G51</f>
        <v>8.3535788355773119E-2</v>
      </c>
      <c r="I32" s="218"/>
    </row>
    <row r="33" spans="1:9">
      <c r="B33" s="219" t="s">
        <v>171</v>
      </c>
      <c r="C33" s="271">
        <f>'FY 2023 &amp; Projections''000'!E27/'FY 2023 &amp; Projections''000'!E74</f>
        <v>0.1300989860101453</v>
      </c>
      <c r="D33" s="271">
        <f>'FY 2023 &amp; Projections''000'!F27/'FY 2023 &amp; Projections''000'!F74</f>
        <v>0.12229539008543579</v>
      </c>
      <c r="E33" s="271">
        <f>'FY 2023 &amp; Projections''000'!G27/'FY 2023 &amp; Projections''000'!G74</f>
        <v>0.1083378069215593</v>
      </c>
      <c r="I33" s="218"/>
    </row>
    <row r="34" spans="1:9">
      <c r="I34" s="218"/>
    </row>
    <row r="35" spans="1:9">
      <c r="I35" s="218"/>
    </row>
    <row r="36" spans="1:9">
      <c r="I36" s="218"/>
    </row>
    <row r="37" spans="1:9">
      <c r="A37" s="218"/>
      <c r="B37" s="218"/>
      <c r="C37" s="218"/>
      <c r="D37" s="218"/>
      <c r="E37" s="218"/>
      <c r="F37" s="218"/>
      <c r="G37" s="218"/>
      <c r="H37" s="218"/>
      <c r="I37" s="218"/>
    </row>
    <row r="38" spans="1:9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F6D7-B7EE-49BA-B8BD-9586FB67BEFC}">
  <dimension ref="A1:E37"/>
  <sheetViews>
    <sheetView showGridLines="0" zoomScaleNormal="100" workbookViewId="0">
      <selection activeCell="B14" sqref="B14"/>
    </sheetView>
  </sheetViews>
  <sheetFormatPr defaultColWidth="0" defaultRowHeight="13.2" zeroHeight="1"/>
  <cols>
    <col min="1" max="1" width="2.5" style="9" customWidth="1"/>
    <col min="2" max="2" width="32.3984375" style="9" bestFit="1" customWidth="1"/>
    <col min="3" max="3" width="38.09765625" style="9" bestFit="1" customWidth="1"/>
    <col min="4" max="4" width="45.59765625" style="9" customWidth="1"/>
    <col min="5" max="5" width="2" style="9" customWidth="1"/>
    <col min="6" max="6" width="8.69921875" style="9" hidden="1" customWidth="1"/>
    <col min="7" max="16384" width="8.69921875" style="9" hidden="1"/>
  </cols>
  <sheetData>
    <row r="1" spans="1:5">
      <c r="A1" s="96"/>
      <c r="B1" s="280" t="s">
        <v>259</v>
      </c>
      <c r="C1" s="96"/>
      <c r="D1" s="96"/>
      <c r="E1" s="59"/>
    </row>
    <row r="2" spans="1:5" ht="14.4">
      <c r="A2" s="97"/>
      <c r="B2" s="97"/>
      <c r="C2" s="97"/>
      <c r="D2" s="97"/>
      <c r="E2" s="59"/>
    </row>
    <row r="3" spans="1:5">
      <c r="A3" s="278"/>
      <c r="B3" s="278"/>
      <c r="C3" s="278"/>
      <c r="D3" s="278"/>
      <c r="E3" s="59"/>
    </row>
    <row r="4" spans="1:5">
      <c r="A4" s="279"/>
      <c r="B4" s="279"/>
      <c r="C4" s="279"/>
      <c r="D4" s="279"/>
      <c r="E4" s="59"/>
    </row>
    <row r="5" spans="1:5">
      <c r="E5" s="59"/>
    </row>
    <row r="6" spans="1:5">
      <c r="B6" s="12" t="s">
        <v>63</v>
      </c>
      <c r="E6" s="59"/>
    </row>
    <row r="7" spans="1:5">
      <c r="B7" s="94" t="s">
        <v>54</v>
      </c>
      <c r="C7" s="94" t="s">
        <v>55</v>
      </c>
      <c r="D7" s="94" t="s">
        <v>56</v>
      </c>
      <c r="E7" s="59"/>
    </row>
    <row r="8" spans="1:5">
      <c r="B8" s="95" t="s">
        <v>57</v>
      </c>
      <c r="C8" s="95" t="s">
        <v>109</v>
      </c>
      <c r="D8" s="95" t="s">
        <v>110</v>
      </c>
      <c r="E8" s="59"/>
    </row>
    <row r="9" spans="1:5">
      <c r="B9" s="95" t="s">
        <v>58</v>
      </c>
      <c r="C9" s="95" t="s">
        <v>59</v>
      </c>
      <c r="D9" s="95" t="s">
        <v>253</v>
      </c>
      <c r="E9" s="59"/>
    </row>
    <row r="10" spans="1:5">
      <c r="B10" s="95" t="s">
        <v>60</v>
      </c>
      <c r="C10" s="95" t="s">
        <v>254</v>
      </c>
      <c r="D10" s="95" t="s">
        <v>116</v>
      </c>
      <c r="E10" s="59"/>
    </row>
    <row r="11" spans="1:5">
      <c r="B11" s="95" t="s">
        <v>61</v>
      </c>
      <c r="C11" s="95" t="s">
        <v>62</v>
      </c>
      <c r="D11" s="95" t="s">
        <v>255</v>
      </c>
      <c r="E11" s="59"/>
    </row>
    <row r="12" spans="1:5">
      <c r="B12" s="95" t="s">
        <v>149</v>
      </c>
      <c r="C12" s="95" t="s">
        <v>254</v>
      </c>
      <c r="D12" s="95" t="s">
        <v>116</v>
      </c>
      <c r="E12" s="59"/>
    </row>
    <row r="13" spans="1:5">
      <c r="B13" s="95" t="s">
        <v>150</v>
      </c>
      <c r="C13" s="95" t="s">
        <v>255</v>
      </c>
      <c r="D13" s="95" t="s">
        <v>255</v>
      </c>
      <c r="E13" s="59"/>
    </row>
    <row r="14" spans="1:5">
      <c r="B14" s="95" t="s">
        <v>13</v>
      </c>
      <c r="C14" s="95" t="s">
        <v>151</v>
      </c>
      <c r="D14" s="95" t="s">
        <v>151</v>
      </c>
      <c r="E14" s="59"/>
    </row>
    <row r="15" spans="1:5">
      <c r="E15" s="59"/>
    </row>
    <row r="16" spans="1:5">
      <c r="E16" s="59"/>
    </row>
    <row r="17" spans="1:5">
      <c r="B17" s="12" t="s">
        <v>64</v>
      </c>
      <c r="E17" s="59"/>
    </row>
    <row r="18" spans="1:5">
      <c r="B18" s="94" t="s">
        <v>65</v>
      </c>
      <c r="C18" s="94" t="s">
        <v>55</v>
      </c>
      <c r="D18" s="94" t="s">
        <v>56</v>
      </c>
      <c r="E18" s="59"/>
    </row>
    <row r="19" spans="1:5">
      <c r="B19" s="95" t="s">
        <v>66</v>
      </c>
      <c r="C19" s="95" t="s">
        <v>257</v>
      </c>
      <c r="D19" s="95" t="s">
        <v>256</v>
      </c>
      <c r="E19" s="59"/>
    </row>
    <row r="20" spans="1:5">
      <c r="B20" s="95" t="s">
        <v>68</v>
      </c>
      <c r="C20" s="95" t="s">
        <v>67</v>
      </c>
      <c r="D20" s="95" t="s">
        <v>67</v>
      </c>
      <c r="E20" s="59"/>
    </row>
    <row r="21" spans="1:5">
      <c r="B21" s="95" t="s">
        <v>69</v>
      </c>
      <c r="C21" s="95" t="s">
        <v>70</v>
      </c>
      <c r="D21" s="95" t="s">
        <v>70</v>
      </c>
      <c r="E21" s="59"/>
    </row>
    <row r="22" spans="1:5">
      <c r="E22" s="59"/>
    </row>
    <row r="23" spans="1:5">
      <c r="E23" s="59"/>
    </row>
    <row r="24" spans="1:5">
      <c r="E24" s="59"/>
    </row>
    <row r="25" spans="1:5">
      <c r="A25" s="59"/>
      <c r="B25" s="59"/>
      <c r="C25" s="59"/>
      <c r="D25" s="59"/>
      <c r="E25" s="59"/>
    </row>
    <row r="33" s="9" customFormat="1" hidden="1"/>
    <row r="34" s="9" customFormat="1" hidden="1"/>
    <row r="35" s="9" customFormat="1" hidden="1"/>
    <row r="36" s="9" customFormat="1" hidden="1"/>
    <row r="37" s="9" customFormat="1" hidden="1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D15FB-453B-4D5D-ACB7-9B0F2C27F93E}">
  <dimension ref="A1:T174"/>
  <sheetViews>
    <sheetView showGridLines="0" zoomScale="80" zoomScaleNormal="80" workbookViewId="0">
      <selection activeCell="C1" sqref="C1"/>
    </sheetView>
  </sheetViews>
  <sheetFormatPr defaultColWidth="0" defaultRowHeight="15.6" zeroHeight="1"/>
  <cols>
    <col min="1" max="1" width="2.69921875" customWidth="1"/>
    <col min="2" max="2" width="3" customWidth="1"/>
    <col min="3" max="3" width="31.796875" customWidth="1"/>
    <col min="4" max="4" width="14.5" customWidth="1"/>
    <col min="5" max="5" width="23.3984375" customWidth="1"/>
    <col min="6" max="6" width="22.59765625" customWidth="1"/>
    <col min="7" max="7" width="20.796875" customWidth="1"/>
    <col min="8" max="8" width="11.19921875" style="3" bestFit="1" customWidth="1"/>
    <col min="9" max="9" width="9.5" style="3" customWidth="1"/>
    <col min="10" max="10" width="13.296875" style="3" customWidth="1"/>
    <col min="11" max="11" width="10.09765625" style="310" bestFit="1" customWidth="1"/>
    <col min="12" max="12" width="10.09765625" bestFit="1" customWidth="1"/>
    <col min="13" max="13" width="5.09765625" customWidth="1"/>
    <col min="14" max="14" width="3.296875" customWidth="1"/>
    <col min="15" max="15" width="11.5" customWidth="1"/>
    <col min="16" max="19" width="8.796875" customWidth="1"/>
    <col min="20" max="20" width="2.69921875" customWidth="1"/>
    <col min="21" max="16384" width="8.796875" hidden="1"/>
  </cols>
  <sheetData>
    <row r="1" spans="1:20">
      <c r="A1" s="96"/>
      <c r="B1" s="96"/>
      <c r="C1" s="318" t="s">
        <v>258</v>
      </c>
      <c r="D1" s="96"/>
      <c r="E1" s="96"/>
      <c r="F1" s="96"/>
      <c r="G1" s="96"/>
      <c r="H1" s="96"/>
      <c r="I1" s="303"/>
      <c r="J1" s="303"/>
      <c r="K1" s="307"/>
      <c r="L1" s="96"/>
      <c r="M1" s="96"/>
      <c r="N1" s="96"/>
      <c r="O1" s="96"/>
      <c r="P1" s="96"/>
      <c r="Q1" s="96"/>
      <c r="R1" s="96"/>
      <c r="S1" s="96"/>
      <c r="T1" s="59"/>
    </row>
    <row r="2" spans="1:20">
      <c r="A2" s="97"/>
      <c r="B2" s="97"/>
      <c r="C2" s="97"/>
      <c r="D2" s="97"/>
      <c r="E2" s="97"/>
      <c r="F2" s="97"/>
      <c r="G2" s="97"/>
      <c r="H2" s="97"/>
      <c r="I2" s="304"/>
      <c r="J2" s="304"/>
      <c r="K2" s="308"/>
      <c r="L2" s="97"/>
      <c r="M2" s="97"/>
      <c r="N2" s="97"/>
      <c r="O2" s="97"/>
      <c r="P2" s="97"/>
      <c r="Q2" s="97"/>
      <c r="R2" s="97"/>
      <c r="S2" s="97"/>
      <c r="T2" s="59"/>
    </row>
    <row r="3" spans="1:20">
      <c r="A3" s="279"/>
      <c r="B3" s="279"/>
      <c r="C3" s="279"/>
      <c r="D3" s="279"/>
      <c r="E3" s="279"/>
      <c r="F3" s="279"/>
      <c r="G3" s="279"/>
      <c r="H3" s="279"/>
      <c r="I3" s="305"/>
      <c r="J3" s="305"/>
      <c r="K3" s="309"/>
      <c r="L3" s="279"/>
      <c r="M3" s="279"/>
      <c r="N3" s="279"/>
      <c r="O3" s="279"/>
      <c r="P3" s="279"/>
      <c r="Q3" s="279"/>
      <c r="R3" s="279"/>
      <c r="S3" s="279"/>
      <c r="T3" s="59"/>
    </row>
    <row r="4" spans="1:20">
      <c r="F4" s="163"/>
      <c r="T4" s="59"/>
    </row>
    <row r="5" spans="1:20">
      <c r="F5" s="163"/>
      <c r="T5" s="59"/>
    </row>
    <row r="6" spans="1:20">
      <c r="C6" s="189"/>
      <c r="D6" s="190" t="s">
        <v>185</v>
      </c>
      <c r="E6" s="190" t="s">
        <v>187</v>
      </c>
      <c r="F6" s="190" t="s">
        <v>188</v>
      </c>
      <c r="G6" s="190" t="s">
        <v>190</v>
      </c>
      <c r="H6" s="191" t="s">
        <v>192</v>
      </c>
      <c r="T6" s="59"/>
    </row>
    <row r="7" spans="1:20">
      <c r="C7" s="192"/>
      <c r="D7" s="4"/>
      <c r="E7" s="4" t="s">
        <v>186</v>
      </c>
      <c r="F7" s="4" t="s">
        <v>189</v>
      </c>
      <c r="G7" s="193" t="s">
        <v>191</v>
      </c>
      <c r="H7" s="187"/>
      <c r="T7" s="59"/>
    </row>
    <row r="8" spans="1:20">
      <c r="C8" s="194" t="s">
        <v>197</v>
      </c>
      <c r="H8" s="181"/>
      <c r="T8" s="59"/>
    </row>
    <row r="9" spans="1:20">
      <c r="C9" s="177" t="s">
        <v>183</v>
      </c>
      <c r="D9" s="195">
        <v>986</v>
      </c>
      <c r="E9" s="195">
        <v>2085</v>
      </c>
      <c r="F9" s="195">
        <v>22774</v>
      </c>
      <c r="G9" s="195">
        <v>2945</v>
      </c>
      <c r="H9" s="196">
        <f>SUM(D9:G9)</f>
        <v>28790</v>
      </c>
      <c r="T9" s="59"/>
    </row>
    <row r="10" spans="1:20">
      <c r="C10" s="177" t="s">
        <v>196</v>
      </c>
      <c r="D10" s="195">
        <v>-219</v>
      </c>
      <c r="E10" s="195">
        <v>-1790</v>
      </c>
      <c r="F10" s="195">
        <v>-18241</v>
      </c>
      <c r="G10" s="195">
        <v>-2264</v>
      </c>
      <c r="H10" s="196">
        <f>SUM(D10:G10)</f>
        <v>-22514</v>
      </c>
      <c r="T10" s="59"/>
    </row>
    <row r="11" spans="1:20">
      <c r="C11" s="179" t="s">
        <v>195</v>
      </c>
      <c r="D11" s="166">
        <f>SUM(D9:D10)</f>
        <v>767</v>
      </c>
      <c r="E11" s="166">
        <f t="shared" ref="E11:G11" si="0">SUM(E9:E10)</f>
        <v>295</v>
      </c>
      <c r="F11" s="166">
        <f t="shared" si="0"/>
        <v>4533</v>
      </c>
      <c r="G11" s="166">
        <f t="shared" si="0"/>
        <v>681</v>
      </c>
      <c r="H11" s="187">
        <f>SUM(D11:G11)</f>
        <v>6276</v>
      </c>
      <c r="T11" s="59"/>
    </row>
    <row r="12" spans="1:20">
      <c r="C12" s="177"/>
      <c r="D12" s="195"/>
      <c r="E12" s="195"/>
      <c r="F12" s="195"/>
      <c r="G12" s="195"/>
      <c r="H12" s="181"/>
      <c r="T12" s="59"/>
    </row>
    <row r="13" spans="1:20">
      <c r="C13" s="180" t="s">
        <v>198</v>
      </c>
      <c r="D13" s="195"/>
      <c r="E13" s="195"/>
      <c r="F13" s="195"/>
      <c r="G13" s="195"/>
      <c r="H13" s="181"/>
      <c r="T13" s="59"/>
    </row>
    <row r="14" spans="1:20">
      <c r="C14" s="177" t="s">
        <v>193</v>
      </c>
      <c r="D14" s="195">
        <v>767</v>
      </c>
      <c r="E14" s="195">
        <v>295</v>
      </c>
      <c r="F14" s="195">
        <v>4503</v>
      </c>
      <c r="G14" s="195">
        <v>681</v>
      </c>
      <c r="H14" s="196">
        <f t="shared" ref="H14:H20" si="1">SUM(D14:G14)</f>
        <v>6246</v>
      </c>
      <c r="T14" s="59"/>
    </row>
    <row r="15" spans="1:20">
      <c r="C15" s="177" t="s">
        <v>194</v>
      </c>
      <c r="D15" s="195"/>
      <c r="E15" s="195">
        <v>71</v>
      </c>
      <c r="F15" s="195">
        <v>1357</v>
      </c>
      <c r="G15" s="195">
        <v>20</v>
      </c>
      <c r="H15" s="196">
        <f t="shared" si="1"/>
        <v>1448</v>
      </c>
      <c r="T15" s="59"/>
    </row>
    <row r="16" spans="1:20">
      <c r="C16" s="177" t="s">
        <v>199</v>
      </c>
      <c r="D16" s="195"/>
      <c r="E16" s="195"/>
      <c r="F16" s="195">
        <v>207</v>
      </c>
      <c r="G16" s="195"/>
      <c r="H16" s="196">
        <f t="shared" si="1"/>
        <v>207</v>
      </c>
      <c r="T16" s="59"/>
    </row>
    <row r="17" spans="2:20">
      <c r="C17" s="177" t="s">
        <v>200</v>
      </c>
      <c r="D17" s="195">
        <v>-782</v>
      </c>
      <c r="E17" s="195"/>
      <c r="F17" s="195"/>
      <c r="G17" s="195"/>
      <c r="H17" s="196">
        <f t="shared" si="1"/>
        <v>-782</v>
      </c>
      <c r="T17" s="59"/>
    </row>
    <row r="18" spans="2:20">
      <c r="B18" s="160"/>
      <c r="C18" s="178" t="s">
        <v>13</v>
      </c>
      <c r="D18" s="195"/>
      <c r="E18" s="195">
        <v>-199</v>
      </c>
      <c r="F18" s="195">
        <v>-2416</v>
      </c>
      <c r="G18" s="195">
        <v>-184</v>
      </c>
      <c r="H18" s="196">
        <f t="shared" si="1"/>
        <v>-2799</v>
      </c>
      <c r="J18" s="3" t="s">
        <v>204</v>
      </c>
      <c r="K18" s="311">
        <f>E18/(E14+E15+E16)</f>
        <v>-0.54371584699453557</v>
      </c>
      <c r="L18" s="164">
        <f t="shared" ref="L18:M18" si="2">F18/(F14+F15+F16)</f>
        <v>-0.39821987802867975</v>
      </c>
      <c r="M18" s="164">
        <f t="shared" si="2"/>
        <v>-0.26248216833095578</v>
      </c>
      <c r="T18" s="59"/>
    </row>
    <row r="19" spans="2:20">
      <c r="C19" s="177" t="s">
        <v>201</v>
      </c>
      <c r="D19" s="195">
        <v>15</v>
      </c>
      <c r="E19" s="195"/>
      <c r="F19" s="195">
        <v>-161</v>
      </c>
      <c r="G19" s="195">
        <v>12</v>
      </c>
      <c r="H19" s="196">
        <f t="shared" si="1"/>
        <v>-134</v>
      </c>
      <c r="J19" s="3" t="s">
        <v>205</v>
      </c>
      <c r="K19" s="311">
        <f>E15/E14</f>
        <v>0.24067796610169492</v>
      </c>
      <c r="L19" s="164">
        <f t="shared" ref="L19:M19" si="3">F15/F14</f>
        <v>0.30135465245391962</v>
      </c>
      <c r="M19" s="164">
        <f t="shared" si="3"/>
        <v>2.9368575624082231E-2</v>
      </c>
      <c r="T19" s="59"/>
    </row>
    <row r="20" spans="2:20">
      <c r="C20" s="179" t="s">
        <v>209</v>
      </c>
      <c r="D20" s="166">
        <f>SUM(D14:D19)</f>
        <v>0</v>
      </c>
      <c r="E20" s="166">
        <f t="shared" ref="E20:G20" si="4">SUM(E14:E19)</f>
        <v>167</v>
      </c>
      <c r="F20" s="166">
        <f t="shared" si="4"/>
        <v>3490</v>
      </c>
      <c r="G20" s="166">
        <f t="shared" si="4"/>
        <v>529</v>
      </c>
      <c r="H20" s="187">
        <f t="shared" si="1"/>
        <v>4186</v>
      </c>
      <c r="T20" s="59"/>
    </row>
    <row r="21" spans="2:20">
      <c r="C21" s="177"/>
      <c r="D21" s="195"/>
      <c r="E21" s="195"/>
      <c r="F21" s="195"/>
      <c r="G21" s="195"/>
      <c r="H21" s="181"/>
      <c r="T21" s="59"/>
    </row>
    <row r="22" spans="2:20">
      <c r="C22" s="186" t="s">
        <v>184</v>
      </c>
      <c r="D22" s="195"/>
      <c r="E22" s="195"/>
      <c r="F22" s="195"/>
      <c r="G22" s="195"/>
      <c r="H22" s="181"/>
      <c r="T22" s="59"/>
    </row>
    <row r="23" spans="2:20">
      <c r="C23" s="177" t="s">
        <v>183</v>
      </c>
      <c r="D23" s="195"/>
      <c r="E23" s="195">
        <v>2156</v>
      </c>
      <c r="F23" s="195">
        <v>24308</v>
      </c>
      <c r="G23" s="195">
        <v>2965</v>
      </c>
      <c r="H23" s="196">
        <f>SUM(D23:G23)</f>
        <v>29429</v>
      </c>
      <c r="T23" s="59"/>
    </row>
    <row r="24" spans="2:20">
      <c r="C24" s="177" t="s">
        <v>196</v>
      </c>
      <c r="D24" s="195"/>
      <c r="E24" s="195">
        <v>-1989</v>
      </c>
      <c r="F24" s="195">
        <v>-20818</v>
      </c>
      <c r="G24" s="195">
        <v>-2436</v>
      </c>
      <c r="H24" s="196">
        <f>SUM(D24:G24)</f>
        <v>-25243</v>
      </c>
      <c r="T24" s="59"/>
    </row>
    <row r="25" spans="2:20">
      <c r="C25" s="179" t="s">
        <v>195</v>
      </c>
      <c r="D25" s="166">
        <f>SUM(D23:D24)</f>
        <v>0</v>
      </c>
      <c r="E25" s="166">
        <f>SUM(E23:E24)</f>
        <v>167</v>
      </c>
      <c r="F25" s="166">
        <f t="shared" ref="F25:G25" si="5">SUM(F23:F24)</f>
        <v>3490</v>
      </c>
      <c r="G25" s="166">
        <f t="shared" si="5"/>
        <v>529</v>
      </c>
      <c r="H25" s="187">
        <f>SUM(D25:G25)</f>
        <v>4186</v>
      </c>
      <c r="T25" s="59"/>
    </row>
    <row r="26" spans="2:20">
      <c r="C26" s="177"/>
      <c r="D26" s="195"/>
      <c r="E26" s="195"/>
      <c r="F26" s="195"/>
      <c r="G26" s="195"/>
      <c r="H26" s="181"/>
      <c r="T26" s="59"/>
    </row>
    <row r="27" spans="2:20">
      <c r="C27" s="180" t="s">
        <v>203</v>
      </c>
      <c r="D27" s="195"/>
      <c r="E27" s="195"/>
      <c r="F27" s="195"/>
      <c r="G27" s="195"/>
      <c r="H27" s="181"/>
      <c r="J27" s="316"/>
      <c r="T27" s="59"/>
    </row>
    <row r="28" spans="2:20">
      <c r="C28" s="177" t="s">
        <v>193</v>
      </c>
      <c r="D28" s="195"/>
      <c r="E28" s="195">
        <v>167</v>
      </c>
      <c r="F28" s="195">
        <v>3490</v>
      </c>
      <c r="G28" s="195">
        <v>529</v>
      </c>
      <c r="H28" s="196">
        <f t="shared" ref="H28:H33" si="6">SUM(D28:G28)</f>
        <v>4186</v>
      </c>
      <c r="J28" s="316"/>
      <c r="T28" s="59"/>
    </row>
    <row r="29" spans="2:20">
      <c r="C29" s="177" t="s">
        <v>194</v>
      </c>
      <c r="D29" s="195"/>
      <c r="E29" s="195">
        <v>79</v>
      </c>
      <c r="F29" s="195">
        <v>961</v>
      </c>
      <c r="G29" s="195">
        <v>20</v>
      </c>
      <c r="H29" s="196">
        <f t="shared" si="6"/>
        <v>1060</v>
      </c>
      <c r="T29" s="59"/>
    </row>
    <row r="30" spans="2:20">
      <c r="C30" s="177" t="s">
        <v>199</v>
      </c>
      <c r="D30" s="195"/>
      <c r="E30" s="195">
        <v>0</v>
      </c>
      <c r="F30" s="195">
        <v>295</v>
      </c>
      <c r="G30" s="195">
        <v>0</v>
      </c>
      <c r="H30" s="196">
        <f t="shared" si="6"/>
        <v>295</v>
      </c>
      <c r="T30" s="59"/>
    </row>
    <row r="31" spans="2:20">
      <c r="C31" s="178" t="s">
        <v>13</v>
      </c>
      <c r="D31" s="195"/>
      <c r="E31" s="195">
        <v>-106</v>
      </c>
      <c r="F31" s="195">
        <v>-2332</v>
      </c>
      <c r="G31" s="195">
        <v>-13</v>
      </c>
      <c r="H31" s="196">
        <f t="shared" si="6"/>
        <v>-2451</v>
      </c>
      <c r="O31" t="s">
        <v>204</v>
      </c>
      <c r="P31" s="164">
        <f>E31/(E30+E29+E28)</f>
        <v>-0.43089430894308944</v>
      </c>
      <c r="Q31" s="164">
        <f>F31/(F30+F29+F28)</f>
        <v>-0.49136114622840288</v>
      </c>
      <c r="R31" s="164">
        <f>G31/(G30+G29+G28)</f>
        <v>-2.3679417122040074E-2</v>
      </c>
      <c r="T31" s="59"/>
    </row>
    <row r="32" spans="2:20">
      <c r="C32" s="177" t="s">
        <v>201</v>
      </c>
      <c r="D32" s="195"/>
      <c r="E32" s="195">
        <v>-12</v>
      </c>
      <c r="F32" s="195">
        <v>355</v>
      </c>
      <c r="G32" s="195">
        <v>-160</v>
      </c>
      <c r="H32" s="196">
        <f t="shared" si="6"/>
        <v>183</v>
      </c>
      <c r="O32" t="s">
        <v>205</v>
      </c>
      <c r="P32" s="164">
        <f>E29/E28</f>
        <v>0.47305389221556887</v>
      </c>
      <c r="Q32" s="164">
        <f>F29/F28</f>
        <v>0.27535816618911174</v>
      </c>
      <c r="R32" s="164">
        <f>G29/G28</f>
        <v>3.780718336483932E-2</v>
      </c>
      <c r="T32" s="59"/>
    </row>
    <row r="33" spans="3:20">
      <c r="C33" s="179" t="s">
        <v>209</v>
      </c>
      <c r="D33" s="166">
        <f>SUM(D31:D32)</f>
        <v>0</v>
      </c>
      <c r="E33" s="166">
        <f>SUM(E28:E32)</f>
        <v>128</v>
      </c>
      <c r="F33" s="166">
        <f t="shared" ref="F33:G33" si="7">SUM(F28:F32)</f>
        <v>2769</v>
      </c>
      <c r="G33" s="166">
        <f t="shared" si="7"/>
        <v>376</v>
      </c>
      <c r="H33" s="197">
        <f t="shared" si="6"/>
        <v>3273</v>
      </c>
      <c r="O33" t="s">
        <v>206</v>
      </c>
      <c r="Q33" s="164">
        <f>F30/F28</f>
        <v>8.452722063037249E-2</v>
      </c>
      <c r="T33" s="59"/>
    </row>
    <row r="34" spans="3:20">
      <c r="C34" s="177"/>
      <c r="D34" s="195"/>
      <c r="E34" s="195"/>
      <c r="F34" s="195"/>
      <c r="G34" s="195"/>
      <c r="H34" s="181"/>
      <c r="T34" s="59"/>
    </row>
    <row r="35" spans="3:20" ht="16.2" thickBot="1">
      <c r="C35" s="186" t="s">
        <v>202</v>
      </c>
      <c r="D35" s="195"/>
      <c r="E35" s="195"/>
      <c r="F35" s="195"/>
      <c r="G35" s="195"/>
      <c r="H35" s="181"/>
      <c r="O35" t="s">
        <v>207</v>
      </c>
      <c r="P35" s="164">
        <f>(P32+K19)/2</f>
        <v>0.35686592915863191</v>
      </c>
      <c r="Q35" s="164">
        <f>(Q32+L19)/2</f>
        <v>0.28835640932151568</v>
      </c>
      <c r="R35" s="164">
        <f>(R32+M19)/2</f>
        <v>3.3587879494460779E-2</v>
      </c>
      <c r="T35" s="59"/>
    </row>
    <row r="36" spans="3:20" ht="16.2" thickBot="1">
      <c r="C36" s="177" t="s">
        <v>183</v>
      </c>
      <c r="D36" s="195"/>
      <c r="E36" s="195">
        <f>E23+E29+E32+E30</f>
        <v>2223</v>
      </c>
      <c r="F36" s="195">
        <f>F23+F29+F32+F30</f>
        <v>25919</v>
      </c>
      <c r="G36" s="195">
        <f>G23+G29+G32+G30</f>
        <v>2825</v>
      </c>
      <c r="H36" s="196">
        <f t="shared" ref="H36:H38" si="8">SUM(D36:G36)</f>
        <v>30967</v>
      </c>
      <c r="J36" s="319" t="s">
        <v>261</v>
      </c>
      <c r="K36" s="320"/>
      <c r="L36" s="321"/>
      <c r="O36" t="s">
        <v>208</v>
      </c>
      <c r="P36" s="164">
        <f>(P31+K18)/2</f>
        <v>-0.48730507796881251</v>
      </c>
      <c r="Q36" s="164">
        <f>(Q31+L18)/2</f>
        <v>-0.44479051212854132</v>
      </c>
      <c r="R36" s="163">
        <v>-0.27</v>
      </c>
      <c r="T36" s="59"/>
    </row>
    <row r="37" spans="3:20">
      <c r="C37" s="177" t="s">
        <v>196</v>
      </c>
      <c r="D37" s="195"/>
      <c r="E37" s="195">
        <v>-2095</v>
      </c>
      <c r="F37" s="195">
        <v>-23150</v>
      </c>
      <c r="G37" s="195">
        <v>-2449</v>
      </c>
      <c r="H37" s="196">
        <f t="shared" si="8"/>
        <v>-27694</v>
      </c>
      <c r="T37" s="59"/>
    </row>
    <row r="38" spans="3:20">
      <c r="C38" s="179" t="s">
        <v>195</v>
      </c>
      <c r="D38" s="166">
        <f>SUM(D36:D37)</f>
        <v>0</v>
      </c>
      <c r="E38" s="166">
        <f>SUM(E36:E37)</f>
        <v>128</v>
      </c>
      <c r="F38" s="166">
        <f t="shared" ref="F38" si="9">SUM(F36:F37)</f>
        <v>2769</v>
      </c>
      <c r="G38" s="166">
        <f t="shared" ref="G38" si="10">SUM(G36:G37)</f>
        <v>376</v>
      </c>
      <c r="H38" s="187">
        <f t="shared" si="8"/>
        <v>3273</v>
      </c>
      <c r="T38" s="59"/>
    </row>
    <row r="39" spans="3:20">
      <c r="C39" s="177"/>
      <c r="H39" s="181"/>
      <c r="T39" s="59"/>
    </row>
    <row r="40" spans="3:20">
      <c r="C40" s="180" t="s">
        <v>214</v>
      </c>
      <c r="H40" s="181"/>
      <c r="T40" s="59"/>
    </row>
    <row r="41" spans="3:20">
      <c r="C41" s="177" t="s">
        <v>193</v>
      </c>
      <c r="E41" s="182">
        <f>E38</f>
        <v>128</v>
      </c>
      <c r="F41" s="182">
        <f>F38</f>
        <v>2769</v>
      </c>
      <c r="G41" s="182">
        <f>G38</f>
        <v>376</v>
      </c>
      <c r="H41" s="183">
        <f>SUM(E41:G41)</f>
        <v>3273</v>
      </c>
      <c r="J41" s="3" t="s">
        <v>15</v>
      </c>
      <c r="K41" s="312">
        <f>'Yrly Projections&amp;Cal'!I25</f>
        <v>5103.1432499999828</v>
      </c>
      <c r="O41" t="s">
        <v>204</v>
      </c>
      <c r="P41" s="164">
        <f>E44/(E42+E41)</f>
        <v>-0.48730507796881251</v>
      </c>
      <c r="Q41" s="164">
        <f>F44/(F42+F41)</f>
        <v>-0.47120850042581153</v>
      </c>
      <c r="R41" s="164">
        <f>G44/(G42+G41)</f>
        <v>-0.27</v>
      </c>
      <c r="T41" s="59"/>
    </row>
    <row r="42" spans="3:20">
      <c r="C42" s="177" t="s">
        <v>194</v>
      </c>
      <c r="E42" s="182">
        <v>81</v>
      </c>
      <c r="F42" s="182">
        <v>1457</v>
      </c>
      <c r="G42" s="182">
        <v>20</v>
      </c>
      <c r="H42" s="183">
        <f t="shared" ref="H42:H46" si="11">SUM(E42:G42)</f>
        <v>1558</v>
      </c>
      <c r="I42" s="3" t="s">
        <v>218</v>
      </c>
      <c r="J42" s="3" t="s">
        <v>220</v>
      </c>
      <c r="K42" s="313">
        <f>H38+H42+H43+H44</f>
        <v>2881.9061159050389</v>
      </c>
      <c r="L42" t="s">
        <v>223</v>
      </c>
      <c r="O42" t="s">
        <v>205</v>
      </c>
      <c r="P42" s="164">
        <f>E42/E41</f>
        <v>0.6328125</v>
      </c>
      <c r="Q42" s="164">
        <f>F42/F41</f>
        <v>0.52618273745034305</v>
      </c>
      <c r="R42" s="164">
        <f>G42/G41</f>
        <v>5.3191489361702128E-2</v>
      </c>
      <c r="T42" s="59"/>
    </row>
    <row r="43" spans="3:20">
      <c r="C43" s="177" t="s">
        <v>219</v>
      </c>
      <c r="E43" s="182">
        <v>0</v>
      </c>
      <c r="F43" s="182">
        <f>(F30+F16)/2</f>
        <v>251</v>
      </c>
      <c r="G43" s="182">
        <v>0</v>
      </c>
      <c r="H43" s="183">
        <f t="shared" si="11"/>
        <v>251</v>
      </c>
      <c r="I43" s="3" t="s">
        <v>218</v>
      </c>
      <c r="J43" s="3" t="s">
        <v>220</v>
      </c>
      <c r="K43" s="314">
        <f>H42+H43</f>
        <v>1809</v>
      </c>
      <c r="L43" t="s">
        <v>225</v>
      </c>
      <c r="O43" t="s">
        <v>206</v>
      </c>
      <c r="T43" s="59"/>
    </row>
    <row r="44" spans="3:20">
      <c r="C44" s="178" t="s">
        <v>13</v>
      </c>
      <c r="E44" s="182">
        <f>P36*(E42+E41+E43)</f>
        <v>-101.84676129548181</v>
      </c>
      <c r="F44" s="182">
        <f>Q36*(F42+F41+F43)</f>
        <v>-1991.3271227994794</v>
      </c>
      <c r="G44" s="182">
        <f>R36*(G42+G41+G43)</f>
        <v>-106.92</v>
      </c>
      <c r="H44" s="184">
        <f t="shared" si="11"/>
        <v>-2200.0938840949611</v>
      </c>
      <c r="I44" s="3" t="s">
        <v>221</v>
      </c>
      <c r="J44" s="3" t="s">
        <v>222</v>
      </c>
      <c r="K44" s="314">
        <f>H44</f>
        <v>-2200.0938840949611</v>
      </c>
      <c r="L44" t="s">
        <v>224</v>
      </c>
      <c r="T44" s="59"/>
    </row>
    <row r="45" spans="3:20">
      <c r="C45" s="177" t="s">
        <v>201</v>
      </c>
      <c r="E45" s="182"/>
      <c r="F45" s="182"/>
      <c r="G45" s="182"/>
      <c r="H45" s="183">
        <f t="shared" si="11"/>
        <v>0</v>
      </c>
      <c r="T45" s="59"/>
    </row>
    <row r="46" spans="3:20">
      <c r="C46" s="179" t="s">
        <v>209</v>
      </c>
      <c r="D46" s="165"/>
      <c r="E46" s="167">
        <f>SUM(E41:E45)</f>
        <v>107.15323870451819</v>
      </c>
      <c r="F46" s="167">
        <f t="shared" ref="F46:G46" si="12">SUM(F41:F45)</f>
        <v>2485.6728772005208</v>
      </c>
      <c r="G46" s="167">
        <f t="shared" si="12"/>
        <v>289.08</v>
      </c>
      <c r="H46" s="185">
        <f t="shared" si="11"/>
        <v>2881.9061159050389</v>
      </c>
      <c r="T46" s="59"/>
    </row>
    <row r="47" spans="3:20">
      <c r="C47" s="177"/>
      <c r="E47" s="182"/>
      <c r="F47" s="182"/>
      <c r="G47" s="182"/>
      <c r="H47" s="183"/>
      <c r="T47" s="59"/>
    </row>
    <row r="48" spans="3:20">
      <c r="C48" s="186" t="s">
        <v>210</v>
      </c>
      <c r="E48" s="182"/>
      <c r="F48" s="182"/>
      <c r="G48" s="182"/>
      <c r="H48" s="183"/>
      <c r="T48" s="59"/>
    </row>
    <row r="49" spans="3:20">
      <c r="C49" s="177" t="s">
        <v>183</v>
      </c>
      <c r="E49" s="182">
        <f>E36+E42+E43+E45</f>
        <v>2304</v>
      </c>
      <c r="F49" s="182">
        <f>F36+F42+F43+F45</f>
        <v>27627</v>
      </c>
      <c r="G49" s="182">
        <f>G36+G42+G43+G45</f>
        <v>2845</v>
      </c>
      <c r="H49" s="183">
        <f t="shared" ref="H49" si="13">SUM(E49:G49)</f>
        <v>32776</v>
      </c>
      <c r="T49" s="59"/>
    </row>
    <row r="50" spans="3:20">
      <c r="C50" s="177" t="s">
        <v>196</v>
      </c>
      <c r="E50" s="182">
        <f>E44+E37</f>
        <v>-2196.8467612954819</v>
      </c>
      <c r="F50" s="182">
        <f t="shared" ref="F50:G50" si="14">F44+F37</f>
        <v>-25141.327122799481</v>
      </c>
      <c r="G50" s="182">
        <f t="shared" si="14"/>
        <v>-2555.92</v>
      </c>
      <c r="H50" s="183">
        <f t="shared" ref="H50" si="15">SUM(E50:G50)</f>
        <v>-29894.09388409496</v>
      </c>
      <c r="T50" s="59"/>
    </row>
    <row r="51" spans="3:20">
      <c r="C51" s="179" t="s">
        <v>195</v>
      </c>
      <c r="D51" s="166">
        <f>SUM(D49:D50)</f>
        <v>0</v>
      </c>
      <c r="E51" s="167">
        <f>SUM(E49:E50)</f>
        <v>107.15323870451812</v>
      </c>
      <c r="F51" s="167">
        <f t="shared" ref="F51" si="16">SUM(F49:F50)</f>
        <v>2485.672877200519</v>
      </c>
      <c r="G51" s="167">
        <f t="shared" ref="G51" si="17">SUM(G49:G50)</f>
        <v>289.07999999999993</v>
      </c>
      <c r="H51" s="185">
        <f t="shared" ref="H51" si="18">SUM(D51:G51)</f>
        <v>2881.906115905037</v>
      </c>
      <c r="T51" s="59"/>
    </row>
    <row r="52" spans="3:20">
      <c r="C52" s="177"/>
      <c r="E52" s="182"/>
      <c r="F52" s="182"/>
      <c r="G52" s="182"/>
      <c r="H52" s="183"/>
      <c r="T52" s="59"/>
    </row>
    <row r="53" spans="3:20">
      <c r="C53" s="180" t="s">
        <v>215</v>
      </c>
      <c r="E53" s="182"/>
      <c r="F53" s="182"/>
      <c r="G53" s="182"/>
      <c r="H53" s="183"/>
      <c r="T53" s="59"/>
    </row>
    <row r="54" spans="3:20">
      <c r="C54" s="177" t="s">
        <v>193</v>
      </c>
      <c r="E54" s="182">
        <f>E51</f>
        <v>107.15323870451812</v>
      </c>
      <c r="F54" s="182">
        <f t="shared" ref="F54:G54" si="19">F51</f>
        <v>2485.672877200519</v>
      </c>
      <c r="G54" s="182">
        <f t="shared" si="19"/>
        <v>289.07999999999993</v>
      </c>
      <c r="H54" s="185">
        <f t="shared" ref="H54:H59" si="20">SUM(D54:G54)</f>
        <v>2881.906115905037</v>
      </c>
      <c r="J54" s="3" t="s">
        <v>15</v>
      </c>
      <c r="K54" s="312">
        <f>'Yrly Projections&amp;Cal'!J25</f>
        <v>6094.4264209999819</v>
      </c>
      <c r="O54" t="s">
        <v>207</v>
      </c>
      <c r="P54" s="164">
        <v>0.65</v>
      </c>
      <c r="Q54" s="164">
        <v>0.59</v>
      </c>
      <c r="R54" s="164">
        <f t="shared" ref="R54" si="21">(R42+R35+R32)/3</f>
        <v>4.1528850740334078E-2</v>
      </c>
      <c r="T54" s="59"/>
    </row>
    <row r="55" spans="3:20">
      <c r="C55" s="177" t="s">
        <v>194</v>
      </c>
      <c r="E55" s="182">
        <v>84</v>
      </c>
      <c r="F55" s="182">
        <f>Q54*F54</f>
        <v>1466.5469975483061</v>
      </c>
      <c r="G55" s="182">
        <v>20</v>
      </c>
      <c r="H55" s="185">
        <f t="shared" si="20"/>
        <v>1570.5469975483061</v>
      </c>
      <c r="I55" s="3" t="s">
        <v>218</v>
      </c>
      <c r="J55" s="3" t="s">
        <v>220</v>
      </c>
      <c r="K55" s="313">
        <f>H51+H55+H56+H57</f>
        <v>2587.7249547345059</v>
      </c>
      <c r="L55" t="s">
        <v>223</v>
      </c>
      <c r="O55" t="s">
        <v>208</v>
      </c>
      <c r="P55" s="164">
        <f>(P41+P36+P31)/3</f>
        <v>-0.46850148829357147</v>
      </c>
      <c r="Q55" s="164">
        <f t="shared" ref="Q55:R55" si="22">(Q41+Q36+Q31)/3</f>
        <v>-0.46912005292758524</v>
      </c>
      <c r="R55" s="164">
        <f t="shared" si="22"/>
        <v>-0.18789313904068003</v>
      </c>
      <c r="T55" s="59"/>
    </row>
    <row r="56" spans="3:20">
      <c r="C56" s="177" t="s">
        <v>199</v>
      </c>
      <c r="E56" s="182">
        <v>0</v>
      </c>
      <c r="F56" s="182">
        <f>((F43+F30+F16)/3)+7</f>
        <v>258</v>
      </c>
      <c r="G56" s="182"/>
      <c r="H56" s="185">
        <f t="shared" si="20"/>
        <v>258</v>
      </c>
      <c r="I56" s="3" t="s">
        <v>218</v>
      </c>
      <c r="J56" s="3" t="s">
        <v>220</v>
      </c>
      <c r="K56" s="314">
        <f>H55+H56</f>
        <v>1828.5469975483061</v>
      </c>
      <c r="L56" t="s">
        <v>225</v>
      </c>
      <c r="T56" s="59"/>
    </row>
    <row r="57" spans="3:20">
      <c r="C57" s="178" t="s">
        <v>13</v>
      </c>
      <c r="E57" s="182">
        <f>P55*(E55+E54+E56)</f>
        <v>-89.555576825203062</v>
      </c>
      <c r="F57" s="182">
        <f>Q55*(F55+F54+F56)</f>
        <v>-1975.0985704789402</v>
      </c>
      <c r="G57" s="182">
        <f>R55*(G55+G54+G56)</f>
        <v>-58.074011414693366</v>
      </c>
      <c r="H57" s="185">
        <f t="shared" si="20"/>
        <v>-2122.7281587188368</v>
      </c>
      <c r="I57" s="3" t="s">
        <v>221</v>
      </c>
      <c r="J57" s="3" t="s">
        <v>222</v>
      </c>
      <c r="K57" s="314">
        <f>H57</f>
        <v>-2122.7281587188368</v>
      </c>
      <c r="L57" t="s">
        <v>224</v>
      </c>
      <c r="T57" s="59"/>
    </row>
    <row r="58" spans="3:20">
      <c r="C58" s="177" t="s">
        <v>201</v>
      </c>
      <c r="H58" s="187">
        <f t="shared" si="20"/>
        <v>0</v>
      </c>
      <c r="T58" s="59"/>
    </row>
    <row r="59" spans="3:20">
      <c r="C59" s="179" t="s">
        <v>209</v>
      </c>
      <c r="D59" s="165"/>
      <c r="E59" s="168">
        <f>SUM(E54:E58)</f>
        <v>101.59766187931505</v>
      </c>
      <c r="F59" s="168">
        <f t="shared" ref="F59:G59" si="23">SUM(F54:F58)</f>
        <v>2235.1213042698855</v>
      </c>
      <c r="G59" s="168">
        <f t="shared" si="23"/>
        <v>251.00598858530657</v>
      </c>
      <c r="H59" s="188">
        <f t="shared" si="20"/>
        <v>2587.7249547345073</v>
      </c>
      <c r="T59" s="59"/>
    </row>
    <row r="60" spans="3:20">
      <c r="C60" s="177"/>
      <c r="H60" s="181"/>
      <c r="T60" s="59"/>
    </row>
    <row r="61" spans="3:20">
      <c r="C61" s="186" t="s">
        <v>211</v>
      </c>
      <c r="H61" s="181"/>
      <c r="T61" s="59"/>
    </row>
    <row r="62" spans="3:20">
      <c r="C62" s="177" t="s">
        <v>183</v>
      </c>
      <c r="E62" s="160">
        <f>E49+E55+E56+E58</f>
        <v>2388</v>
      </c>
      <c r="F62" s="160">
        <f t="shared" ref="F62:G62" si="24">F49+F55+F56+F58</f>
        <v>29351.546997548307</v>
      </c>
      <c r="G62" s="160">
        <f t="shared" si="24"/>
        <v>2865</v>
      </c>
      <c r="H62" s="185">
        <f t="shared" ref="H62:H63" si="25">SUM(D62:G62)</f>
        <v>34604.546997548307</v>
      </c>
      <c r="T62" s="59"/>
    </row>
    <row r="63" spans="3:20">
      <c r="C63" s="177" t="s">
        <v>196</v>
      </c>
      <c r="E63" s="160">
        <f>E50+E57</f>
        <v>-2286.4023381206848</v>
      </c>
      <c r="F63" s="160">
        <f t="shared" ref="F63:G63" si="26">F50+F57</f>
        <v>-27116.425693278423</v>
      </c>
      <c r="G63" s="160">
        <f t="shared" si="26"/>
        <v>-2613.9940114146934</v>
      </c>
      <c r="H63" s="185">
        <f t="shared" si="25"/>
        <v>-32016.822042813801</v>
      </c>
      <c r="T63" s="59"/>
    </row>
    <row r="64" spans="3:20">
      <c r="C64" s="179" t="s">
        <v>195</v>
      </c>
      <c r="D64" s="165"/>
      <c r="E64" s="167">
        <f>SUM(E62:E63)</f>
        <v>101.59766187931518</v>
      </c>
      <c r="F64" s="167">
        <f>SUM(F62:F63)</f>
        <v>2235.1213042698837</v>
      </c>
      <c r="G64" s="167">
        <f>SUM(G62:G63)</f>
        <v>251.00598858530657</v>
      </c>
      <c r="H64" s="188">
        <f t="shared" ref="H64" si="27">SUM(D64:G64)</f>
        <v>2587.7249547345054</v>
      </c>
      <c r="T64" s="59"/>
    </row>
    <row r="65" spans="3:20">
      <c r="T65" s="59"/>
    </row>
    <row r="66" spans="3:20">
      <c r="T66" s="59"/>
    </row>
    <row r="67" spans="3:20">
      <c r="C67" s="173" t="s">
        <v>203</v>
      </c>
      <c r="D67" s="174"/>
      <c r="E67" s="174"/>
      <c r="F67" s="174"/>
      <c r="G67" s="174"/>
      <c r="H67" s="175"/>
      <c r="T67" s="59"/>
    </row>
    <row r="68" spans="3:20" ht="18">
      <c r="C68" s="199" t="s">
        <v>37</v>
      </c>
      <c r="E68" s="60">
        <v>12242</v>
      </c>
      <c r="H68" s="176"/>
      <c r="T68" s="59"/>
    </row>
    <row r="69" spans="3:20">
      <c r="C69" s="177"/>
      <c r="H69" s="176"/>
      <c r="T69" s="59"/>
    </row>
    <row r="70" spans="3:20">
      <c r="C70" s="177"/>
      <c r="H70" s="176"/>
      <c r="T70" s="59"/>
    </row>
    <row r="71" spans="3:20">
      <c r="C71" s="178"/>
      <c r="H71" s="176"/>
      <c r="T71" s="59"/>
    </row>
    <row r="72" spans="3:20">
      <c r="C72" s="177"/>
      <c r="H72" s="176"/>
      <c r="T72" s="59"/>
    </row>
    <row r="73" spans="3:20">
      <c r="C73" s="179" t="s">
        <v>209</v>
      </c>
      <c r="D73" s="165"/>
      <c r="E73" s="167">
        <f>SUM(E68:E72)</f>
        <v>12242</v>
      </c>
      <c r="F73" s="167">
        <f>SUM(F68:F72)</f>
        <v>0</v>
      </c>
      <c r="G73" s="167">
        <f>SUM(G68:G72)</f>
        <v>0</v>
      </c>
      <c r="H73" s="176"/>
      <c r="T73" s="59"/>
    </row>
    <row r="74" spans="3:20">
      <c r="C74" s="177"/>
      <c r="H74" s="176"/>
      <c r="T74" s="59"/>
    </row>
    <row r="75" spans="3:20">
      <c r="C75" s="180" t="s">
        <v>214</v>
      </c>
      <c r="H75" s="181"/>
      <c r="T75" s="59"/>
    </row>
    <row r="76" spans="3:20">
      <c r="C76" s="177" t="s">
        <v>193</v>
      </c>
      <c r="E76" s="182">
        <f>E73</f>
        <v>12242</v>
      </c>
      <c r="F76" s="182"/>
      <c r="G76" s="182"/>
      <c r="H76" s="183">
        <f>SUM(E76:G76)</f>
        <v>12242</v>
      </c>
      <c r="T76" s="59"/>
    </row>
    <row r="77" spans="3:20">
      <c r="C77" s="177" t="s">
        <v>194</v>
      </c>
      <c r="E77" s="182"/>
      <c r="F77" s="182"/>
      <c r="G77" s="182"/>
      <c r="H77" s="183">
        <f t="shared" ref="H77:H81" si="28">SUM(E77:G77)</f>
        <v>0</v>
      </c>
      <c r="J77" s="3" t="s">
        <v>226</v>
      </c>
      <c r="K77" s="314">
        <f>H79</f>
        <v>-2452.2312160000001</v>
      </c>
      <c r="T77" s="59"/>
    </row>
    <row r="78" spans="3:20">
      <c r="C78" s="177" t="s">
        <v>219</v>
      </c>
      <c r="E78" s="182"/>
      <c r="F78" s="182"/>
      <c r="G78" s="182"/>
      <c r="H78" s="183">
        <f t="shared" si="28"/>
        <v>0</v>
      </c>
      <c r="J78" s="3" t="s">
        <v>227</v>
      </c>
      <c r="K78" s="314">
        <f>H81</f>
        <v>9789.7687839999999</v>
      </c>
      <c r="T78" s="59"/>
    </row>
    <row r="79" spans="3:20">
      <c r="C79" s="178" t="s">
        <v>13</v>
      </c>
      <c r="E79" s="182">
        <f>-'Yrly Projections&amp;Cal'!C24*'Yrly Projections&amp;Cal'!I11</f>
        <v>-2452.2312160000001</v>
      </c>
      <c r="F79" s="182"/>
      <c r="G79" s="182"/>
      <c r="H79" s="184">
        <f t="shared" si="28"/>
        <v>-2452.2312160000001</v>
      </c>
      <c r="T79" s="59"/>
    </row>
    <row r="80" spans="3:20">
      <c r="C80" s="177" t="s">
        <v>201</v>
      </c>
      <c r="E80" s="182"/>
      <c r="F80" s="182"/>
      <c r="G80" s="182"/>
      <c r="H80" s="183">
        <f t="shared" si="28"/>
        <v>0</v>
      </c>
      <c r="T80" s="59"/>
    </row>
    <row r="81" spans="3:20">
      <c r="C81" s="179" t="s">
        <v>209</v>
      </c>
      <c r="D81" s="165"/>
      <c r="E81" s="167">
        <f>SUM(E76:E80)</f>
        <v>9789.7687839999999</v>
      </c>
      <c r="F81" s="167">
        <f t="shared" ref="F81:G81" si="29">SUM(F76:F80)</f>
        <v>0</v>
      </c>
      <c r="G81" s="167">
        <f t="shared" si="29"/>
        <v>0</v>
      </c>
      <c r="H81" s="185">
        <f t="shared" si="28"/>
        <v>9789.7687839999999</v>
      </c>
      <c r="T81" s="59"/>
    </row>
    <row r="82" spans="3:20">
      <c r="C82" s="177"/>
      <c r="E82" s="182"/>
      <c r="F82" s="182"/>
      <c r="G82" s="182"/>
      <c r="H82" s="183"/>
      <c r="T82" s="59"/>
    </row>
    <row r="83" spans="3:20">
      <c r="C83" s="186" t="s">
        <v>210</v>
      </c>
      <c r="E83" s="182"/>
      <c r="F83" s="182"/>
      <c r="G83" s="182"/>
      <c r="H83" s="183"/>
      <c r="T83" s="59"/>
    </row>
    <row r="84" spans="3:20">
      <c r="C84" s="177" t="s">
        <v>183</v>
      </c>
      <c r="E84" s="182">
        <f>E73+E77+E78</f>
        <v>12242</v>
      </c>
      <c r="F84" s="182">
        <f>F71+F77+F78+F80</f>
        <v>0</v>
      </c>
      <c r="G84" s="182">
        <f>G71+G77+G78+G80</f>
        <v>0</v>
      </c>
      <c r="H84" s="183">
        <f t="shared" ref="H84" si="30">SUM(E84:G84)</f>
        <v>12242</v>
      </c>
      <c r="T84" s="59"/>
    </row>
    <row r="85" spans="3:20">
      <c r="C85" s="177" t="s">
        <v>196</v>
      </c>
      <c r="E85" s="182">
        <f>E79+E72</f>
        <v>-2452.2312160000001</v>
      </c>
      <c r="F85" s="182">
        <f>F79+F72</f>
        <v>0</v>
      </c>
      <c r="G85" s="182">
        <f>G79+G72</f>
        <v>0</v>
      </c>
      <c r="H85" s="183">
        <f t="shared" ref="H85" si="31">SUM(E85:G85)</f>
        <v>-2452.2312160000001</v>
      </c>
      <c r="T85" s="59"/>
    </row>
    <row r="86" spans="3:20">
      <c r="C86" s="179" t="s">
        <v>195</v>
      </c>
      <c r="D86" s="166">
        <f>SUM(D84:D85)</f>
        <v>0</v>
      </c>
      <c r="E86" s="167">
        <f>SUM(E84:E85)</f>
        <v>9789.7687839999999</v>
      </c>
      <c r="F86" s="167">
        <f t="shared" ref="F86:G86" si="32">SUM(F84:F85)</f>
        <v>0</v>
      </c>
      <c r="G86" s="167">
        <f t="shared" si="32"/>
        <v>0</v>
      </c>
      <c r="H86" s="185">
        <f t="shared" ref="H86" si="33">SUM(D86:G86)</f>
        <v>9789.7687839999999</v>
      </c>
      <c r="T86" s="59"/>
    </row>
    <row r="87" spans="3:20">
      <c r="C87" s="177"/>
      <c r="E87" s="182"/>
      <c r="F87" s="182"/>
      <c r="G87" s="182"/>
      <c r="H87" s="183"/>
      <c r="T87" s="59"/>
    </row>
    <row r="88" spans="3:20">
      <c r="C88" s="180" t="s">
        <v>215</v>
      </c>
      <c r="E88" s="182"/>
      <c r="F88" s="182"/>
      <c r="G88" s="182"/>
      <c r="H88" s="183"/>
      <c r="T88" s="59"/>
    </row>
    <row r="89" spans="3:20">
      <c r="C89" s="177" t="s">
        <v>193</v>
      </c>
      <c r="E89" s="182">
        <f>E86</f>
        <v>9789.7687839999999</v>
      </c>
      <c r="F89" s="182">
        <f t="shared" ref="F89:G89" si="34">F86</f>
        <v>0</v>
      </c>
      <c r="G89" s="182">
        <f t="shared" si="34"/>
        <v>0</v>
      </c>
      <c r="H89" s="185">
        <f t="shared" ref="H89:H94" si="35">SUM(D89:G89)</f>
        <v>9789.7687839999999</v>
      </c>
      <c r="J89" s="3" t="s">
        <v>226</v>
      </c>
      <c r="K89" s="314">
        <f>H92</f>
        <v>-2672.9320254400004</v>
      </c>
      <c r="T89" s="59"/>
    </row>
    <row r="90" spans="3:20">
      <c r="C90" s="177" t="s">
        <v>194</v>
      </c>
      <c r="E90" s="182"/>
      <c r="F90" s="182">
        <f>Q89*F89</f>
        <v>0</v>
      </c>
      <c r="G90" s="182"/>
      <c r="H90" s="185">
        <f t="shared" si="35"/>
        <v>0</v>
      </c>
      <c r="J90" s="3" t="s">
        <v>227</v>
      </c>
      <c r="K90" s="314">
        <f>H94</f>
        <v>7116.836758559999</v>
      </c>
      <c r="T90" s="59"/>
    </row>
    <row r="91" spans="3:20">
      <c r="C91" s="177" t="s">
        <v>199</v>
      </c>
      <c r="E91" s="182">
        <v>0</v>
      </c>
      <c r="F91" s="182"/>
      <c r="G91" s="182"/>
      <c r="H91" s="185">
        <f t="shared" si="35"/>
        <v>0</v>
      </c>
      <c r="K91" s="312"/>
      <c r="T91" s="59"/>
    </row>
    <row r="92" spans="3:20">
      <c r="C92" s="178" t="s">
        <v>13</v>
      </c>
      <c r="E92" s="182">
        <f>-'Yrly Projections&amp;Cal'!D24*'Yrly Projections&amp;Cal'!J11</f>
        <v>-2672.9320254400004</v>
      </c>
      <c r="F92" s="182">
        <f>Q90*(F90+F89+F91)</f>
        <v>0</v>
      </c>
      <c r="G92" s="182">
        <f>R90*(G90+G89+G91)</f>
        <v>0</v>
      </c>
      <c r="H92" s="185">
        <f t="shared" si="35"/>
        <v>-2672.9320254400004</v>
      </c>
      <c r="T92" s="59"/>
    </row>
    <row r="93" spans="3:20">
      <c r="C93" s="177" t="s">
        <v>201</v>
      </c>
      <c r="H93" s="187">
        <f t="shared" si="35"/>
        <v>0</v>
      </c>
      <c r="T93" s="59"/>
    </row>
    <row r="94" spans="3:20">
      <c r="C94" s="179" t="s">
        <v>209</v>
      </c>
      <c r="D94" s="165"/>
      <c r="E94" s="168">
        <f>SUM(E89:E93)</f>
        <v>7116.836758559999</v>
      </c>
      <c r="F94" s="168">
        <f t="shared" ref="F94:G94" si="36">SUM(F89:F93)</f>
        <v>0</v>
      </c>
      <c r="G94" s="168">
        <f t="shared" si="36"/>
        <v>0</v>
      </c>
      <c r="H94" s="188">
        <f t="shared" si="35"/>
        <v>7116.836758559999</v>
      </c>
      <c r="T94" s="59"/>
    </row>
    <row r="95" spans="3:20">
      <c r="C95" s="177"/>
      <c r="H95" s="181"/>
      <c r="T95" s="59"/>
    </row>
    <row r="96" spans="3:20">
      <c r="C96" s="186" t="s">
        <v>211</v>
      </c>
      <c r="H96" s="181"/>
      <c r="T96" s="59"/>
    </row>
    <row r="97" spans="3:20">
      <c r="C97" s="177" t="s">
        <v>183</v>
      </c>
      <c r="E97" s="160">
        <f>E84+E90+E91</f>
        <v>12242</v>
      </c>
      <c r="F97" s="160">
        <f t="shared" ref="F97:G97" si="37">F84+F90+F91+F93</f>
        <v>0</v>
      </c>
      <c r="G97" s="160">
        <f t="shared" si="37"/>
        <v>0</v>
      </c>
      <c r="H97" s="185">
        <f t="shared" ref="H97:H98" si="38">SUM(D97:G97)</f>
        <v>12242</v>
      </c>
      <c r="T97" s="59"/>
    </row>
    <row r="98" spans="3:20">
      <c r="C98" s="177" t="s">
        <v>196</v>
      </c>
      <c r="E98" s="160">
        <f>E85+E92</f>
        <v>-5125.163241440001</v>
      </c>
      <c r="F98" s="160">
        <f t="shared" ref="F98:G98" si="39">F85+F92</f>
        <v>0</v>
      </c>
      <c r="G98" s="160">
        <f t="shared" si="39"/>
        <v>0</v>
      </c>
      <c r="H98" s="185">
        <f t="shared" si="38"/>
        <v>-5125.163241440001</v>
      </c>
      <c r="T98" s="59"/>
    </row>
    <row r="99" spans="3:20">
      <c r="C99" s="179" t="s">
        <v>195</v>
      </c>
      <c r="D99" s="165"/>
      <c r="E99" s="167">
        <f>SUM(E97:E98)</f>
        <v>7116.836758559999</v>
      </c>
      <c r="F99" s="167">
        <f>SUM(F97:F98)</f>
        <v>0</v>
      </c>
      <c r="G99" s="167">
        <f>SUM(G97:G98)</f>
        <v>0</v>
      </c>
      <c r="H99" s="188">
        <f t="shared" ref="H99" si="40">SUM(D99:G99)</f>
        <v>7116.836758559999</v>
      </c>
      <c r="T99" s="59"/>
    </row>
    <row r="100" spans="3:20">
      <c r="K100" s="312"/>
      <c r="T100" s="59"/>
    </row>
    <row r="101" spans="3:20">
      <c r="K101" s="312"/>
      <c r="T101" s="59"/>
    </row>
    <row r="102" spans="3:20">
      <c r="K102" s="312"/>
      <c r="T102" s="59"/>
    </row>
    <row r="103" spans="3:20">
      <c r="C103" s="173" t="s">
        <v>203</v>
      </c>
      <c r="D103" s="174"/>
      <c r="E103" s="174"/>
      <c r="F103" s="174"/>
      <c r="G103" s="174"/>
      <c r="H103" s="175"/>
      <c r="T103" s="59"/>
    </row>
    <row r="104" spans="3:20">
      <c r="C104" s="198" t="s">
        <v>38</v>
      </c>
      <c r="E104" s="172">
        <v>109659</v>
      </c>
      <c r="H104" s="176"/>
      <c r="T104" s="59"/>
    </row>
    <row r="105" spans="3:20">
      <c r="C105" s="177"/>
      <c r="H105" s="176"/>
      <c r="T105" s="59"/>
    </row>
    <row r="106" spans="3:20">
      <c r="C106" s="177"/>
      <c r="H106" s="176"/>
      <c r="T106" s="59"/>
    </row>
    <row r="107" spans="3:20">
      <c r="C107" s="178"/>
      <c r="H107" s="176"/>
      <c r="K107" s="312"/>
      <c r="T107" s="59"/>
    </row>
    <row r="108" spans="3:20">
      <c r="C108" s="177"/>
      <c r="H108" s="176"/>
      <c r="T108" s="59"/>
    </row>
    <row r="109" spans="3:20">
      <c r="C109" s="179" t="s">
        <v>209</v>
      </c>
      <c r="D109" s="165"/>
      <c r="E109" s="167">
        <f>SUM(E104:E108)</f>
        <v>109659</v>
      </c>
      <c r="F109" s="167">
        <f>SUM(F104:F108)</f>
        <v>0</v>
      </c>
      <c r="G109" s="167">
        <f>SUM(G104:G108)</f>
        <v>0</v>
      </c>
      <c r="H109" s="176"/>
      <c r="T109" s="59"/>
    </row>
    <row r="110" spans="3:20">
      <c r="C110" s="177"/>
      <c r="H110" s="176"/>
      <c r="K110" s="312"/>
      <c r="T110" s="59"/>
    </row>
    <row r="111" spans="3:20">
      <c r="C111" s="180" t="s">
        <v>214</v>
      </c>
      <c r="H111" s="181"/>
      <c r="T111" s="59"/>
    </row>
    <row r="112" spans="3:20">
      <c r="C112" s="177" t="s">
        <v>193</v>
      </c>
      <c r="E112" s="182">
        <f>E109</f>
        <v>109659</v>
      </c>
      <c r="F112" s="182"/>
      <c r="G112" s="182"/>
      <c r="H112" s="183">
        <f>SUM(E112:G112)</f>
        <v>109659</v>
      </c>
      <c r="T112" s="59"/>
    </row>
    <row r="113" spans="3:20">
      <c r="C113" s="177" t="s">
        <v>194</v>
      </c>
      <c r="E113" s="182"/>
      <c r="F113" s="182"/>
      <c r="G113" s="182"/>
      <c r="H113" s="183">
        <f t="shared" ref="H113:H117" si="41">SUM(E113:G113)</f>
        <v>0</v>
      </c>
      <c r="J113" s="3" t="s">
        <v>230</v>
      </c>
      <c r="K113" s="314">
        <f>H115</f>
        <v>-42462.407549999996</v>
      </c>
      <c r="T113" s="59"/>
    </row>
    <row r="114" spans="3:20">
      <c r="C114" s="177" t="s">
        <v>219</v>
      </c>
      <c r="E114" s="182"/>
      <c r="F114" s="182"/>
      <c r="G114" s="182"/>
      <c r="H114" s="183">
        <f t="shared" si="41"/>
        <v>0</v>
      </c>
      <c r="J114" s="3" t="s">
        <v>227</v>
      </c>
      <c r="K114" s="314">
        <f>H117</f>
        <v>67196.592449999996</v>
      </c>
      <c r="T114" s="59"/>
    </row>
    <row r="115" spans="3:20">
      <c r="C115" s="178" t="s">
        <v>228</v>
      </c>
      <c r="E115" s="182">
        <f>-'Yrly Projections&amp;Cal'!C30*'Yrly Projections&amp;Cal'!I11</f>
        <v>-42462.407549999996</v>
      </c>
      <c r="F115" s="182"/>
      <c r="G115" s="182"/>
      <c r="H115" s="184">
        <f t="shared" si="41"/>
        <v>-42462.407549999996</v>
      </c>
      <c r="T115" s="59"/>
    </row>
    <row r="116" spans="3:20">
      <c r="C116" s="177" t="s">
        <v>201</v>
      </c>
      <c r="E116" s="182"/>
      <c r="F116" s="182"/>
      <c r="G116" s="182"/>
      <c r="H116" s="183">
        <f t="shared" si="41"/>
        <v>0</v>
      </c>
      <c r="T116" s="59"/>
    </row>
    <row r="117" spans="3:20">
      <c r="C117" s="179" t="s">
        <v>209</v>
      </c>
      <c r="D117" s="165"/>
      <c r="E117" s="167">
        <f>SUM(E112:E116)</f>
        <v>67196.592449999996</v>
      </c>
      <c r="F117" s="167">
        <f t="shared" ref="F117:G117" si="42">SUM(F112:F116)</f>
        <v>0</v>
      </c>
      <c r="G117" s="167">
        <f t="shared" si="42"/>
        <v>0</v>
      </c>
      <c r="H117" s="185">
        <f t="shared" si="41"/>
        <v>67196.592449999996</v>
      </c>
      <c r="K117" s="312"/>
      <c r="T117" s="59"/>
    </row>
    <row r="118" spans="3:20">
      <c r="C118" s="177"/>
      <c r="E118" s="182"/>
      <c r="F118" s="182"/>
      <c r="G118" s="182"/>
      <c r="H118" s="183"/>
      <c r="T118" s="59"/>
    </row>
    <row r="119" spans="3:20">
      <c r="C119" s="186" t="s">
        <v>210</v>
      </c>
      <c r="E119" s="182"/>
      <c r="F119" s="182"/>
      <c r="G119" s="182"/>
      <c r="H119" s="183"/>
      <c r="T119" s="59"/>
    </row>
    <row r="120" spans="3:20">
      <c r="C120" s="177" t="s">
        <v>183</v>
      </c>
      <c r="E120" s="182">
        <f>E109+E113+E114</f>
        <v>109659</v>
      </c>
      <c r="F120" s="182">
        <f>F107+F113+F114+F116</f>
        <v>0</v>
      </c>
      <c r="G120" s="182">
        <f>G107+G113+G114+G116</f>
        <v>0</v>
      </c>
      <c r="H120" s="183">
        <f t="shared" ref="H120" si="43">SUM(E120:G120)</f>
        <v>109659</v>
      </c>
      <c r="T120" s="59"/>
    </row>
    <row r="121" spans="3:20">
      <c r="C121" s="177" t="s">
        <v>196</v>
      </c>
      <c r="E121" s="182">
        <f>E115+E108</f>
        <v>-42462.407549999996</v>
      </c>
      <c r="F121" s="182">
        <f>F115+F108</f>
        <v>0</v>
      </c>
      <c r="G121" s="182">
        <f>G115+G108</f>
        <v>0</v>
      </c>
      <c r="H121" s="183">
        <f t="shared" ref="H121" si="44">SUM(E121:G121)</f>
        <v>-42462.407549999996</v>
      </c>
      <c r="T121" s="59"/>
    </row>
    <row r="122" spans="3:20">
      <c r="C122" s="179" t="s">
        <v>195</v>
      </c>
      <c r="D122" s="166">
        <f>SUM(D120:D121)</f>
        <v>0</v>
      </c>
      <c r="E122" s="167">
        <f>SUM(E120:E121)</f>
        <v>67196.592449999996</v>
      </c>
      <c r="F122" s="167">
        <f t="shared" ref="F122:G122" si="45">SUM(F120:F121)</f>
        <v>0</v>
      </c>
      <c r="G122" s="167">
        <f t="shared" si="45"/>
        <v>0</v>
      </c>
      <c r="H122" s="185">
        <f t="shared" ref="H122" si="46">SUM(D122:G122)</f>
        <v>67196.592449999996</v>
      </c>
      <c r="K122" s="312"/>
      <c r="T122" s="59"/>
    </row>
    <row r="123" spans="3:20">
      <c r="C123" s="177"/>
      <c r="E123" s="182"/>
      <c r="F123" s="182"/>
      <c r="G123" s="182"/>
      <c r="H123" s="183"/>
      <c r="T123" s="59"/>
    </row>
    <row r="124" spans="3:20">
      <c r="C124" s="180" t="s">
        <v>215</v>
      </c>
      <c r="E124" s="182"/>
      <c r="F124" s="182"/>
      <c r="G124" s="182"/>
      <c r="H124" s="183"/>
      <c r="T124" s="59"/>
    </row>
    <row r="125" spans="3:20">
      <c r="C125" s="177" t="s">
        <v>193</v>
      </c>
      <c r="E125" s="182">
        <f>E122</f>
        <v>67196.592449999996</v>
      </c>
      <c r="F125" s="182">
        <f t="shared" ref="F125:G125" si="47">F122</f>
        <v>0</v>
      </c>
      <c r="G125" s="182">
        <f t="shared" si="47"/>
        <v>0</v>
      </c>
      <c r="H125" s="185">
        <f t="shared" ref="H125:H130" si="48">SUM(D125:G125)</f>
        <v>67196.592449999996</v>
      </c>
      <c r="T125" s="59"/>
    </row>
    <row r="126" spans="3:20">
      <c r="C126" s="177" t="s">
        <v>194</v>
      </c>
      <c r="E126" s="182"/>
      <c r="F126" s="182">
        <f>Q125*F125</f>
        <v>0</v>
      </c>
      <c r="G126" s="182"/>
      <c r="H126" s="185">
        <f t="shared" si="48"/>
        <v>0</v>
      </c>
      <c r="J126" s="3" t="s">
        <v>229</v>
      </c>
      <c r="K126" s="314">
        <f>H128</f>
        <v>-46284.024229499999</v>
      </c>
      <c r="T126" s="59"/>
    </row>
    <row r="127" spans="3:20">
      <c r="C127" s="177" t="s">
        <v>199</v>
      </c>
      <c r="E127" s="182">
        <v>0</v>
      </c>
      <c r="F127" s="182"/>
      <c r="G127" s="182"/>
      <c r="H127" s="185">
        <f t="shared" si="48"/>
        <v>0</v>
      </c>
      <c r="J127" s="3" t="s">
        <v>227</v>
      </c>
      <c r="K127" s="313">
        <f>H130</f>
        <v>20912.568220499998</v>
      </c>
      <c r="T127" s="59"/>
    </row>
    <row r="128" spans="3:20">
      <c r="C128" s="178" t="s">
        <v>228</v>
      </c>
      <c r="E128" s="182">
        <f>-'Yrly Projections&amp;Cal'!D30*'Yrly Projections&amp;Cal'!J11</f>
        <v>-46284.024229499999</v>
      </c>
      <c r="F128" s="182">
        <f>Q126*(F126+F125+F127)</f>
        <v>0</v>
      </c>
      <c r="G128" s="182">
        <f>R126*(G126+G125+G127)</f>
        <v>0</v>
      </c>
      <c r="H128" s="185">
        <f t="shared" si="48"/>
        <v>-46284.024229499999</v>
      </c>
      <c r="T128" s="59"/>
    </row>
    <row r="129" spans="1:20">
      <c r="C129" s="177" t="s">
        <v>201</v>
      </c>
      <c r="H129" s="187">
        <f t="shared" si="48"/>
        <v>0</v>
      </c>
      <c r="T129" s="59"/>
    </row>
    <row r="130" spans="1:20">
      <c r="C130" s="179" t="s">
        <v>209</v>
      </c>
      <c r="D130" s="165"/>
      <c r="E130" s="168">
        <f>SUM(E125:E129)</f>
        <v>20912.568220499998</v>
      </c>
      <c r="F130" s="168">
        <f t="shared" ref="F130:G130" si="49">SUM(F125:F129)</f>
        <v>0</v>
      </c>
      <c r="G130" s="168">
        <f t="shared" si="49"/>
        <v>0</v>
      </c>
      <c r="H130" s="188">
        <f t="shared" si="48"/>
        <v>20912.568220499998</v>
      </c>
      <c r="T130" s="59"/>
    </row>
    <row r="131" spans="1:20">
      <c r="C131" s="177"/>
      <c r="H131" s="181"/>
      <c r="T131" s="59"/>
    </row>
    <row r="132" spans="1:20">
      <c r="C132" s="186" t="s">
        <v>211</v>
      </c>
      <c r="H132" s="181"/>
      <c r="K132" s="312"/>
      <c r="T132" s="59"/>
    </row>
    <row r="133" spans="1:20">
      <c r="C133" s="177" t="s">
        <v>183</v>
      </c>
      <c r="E133" s="160">
        <f>E120+E126+E127</f>
        <v>109659</v>
      </c>
      <c r="F133" s="160">
        <f t="shared" ref="F133:G133" si="50">F120+F126+F127+F129</f>
        <v>0</v>
      </c>
      <c r="G133" s="160">
        <f t="shared" si="50"/>
        <v>0</v>
      </c>
      <c r="H133" s="185">
        <f t="shared" ref="H133:H134" si="51">SUM(D133:G133)</f>
        <v>109659</v>
      </c>
      <c r="T133" s="59"/>
    </row>
    <row r="134" spans="1:20">
      <c r="C134" s="177" t="s">
        <v>196</v>
      </c>
      <c r="E134" s="160">
        <f>E121+E128</f>
        <v>-88746.431779499995</v>
      </c>
      <c r="F134" s="160">
        <f t="shared" ref="F134:G134" si="52">F121+F128</f>
        <v>0</v>
      </c>
      <c r="G134" s="160">
        <f t="shared" si="52"/>
        <v>0</v>
      </c>
      <c r="H134" s="185">
        <f t="shared" si="51"/>
        <v>-88746.431779499995</v>
      </c>
      <c r="T134" s="59"/>
    </row>
    <row r="135" spans="1:20">
      <c r="C135" s="179" t="s">
        <v>195</v>
      </c>
      <c r="D135" s="165"/>
      <c r="E135" s="167">
        <f>SUM(E133:E134)</f>
        <v>20912.568220500005</v>
      </c>
      <c r="F135" s="167">
        <f>SUM(F133:F134)</f>
        <v>0</v>
      </c>
      <c r="G135" s="167">
        <f>SUM(G133:G134)</f>
        <v>0</v>
      </c>
      <c r="H135" s="188">
        <f t="shared" ref="H135" si="53">SUM(D135:G135)</f>
        <v>20912.568220500005</v>
      </c>
      <c r="T135" s="59"/>
    </row>
    <row r="136" spans="1:20">
      <c r="T136" s="59"/>
    </row>
    <row r="137" spans="1:20">
      <c r="T137" s="59"/>
    </row>
    <row r="138" spans="1:20">
      <c r="T138" s="59"/>
    </row>
    <row r="139" spans="1:20">
      <c r="A139" s="59"/>
      <c r="B139" s="59"/>
      <c r="C139" s="59"/>
      <c r="D139" s="59"/>
      <c r="E139" s="59"/>
      <c r="F139" s="59"/>
      <c r="G139" s="59"/>
      <c r="H139" s="59"/>
      <c r="I139" s="306"/>
      <c r="J139" s="306"/>
      <c r="K139" s="315"/>
      <c r="L139" s="59"/>
      <c r="M139" s="59"/>
      <c r="N139" s="59"/>
      <c r="O139" s="59"/>
      <c r="P139" s="59"/>
      <c r="Q139" s="59"/>
      <c r="R139" s="59"/>
      <c r="S139" s="59"/>
      <c r="T139" s="59"/>
    </row>
    <row r="140" spans="1:20" hidden="1">
      <c r="T140" s="277"/>
    </row>
    <row r="141" spans="1:20" hidden="1">
      <c r="T141" s="277"/>
    </row>
    <row r="142" spans="1:20" hidden="1">
      <c r="K142" s="312"/>
      <c r="T142" s="277"/>
    </row>
    <row r="143" spans="1:20" hidden="1">
      <c r="T143" s="277"/>
    </row>
    <row r="144" spans="1:20" hidden="1">
      <c r="T144" s="277"/>
    </row>
    <row r="145" spans="11:20" hidden="1">
      <c r="T145" s="277"/>
    </row>
    <row r="146" spans="11:20" hidden="1">
      <c r="T146" s="277"/>
    </row>
    <row r="147" spans="11:20" hidden="1">
      <c r="T147" s="277"/>
    </row>
    <row r="148" spans="11:20" hidden="1">
      <c r="T148" s="277"/>
    </row>
    <row r="151" spans="11:20" hidden="1">
      <c r="K151" s="312"/>
    </row>
    <row r="154" spans="11:20" hidden="1">
      <c r="K154" s="312"/>
    </row>
    <row r="155" spans="11:20" hidden="1">
      <c r="K155" s="312"/>
    </row>
    <row r="156" spans="11:20" hidden="1">
      <c r="K156" s="312"/>
    </row>
    <row r="157" spans="11:20" hidden="1">
      <c r="K157" s="312"/>
    </row>
    <row r="158" spans="11:20" hidden="1">
      <c r="K158" s="312"/>
    </row>
    <row r="161" spans="11:11" hidden="1">
      <c r="K161" s="312"/>
    </row>
    <row r="163" spans="11:11" hidden="1">
      <c r="K163" s="312"/>
    </row>
    <row r="164" spans="11:11" hidden="1">
      <c r="K164" s="312"/>
    </row>
    <row r="165" spans="11:11" hidden="1">
      <c r="K165" s="312"/>
    </row>
    <row r="166" spans="11:11" hidden="1">
      <c r="K166" s="312"/>
    </row>
    <row r="167" spans="11:11" hidden="1">
      <c r="K167" s="312"/>
    </row>
    <row r="168" spans="11:11" hidden="1">
      <c r="K168" s="312"/>
    </row>
    <row r="170" spans="11:11" hidden="1">
      <c r="K170" s="312"/>
    </row>
    <row r="172" spans="11:11" hidden="1">
      <c r="K172" s="312"/>
    </row>
    <row r="173" spans="11:11" hidden="1">
      <c r="K173" s="312"/>
    </row>
    <row r="174" spans="11:11" hidden="1">
      <c r="K174" s="312"/>
    </row>
  </sheetData>
  <mergeCells count="1">
    <mergeCell ref="J36:L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8817B-D7A6-47B0-90ED-AE6B844E7131}">
  <dimension ref="A1:O26"/>
  <sheetViews>
    <sheetView showGridLines="0" zoomScale="80" zoomScaleNormal="80" workbookViewId="0">
      <selection activeCell="B16" sqref="B16"/>
    </sheetView>
  </sheetViews>
  <sheetFormatPr defaultColWidth="0" defaultRowHeight="13.2" zeroHeight="1"/>
  <cols>
    <col min="1" max="1" width="3.59765625" style="281" customWidth="1"/>
    <col min="2" max="2" width="36.8984375" style="281" customWidth="1"/>
    <col min="3" max="3" width="8.09765625" style="281" customWidth="1"/>
    <col min="4" max="4" width="9.3984375" style="281" bestFit="1" customWidth="1"/>
    <col min="5" max="8" width="8.796875" style="281" customWidth="1"/>
    <col min="9" max="9" width="10.8984375" style="281" bestFit="1" customWidth="1"/>
    <col min="10" max="11" width="8.796875" style="281" customWidth="1"/>
    <col min="12" max="12" width="2.59765625" style="281" customWidth="1"/>
    <col min="13" max="14" width="8.796875" style="281" hidden="1" customWidth="1"/>
    <col min="15" max="15" width="0" style="281" hidden="1" customWidth="1"/>
    <col min="16" max="16384" width="8.796875" style="281" hidden="1"/>
  </cols>
  <sheetData>
    <row r="1" spans="1:13">
      <c r="A1" s="300"/>
      <c r="B1" s="317" t="s">
        <v>260</v>
      </c>
      <c r="C1" s="300"/>
      <c r="D1" s="300"/>
      <c r="E1" s="300"/>
      <c r="F1" s="300"/>
      <c r="G1" s="300"/>
      <c r="H1" s="300"/>
      <c r="I1" s="300"/>
      <c r="J1" s="300"/>
      <c r="K1" s="300"/>
      <c r="L1" s="8"/>
      <c r="M1" s="301"/>
    </row>
    <row r="2" spans="1:13">
      <c r="A2" s="302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8"/>
    </row>
    <row r="3" spans="1:13">
      <c r="A3" s="282"/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8"/>
    </row>
    <row r="4" spans="1:13">
      <c r="L4" s="8"/>
    </row>
    <row r="5" spans="1:13" ht="13.8" thickBot="1">
      <c r="L5" s="8"/>
    </row>
    <row r="6" spans="1:13" ht="13.8" thickBot="1">
      <c r="B6" s="283" t="s">
        <v>231</v>
      </c>
      <c r="C6" s="284">
        <v>2025</v>
      </c>
      <c r="D6" s="284">
        <v>2024</v>
      </c>
      <c r="E6" s="284">
        <v>2023</v>
      </c>
      <c r="F6" s="284">
        <v>2022</v>
      </c>
      <c r="G6" s="285">
        <v>2021</v>
      </c>
      <c r="L6" s="8"/>
    </row>
    <row r="7" spans="1:13">
      <c r="B7" s="286" t="s">
        <v>241</v>
      </c>
      <c r="C7" s="287">
        <f>D15</f>
        <v>8161</v>
      </c>
      <c r="D7" s="287">
        <f>E15</f>
        <v>12402</v>
      </c>
      <c r="E7" s="287">
        <v>19877</v>
      </c>
      <c r="F7" s="287">
        <v>25601</v>
      </c>
      <c r="G7" s="288">
        <v>42156</v>
      </c>
      <c r="L7" s="8"/>
    </row>
    <row r="8" spans="1:13">
      <c r="B8" s="286" t="s">
        <v>194</v>
      </c>
      <c r="C8" s="281">
        <v>1354</v>
      </c>
      <c r="D8" s="289">
        <v>2258</v>
      </c>
      <c r="E8" s="287">
        <v>449</v>
      </c>
      <c r="F8" s="287">
        <v>4067</v>
      </c>
      <c r="G8" s="288">
        <v>216</v>
      </c>
      <c r="K8" s="289"/>
      <c r="L8" s="8"/>
    </row>
    <row r="9" spans="1:13">
      <c r="B9" s="286" t="s">
        <v>232</v>
      </c>
      <c r="C9" s="281">
        <v>152</v>
      </c>
      <c r="D9" s="281">
        <v>122</v>
      </c>
      <c r="E9" s="287">
        <v>183</v>
      </c>
      <c r="F9" s="287">
        <v>60</v>
      </c>
      <c r="G9" s="288">
        <v>2063</v>
      </c>
      <c r="I9" s="281" t="s">
        <v>242</v>
      </c>
      <c r="J9" s="290">
        <f>D18</f>
        <v>4000.8772778584103</v>
      </c>
      <c r="L9" s="8"/>
    </row>
    <row r="10" spans="1:13">
      <c r="B10" s="286" t="s">
        <v>233</v>
      </c>
      <c r="C10" s="281">
        <v>1929</v>
      </c>
      <c r="D10" s="287">
        <v>1567</v>
      </c>
      <c r="E10" s="287">
        <v>2290</v>
      </c>
      <c r="F10" s="287">
        <v>843</v>
      </c>
      <c r="G10" s="288">
        <v>-4921</v>
      </c>
      <c r="I10" s="281" t="s">
        <v>243</v>
      </c>
      <c r="J10" s="281">
        <f>D12</f>
        <v>882</v>
      </c>
      <c r="L10" s="8"/>
    </row>
    <row r="11" spans="1:13">
      <c r="B11" s="286" t="s">
        <v>234</v>
      </c>
      <c r="C11" s="287"/>
      <c r="D11" s="287"/>
      <c r="E11" s="287">
        <v>-1576</v>
      </c>
      <c r="F11" s="287">
        <v>-2925</v>
      </c>
      <c r="G11" s="288">
        <v>-2342</v>
      </c>
      <c r="L11" s="8"/>
    </row>
    <row r="12" spans="1:13">
      <c r="B12" s="286" t="s">
        <v>235</v>
      </c>
      <c r="C12" s="291">
        <v>788.5</v>
      </c>
      <c r="D12" s="281">
        <v>882</v>
      </c>
      <c r="E12" s="287">
        <v>695</v>
      </c>
      <c r="F12" s="287">
        <v>735</v>
      </c>
      <c r="G12" s="288">
        <v>1036</v>
      </c>
      <c r="K12" s="292"/>
      <c r="L12" s="8"/>
      <c r="M12" s="292"/>
    </row>
    <row r="13" spans="1:13">
      <c r="B13" s="286" t="s">
        <v>236</v>
      </c>
      <c r="C13" s="287">
        <v>-7484</v>
      </c>
      <c r="D13" s="287">
        <v>-7774</v>
      </c>
      <c r="E13" s="287">
        <v>-7194</v>
      </c>
      <c r="F13" s="287">
        <v>-8235</v>
      </c>
      <c r="G13" s="288">
        <v>-9633</v>
      </c>
      <c r="I13" s="281" t="s">
        <v>242</v>
      </c>
      <c r="J13" s="293">
        <f>C18</f>
        <v>1675.897435897436</v>
      </c>
      <c r="L13" s="8"/>
    </row>
    <row r="14" spans="1:13">
      <c r="B14" s="286" t="s">
        <v>237</v>
      </c>
      <c r="C14" s="287">
        <v>-1482</v>
      </c>
      <c r="D14" s="287">
        <v>-1296</v>
      </c>
      <c r="E14" s="287">
        <v>-2322</v>
      </c>
      <c r="F14" s="287">
        <v>-269</v>
      </c>
      <c r="G14" s="288">
        <v>-2974</v>
      </c>
      <c r="I14" s="281" t="s">
        <v>243</v>
      </c>
      <c r="J14" s="291">
        <f>C12</f>
        <v>788.5</v>
      </c>
      <c r="L14" s="8"/>
    </row>
    <row r="15" spans="1:13" ht="13.8" thickBot="1">
      <c r="B15" s="294" t="s">
        <v>238</v>
      </c>
      <c r="C15" s="295">
        <f t="shared" ref="C15:D15" si="0">SUM(C7:C14)</f>
        <v>3418.5</v>
      </c>
      <c r="D15" s="295">
        <f t="shared" si="0"/>
        <v>8161</v>
      </c>
      <c r="E15" s="295">
        <f>SUM(E7:E14)</f>
        <v>12402</v>
      </c>
      <c r="F15" s="295">
        <f>SUM(F7:F14)</f>
        <v>19877</v>
      </c>
      <c r="G15" s="296">
        <f>SUM(G7:G14)</f>
        <v>25601</v>
      </c>
      <c r="L15" s="8"/>
    </row>
    <row r="16" spans="1:13">
      <c r="J16" s="292">
        <f>E17/E15</f>
        <v>0.50975649088856634</v>
      </c>
      <c r="K16" s="292"/>
      <c r="L16" s="8"/>
    </row>
    <row r="17" spans="1:12">
      <c r="B17" s="281" t="s">
        <v>239</v>
      </c>
      <c r="C17" s="297">
        <f>J16*C15</f>
        <v>1742.602564102564</v>
      </c>
      <c r="D17" s="297">
        <f>D15*J16</f>
        <v>4160.1227221415902</v>
      </c>
      <c r="E17" s="298">
        <v>6322</v>
      </c>
      <c r="F17" s="298">
        <v>6822</v>
      </c>
      <c r="G17" s="297">
        <v>7941</v>
      </c>
      <c r="J17" s="292">
        <f>E18/E15</f>
        <v>0.49024350911143366</v>
      </c>
      <c r="K17" s="292"/>
      <c r="L17" s="8"/>
    </row>
    <row r="18" spans="1:12">
      <c r="B18" s="281" t="s">
        <v>240</v>
      </c>
      <c r="C18" s="297">
        <f>J17*C15</f>
        <v>1675.897435897436</v>
      </c>
      <c r="D18" s="297">
        <f>J17*D15</f>
        <v>4000.8772778584103</v>
      </c>
      <c r="E18" s="298">
        <v>6080</v>
      </c>
      <c r="F18" s="297">
        <v>13055</v>
      </c>
      <c r="G18" s="297">
        <v>17660</v>
      </c>
      <c r="L18" s="8"/>
    </row>
    <row r="19" spans="1:12">
      <c r="J19" s="292"/>
      <c r="K19" s="292"/>
      <c r="L19" s="8"/>
    </row>
    <row r="20" spans="1:12">
      <c r="L20" s="8"/>
    </row>
    <row r="21" spans="1:12">
      <c r="D21" s="299"/>
      <c r="L21" s="8"/>
    </row>
    <row r="22" spans="1:12">
      <c r="L22" s="8"/>
    </row>
    <row r="23" spans="1:12">
      <c r="L23" s="8"/>
    </row>
    <row r="24" spans="1:12">
      <c r="L24" s="8"/>
    </row>
    <row r="25" spans="1:1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hidden="1">
      <c r="D26" s="289"/>
      <c r="E26" s="289"/>
      <c r="F26" s="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Page </vt:lpstr>
      <vt:lpstr>Graphs</vt:lpstr>
      <vt:lpstr>FY 2023 &amp; Projections'000</vt:lpstr>
      <vt:lpstr>Inputs&gt;&gt;&gt;</vt:lpstr>
      <vt:lpstr>Yrly Projections&amp;Cal</vt:lpstr>
      <vt:lpstr>Ratios</vt:lpstr>
      <vt:lpstr>Assumptions</vt:lpstr>
      <vt:lpstr>Capital schedule</vt:lpstr>
      <vt:lpstr>Lease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ayomide.adeboyejo@unb.ca</dc:creator>
  <cp:lastModifiedBy>Ayomide Abel Adeboyejo</cp:lastModifiedBy>
  <dcterms:created xsi:type="dcterms:W3CDTF">2023-05-01T15:21:06Z</dcterms:created>
  <dcterms:modified xsi:type="dcterms:W3CDTF">2024-05-05T13:30:18Z</dcterms:modified>
</cp:coreProperties>
</file>